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many\Desktop\"/>
    </mc:Choice>
  </mc:AlternateContent>
  <bookViews>
    <workbookView xWindow="480" yWindow="615" windowWidth="14835" windowHeight="7425" firstSheet="2" activeTab="4"/>
  </bookViews>
  <sheets>
    <sheet name="Glucose" sheetId="6" r:id="rId1"/>
    <sheet name="Hematòcrit" sheetId="1" r:id="rId2"/>
    <sheet name="Plasma Glucose" sheetId="2" r:id="rId3"/>
    <sheet name="Blood Glucose" sheetId="4" r:id="rId4"/>
    <sheet name="Cell Glucose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13" i="6" l="1"/>
  <c r="H13" i="6"/>
  <c r="D14" i="6"/>
  <c r="H14" i="6"/>
  <c r="D22" i="6"/>
  <c r="H22" i="6"/>
  <c r="D23" i="6"/>
  <c r="H23" i="6"/>
  <c r="P28" i="5" l="1"/>
  <c r="G33" i="5"/>
  <c r="H33" i="5" s="1"/>
  <c r="AA33" i="5" s="1"/>
  <c r="F33" i="5"/>
  <c r="G32" i="5"/>
  <c r="H32" i="5" s="1"/>
  <c r="AA32" i="5" s="1"/>
  <c r="G31" i="5"/>
  <c r="H31" i="5" s="1"/>
  <c r="AA31" i="5" s="1"/>
  <c r="G30" i="5"/>
  <c r="H30" i="5" s="1"/>
  <c r="AA30" i="5" s="1"/>
  <c r="G29" i="5"/>
  <c r="H29" i="5" s="1"/>
  <c r="AA29" i="5" s="1"/>
  <c r="W28" i="5"/>
  <c r="V28" i="5"/>
  <c r="Q28" i="5"/>
  <c r="H28" i="5"/>
  <c r="AA28" i="5" s="1"/>
  <c r="G28" i="5"/>
  <c r="G27" i="5"/>
  <c r="H27" i="5" s="1"/>
  <c r="AA27" i="5" s="1"/>
  <c r="F27" i="5"/>
  <c r="G26" i="5"/>
  <c r="H26" i="5" s="1"/>
  <c r="AA26" i="5" s="1"/>
  <c r="G25" i="5"/>
  <c r="H25" i="5" s="1"/>
  <c r="AA25" i="5" s="1"/>
  <c r="G24" i="5"/>
  <c r="H24" i="5" s="1"/>
  <c r="AA24" i="5" s="1"/>
  <c r="G23" i="5"/>
  <c r="H23" i="5" s="1"/>
  <c r="AA23" i="5" s="1"/>
  <c r="W22" i="5"/>
  <c r="V22" i="5"/>
  <c r="Q22" i="5"/>
  <c r="P22" i="5"/>
  <c r="G22" i="5"/>
  <c r="H22" i="5" s="1"/>
  <c r="AA22" i="5" s="1"/>
  <c r="G21" i="5"/>
  <c r="H21" i="5" s="1"/>
  <c r="AA21" i="5" s="1"/>
  <c r="F21" i="5"/>
  <c r="G20" i="5"/>
  <c r="H20" i="5" s="1"/>
  <c r="AA20" i="5" s="1"/>
  <c r="G19" i="5"/>
  <c r="H19" i="5" s="1"/>
  <c r="AA19" i="5" s="1"/>
  <c r="G18" i="5"/>
  <c r="H18" i="5" s="1"/>
  <c r="AA18" i="5" s="1"/>
  <c r="G17" i="5"/>
  <c r="H17" i="5" s="1"/>
  <c r="AA17" i="5" s="1"/>
  <c r="W16" i="5"/>
  <c r="V16" i="5"/>
  <c r="Q16" i="5"/>
  <c r="P16" i="5"/>
  <c r="H16" i="5"/>
  <c r="AA16" i="5" s="1"/>
  <c r="G16" i="5"/>
  <c r="G15" i="5"/>
  <c r="H15" i="5" s="1"/>
  <c r="AA15" i="5" s="1"/>
  <c r="F15" i="5"/>
  <c r="G14" i="5"/>
  <c r="H14" i="5" s="1"/>
  <c r="AA14" i="5" s="1"/>
  <c r="G13" i="5"/>
  <c r="H13" i="5" s="1"/>
  <c r="AA13" i="5" s="1"/>
  <c r="G12" i="5"/>
  <c r="H12" i="5" s="1"/>
  <c r="AA12" i="5" s="1"/>
  <c r="G11" i="5"/>
  <c r="H11" i="5" s="1"/>
  <c r="AA11" i="5" s="1"/>
  <c r="W10" i="5"/>
  <c r="V10" i="5"/>
  <c r="Q10" i="5"/>
  <c r="P10" i="5"/>
  <c r="G10" i="5"/>
  <c r="H10" i="5" s="1"/>
  <c r="AA10" i="5" s="1"/>
  <c r="F9" i="4"/>
  <c r="F8" i="4"/>
  <c r="F7" i="4"/>
  <c r="G7" i="4" s="1"/>
  <c r="F6" i="4"/>
  <c r="F5" i="4"/>
  <c r="F4" i="4"/>
  <c r="E33" i="4" s="1"/>
  <c r="F33" i="4" s="1"/>
  <c r="G33" i="4" s="1"/>
  <c r="H33" i="4" s="1"/>
  <c r="F10" i="2"/>
  <c r="F9" i="2"/>
  <c r="F8" i="2"/>
  <c r="G8" i="2" s="1"/>
  <c r="F7" i="2"/>
  <c r="F6" i="2"/>
  <c r="F5" i="2"/>
  <c r="E39" i="2" s="1"/>
  <c r="F39" i="2" s="1"/>
  <c r="G39" i="2" s="1"/>
  <c r="G9" i="2" l="1"/>
  <c r="G7" i="2"/>
  <c r="G6" i="4"/>
  <c r="G8" i="4"/>
  <c r="G6" i="2"/>
  <c r="G10" i="2"/>
  <c r="G5" i="4"/>
  <c r="G9" i="4"/>
  <c r="AC22" i="5"/>
  <c r="AB22" i="5"/>
  <c r="AC10" i="5"/>
  <c r="AB10" i="5"/>
  <c r="AC16" i="5"/>
  <c r="AB16" i="5"/>
  <c r="AC28" i="5"/>
  <c r="AB28" i="5"/>
  <c r="G4" i="4"/>
  <c r="E20" i="4"/>
  <c r="F20" i="4" s="1"/>
  <c r="G20" i="4" s="1"/>
  <c r="H20" i="4" s="1"/>
  <c r="E21" i="4"/>
  <c r="F21" i="4" s="1"/>
  <c r="G21" i="4" s="1"/>
  <c r="H21" i="4" s="1"/>
  <c r="E22" i="4"/>
  <c r="F22" i="4" s="1"/>
  <c r="G22" i="4" s="1"/>
  <c r="H22" i="4" s="1"/>
  <c r="E23" i="4"/>
  <c r="F23" i="4" s="1"/>
  <c r="G23" i="4" s="1"/>
  <c r="H23" i="4" s="1"/>
  <c r="E24" i="4"/>
  <c r="F24" i="4" s="1"/>
  <c r="G24" i="4" s="1"/>
  <c r="H24" i="4" s="1"/>
  <c r="E25" i="4"/>
  <c r="F25" i="4" s="1"/>
  <c r="G25" i="4" s="1"/>
  <c r="H25" i="4" s="1"/>
  <c r="E34" i="4"/>
  <c r="F34" i="4" s="1"/>
  <c r="G34" i="4" s="1"/>
  <c r="H34" i="4" s="1"/>
  <c r="E35" i="4"/>
  <c r="F35" i="4" s="1"/>
  <c r="G35" i="4" s="1"/>
  <c r="H35" i="4" s="1"/>
  <c r="E36" i="4"/>
  <c r="F36" i="4" s="1"/>
  <c r="G36" i="4" s="1"/>
  <c r="H36" i="4" s="1"/>
  <c r="E37" i="4"/>
  <c r="F37" i="4" s="1"/>
  <c r="G37" i="4" s="1"/>
  <c r="H37" i="4" s="1"/>
  <c r="E38" i="4"/>
  <c r="F38" i="4" s="1"/>
  <c r="G38" i="4" s="1"/>
  <c r="H38" i="4" s="1"/>
  <c r="E39" i="4"/>
  <c r="F39" i="4" s="1"/>
  <c r="G39" i="4" s="1"/>
  <c r="H39" i="4" s="1"/>
  <c r="E14" i="4"/>
  <c r="F14" i="4" s="1"/>
  <c r="G14" i="4" s="1"/>
  <c r="H14" i="4" s="1"/>
  <c r="E15" i="4"/>
  <c r="F15" i="4" s="1"/>
  <c r="G15" i="4" s="1"/>
  <c r="H15" i="4" s="1"/>
  <c r="E16" i="4"/>
  <c r="F16" i="4" s="1"/>
  <c r="G16" i="4" s="1"/>
  <c r="H16" i="4" s="1"/>
  <c r="E17" i="4"/>
  <c r="F17" i="4" s="1"/>
  <c r="G17" i="4" s="1"/>
  <c r="H17" i="4" s="1"/>
  <c r="E18" i="4"/>
  <c r="F18" i="4" s="1"/>
  <c r="G18" i="4" s="1"/>
  <c r="H18" i="4" s="1"/>
  <c r="E19" i="4"/>
  <c r="F19" i="4" s="1"/>
  <c r="G19" i="4" s="1"/>
  <c r="H19" i="4" s="1"/>
  <c r="E28" i="4"/>
  <c r="F28" i="4" s="1"/>
  <c r="G28" i="4" s="1"/>
  <c r="H28" i="4" s="1"/>
  <c r="E29" i="4"/>
  <c r="F29" i="4" s="1"/>
  <c r="G29" i="4" s="1"/>
  <c r="H29" i="4" s="1"/>
  <c r="E30" i="4"/>
  <c r="F30" i="4" s="1"/>
  <c r="G30" i="4" s="1"/>
  <c r="H30" i="4" s="1"/>
  <c r="E31" i="4"/>
  <c r="F31" i="4" s="1"/>
  <c r="G31" i="4" s="1"/>
  <c r="H31" i="4" s="1"/>
  <c r="E32" i="4"/>
  <c r="F32" i="4" s="1"/>
  <c r="G32" i="4" s="1"/>
  <c r="H32" i="4" s="1"/>
  <c r="G5" i="2"/>
  <c r="E16" i="2"/>
  <c r="F16" i="2" s="1"/>
  <c r="G16" i="2" s="1"/>
  <c r="E18" i="2"/>
  <c r="F18" i="2" s="1"/>
  <c r="G18" i="2" s="1"/>
  <c r="E20" i="2"/>
  <c r="F20" i="2" s="1"/>
  <c r="G20" i="2" s="1"/>
  <c r="E21" i="2"/>
  <c r="F21" i="2" s="1"/>
  <c r="G21" i="2" s="1"/>
  <c r="E23" i="2"/>
  <c r="F23" i="2" s="1"/>
  <c r="G23" i="2" s="1"/>
  <c r="E25" i="2"/>
  <c r="F25" i="2" s="1"/>
  <c r="G25" i="2" s="1"/>
  <c r="E29" i="2"/>
  <c r="F29" i="2" s="1"/>
  <c r="G29" i="2" s="1"/>
  <c r="E31" i="2"/>
  <c r="F31" i="2" s="1"/>
  <c r="G31" i="2" s="1"/>
  <c r="E33" i="2"/>
  <c r="F33" i="2" s="1"/>
  <c r="G33" i="2" s="1"/>
  <c r="E34" i="2"/>
  <c r="F34" i="2" s="1"/>
  <c r="G34" i="2" s="1"/>
  <c r="E36" i="2"/>
  <c r="F36" i="2" s="1"/>
  <c r="G36" i="2" s="1"/>
  <c r="E38" i="2"/>
  <c r="F38" i="2" s="1"/>
  <c r="G38" i="2" s="1"/>
  <c r="E15" i="2"/>
  <c r="F15" i="2" s="1"/>
  <c r="G15" i="2" s="1"/>
  <c r="E17" i="2"/>
  <c r="F17" i="2" s="1"/>
  <c r="G17" i="2" s="1"/>
  <c r="E19" i="2"/>
  <c r="F19" i="2" s="1"/>
  <c r="G19" i="2" s="1"/>
  <c r="E22" i="2"/>
  <c r="F22" i="2" s="1"/>
  <c r="G22" i="2" s="1"/>
  <c r="E24" i="2"/>
  <c r="F24" i="2" s="1"/>
  <c r="G24" i="2" s="1"/>
  <c r="E26" i="2"/>
  <c r="F26" i="2" s="1"/>
  <c r="G26" i="2" s="1"/>
  <c r="E28" i="2"/>
  <c r="F28" i="2" s="1"/>
  <c r="G28" i="2" s="1"/>
  <c r="E30" i="2"/>
  <c r="F30" i="2" s="1"/>
  <c r="G30" i="2" s="1"/>
  <c r="E32" i="2"/>
  <c r="F32" i="2" s="1"/>
  <c r="G32" i="2" s="1"/>
  <c r="E35" i="2"/>
  <c r="F35" i="2" s="1"/>
  <c r="G35" i="2" s="1"/>
  <c r="E37" i="2"/>
  <c r="F37" i="2" s="1"/>
  <c r="G37" i="2" s="1"/>
  <c r="I34" i="2" l="1"/>
  <c r="J39" i="2" s="1"/>
  <c r="H34" i="2"/>
  <c r="J34" i="4"/>
  <c r="I34" i="4"/>
  <c r="I28" i="4"/>
  <c r="J28" i="4"/>
  <c r="J14" i="4"/>
  <c r="K19" i="4" s="1"/>
  <c r="I14" i="4"/>
  <c r="I20" i="4"/>
  <c r="J20" i="4"/>
  <c r="K33" i="4"/>
  <c r="H21" i="2"/>
  <c r="I21" i="2"/>
  <c r="J26" i="2" s="1"/>
  <c r="I28" i="2"/>
  <c r="H28" i="2"/>
  <c r="I15" i="2"/>
  <c r="H15" i="2"/>
  <c r="K25" i="4" l="1"/>
  <c r="K39" i="4"/>
  <c r="J20" i="2"/>
  <c r="J33" i="2"/>
  <c r="H27" i="1" l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I23" i="1" s="1"/>
  <c r="E23" i="1"/>
  <c r="F23" i="1" s="1"/>
  <c r="H22" i="1"/>
  <c r="I22" i="1" s="1"/>
  <c r="E22" i="1"/>
  <c r="F22" i="1" s="1"/>
  <c r="H21" i="1"/>
  <c r="I21" i="1" s="1"/>
  <c r="E21" i="1"/>
  <c r="F21" i="1" s="1"/>
  <c r="H20" i="1"/>
  <c r="I20" i="1" s="1"/>
  <c r="E20" i="1"/>
  <c r="F20" i="1" s="1"/>
  <c r="H19" i="1"/>
  <c r="I19" i="1" s="1"/>
  <c r="E19" i="1"/>
  <c r="F19" i="1" s="1"/>
  <c r="H18" i="1"/>
  <c r="I18" i="1" s="1"/>
  <c r="E18" i="1"/>
  <c r="F18" i="1" s="1"/>
  <c r="H17" i="1"/>
  <c r="I17" i="1" s="1"/>
  <c r="E17" i="1"/>
  <c r="F17" i="1" s="1"/>
  <c r="H16" i="1"/>
  <c r="I16" i="1" s="1"/>
  <c r="E16" i="1"/>
  <c r="F16" i="1" s="1"/>
  <c r="H15" i="1"/>
  <c r="I15" i="1" s="1"/>
  <c r="E15" i="1"/>
  <c r="F15" i="1" s="1"/>
  <c r="H14" i="1"/>
  <c r="I14" i="1" s="1"/>
  <c r="E14" i="1"/>
  <c r="F14" i="1" s="1"/>
  <c r="H13" i="1"/>
  <c r="I13" i="1" s="1"/>
  <c r="E13" i="1"/>
  <c r="F13" i="1" s="1"/>
  <c r="H12" i="1"/>
  <c r="I12" i="1" s="1"/>
  <c r="E12" i="1"/>
  <c r="F12" i="1" s="1"/>
  <c r="I11" i="1"/>
  <c r="K11" i="1" s="1"/>
  <c r="H11" i="1"/>
  <c r="E11" i="1"/>
  <c r="H10" i="1"/>
  <c r="I10" i="1" s="1"/>
  <c r="E10" i="1"/>
  <c r="H9" i="1"/>
  <c r="I9" i="1" s="1"/>
  <c r="E9" i="1"/>
  <c r="F9" i="1" s="1"/>
  <c r="K9" i="1" s="1"/>
  <c r="H8" i="1"/>
  <c r="I8" i="1" s="1"/>
  <c r="E8" i="1"/>
  <c r="F8" i="1" s="1"/>
  <c r="K8" i="1" s="1"/>
  <c r="H7" i="1"/>
  <c r="I7" i="1" s="1"/>
  <c r="E7" i="1"/>
  <c r="F7" i="1" s="1"/>
  <c r="K7" i="1" s="1"/>
  <c r="H6" i="1"/>
  <c r="I6" i="1" s="1"/>
  <c r="E6" i="1"/>
  <c r="F6" i="1" s="1"/>
  <c r="H5" i="1"/>
  <c r="I5" i="1" s="1"/>
  <c r="E5" i="1"/>
  <c r="H4" i="1"/>
  <c r="I4" i="1" s="1"/>
  <c r="E4" i="1"/>
  <c r="K6" i="1" l="1"/>
  <c r="F5" i="1"/>
  <c r="K5" i="1" s="1"/>
  <c r="L5" i="1" s="1"/>
  <c r="K4" i="1"/>
  <c r="L4" i="1" s="1"/>
  <c r="K12" i="1"/>
  <c r="L12" i="1" s="1"/>
  <c r="F10" i="1"/>
  <c r="K10" i="1" s="1"/>
  <c r="L6" i="1"/>
  <c r="L7" i="1"/>
  <c r="L8" i="1"/>
  <c r="L9" i="1"/>
  <c r="L10" i="1"/>
  <c r="N10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N4" i="1" l="1"/>
  <c r="N16" i="1"/>
  <c r="N22" i="1"/>
  <c r="M22" i="1"/>
  <c r="M16" i="1"/>
  <c r="M4" i="1"/>
  <c r="M10" i="1"/>
</calcChain>
</file>

<file path=xl/sharedStrings.xml><?xml version="1.0" encoding="utf-8"?>
<sst xmlns="http://schemas.openxmlformats.org/spreadsheetml/2006/main" count="101" uniqueCount="46">
  <si>
    <t>Mostra</t>
  </si>
  <si>
    <t>Pes tub (g)</t>
  </si>
  <si>
    <t>Pes tub + sang total (g)</t>
  </si>
  <si>
    <t>Pes sang Total (g)</t>
  </si>
  <si>
    <t>Volum sang Total (mL)</t>
  </si>
  <si>
    <t>Pes tub + cèl·lules (g)</t>
  </si>
  <si>
    <r>
      <t xml:space="preserve">Pes cèlules - </t>
    </r>
    <r>
      <rPr>
        <b/>
        <sz val="11"/>
        <color indexed="10"/>
        <rFont val="Calibri"/>
        <family val="2"/>
      </rPr>
      <t>8,5%</t>
    </r>
    <r>
      <rPr>
        <b/>
        <sz val="11"/>
        <color indexed="8"/>
        <rFont val="Calibri"/>
        <family val="2"/>
      </rPr>
      <t xml:space="preserve"> P.entrempat (g)</t>
    </r>
  </si>
  <si>
    <t>Volum cèlules (mL)</t>
  </si>
  <si>
    <r>
      <t>Pes plasma (g)</t>
    </r>
    <r>
      <rPr>
        <b/>
        <i/>
        <sz val="8"/>
        <rFont val="Calibri"/>
        <family val="2"/>
      </rPr>
      <t xml:space="preserve"> Psang-PCel</t>
    </r>
  </si>
  <si>
    <r>
      <t xml:space="preserve">Volum plasma        </t>
    </r>
    <r>
      <rPr>
        <b/>
        <sz val="8"/>
        <color indexed="61"/>
        <rFont val="Calibri"/>
        <family val="2"/>
      </rPr>
      <t>(V Sang - V Cel)</t>
    </r>
  </si>
  <si>
    <t>% Hematòcrit</t>
  </si>
  <si>
    <t>Ẋ</t>
  </si>
  <si>
    <t>DE</t>
  </si>
  <si>
    <t>Femelles Control</t>
  </si>
  <si>
    <t>Mascles Control</t>
  </si>
  <si>
    <t>Femelles Kafetera</t>
  </si>
  <si>
    <t>Mascles Kafetera</t>
  </si>
  <si>
    <t>mM</t>
  </si>
  <si>
    <t>Promedio</t>
  </si>
  <si>
    <t>Prom - blanc</t>
  </si>
  <si>
    <t>[Glucosa] mM</t>
  </si>
  <si>
    <t>Extrapolat</t>
  </si>
  <si>
    <t>Dilució 1/2</t>
  </si>
  <si>
    <t>Error</t>
  </si>
  <si>
    <t>% Error</t>
  </si>
  <si>
    <t>Femelles C</t>
  </si>
  <si>
    <t>Mascles C</t>
  </si>
  <si>
    <t>Femelles K</t>
  </si>
  <si>
    <t>Mascles K</t>
  </si>
  <si>
    <t>mM Glucosa</t>
  </si>
  <si>
    <t>Dilució 1/4</t>
  </si>
  <si>
    <t>Dilució 1/1,45</t>
  </si>
  <si>
    <t>Hematròcrit</t>
  </si>
  <si>
    <t>[Glucosa] sang total desprot (perclòric)</t>
  </si>
  <si>
    <t>[Glucosa] plasma</t>
  </si>
  <si>
    <t>[Glucosa CÈL]</t>
  </si>
  <si>
    <t>HC</t>
  </si>
  <si>
    <t>1-HC</t>
  </si>
  <si>
    <r>
      <t xml:space="preserve">Volum plasma (mL)  </t>
    </r>
    <r>
      <rPr>
        <b/>
        <sz val="8"/>
        <color theme="1"/>
        <rFont val="Calibri"/>
        <family val="2"/>
        <scheme val="minor"/>
      </rPr>
      <t>(V Sang - V Cel)</t>
    </r>
  </si>
  <si>
    <t>DATA USED FOR TABLE 2</t>
  </si>
  <si>
    <t>Mean</t>
  </si>
  <si>
    <t>Kafeteria</t>
  </si>
  <si>
    <t>Control</t>
  </si>
  <si>
    <t>Male</t>
  </si>
  <si>
    <t>Female</t>
  </si>
  <si>
    <t>PLASMA GLUCOSES FROM THE  CUT TAIL'S 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</si>
</sst>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_ ;\-0.000\ 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61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i/>
      <sz val="8"/>
      <name val="Calibri"/>
      <family val="2"/>
    </font>
    <font>
      <b/>
      <sz val="8"/>
      <color indexed="61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2" xfId="0" applyBorder="1"/>
    <xf numFmtId="164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166" fontId="0" fillId="0" borderId="0" xfId="0" applyNumberFormat="1"/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4" fontId="11" fillId="0" borderId="0" xfId="0" applyNumberFormat="1" applyFont="1"/>
    <xf numFmtId="0" fontId="11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0" xfId="0" applyNumberFormat="1" applyFont="1"/>
    <xf numFmtId="1" fontId="0" fillId="0" borderId="0" xfId="0" applyNumberForma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940719811079032E-2"/>
                  <c:y val="-4.7350131233595875E-2"/>
                </c:manualLayout>
              </c:layout>
              <c:numFmt formatCode="General" sourceLinked="0"/>
            </c:trendlineLbl>
          </c:trendline>
          <c:xVal>
            <c:numRef>
              <c:f>'[1]Plasma càlculs'!$B$5:$B$10</c:f>
              <c:numCache>
                <c:formatCode>General</c:formatCode>
                <c:ptCount val="6"/>
                <c:pt idx="0">
                  <c:v>0</c:v>
                </c:pt>
                <c:pt idx="1">
                  <c:v>0.68700000000000006</c:v>
                </c:pt>
                <c:pt idx="2">
                  <c:v>1.37</c:v>
                </c:pt>
                <c:pt idx="3">
                  <c:v>2.75</c:v>
                </c:pt>
                <c:pt idx="4">
                  <c:v>5.5</c:v>
                </c:pt>
                <c:pt idx="5">
                  <c:v>11</c:v>
                </c:pt>
              </c:numCache>
            </c:numRef>
          </c:xVal>
          <c:yVal>
            <c:numRef>
              <c:f>'[1]Plasma càlculs'!$G$5:$G$10</c:f>
              <c:numCache>
                <c:formatCode>General</c:formatCode>
                <c:ptCount val="6"/>
                <c:pt idx="0">
                  <c:v>0</c:v>
                </c:pt>
                <c:pt idx="1">
                  <c:v>5.5000000000000007E-2</c:v>
                </c:pt>
                <c:pt idx="2">
                  <c:v>0.111</c:v>
                </c:pt>
                <c:pt idx="3">
                  <c:v>0.21899999999999997</c:v>
                </c:pt>
                <c:pt idx="4">
                  <c:v>0.4395</c:v>
                </c:pt>
                <c:pt idx="5">
                  <c:v>0.85799999999999998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52392"/>
        <c:axId val="382653176"/>
      </c:scatterChart>
      <c:valAx>
        <c:axId val="38265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653176"/>
        <c:crosses val="autoZero"/>
        <c:crossBetween val="midCat"/>
      </c:valAx>
      <c:valAx>
        <c:axId val="382653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652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9.4235706949674869E-2"/>
                  <c:y val="-5.3802982074049321E-2"/>
                </c:manualLayout>
              </c:layout>
              <c:numFmt formatCode="General" sourceLinked="0"/>
            </c:trendlineLbl>
          </c:trendline>
          <c:xVal>
            <c:numRef>
              <c:f>'Blood Glucose'!$B$4:$B$9</c:f>
              <c:numCache>
                <c:formatCode>General</c:formatCode>
                <c:ptCount val="6"/>
                <c:pt idx="0">
                  <c:v>0</c:v>
                </c:pt>
                <c:pt idx="1">
                  <c:v>0.68700000000000006</c:v>
                </c:pt>
                <c:pt idx="2">
                  <c:v>1.37</c:v>
                </c:pt>
                <c:pt idx="3">
                  <c:v>2.75</c:v>
                </c:pt>
                <c:pt idx="4">
                  <c:v>5.5</c:v>
                </c:pt>
                <c:pt idx="5">
                  <c:v>11</c:v>
                </c:pt>
              </c:numCache>
            </c:numRef>
          </c:xVal>
          <c:yVal>
            <c:numRef>
              <c:f>'Blood Glucose'!$G$4:$G$9</c:f>
              <c:numCache>
                <c:formatCode>0.000</c:formatCode>
                <c:ptCount val="6"/>
                <c:pt idx="0">
                  <c:v>0</c:v>
                </c:pt>
                <c:pt idx="1">
                  <c:v>0.1055</c:v>
                </c:pt>
                <c:pt idx="2">
                  <c:v>0.21599999999999997</c:v>
                </c:pt>
                <c:pt idx="3">
                  <c:v>0.433</c:v>
                </c:pt>
                <c:pt idx="4">
                  <c:v>0.85750000000000004</c:v>
                </c:pt>
                <c:pt idx="5">
                  <c:v>1.5215000000000001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52000"/>
        <c:axId val="382651608"/>
      </c:scatterChart>
      <c:valAx>
        <c:axId val="3826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651608"/>
        <c:crosses val="autoZero"/>
        <c:crossBetween val="midCat"/>
      </c:valAx>
      <c:valAx>
        <c:axId val="38265160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382652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</xdr:colOff>
      <xdr:row>1</xdr:row>
      <xdr:rowOff>0</xdr:rowOff>
    </xdr:from>
    <xdr:to>
      <xdr:col>12</xdr:col>
      <xdr:colOff>628649</xdr:colOff>
      <xdr:row>11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9525</xdr:rowOff>
    </xdr:from>
    <xdr:to>
      <xdr:col>12</xdr:col>
      <xdr:colOff>485775</xdr:colOff>
      <xdr:row>10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69273</xdr:colOff>
      <xdr:row>9</xdr:row>
      <xdr:rowOff>69273</xdr:rowOff>
    </xdr:from>
    <xdr:to>
      <xdr:col>33</xdr:col>
      <xdr:colOff>730509</xdr:colOff>
      <xdr:row>24</xdr:row>
      <xdr:rowOff>46200</xdr:rowOff>
    </xdr:to>
    <xdr:sp macro="" textlink="">
      <xdr:nvSpPr>
        <xdr:cNvPr id="2" name="1 CuadroTexto"/>
        <xdr:cNvSpPr txBox="1"/>
      </xdr:nvSpPr>
      <xdr:spPr>
        <a:xfrm>
          <a:off x="23796048" y="831273"/>
          <a:ext cx="2947236" cy="283442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En 1 mL de sang:</a:t>
          </a:r>
        </a:p>
        <a:p>
          <a:endParaRPr lang="es-ES" sz="1100"/>
        </a:p>
        <a:p>
          <a:r>
            <a:rPr lang="es-ES" sz="1100"/>
            <a:t>Gsang = GP+GC</a:t>
          </a:r>
        </a:p>
        <a:p>
          <a:r>
            <a:rPr lang="es-ES" sz="1100"/>
            <a:t>V</a:t>
          </a:r>
          <a:r>
            <a:rPr lang="es-ES" sz="1100" baseline="0"/>
            <a:t> sang = VP-VC</a:t>
          </a:r>
        </a:p>
        <a:p>
          <a:r>
            <a:rPr lang="es-ES" sz="1100" baseline="0"/>
            <a:t>G sang=Volum sang*[Glucosa sang]</a:t>
          </a:r>
        </a:p>
        <a:p>
          <a:r>
            <a:rPr lang="es-ES" sz="1100" baseline="0"/>
            <a:t>G Plasma = VP*[Glucosa plasma]</a:t>
          </a:r>
        </a:p>
        <a:p>
          <a:r>
            <a:rPr lang="es-ES" sz="1100" baseline="0"/>
            <a:t>GC = GS-GP</a:t>
          </a:r>
        </a:p>
        <a:p>
          <a:r>
            <a:rPr lang="es-ES" sz="1100" baseline="0"/>
            <a:t>GC = (VS*[Gluc sang]) - (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VP*[Glucosa plasma])</a:t>
          </a:r>
        </a:p>
        <a:p>
          <a:endParaRPr lang="es-E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Volum C = VS * HC</a:t>
          </a:r>
        </a:p>
        <a:p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Volum P = VS (1-Hc)</a:t>
          </a:r>
          <a:endParaRPr lang="es-ES" sz="1100"/>
        </a:p>
      </xdr:txBody>
    </xdr:sp>
    <xdr:clientData/>
  </xdr:twoCellAnchor>
  <xdr:twoCellAnchor>
    <xdr:from>
      <xdr:col>25</xdr:col>
      <xdr:colOff>503464</xdr:colOff>
      <xdr:row>34</xdr:row>
      <xdr:rowOff>13607</xdr:rowOff>
    </xdr:from>
    <xdr:to>
      <xdr:col>28</xdr:col>
      <xdr:colOff>299357</xdr:colOff>
      <xdr:row>35</xdr:row>
      <xdr:rowOff>0</xdr:rowOff>
    </xdr:to>
    <xdr:sp macro="" textlink="">
      <xdr:nvSpPr>
        <xdr:cNvPr id="3" name="2 CuadroTexto"/>
        <xdr:cNvSpPr txBox="1"/>
      </xdr:nvSpPr>
      <xdr:spPr>
        <a:xfrm>
          <a:off x="19658239" y="5538107"/>
          <a:ext cx="2081893" cy="83003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[GC]= [GS]-([GP]*(1-Hc))/HC</a:t>
          </a:r>
        </a:p>
        <a:p>
          <a:endParaRPr lang="es-ES" sz="1100"/>
        </a:p>
        <a:p>
          <a:r>
            <a:rPr lang="es-ES" sz="1100"/>
            <a:t>[Gs]=([Gc]*Hc) + ([GP*(Hc-1)]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aia\Mutarotasa\Glucosa%20Plasma%20Sang%20Mutarotasa%20CK_201502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desprot Kinetic"/>
      <sheetName val="ST desprot Calculs"/>
      <sheetName val="Plasma Kinetic "/>
      <sheetName val="Plasma càlculs"/>
      <sheetName val="Cinéticas Plasma desprot"/>
      <sheetName val="Plasma desprot càlculs"/>
      <sheetName val="Gluc cèl Normal"/>
      <sheetName val="Gluc cel tot desprot"/>
      <sheetName val="Hoja1"/>
    </sheetNames>
    <sheetDataSet>
      <sheetData sheetId="0"/>
      <sheetData sheetId="1"/>
      <sheetData sheetId="2"/>
      <sheetData sheetId="3">
        <row r="5">
          <cell r="B5">
            <v>0</v>
          </cell>
          <cell r="G5">
            <v>0</v>
          </cell>
        </row>
        <row r="6">
          <cell r="B6">
            <v>0.68700000000000006</v>
          </cell>
          <cell r="G6">
            <v>5.5000000000000007E-2</v>
          </cell>
        </row>
        <row r="7">
          <cell r="B7">
            <v>1.37</v>
          </cell>
          <cell r="G7">
            <v>0.111</v>
          </cell>
        </row>
        <row r="8">
          <cell r="B8">
            <v>2.75</v>
          </cell>
          <cell r="G8">
            <v>0.21899999999999997</v>
          </cell>
        </row>
        <row r="9">
          <cell r="B9">
            <v>5.5</v>
          </cell>
          <cell r="G9">
            <v>0.4395</v>
          </cell>
        </row>
        <row r="10">
          <cell r="B10">
            <v>11</v>
          </cell>
          <cell r="G10">
            <v>0.85799999999999998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33" sqref="D33"/>
    </sheetView>
  </sheetViews>
  <sheetFormatPr defaultColWidth="11.42578125" defaultRowHeight="15" x14ac:dyDescent="0.25"/>
  <sheetData>
    <row r="1" spans="1:9" x14ac:dyDescent="0.25">
      <c r="A1" t="s">
        <v>45</v>
      </c>
    </row>
    <row r="5" spans="1:9" x14ac:dyDescent="0.25">
      <c r="C5" t="s">
        <v>44</v>
      </c>
      <c r="D5" t="s">
        <v>17</v>
      </c>
      <c r="G5" t="s">
        <v>43</v>
      </c>
      <c r="H5" t="s">
        <v>17</v>
      </c>
    </row>
    <row r="7" spans="1:9" x14ac:dyDescent="0.25">
      <c r="B7" t="s">
        <v>42</v>
      </c>
      <c r="C7">
        <v>1</v>
      </c>
      <c r="D7" s="29">
        <v>7.24</v>
      </c>
      <c r="E7" s="29"/>
      <c r="F7" t="s">
        <v>42</v>
      </c>
      <c r="G7" s="84">
        <v>7</v>
      </c>
      <c r="H7" s="29">
        <v>8.7910000000000004</v>
      </c>
      <c r="I7" s="29"/>
    </row>
    <row r="8" spans="1:9" x14ac:dyDescent="0.25">
      <c r="C8">
        <v>2</v>
      </c>
      <c r="D8" s="29">
        <v>7.1470000000000002</v>
      </c>
      <c r="E8" s="29"/>
      <c r="F8" s="29"/>
      <c r="G8" s="84">
        <v>8</v>
      </c>
      <c r="H8" s="29">
        <v>8.077</v>
      </c>
      <c r="I8" s="29"/>
    </row>
    <row r="9" spans="1:9" x14ac:dyDescent="0.25">
      <c r="C9">
        <v>3</v>
      </c>
      <c r="D9" s="29">
        <v>5.859</v>
      </c>
      <c r="E9" s="29"/>
      <c r="F9" s="29"/>
      <c r="G9" s="84">
        <v>9</v>
      </c>
      <c r="H9" s="29">
        <v>6.6970000000000001</v>
      </c>
      <c r="I9" s="29"/>
    </row>
    <row r="10" spans="1:9" x14ac:dyDescent="0.25">
      <c r="C10">
        <v>4</v>
      </c>
      <c r="D10" s="29">
        <v>6.5259999999999998</v>
      </c>
      <c r="E10" s="29"/>
      <c r="F10" s="29"/>
      <c r="G10" s="84">
        <v>10</v>
      </c>
      <c r="H10" s="29">
        <v>7.0069999999999997</v>
      </c>
      <c r="I10" s="29"/>
    </row>
    <row r="11" spans="1:9" x14ac:dyDescent="0.25">
      <c r="C11">
        <v>5</v>
      </c>
      <c r="D11" s="29">
        <v>6.6040000000000001</v>
      </c>
      <c r="E11" s="29"/>
      <c r="F11" s="29"/>
      <c r="G11" s="84">
        <v>11</v>
      </c>
      <c r="H11" s="29">
        <v>7.7519999999999998</v>
      </c>
      <c r="I11" s="29"/>
    </row>
    <row r="12" spans="1:9" x14ac:dyDescent="0.25">
      <c r="C12">
        <v>6</v>
      </c>
      <c r="D12" s="29">
        <v>7.6269999999999998</v>
      </c>
      <c r="E12" s="29"/>
      <c r="F12" s="29"/>
      <c r="G12" s="84">
        <v>12</v>
      </c>
      <c r="H12" s="29">
        <v>7.1470000000000002</v>
      </c>
      <c r="I12" s="29"/>
    </row>
    <row r="13" spans="1:9" x14ac:dyDescent="0.25">
      <c r="B13" t="s">
        <v>40</v>
      </c>
      <c r="D13" s="83">
        <f>AVERAGE(D7:D12)</f>
        <v>6.8338333333333345</v>
      </c>
      <c r="E13" s="83"/>
      <c r="F13" s="83"/>
      <c r="G13" s="85"/>
      <c r="H13" s="83">
        <f>AVERAGE(H7:H12)</f>
        <v>7.5785000000000009</v>
      </c>
      <c r="I13" s="29"/>
    </row>
    <row r="14" spans="1:9" x14ac:dyDescent="0.25">
      <c r="B14" t="s">
        <v>23</v>
      </c>
      <c r="D14" s="83">
        <f>STDEV(D7:D12)/SQRT(6)</f>
        <v>0.25755535543084929</v>
      </c>
      <c r="E14" s="83"/>
      <c r="F14" s="83"/>
      <c r="G14" s="85"/>
      <c r="H14" s="83">
        <f>STDEV(H7:H12)/SQRT(6)</f>
        <v>0.31825605519246086</v>
      </c>
      <c r="I14" s="29"/>
    </row>
    <row r="15" spans="1:9" x14ac:dyDescent="0.25">
      <c r="D15" s="29"/>
      <c r="E15" s="29"/>
      <c r="F15" s="29"/>
      <c r="G15" s="84"/>
      <c r="H15" s="29"/>
      <c r="I15" s="29"/>
    </row>
    <row r="16" spans="1:9" x14ac:dyDescent="0.25">
      <c r="B16" t="s">
        <v>41</v>
      </c>
      <c r="C16">
        <v>13</v>
      </c>
      <c r="D16" s="29">
        <v>8.6050000000000004</v>
      </c>
      <c r="E16" s="29"/>
      <c r="F16" t="s">
        <v>41</v>
      </c>
      <c r="G16" s="84">
        <v>19</v>
      </c>
      <c r="H16" s="29">
        <v>9.1300000000000008</v>
      </c>
      <c r="I16" s="29"/>
    </row>
    <row r="17" spans="2:9" x14ac:dyDescent="0.25">
      <c r="C17">
        <v>14</v>
      </c>
      <c r="D17" s="29">
        <v>8.2789999999999999</v>
      </c>
      <c r="E17" s="29"/>
      <c r="F17" s="29"/>
      <c r="G17" s="84">
        <v>20</v>
      </c>
      <c r="H17" s="29">
        <v>9.3640000000000008</v>
      </c>
      <c r="I17" s="29"/>
    </row>
    <row r="18" spans="2:9" x14ac:dyDescent="0.25">
      <c r="C18">
        <v>15</v>
      </c>
      <c r="D18" s="29">
        <v>8.8989999999999991</v>
      </c>
      <c r="E18" s="29"/>
      <c r="F18" s="29"/>
      <c r="G18" s="84">
        <v>21</v>
      </c>
      <c r="H18" s="29">
        <v>8.9459999999999997</v>
      </c>
      <c r="I18" s="29"/>
    </row>
    <row r="19" spans="2:9" x14ac:dyDescent="0.25">
      <c r="C19">
        <v>16</v>
      </c>
      <c r="D19" s="29">
        <v>8.5299999999999994</v>
      </c>
      <c r="E19" s="29"/>
      <c r="F19" s="29"/>
      <c r="G19" s="84">
        <v>22</v>
      </c>
      <c r="H19" s="29">
        <v>9.52</v>
      </c>
      <c r="I19" s="29"/>
    </row>
    <row r="20" spans="2:9" x14ac:dyDescent="0.25">
      <c r="C20">
        <v>17</v>
      </c>
      <c r="D20" s="29">
        <v>8.2789999999999999</v>
      </c>
      <c r="E20" s="29"/>
      <c r="F20" s="29"/>
      <c r="G20" s="84">
        <v>23</v>
      </c>
      <c r="H20" s="29">
        <v>9.1630000000000003</v>
      </c>
      <c r="I20" s="29"/>
    </row>
    <row r="21" spans="2:9" x14ac:dyDescent="0.25">
      <c r="C21">
        <v>18</v>
      </c>
      <c r="D21" s="29">
        <v>8.5739999999999998</v>
      </c>
      <c r="E21" s="29"/>
      <c r="F21" s="29"/>
      <c r="G21" s="84">
        <v>24</v>
      </c>
      <c r="H21" s="29">
        <v>8.6669999999999998</v>
      </c>
      <c r="I21" s="29"/>
    </row>
    <row r="22" spans="2:9" x14ac:dyDescent="0.25">
      <c r="B22" t="s">
        <v>40</v>
      </c>
      <c r="D22" s="83">
        <f>AVERAGE(D16:D21)</f>
        <v>8.5276666666666667</v>
      </c>
      <c r="E22" s="83"/>
      <c r="F22" s="83"/>
      <c r="G22" s="83"/>
      <c r="H22" s="83">
        <f>AVERAGE(H16:H21)</f>
        <v>9.1316666666666659</v>
      </c>
      <c r="I22" s="29"/>
    </row>
    <row r="23" spans="2:9" x14ac:dyDescent="0.25">
      <c r="B23" t="s">
        <v>23</v>
      </c>
      <c r="D23" s="83">
        <f>STDEV(D16:D21)/SQRT(6)</f>
        <v>9.4814087092114613E-2</v>
      </c>
      <c r="E23" s="83"/>
      <c r="F23" s="83"/>
      <c r="G23" s="83"/>
      <c r="H23" s="83">
        <f>STDEV(H16:H21)/SQRT(6)</f>
        <v>0.12330900660986255</v>
      </c>
      <c r="I23" s="29"/>
    </row>
    <row r="24" spans="2:9" x14ac:dyDescent="0.25">
      <c r="D24" s="29"/>
      <c r="E24" s="29"/>
      <c r="F24" s="29"/>
      <c r="G24" s="29"/>
      <c r="H24" s="29"/>
      <c r="I24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sqref="A1:XFD1"/>
    </sheetView>
  </sheetViews>
  <sheetFormatPr defaultColWidth="11.42578125" defaultRowHeight="15" x14ac:dyDescent="0.25"/>
  <cols>
    <col min="15" max="15" width="50" customWidth="1"/>
  </cols>
  <sheetData>
    <row r="1" spans="1:15" x14ac:dyDescent="0.25">
      <c r="A1" t="s">
        <v>39</v>
      </c>
    </row>
    <row r="3" spans="1:15" ht="60.75" thickBot="1" x14ac:dyDescent="0.3">
      <c r="A3" s="9"/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1" t="s">
        <v>5</v>
      </c>
      <c r="H3" s="1" t="s">
        <v>6</v>
      </c>
      <c r="I3" s="2" t="s">
        <v>7</v>
      </c>
      <c r="J3" s="3" t="s">
        <v>8</v>
      </c>
      <c r="K3" s="4" t="s">
        <v>9</v>
      </c>
      <c r="L3" s="5" t="s">
        <v>10</v>
      </c>
      <c r="M3" s="6" t="s">
        <v>11</v>
      </c>
      <c r="N3" s="7" t="s">
        <v>12</v>
      </c>
    </row>
    <row r="4" spans="1:15" ht="21" customHeight="1" x14ac:dyDescent="0.25">
      <c r="A4" s="57" t="s">
        <v>13</v>
      </c>
      <c r="B4" s="8">
        <v>1</v>
      </c>
      <c r="C4" s="10">
        <v>6.9710000000000001</v>
      </c>
      <c r="D4" s="11">
        <v>10.667</v>
      </c>
      <c r="E4" s="15">
        <f t="shared" ref="E4:E27" si="0">D4-C4</f>
        <v>3.6959999999999997</v>
      </c>
      <c r="F4" s="16">
        <v>3.5</v>
      </c>
      <c r="G4" s="12">
        <v>8.8879999999999999</v>
      </c>
      <c r="H4" s="17">
        <f t="shared" ref="H4:H27" si="1">PRODUCT(G4-C4,0.915)</f>
        <v>1.7540549999999999</v>
      </c>
      <c r="I4" s="17">
        <f t="shared" ref="I4:I27" si="2">H4/1.12</f>
        <v>1.5661205357142856</v>
      </c>
      <c r="J4" s="17"/>
      <c r="K4" s="17">
        <f t="shared" ref="K4:K27" si="3">F4-I4</f>
        <v>1.9338794642857144</v>
      </c>
      <c r="L4" s="18">
        <f>(I4/(I4+K4)*100)</f>
        <v>44.746301020408161</v>
      </c>
      <c r="M4" s="60">
        <f>MEDIAN(L4:L9)</f>
        <v>43.074183273542417</v>
      </c>
      <c r="N4" s="63">
        <f>STDEV(L4:L9)/SQRT(6)</f>
        <v>1.0602972098930623</v>
      </c>
      <c r="O4" s="66"/>
    </row>
    <row r="5" spans="1:15" ht="15" customHeight="1" x14ac:dyDescent="0.25">
      <c r="A5" s="58"/>
      <c r="B5" s="8">
        <v>2</v>
      </c>
      <c r="C5" s="10">
        <v>6.9770000000000003</v>
      </c>
      <c r="D5" s="11">
        <v>10.667</v>
      </c>
      <c r="E5" s="15">
        <f t="shared" si="0"/>
        <v>3.6899999999999995</v>
      </c>
      <c r="F5" s="16">
        <f>MEDIAN(F6:F9)</f>
        <v>5.6124999999999998</v>
      </c>
      <c r="G5" s="12">
        <v>9.9677000000000007</v>
      </c>
      <c r="H5" s="17">
        <f t="shared" si="1"/>
        <v>2.7364905000000004</v>
      </c>
      <c r="I5" s="17">
        <f t="shared" si="2"/>
        <v>2.4432950892857144</v>
      </c>
      <c r="J5" s="17"/>
      <c r="K5" s="17">
        <f t="shared" si="3"/>
        <v>3.1692049107142855</v>
      </c>
      <c r="L5" s="18">
        <f>(I5/(I5+K5)*100)</f>
        <v>43.533097359210949</v>
      </c>
      <c r="M5" s="61"/>
      <c r="N5" s="64"/>
      <c r="O5" s="67"/>
    </row>
    <row r="6" spans="1:15" x14ac:dyDescent="0.25">
      <c r="A6" s="58"/>
      <c r="B6" s="8">
        <v>3</v>
      </c>
      <c r="C6" s="10">
        <v>6.944</v>
      </c>
      <c r="D6" s="10">
        <v>13.761200000000001</v>
      </c>
      <c r="E6" s="15">
        <f t="shared" si="0"/>
        <v>6.8172000000000006</v>
      </c>
      <c r="F6" s="17">
        <f>E6/1.056</f>
        <v>6.4556818181818185</v>
      </c>
      <c r="G6" s="10">
        <v>10.186500000000001</v>
      </c>
      <c r="H6" s="17">
        <f t="shared" si="1"/>
        <v>2.9668875000000008</v>
      </c>
      <c r="I6" s="17">
        <f t="shared" si="2"/>
        <v>2.6490066964285717</v>
      </c>
      <c r="J6" s="17"/>
      <c r="K6" s="17">
        <f t="shared" si="3"/>
        <v>3.8066751217532468</v>
      </c>
      <c r="L6" s="19">
        <f t="shared" ref="L6:L27" si="4">(I6/(I6+K6)*100)</f>
        <v>41.033724570623889</v>
      </c>
      <c r="M6" s="61"/>
      <c r="N6" s="64"/>
    </row>
    <row r="7" spans="1:15" x14ac:dyDescent="0.25">
      <c r="A7" s="58"/>
      <c r="B7" s="8">
        <v>4</v>
      </c>
      <c r="C7" s="10">
        <v>6.95</v>
      </c>
      <c r="D7" s="10">
        <v>11.9864</v>
      </c>
      <c r="E7" s="15">
        <f t="shared" si="0"/>
        <v>5.0363999999999995</v>
      </c>
      <c r="F7" s="17">
        <f>E7/1.056</f>
        <v>4.7693181818181811</v>
      </c>
      <c r="G7" s="13">
        <v>9.2288999999999994</v>
      </c>
      <c r="H7" s="17">
        <f t="shared" si="1"/>
        <v>2.0851934999999995</v>
      </c>
      <c r="I7" s="17">
        <f t="shared" si="2"/>
        <v>1.8617799107142852</v>
      </c>
      <c r="J7" s="17"/>
      <c r="K7" s="17">
        <f t="shared" si="3"/>
        <v>2.907538271103896</v>
      </c>
      <c r="L7" s="19">
        <f t="shared" si="4"/>
        <v>39.036605228224239</v>
      </c>
      <c r="M7" s="61"/>
      <c r="N7" s="64"/>
    </row>
    <row r="8" spans="1:15" x14ac:dyDescent="0.25">
      <c r="A8" s="58"/>
      <c r="B8" s="14">
        <v>5</v>
      </c>
      <c r="C8" s="10">
        <v>6.9669999999999996</v>
      </c>
      <c r="D8" s="10">
        <v>14.647</v>
      </c>
      <c r="E8" s="15">
        <f t="shared" si="0"/>
        <v>7.6800000000000006</v>
      </c>
      <c r="F8" s="17">
        <f>E8/1.056</f>
        <v>7.2727272727272734</v>
      </c>
      <c r="G8" s="13">
        <v>11.087</v>
      </c>
      <c r="H8" s="17">
        <f t="shared" si="1"/>
        <v>3.7698</v>
      </c>
      <c r="I8" s="17">
        <f t="shared" si="2"/>
        <v>3.3658928571428568</v>
      </c>
      <c r="J8" s="17"/>
      <c r="K8" s="17">
        <f t="shared" si="3"/>
        <v>3.9068344155844166</v>
      </c>
      <c r="L8" s="19">
        <f t="shared" si="4"/>
        <v>46.281026785714275</v>
      </c>
      <c r="M8" s="61"/>
      <c r="N8" s="64"/>
    </row>
    <row r="9" spans="1:15" ht="15.75" thickBot="1" x14ac:dyDescent="0.3">
      <c r="A9" s="59"/>
      <c r="B9" s="14">
        <v>6</v>
      </c>
      <c r="C9" s="10">
        <v>6.9809999999999999</v>
      </c>
      <c r="D9" s="10">
        <v>11.208</v>
      </c>
      <c r="E9" s="15">
        <f t="shared" si="0"/>
        <v>4.2270000000000003</v>
      </c>
      <c r="F9" s="17">
        <f>E9/1.056</f>
        <v>4.0028409090909092</v>
      </c>
      <c r="G9" s="13">
        <v>9.0690000000000008</v>
      </c>
      <c r="H9" s="17">
        <f t="shared" si="1"/>
        <v>1.9105200000000009</v>
      </c>
      <c r="I9" s="17">
        <f t="shared" si="2"/>
        <v>1.7058214285714293</v>
      </c>
      <c r="J9" s="17"/>
      <c r="K9" s="17">
        <f t="shared" si="3"/>
        <v>2.2970194805194799</v>
      </c>
      <c r="L9" s="19">
        <f t="shared" si="4"/>
        <v>42.615269187873892</v>
      </c>
      <c r="M9" s="62"/>
      <c r="N9" s="65"/>
      <c r="O9" s="68"/>
    </row>
    <row r="10" spans="1:15" x14ac:dyDescent="0.25">
      <c r="A10" s="58" t="s">
        <v>14</v>
      </c>
      <c r="B10" s="8">
        <v>7</v>
      </c>
      <c r="C10" s="10">
        <v>6.8380000000000001</v>
      </c>
      <c r="D10" s="11">
        <v>13.173999999999999</v>
      </c>
      <c r="E10" s="15">
        <f t="shared" si="0"/>
        <v>6.3359999999999994</v>
      </c>
      <c r="F10" s="16">
        <f>MEDIAN(F12:F15)</f>
        <v>7.8015151515151517</v>
      </c>
      <c r="G10" s="13">
        <v>11.452</v>
      </c>
      <c r="H10" s="17">
        <f t="shared" si="1"/>
        <v>4.2218099999999996</v>
      </c>
      <c r="I10" s="17">
        <f t="shared" si="2"/>
        <v>3.7694732142857137</v>
      </c>
      <c r="J10" s="17"/>
      <c r="K10" s="17">
        <f t="shared" si="3"/>
        <v>4.0320419372294385</v>
      </c>
      <c r="L10" s="18">
        <f t="shared" si="4"/>
        <v>48.317194046000594</v>
      </c>
      <c r="M10" s="60">
        <f>MEDIAN(L10:L15)</f>
        <v>45.678916605917237</v>
      </c>
      <c r="N10" s="63">
        <f t="shared" ref="N10" si="5">STDEV(L10:L15)/SQRT(6)</f>
        <v>0.88235105616068377</v>
      </c>
      <c r="O10" s="68"/>
    </row>
    <row r="11" spans="1:15" ht="15" customHeight="1" x14ac:dyDescent="0.25">
      <c r="A11" s="58"/>
      <c r="B11" s="8">
        <v>8</v>
      </c>
      <c r="C11" s="10">
        <v>6.944</v>
      </c>
      <c r="D11" s="11">
        <v>14.336</v>
      </c>
      <c r="E11" s="15">
        <f t="shared" si="0"/>
        <v>7.3920000000000003</v>
      </c>
      <c r="F11" s="16">
        <v>5.5750000000000002</v>
      </c>
      <c r="G11" s="13">
        <v>10.061</v>
      </c>
      <c r="H11" s="17">
        <f t="shared" si="1"/>
        <v>2.852055</v>
      </c>
      <c r="I11" s="17">
        <f t="shared" si="2"/>
        <v>2.5464776785714283</v>
      </c>
      <c r="J11" s="17"/>
      <c r="K11" s="17">
        <f t="shared" si="3"/>
        <v>3.0285223214285719</v>
      </c>
      <c r="L11" s="18">
        <v>44.93</v>
      </c>
      <c r="M11" s="61"/>
      <c r="N11" s="64"/>
    </row>
    <row r="12" spans="1:15" x14ac:dyDescent="0.25">
      <c r="A12" s="58"/>
      <c r="B12" s="14">
        <v>9</v>
      </c>
      <c r="C12" s="10">
        <v>6.9809999999999999</v>
      </c>
      <c r="D12" s="10">
        <v>15.9658</v>
      </c>
      <c r="E12" s="15">
        <f t="shared" si="0"/>
        <v>8.9847999999999999</v>
      </c>
      <c r="F12" s="17">
        <f t="shared" ref="F12:F27" si="6">E12/1.056</f>
        <v>8.5083333333333329</v>
      </c>
      <c r="G12" s="10">
        <v>11.514099999999999</v>
      </c>
      <c r="H12" s="17">
        <f t="shared" si="1"/>
        <v>4.1477864999999996</v>
      </c>
      <c r="I12" s="17">
        <f t="shared" si="2"/>
        <v>3.7033808035714277</v>
      </c>
      <c r="J12" s="17"/>
      <c r="K12" s="17">
        <f t="shared" si="3"/>
        <v>4.8049525297619056</v>
      </c>
      <c r="L12" s="19">
        <f t="shared" si="4"/>
        <v>43.526512872533921</v>
      </c>
      <c r="M12" s="61"/>
      <c r="N12" s="64"/>
    </row>
    <row r="13" spans="1:15" x14ac:dyDescent="0.25">
      <c r="A13" s="58"/>
      <c r="B13" s="14">
        <v>10</v>
      </c>
      <c r="C13" s="10">
        <v>7.032</v>
      </c>
      <c r="D13" s="10">
        <v>17.770800000000001</v>
      </c>
      <c r="E13" s="15">
        <f t="shared" si="0"/>
        <v>10.738800000000001</v>
      </c>
      <c r="F13" s="17">
        <f t="shared" si="6"/>
        <v>10.169318181818182</v>
      </c>
      <c r="G13" s="10">
        <v>12.770799999999999</v>
      </c>
      <c r="H13" s="17">
        <f t="shared" si="1"/>
        <v>5.2510019999999997</v>
      </c>
      <c r="I13" s="17">
        <f t="shared" si="2"/>
        <v>4.6883946428571424</v>
      </c>
      <c r="J13" s="17"/>
      <c r="K13" s="17">
        <f t="shared" si="3"/>
        <v>5.48092353896104</v>
      </c>
      <c r="L13" s="19">
        <f t="shared" si="4"/>
        <v>46.103333173698566</v>
      </c>
      <c r="M13" s="61"/>
      <c r="N13" s="64"/>
    </row>
    <row r="14" spans="1:15" x14ac:dyDescent="0.25">
      <c r="A14" s="58"/>
      <c r="B14" s="14">
        <v>13</v>
      </c>
      <c r="C14" s="10">
        <v>6.9960000000000004</v>
      </c>
      <c r="D14" s="10">
        <v>13.12</v>
      </c>
      <c r="E14" s="15">
        <f t="shared" si="0"/>
        <v>6.1239999999999988</v>
      </c>
      <c r="F14" s="17">
        <f t="shared" si="6"/>
        <v>5.799242424242423</v>
      </c>
      <c r="G14" s="10">
        <v>10.491</v>
      </c>
      <c r="H14" s="17">
        <f t="shared" si="1"/>
        <v>3.1979249999999992</v>
      </c>
      <c r="I14" s="17">
        <f t="shared" si="2"/>
        <v>2.8552901785714275</v>
      </c>
      <c r="J14" s="17"/>
      <c r="K14" s="17">
        <f t="shared" si="3"/>
        <v>2.9439522456709954</v>
      </c>
      <c r="L14" s="19">
        <f t="shared" si="4"/>
        <v>49.235571988429591</v>
      </c>
      <c r="M14" s="61"/>
      <c r="N14" s="64"/>
    </row>
    <row r="15" spans="1:15" ht="15.75" thickBot="1" x14ac:dyDescent="0.3">
      <c r="A15" s="59"/>
      <c r="B15" s="14">
        <v>14</v>
      </c>
      <c r="C15" s="10">
        <v>6.9779999999999998</v>
      </c>
      <c r="D15" s="10">
        <v>14.47</v>
      </c>
      <c r="E15" s="15">
        <f t="shared" si="0"/>
        <v>7.4920000000000009</v>
      </c>
      <c r="F15" s="17">
        <f t="shared" si="6"/>
        <v>7.0946969696969706</v>
      </c>
      <c r="G15" s="10">
        <v>10.907999999999999</v>
      </c>
      <c r="H15" s="17">
        <f t="shared" si="1"/>
        <v>3.5959499999999998</v>
      </c>
      <c r="I15" s="17">
        <f t="shared" si="2"/>
        <v>3.2106696428571424</v>
      </c>
      <c r="J15" s="17"/>
      <c r="K15" s="17">
        <f t="shared" si="3"/>
        <v>3.8840273268398282</v>
      </c>
      <c r="L15" s="19">
        <f t="shared" si="4"/>
        <v>45.254500038135902</v>
      </c>
      <c r="M15" s="62"/>
      <c r="N15" s="65"/>
    </row>
    <row r="16" spans="1:15" x14ac:dyDescent="0.25">
      <c r="A16" s="58" t="s">
        <v>15</v>
      </c>
      <c r="B16" s="8">
        <v>13</v>
      </c>
      <c r="C16" s="10">
        <v>6.984</v>
      </c>
      <c r="D16" s="10">
        <v>13.234</v>
      </c>
      <c r="E16" s="15">
        <f t="shared" si="0"/>
        <v>6.25</v>
      </c>
      <c r="F16" s="17">
        <f t="shared" si="6"/>
        <v>5.9185606060606055</v>
      </c>
      <c r="G16" s="11">
        <v>9.7997999999999994</v>
      </c>
      <c r="H16" s="17">
        <f t="shared" si="1"/>
        <v>2.5764569999999996</v>
      </c>
      <c r="I16" s="17">
        <f t="shared" si="2"/>
        <v>2.3004080357142853</v>
      </c>
      <c r="J16" s="17"/>
      <c r="K16" s="17">
        <f t="shared" si="3"/>
        <v>3.6181525703463202</v>
      </c>
      <c r="L16" s="19">
        <f t="shared" si="4"/>
        <v>38.867694171428568</v>
      </c>
      <c r="M16" s="60">
        <f>MEDIAN(L16:L21)</f>
        <v>42.70108831530149</v>
      </c>
      <c r="N16" s="63">
        <f t="shared" ref="N16" si="7">STDEV(L16:L21)/SQRT(6)</f>
        <v>1.8286396575371244</v>
      </c>
    </row>
    <row r="17" spans="1:14" ht="15" customHeight="1" x14ac:dyDescent="0.25">
      <c r="A17" s="58"/>
      <c r="B17" s="8">
        <v>14</v>
      </c>
      <c r="C17" s="10">
        <v>6.9969999999999999</v>
      </c>
      <c r="D17" s="10">
        <v>13.241</v>
      </c>
      <c r="E17" s="15">
        <f t="shared" si="0"/>
        <v>6.2439999999999998</v>
      </c>
      <c r="F17" s="17">
        <f t="shared" si="6"/>
        <v>5.9128787878787872</v>
      </c>
      <c r="G17" s="11">
        <v>9.8485999999999994</v>
      </c>
      <c r="H17" s="17">
        <f t="shared" si="1"/>
        <v>2.6092139999999997</v>
      </c>
      <c r="I17" s="17">
        <f t="shared" si="2"/>
        <v>2.3296553571428569</v>
      </c>
      <c r="J17" s="17"/>
      <c r="K17" s="17">
        <f t="shared" si="3"/>
        <v>3.5832234307359303</v>
      </c>
      <c r="L17" s="19">
        <f t="shared" si="4"/>
        <v>39.399680607669076</v>
      </c>
      <c r="M17" s="61"/>
      <c r="N17" s="64"/>
    </row>
    <row r="18" spans="1:14" x14ac:dyDescent="0.25">
      <c r="A18" s="58"/>
      <c r="B18" s="8">
        <v>15</v>
      </c>
      <c r="C18" s="10">
        <v>7.0330000000000004</v>
      </c>
      <c r="D18" s="10">
        <v>12.234</v>
      </c>
      <c r="E18" s="15">
        <f t="shared" si="0"/>
        <v>5.2009999999999996</v>
      </c>
      <c r="F18" s="17">
        <f t="shared" si="6"/>
        <v>4.9251893939393936</v>
      </c>
      <c r="G18" s="11">
        <v>9.9481000000000002</v>
      </c>
      <c r="H18" s="17">
        <f t="shared" si="1"/>
        <v>2.6673165000000001</v>
      </c>
      <c r="I18" s="17">
        <f t="shared" si="2"/>
        <v>2.381532589285714</v>
      </c>
      <c r="J18" s="17"/>
      <c r="K18" s="17">
        <f t="shared" si="3"/>
        <v>2.5436568046536796</v>
      </c>
      <c r="L18" s="19">
        <f t="shared" si="4"/>
        <v>48.354132172384432</v>
      </c>
      <c r="M18" s="61"/>
      <c r="N18" s="64"/>
    </row>
    <row r="19" spans="1:14" x14ac:dyDescent="0.25">
      <c r="A19" s="58"/>
      <c r="B19" s="8">
        <v>16</v>
      </c>
      <c r="C19" s="10">
        <v>6.9560000000000004</v>
      </c>
      <c r="D19" s="10">
        <v>12.084</v>
      </c>
      <c r="E19" s="15">
        <f t="shared" si="0"/>
        <v>5.1279999999999992</v>
      </c>
      <c r="F19" s="17">
        <f t="shared" si="6"/>
        <v>4.8560606060606055</v>
      </c>
      <c r="G19" s="11">
        <v>9.3645999999999994</v>
      </c>
      <c r="H19" s="17">
        <f t="shared" si="1"/>
        <v>2.2038689999999992</v>
      </c>
      <c r="I19" s="17">
        <f t="shared" si="2"/>
        <v>1.9677401785714277</v>
      </c>
      <c r="J19" s="17"/>
      <c r="K19" s="17">
        <f t="shared" si="3"/>
        <v>2.8883204274891776</v>
      </c>
      <c r="L19" s="19">
        <f t="shared" si="4"/>
        <v>40.521326610207254</v>
      </c>
      <c r="M19" s="61"/>
      <c r="N19" s="64"/>
    </row>
    <row r="20" spans="1:14" x14ac:dyDescent="0.25">
      <c r="A20" s="58"/>
      <c r="B20" s="14">
        <v>17</v>
      </c>
      <c r="C20" s="10">
        <v>6.9779999999999998</v>
      </c>
      <c r="D20" s="10">
        <v>13.2118</v>
      </c>
      <c r="E20" s="15">
        <f t="shared" si="0"/>
        <v>6.2338000000000005</v>
      </c>
      <c r="F20" s="17">
        <f t="shared" si="6"/>
        <v>5.9032196969696971</v>
      </c>
      <c r="G20" s="10">
        <v>10.221</v>
      </c>
      <c r="H20" s="17">
        <f t="shared" si="1"/>
        <v>2.9673450000000003</v>
      </c>
      <c r="I20" s="17">
        <f t="shared" si="2"/>
        <v>2.6494151785714286</v>
      </c>
      <c r="J20" s="17"/>
      <c r="K20" s="17">
        <f t="shared" si="3"/>
        <v>3.2538045183982685</v>
      </c>
      <c r="L20" s="19">
        <f t="shared" si="4"/>
        <v>44.880850020395727</v>
      </c>
      <c r="M20" s="61"/>
      <c r="N20" s="64"/>
    </row>
    <row r="21" spans="1:14" ht="15.75" thickBot="1" x14ac:dyDescent="0.3">
      <c r="A21" s="59"/>
      <c r="B21" s="14">
        <v>18</v>
      </c>
      <c r="C21" s="10">
        <v>6.9669999999999996</v>
      </c>
      <c r="D21" s="10">
        <v>13.941000000000001</v>
      </c>
      <c r="E21" s="15">
        <f t="shared" si="0"/>
        <v>6.9740000000000011</v>
      </c>
      <c r="F21" s="17">
        <f t="shared" si="6"/>
        <v>6.604166666666667</v>
      </c>
      <c r="G21" s="10">
        <v>10.909000000000001</v>
      </c>
      <c r="H21" s="17">
        <f t="shared" si="1"/>
        <v>3.6069300000000011</v>
      </c>
      <c r="I21" s="17">
        <f t="shared" si="2"/>
        <v>3.2204732142857151</v>
      </c>
      <c r="J21" s="17"/>
      <c r="K21" s="17">
        <f t="shared" si="3"/>
        <v>3.3836934523809519</v>
      </c>
      <c r="L21" s="19">
        <f t="shared" si="4"/>
        <v>48.764263181613352</v>
      </c>
      <c r="M21" s="62"/>
      <c r="N21" s="65"/>
    </row>
    <row r="22" spans="1:14" x14ac:dyDescent="0.25">
      <c r="A22" s="58" t="s">
        <v>16</v>
      </c>
      <c r="B22" s="14">
        <v>19</v>
      </c>
      <c r="C22" s="10">
        <v>6.97</v>
      </c>
      <c r="D22" s="10">
        <v>16.734000000000002</v>
      </c>
      <c r="E22" s="15">
        <f t="shared" si="0"/>
        <v>9.7640000000000029</v>
      </c>
      <c r="F22" s="17">
        <f t="shared" si="6"/>
        <v>9.2462121212121229</v>
      </c>
      <c r="G22" s="11">
        <v>12.2277</v>
      </c>
      <c r="H22" s="17">
        <f t="shared" si="1"/>
        <v>4.8107955000000011</v>
      </c>
      <c r="I22" s="17">
        <f t="shared" si="2"/>
        <v>4.295353125000001</v>
      </c>
      <c r="J22" s="17"/>
      <c r="K22" s="17">
        <f t="shared" si="3"/>
        <v>4.9508589962121219</v>
      </c>
      <c r="L22" s="19">
        <f t="shared" si="4"/>
        <v>46.455273453502663</v>
      </c>
      <c r="M22" s="60">
        <f>MEDIAN(L22:L27)</f>
        <v>43.794161033978803</v>
      </c>
      <c r="N22" s="63">
        <f t="shared" ref="N22" si="8">STDEV(L22:L27)/SQRT(6)</f>
        <v>0.74631027885089074</v>
      </c>
    </row>
    <row r="23" spans="1:14" ht="15" customHeight="1" x14ac:dyDescent="0.25">
      <c r="A23" s="58"/>
      <c r="B23" s="14">
        <v>20</v>
      </c>
      <c r="C23" s="10">
        <v>7.0330000000000004</v>
      </c>
      <c r="D23" s="10">
        <v>18.585999999999999</v>
      </c>
      <c r="E23" s="15">
        <f t="shared" si="0"/>
        <v>11.552999999999997</v>
      </c>
      <c r="F23" s="17">
        <f t="shared" si="6"/>
        <v>10.940340909090907</v>
      </c>
      <c r="G23" s="11">
        <v>13.2066</v>
      </c>
      <c r="H23" s="17">
        <f t="shared" si="1"/>
        <v>5.6488439999999995</v>
      </c>
      <c r="I23" s="17">
        <f t="shared" si="2"/>
        <v>5.0436107142857134</v>
      </c>
      <c r="J23" s="17"/>
      <c r="K23" s="17">
        <f t="shared" si="3"/>
        <v>5.8967301948051931</v>
      </c>
      <c r="L23" s="19">
        <f t="shared" si="4"/>
        <v>46.10103794932671</v>
      </c>
      <c r="M23" s="61"/>
      <c r="N23" s="64"/>
    </row>
    <row r="24" spans="1:14" x14ac:dyDescent="0.25">
      <c r="A24" s="58"/>
      <c r="B24" s="14">
        <v>21</v>
      </c>
      <c r="C24" s="10">
        <v>7.0259999999999998</v>
      </c>
      <c r="D24" s="10">
        <v>15.038</v>
      </c>
      <c r="E24" s="15">
        <f t="shared" si="0"/>
        <v>8.0120000000000005</v>
      </c>
      <c r="F24" s="17">
        <f t="shared" si="6"/>
        <v>7.5871212121212119</v>
      </c>
      <c r="G24" s="11">
        <v>10.9857</v>
      </c>
      <c r="H24" s="17">
        <f t="shared" si="1"/>
        <v>3.6231255</v>
      </c>
      <c r="I24" s="17">
        <f t="shared" si="2"/>
        <v>3.234933482142857</v>
      </c>
      <c r="J24" s="17"/>
      <c r="K24" s="17">
        <f t="shared" si="3"/>
        <v>4.3521877299783549</v>
      </c>
      <c r="L24" s="19">
        <f t="shared" si="4"/>
        <v>42.637166214963266</v>
      </c>
      <c r="M24" s="61"/>
      <c r="N24" s="64"/>
    </row>
    <row r="25" spans="1:14" x14ac:dyDescent="0.25">
      <c r="A25" s="58"/>
      <c r="B25" s="14">
        <v>22</v>
      </c>
      <c r="C25" s="10">
        <v>7.0279999999999996</v>
      </c>
      <c r="D25" s="10">
        <v>15.694000000000001</v>
      </c>
      <c r="E25" s="15">
        <f t="shared" si="0"/>
        <v>8.6660000000000004</v>
      </c>
      <c r="F25" s="17">
        <f t="shared" si="6"/>
        <v>8.2064393939393945</v>
      </c>
      <c r="G25" s="11">
        <v>11.241899999999999</v>
      </c>
      <c r="H25" s="17">
        <f t="shared" si="1"/>
        <v>3.8557185</v>
      </c>
      <c r="I25" s="17">
        <f t="shared" si="2"/>
        <v>3.4426058035714284</v>
      </c>
      <c r="J25" s="17"/>
      <c r="K25" s="17">
        <f t="shared" si="3"/>
        <v>4.7638335903679661</v>
      </c>
      <c r="L25" s="19">
        <f t="shared" si="4"/>
        <v>41.950054564636837</v>
      </c>
      <c r="M25" s="61"/>
      <c r="N25" s="64"/>
    </row>
    <row r="26" spans="1:14" x14ac:dyDescent="0.25">
      <c r="A26" s="58"/>
      <c r="B26" s="14">
        <v>23</v>
      </c>
      <c r="C26" s="10">
        <v>6.9359999999999999</v>
      </c>
      <c r="D26" s="10">
        <v>16.32</v>
      </c>
      <c r="E26" s="15">
        <f t="shared" si="0"/>
        <v>9.3840000000000003</v>
      </c>
      <c r="F26" s="17">
        <f t="shared" si="6"/>
        <v>8.8863636363636367</v>
      </c>
      <c r="G26" s="10">
        <v>11.734999999999999</v>
      </c>
      <c r="H26" s="17">
        <f t="shared" si="1"/>
        <v>4.3910849999999995</v>
      </c>
      <c r="I26" s="17">
        <f t="shared" si="2"/>
        <v>3.9206116071428565</v>
      </c>
      <c r="J26" s="17"/>
      <c r="K26" s="17">
        <f t="shared" si="3"/>
        <v>4.9657520292207806</v>
      </c>
      <c r="L26" s="19">
        <f t="shared" si="4"/>
        <v>44.119414504932394</v>
      </c>
      <c r="M26" s="61"/>
      <c r="N26" s="64"/>
    </row>
    <row r="27" spans="1:14" ht="15.75" thickBot="1" x14ac:dyDescent="0.3">
      <c r="A27" s="69"/>
      <c r="B27" s="14">
        <v>25</v>
      </c>
      <c r="C27" s="10">
        <v>7.0350000000000001</v>
      </c>
      <c r="D27" s="10">
        <v>15.45</v>
      </c>
      <c r="E27" s="15">
        <f t="shared" si="0"/>
        <v>8.4149999999999991</v>
      </c>
      <c r="F27" s="17">
        <f t="shared" si="6"/>
        <v>7.9687499999999991</v>
      </c>
      <c r="G27" s="10">
        <v>11.275</v>
      </c>
      <c r="H27" s="17">
        <f t="shared" si="1"/>
        <v>3.8796000000000004</v>
      </c>
      <c r="I27" s="17">
        <f t="shared" si="2"/>
        <v>3.4639285714285712</v>
      </c>
      <c r="J27" s="17"/>
      <c r="K27" s="17">
        <f t="shared" si="3"/>
        <v>4.5048214285714279</v>
      </c>
      <c r="L27" s="19">
        <f t="shared" si="4"/>
        <v>43.468907563025212</v>
      </c>
      <c r="M27" s="62"/>
      <c r="N27" s="65"/>
    </row>
  </sheetData>
  <mergeCells count="14">
    <mergeCell ref="A16:A21"/>
    <mergeCell ref="A22:A27"/>
    <mergeCell ref="M16:M21"/>
    <mergeCell ref="N16:N21"/>
    <mergeCell ref="M22:M27"/>
    <mergeCell ref="N22:N27"/>
    <mergeCell ref="A4:A9"/>
    <mergeCell ref="A10:A15"/>
    <mergeCell ref="M4:M9"/>
    <mergeCell ref="N4:N9"/>
    <mergeCell ref="O4:O5"/>
    <mergeCell ref="O9:O10"/>
    <mergeCell ref="M10:M15"/>
    <mergeCell ref="N10:N15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0"/>
  <sheetViews>
    <sheetView zoomScale="70" zoomScaleNormal="70" workbookViewId="0">
      <selection activeCell="L32" sqref="L32"/>
    </sheetView>
  </sheetViews>
  <sheetFormatPr defaultColWidth="11.42578125" defaultRowHeight="15" x14ac:dyDescent="0.25"/>
  <sheetData>
    <row r="4" spans="1:10" x14ac:dyDescent="0.25">
      <c r="B4" t="s">
        <v>29</v>
      </c>
      <c r="F4" s="20" t="s">
        <v>18</v>
      </c>
      <c r="G4" t="s">
        <v>19</v>
      </c>
    </row>
    <row r="5" spans="1:10" x14ac:dyDescent="0.25">
      <c r="B5" s="21">
        <v>0</v>
      </c>
      <c r="C5" s="22">
        <v>8.2000000000000003E-2</v>
      </c>
      <c r="D5" s="22">
        <v>8.1000000000000003E-2</v>
      </c>
      <c r="F5" s="23">
        <f>AVERAGE(C5:D5)</f>
        <v>8.1500000000000003E-2</v>
      </c>
      <c r="G5" s="23">
        <f>F5-$F$5</f>
        <v>0</v>
      </c>
    </row>
    <row r="6" spans="1:10" x14ac:dyDescent="0.25">
      <c r="B6" s="21">
        <v>0.68700000000000006</v>
      </c>
      <c r="C6" s="22">
        <v>0.13600000000000001</v>
      </c>
      <c r="D6" s="22">
        <v>0.13700000000000001</v>
      </c>
      <c r="F6" s="23">
        <f t="shared" ref="F6:F10" si="0">AVERAGE(C6:D6)</f>
        <v>0.13650000000000001</v>
      </c>
      <c r="G6" s="23">
        <f t="shared" ref="G6:G10" si="1">F6-$F$5</f>
        <v>5.5000000000000007E-2</v>
      </c>
    </row>
    <row r="7" spans="1:10" x14ac:dyDescent="0.25">
      <c r="B7" s="21">
        <v>1.37</v>
      </c>
      <c r="C7" s="22">
        <v>0.191</v>
      </c>
      <c r="D7" s="22">
        <v>0.19400000000000001</v>
      </c>
      <c r="F7" s="23">
        <f t="shared" si="0"/>
        <v>0.1925</v>
      </c>
      <c r="G7" s="23">
        <f t="shared" si="1"/>
        <v>0.111</v>
      </c>
    </row>
    <row r="8" spans="1:10" x14ac:dyDescent="0.25">
      <c r="B8" s="21">
        <v>2.75</v>
      </c>
      <c r="C8" s="22">
        <v>0.29499999999999998</v>
      </c>
      <c r="D8" s="22">
        <v>0.30599999999999999</v>
      </c>
      <c r="F8" s="23">
        <f t="shared" si="0"/>
        <v>0.30049999999999999</v>
      </c>
      <c r="G8" s="23">
        <f t="shared" si="1"/>
        <v>0.21899999999999997</v>
      </c>
    </row>
    <row r="9" spans="1:10" x14ac:dyDescent="0.25">
      <c r="B9" s="21">
        <v>5.5</v>
      </c>
      <c r="C9" s="22">
        <v>0.52100000000000002</v>
      </c>
      <c r="D9" s="22">
        <v>0.52100000000000002</v>
      </c>
      <c r="F9" s="23">
        <f t="shared" si="0"/>
        <v>0.52100000000000002</v>
      </c>
      <c r="G9" s="23">
        <f t="shared" si="1"/>
        <v>0.4395</v>
      </c>
    </row>
    <row r="10" spans="1:10" x14ac:dyDescent="0.25">
      <c r="B10" s="21">
        <v>11</v>
      </c>
      <c r="C10" s="22">
        <v>0.94499999999999995</v>
      </c>
      <c r="D10" s="22">
        <v>0.93400000000000005</v>
      </c>
      <c r="F10" s="23">
        <f t="shared" si="0"/>
        <v>0.9395</v>
      </c>
      <c r="G10" s="23">
        <f t="shared" si="1"/>
        <v>0.85799999999999998</v>
      </c>
    </row>
    <row r="13" spans="1:10" x14ac:dyDescent="0.25">
      <c r="H13" s="70" t="s">
        <v>20</v>
      </c>
      <c r="I13" s="70"/>
      <c r="J13" s="70"/>
    </row>
    <row r="14" spans="1:10" x14ac:dyDescent="0.25">
      <c r="E14" s="20" t="s">
        <v>19</v>
      </c>
      <c r="F14" s="20" t="s">
        <v>21</v>
      </c>
      <c r="G14" s="20" t="s">
        <v>22</v>
      </c>
      <c r="H14" s="24" t="s">
        <v>18</v>
      </c>
      <c r="I14" s="25" t="s">
        <v>23</v>
      </c>
      <c r="J14" s="25" t="s">
        <v>24</v>
      </c>
    </row>
    <row r="15" spans="1:10" x14ac:dyDescent="0.25">
      <c r="A15" s="71" t="s">
        <v>25</v>
      </c>
      <c r="B15" s="21">
        <v>1</v>
      </c>
      <c r="C15" s="22">
        <v>0.55800000000000005</v>
      </c>
      <c r="E15" s="26">
        <f>C15-$F$5</f>
        <v>0.47650000000000003</v>
      </c>
      <c r="F15" s="26">
        <f>(E15-0.0033)/0.078</f>
        <v>6.0666666666666664</v>
      </c>
      <c r="G15" s="26">
        <f>F15*2</f>
        <v>12.133333333333333</v>
      </c>
      <c r="H15" s="72">
        <f>AVERAGE(G15:G20)</f>
        <v>10.705982905982905</v>
      </c>
      <c r="I15" s="72">
        <f>STDEV(G15:G20)/SQRT(6)</f>
        <v>0.63164648422085534</v>
      </c>
    </row>
    <row r="16" spans="1:10" x14ac:dyDescent="0.25">
      <c r="A16" s="71"/>
      <c r="B16" s="21">
        <v>2</v>
      </c>
      <c r="C16" s="22">
        <v>0.41799999999999998</v>
      </c>
      <c r="E16" s="26">
        <f t="shared" ref="E16:E26" si="2">C16-$F$5</f>
        <v>0.33649999999999997</v>
      </c>
      <c r="F16" s="26">
        <f t="shared" ref="F16:F26" si="3">(E16-0.0033)/0.078</f>
        <v>4.2717948717948708</v>
      </c>
      <c r="G16" s="26">
        <f t="shared" ref="G16:G26" si="4">F16*2</f>
        <v>8.5435897435897417</v>
      </c>
      <c r="H16" s="72"/>
      <c r="I16" s="72"/>
    </row>
    <row r="17" spans="1:10" x14ac:dyDescent="0.25">
      <c r="A17" s="71"/>
      <c r="B17" s="21">
        <v>3</v>
      </c>
      <c r="C17" s="22">
        <v>0.57199999999999995</v>
      </c>
      <c r="E17" s="26">
        <f t="shared" si="2"/>
        <v>0.49049999999999994</v>
      </c>
      <c r="F17" s="26">
        <f t="shared" si="3"/>
        <v>6.2461538461538453</v>
      </c>
      <c r="G17" s="26">
        <f t="shared" si="4"/>
        <v>12.492307692307691</v>
      </c>
      <c r="H17" s="72"/>
      <c r="I17" s="72"/>
    </row>
    <row r="18" spans="1:10" x14ac:dyDescent="0.25">
      <c r="A18" s="71"/>
      <c r="B18" s="21">
        <v>4</v>
      </c>
      <c r="C18" s="22">
        <v>0.51900000000000002</v>
      </c>
      <c r="E18" s="26">
        <f t="shared" si="2"/>
        <v>0.4375</v>
      </c>
      <c r="F18" s="26">
        <f t="shared" si="3"/>
        <v>5.5666666666666664</v>
      </c>
      <c r="G18" s="26">
        <f t="shared" si="4"/>
        <v>11.133333333333333</v>
      </c>
      <c r="H18" s="72"/>
      <c r="I18" s="72"/>
    </row>
    <row r="19" spans="1:10" x14ac:dyDescent="0.25">
      <c r="A19" s="71"/>
      <c r="B19" s="21">
        <v>5</v>
      </c>
      <c r="C19" s="22">
        <v>0.44900000000000001</v>
      </c>
      <c r="E19" s="26">
        <f t="shared" si="2"/>
        <v>0.36749999999999999</v>
      </c>
      <c r="F19" s="26">
        <f t="shared" si="3"/>
        <v>4.6692307692307686</v>
      </c>
      <c r="G19" s="26">
        <f t="shared" si="4"/>
        <v>9.3384615384615373</v>
      </c>
      <c r="H19" s="72"/>
      <c r="I19" s="72"/>
    </row>
    <row r="20" spans="1:10" x14ac:dyDescent="0.25">
      <c r="A20" s="71"/>
      <c r="B20" s="21">
        <v>6</v>
      </c>
      <c r="C20" s="22">
        <v>0.498</v>
      </c>
      <c r="E20" s="26">
        <f t="shared" si="2"/>
        <v>0.41649999999999998</v>
      </c>
      <c r="F20" s="26">
        <f t="shared" si="3"/>
        <v>5.2974358974358973</v>
      </c>
      <c r="G20" s="26">
        <f t="shared" si="4"/>
        <v>10.594871794871795</v>
      </c>
      <c r="H20" s="72"/>
      <c r="I20" s="72"/>
      <c r="J20" s="27">
        <f>I15/H15*100</f>
        <v>5.8999392187322437</v>
      </c>
    </row>
    <row r="21" spans="1:10" x14ac:dyDescent="0.25">
      <c r="A21" s="71" t="s">
        <v>26</v>
      </c>
      <c r="B21" s="21">
        <v>7</v>
      </c>
      <c r="C21" s="22">
        <v>0.53600000000000003</v>
      </c>
      <c r="E21" s="26">
        <f t="shared" si="2"/>
        <v>0.45450000000000002</v>
      </c>
      <c r="F21" s="26">
        <f t="shared" si="3"/>
        <v>5.7846153846153845</v>
      </c>
      <c r="G21" s="26">
        <f t="shared" si="4"/>
        <v>11.569230769230769</v>
      </c>
      <c r="H21" s="72">
        <f>AVERAGE(G21:G26)</f>
        <v>10.41111111111111</v>
      </c>
      <c r="I21" s="72">
        <f>STDEV(G21:G26)/SQRT(6)</f>
        <v>0.33191127739583065</v>
      </c>
    </row>
    <row r="22" spans="1:10" x14ac:dyDescent="0.25">
      <c r="A22" s="71"/>
      <c r="B22" s="21">
        <v>8</v>
      </c>
      <c r="C22" s="22">
        <v>0.499</v>
      </c>
      <c r="E22" s="26">
        <f t="shared" si="2"/>
        <v>0.41749999999999998</v>
      </c>
      <c r="F22" s="26">
        <f t="shared" si="3"/>
        <v>5.31025641025641</v>
      </c>
      <c r="G22" s="26">
        <f t="shared" si="4"/>
        <v>10.62051282051282</v>
      </c>
      <c r="H22" s="72"/>
      <c r="I22" s="72"/>
    </row>
    <row r="23" spans="1:10" x14ac:dyDescent="0.25">
      <c r="A23" s="71"/>
      <c r="B23" s="21">
        <v>9</v>
      </c>
      <c r="C23" s="22">
        <v>0.495</v>
      </c>
      <c r="E23" s="26">
        <f t="shared" si="2"/>
        <v>0.41349999999999998</v>
      </c>
      <c r="F23" s="26">
        <f t="shared" si="3"/>
        <v>5.2589743589743581</v>
      </c>
      <c r="G23" s="26">
        <f t="shared" si="4"/>
        <v>10.517948717948716</v>
      </c>
      <c r="H23" s="72"/>
      <c r="I23" s="72"/>
    </row>
    <row r="24" spans="1:10" x14ac:dyDescent="0.25">
      <c r="A24" s="71"/>
      <c r="B24" s="21">
        <v>10</v>
      </c>
      <c r="C24" s="22">
        <v>0.502</v>
      </c>
      <c r="E24" s="26">
        <f t="shared" si="2"/>
        <v>0.42049999999999998</v>
      </c>
      <c r="F24" s="26">
        <f t="shared" si="3"/>
        <v>5.3487179487179484</v>
      </c>
      <c r="G24" s="26">
        <f t="shared" si="4"/>
        <v>10.697435897435897</v>
      </c>
      <c r="H24" s="72"/>
      <c r="I24" s="72"/>
    </row>
    <row r="25" spans="1:10" x14ac:dyDescent="0.25">
      <c r="A25" s="71"/>
      <c r="B25" s="21">
        <v>11</v>
      </c>
      <c r="C25" s="22">
        <v>0.47099999999999997</v>
      </c>
      <c r="E25" s="26">
        <f t="shared" si="2"/>
        <v>0.38949999999999996</v>
      </c>
      <c r="F25" s="26">
        <f t="shared" si="3"/>
        <v>4.9512820512820506</v>
      </c>
      <c r="G25" s="26">
        <f t="shared" si="4"/>
        <v>9.9025641025641011</v>
      </c>
      <c r="H25" s="72"/>
      <c r="I25" s="72"/>
    </row>
    <row r="26" spans="1:10" x14ac:dyDescent="0.25">
      <c r="A26" s="71"/>
      <c r="B26" s="21">
        <v>12</v>
      </c>
      <c r="C26" s="22">
        <v>0.442</v>
      </c>
      <c r="E26" s="26">
        <f t="shared" si="2"/>
        <v>0.36049999999999999</v>
      </c>
      <c r="F26" s="26">
        <f t="shared" si="3"/>
        <v>4.5794871794871792</v>
      </c>
      <c r="G26" s="26">
        <f t="shared" si="4"/>
        <v>9.1589743589743584</v>
      </c>
      <c r="H26" s="72"/>
      <c r="I26" s="72"/>
      <c r="J26" s="27">
        <f>I21/H21*100</f>
        <v>3.1880485555629416</v>
      </c>
    </row>
    <row r="28" spans="1:10" x14ac:dyDescent="0.25">
      <c r="B28" s="21">
        <v>13</v>
      </c>
      <c r="C28" s="22">
        <v>0.54400000000000004</v>
      </c>
      <c r="E28" s="26">
        <f>C28-$F$5</f>
        <v>0.46250000000000002</v>
      </c>
      <c r="F28" s="26">
        <f>(E28-0.0033)/0.078</f>
        <v>5.8871794871794876</v>
      </c>
      <c r="G28" s="26">
        <f>F28*2</f>
        <v>11.774358974358975</v>
      </c>
      <c r="H28" s="72">
        <f>AVERAGE(G28:G33)</f>
        <v>10.842735042735043</v>
      </c>
      <c r="I28" s="72">
        <f>STDEV(G28:G33)/SQRT(6)</f>
        <v>0.56206573483611388</v>
      </c>
    </row>
    <row r="29" spans="1:10" x14ac:dyDescent="0.25">
      <c r="A29" s="71" t="s">
        <v>27</v>
      </c>
      <c r="B29" s="21">
        <v>14</v>
      </c>
      <c r="C29" s="22">
        <v>0.48299999999999998</v>
      </c>
      <c r="E29" s="26">
        <f t="shared" ref="E29:E39" si="5">C29-$F$5</f>
        <v>0.40149999999999997</v>
      </c>
      <c r="F29" s="26">
        <f t="shared" ref="F29:F39" si="6">(E29-0.0033)/0.078</f>
        <v>5.1051282051282048</v>
      </c>
      <c r="G29" s="26">
        <f t="shared" ref="G29:G39" si="7">F29*2</f>
        <v>10.21025641025641</v>
      </c>
      <c r="H29" s="72"/>
      <c r="I29" s="72"/>
    </row>
    <row r="30" spans="1:10" x14ac:dyDescent="0.25">
      <c r="A30" s="71"/>
      <c r="B30" s="21">
        <v>15</v>
      </c>
      <c r="C30" s="22">
        <v>0.59699999999999998</v>
      </c>
      <c r="E30" s="26">
        <f t="shared" si="5"/>
        <v>0.51549999999999996</v>
      </c>
      <c r="F30" s="26">
        <f t="shared" si="6"/>
        <v>6.5666666666666664</v>
      </c>
      <c r="G30" s="26">
        <f t="shared" si="7"/>
        <v>13.133333333333333</v>
      </c>
      <c r="H30" s="72"/>
      <c r="I30" s="72"/>
    </row>
    <row r="31" spans="1:10" x14ac:dyDescent="0.25">
      <c r="A31" s="71"/>
      <c r="B31" s="21">
        <v>16</v>
      </c>
      <c r="C31" s="22">
        <v>0.45</v>
      </c>
      <c r="E31" s="26">
        <f t="shared" si="5"/>
        <v>0.36849999999999999</v>
      </c>
      <c r="F31" s="26">
        <f t="shared" si="6"/>
        <v>4.6820512820512814</v>
      </c>
      <c r="G31" s="26">
        <f t="shared" si="7"/>
        <v>9.3641025641025628</v>
      </c>
      <c r="H31" s="72"/>
      <c r="I31" s="72"/>
    </row>
    <row r="32" spans="1:10" x14ac:dyDescent="0.25">
      <c r="A32" s="71"/>
      <c r="B32" s="21">
        <v>17</v>
      </c>
      <c r="C32" s="22">
        <v>0.497</v>
      </c>
      <c r="E32" s="26">
        <f t="shared" si="5"/>
        <v>0.41549999999999998</v>
      </c>
      <c r="F32" s="26">
        <f t="shared" si="6"/>
        <v>5.2846153846153845</v>
      </c>
      <c r="G32" s="26">
        <f t="shared" si="7"/>
        <v>10.569230769230769</v>
      </c>
      <c r="H32" s="72"/>
      <c r="I32" s="72"/>
    </row>
    <row r="33" spans="1:10" x14ac:dyDescent="0.25">
      <c r="A33" s="71"/>
      <c r="B33" s="21">
        <v>18</v>
      </c>
      <c r="C33" s="22">
        <v>0.47499999999999998</v>
      </c>
      <c r="E33" s="26">
        <f t="shared" si="5"/>
        <v>0.39349999999999996</v>
      </c>
      <c r="F33" s="26">
        <f t="shared" si="6"/>
        <v>5.0025641025641017</v>
      </c>
      <c r="G33" s="26">
        <f t="shared" si="7"/>
        <v>10.005128205128203</v>
      </c>
      <c r="H33" s="72"/>
      <c r="I33" s="72"/>
      <c r="J33" s="27">
        <f>I28/H28*100</f>
        <v>5.1838003291680055</v>
      </c>
    </row>
    <row r="34" spans="1:10" x14ac:dyDescent="0.25">
      <c r="A34" s="71"/>
      <c r="B34" s="21">
        <v>19</v>
      </c>
      <c r="C34" s="22">
        <v>0.501</v>
      </c>
      <c r="E34" s="26">
        <f t="shared" si="5"/>
        <v>0.41949999999999998</v>
      </c>
      <c r="F34" s="26">
        <f t="shared" si="6"/>
        <v>5.3358974358974356</v>
      </c>
      <c r="G34" s="26">
        <f t="shared" si="7"/>
        <v>10.671794871794871</v>
      </c>
      <c r="H34" s="72">
        <f>AVERAGE(G34:G38)</f>
        <v>10.902564102564101</v>
      </c>
      <c r="I34" s="72">
        <f>STDEV(G34:G38)/SQRT(5)</f>
        <v>0.64363571191439217</v>
      </c>
    </row>
    <row r="35" spans="1:10" x14ac:dyDescent="0.25">
      <c r="A35" s="71" t="s">
        <v>28</v>
      </c>
      <c r="B35" s="21">
        <v>20</v>
      </c>
      <c r="C35" s="22">
        <v>0.60199999999999998</v>
      </c>
      <c r="E35" s="26">
        <f t="shared" si="5"/>
        <v>0.52049999999999996</v>
      </c>
      <c r="F35" s="26">
        <f t="shared" si="6"/>
        <v>6.6307692307692303</v>
      </c>
      <c r="G35" s="26">
        <f t="shared" si="7"/>
        <v>13.261538461538461</v>
      </c>
      <c r="H35" s="72"/>
      <c r="I35" s="72"/>
    </row>
    <row r="36" spans="1:10" x14ac:dyDescent="0.25">
      <c r="A36" s="71"/>
      <c r="B36" s="21">
        <v>21</v>
      </c>
      <c r="C36" s="22">
        <v>0.47099999999999997</v>
      </c>
      <c r="E36" s="26">
        <f t="shared" si="5"/>
        <v>0.38949999999999996</v>
      </c>
      <c r="F36" s="26">
        <f t="shared" si="6"/>
        <v>4.9512820512820506</v>
      </c>
      <c r="G36" s="26">
        <f t="shared" si="7"/>
        <v>9.9025641025641011</v>
      </c>
      <c r="H36" s="72"/>
      <c r="I36" s="72"/>
    </row>
    <row r="37" spans="1:10" x14ac:dyDescent="0.25">
      <c r="A37" s="71"/>
      <c r="B37" s="21">
        <v>22</v>
      </c>
      <c r="C37" s="22">
        <v>0.51600000000000001</v>
      </c>
      <c r="E37" s="26">
        <f t="shared" si="5"/>
        <v>0.4345</v>
      </c>
      <c r="F37" s="26">
        <f t="shared" si="6"/>
        <v>5.5282051282051281</v>
      </c>
      <c r="G37" s="26">
        <f t="shared" si="7"/>
        <v>11.056410256410256</v>
      </c>
      <c r="H37" s="72"/>
      <c r="I37" s="72"/>
    </row>
    <row r="38" spans="1:10" x14ac:dyDescent="0.25">
      <c r="A38" s="71"/>
      <c r="B38" s="21">
        <v>23</v>
      </c>
      <c r="C38" s="22">
        <v>0.46</v>
      </c>
      <c r="E38" s="26">
        <f t="shared" si="5"/>
        <v>0.3785</v>
      </c>
      <c r="F38" s="26">
        <f t="shared" si="6"/>
        <v>4.81025641025641</v>
      </c>
      <c r="G38" s="26">
        <f t="shared" si="7"/>
        <v>9.6205128205128201</v>
      </c>
      <c r="H38" s="72"/>
      <c r="I38" s="72"/>
    </row>
    <row r="39" spans="1:10" x14ac:dyDescent="0.25">
      <c r="A39" s="71"/>
      <c r="B39" s="21">
        <v>24</v>
      </c>
      <c r="C39" s="22">
        <v>0.65500000000000003</v>
      </c>
      <c r="E39" s="26">
        <f t="shared" si="5"/>
        <v>0.57350000000000001</v>
      </c>
      <c r="F39" s="26">
        <f t="shared" si="6"/>
        <v>7.3102564102564109</v>
      </c>
      <c r="G39" s="28">
        <f t="shared" si="7"/>
        <v>14.620512820512822</v>
      </c>
      <c r="H39" s="72"/>
      <c r="I39" s="72"/>
      <c r="J39" s="27">
        <f>I34/H34*100</f>
        <v>5.903526050014416</v>
      </c>
    </row>
    <row r="40" spans="1:10" x14ac:dyDescent="0.25">
      <c r="A40" s="71"/>
    </row>
  </sheetData>
  <mergeCells count="13">
    <mergeCell ref="H28:H33"/>
    <mergeCell ref="I28:I33"/>
    <mergeCell ref="A29:A34"/>
    <mergeCell ref="H34:H39"/>
    <mergeCell ref="I34:I39"/>
    <mergeCell ref="A35:A40"/>
    <mergeCell ref="H13:J13"/>
    <mergeCell ref="A15:A20"/>
    <mergeCell ref="H15:H20"/>
    <mergeCell ref="I15:I20"/>
    <mergeCell ref="A21:A26"/>
    <mergeCell ref="H21:H26"/>
    <mergeCell ref="I21:I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topLeftCell="A10" zoomScale="70" zoomScaleNormal="70" workbookViewId="0">
      <selection activeCell="N29" sqref="N29"/>
    </sheetView>
  </sheetViews>
  <sheetFormatPr defaultColWidth="11.42578125" defaultRowHeight="15" x14ac:dyDescent="0.25"/>
  <cols>
    <col min="5" max="5" width="12.28515625" customWidth="1"/>
  </cols>
  <sheetData>
    <row r="3" spans="1:11" x14ac:dyDescent="0.25">
      <c r="B3" t="s">
        <v>17</v>
      </c>
      <c r="F3" s="20" t="s">
        <v>18</v>
      </c>
      <c r="G3" t="s">
        <v>19</v>
      </c>
    </row>
    <row r="4" spans="1:11" x14ac:dyDescent="0.25">
      <c r="B4" s="21">
        <v>0</v>
      </c>
      <c r="C4" s="22">
        <v>8.4000000000000005E-2</v>
      </c>
      <c r="D4" s="22">
        <v>8.2000000000000003E-2</v>
      </c>
      <c r="F4" s="23">
        <f>AVERAGE(C4:D4)</f>
        <v>8.3000000000000004E-2</v>
      </c>
      <c r="G4" s="23">
        <f>F4-$F$4</f>
        <v>0</v>
      </c>
    </row>
    <row r="5" spans="1:11" x14ac:dyDescent="0.25">
      <c r="B5" s="21">
        <v>0.68700000000000006</v>
      </c>
      <c r="C5" s="22">
        <v>0.189</v>
      </c>
      <c r="D5" s="22">
        <v>0.188</v>
      </c>
      <c r="F5" s="23">
        <f t="shared" ref="F5:F9" si="0">AVERAGE(C5:D5)</f>
        <v>0.1885</v>
      </c>
      <c r="G5" s="23">
        <f t="shared" ref="G5:G9" si="1">F5-$F$4</f>
        <v>0.1055</v>
      </c>
    </row>
    <row r="6" spans="1:11" x14ac:dyDescent="0.25">
      <c r="B6" s="21">
        <v>1.37</v>
      </c>
      <c r="C6" s="22">
        <v>0.29599999999999999</v>
      </c>
      <c r="D6" s="22">
        <v>0.30199999999999999</v>
      </c>
      <c r="F6" s="23">
        <f t="shared" si="0"/>
        <v>0.29899999999999999</v>
      </c>
      <c r="G6" s="23">
        <f t="shared" si="1"/>
        <v>0.21599999999999997</v>
      </c>
    </row>
    <row r="7" spans="1:11" x14ac:dyDescent="0.25">
      <c r="B7" s="21">
        <v>2.75</v>
      </c>
      <c r="C7" s="22">
        <v>0.50700000000000001</v>
      </c>
      <c r="D7" s="22">
        <v>0.52500000000000002</v>
      </c>
      <c r="F7" s="23">
        <f t="shared" si="0"/>
        <v>0.51600000000000001</v>
      </c>
      <c r="G7" s="23">
        <f t="shared" si="1"/>
        <v>0.433</v>
      </c>
    </row>
    <row r="8" spans="1:11" x14ac:dyDescent="0.25">
      <c r="B8" s="21">
        <v>5.5</v>
      </c>
      <c r="C8" s="22">
        <v>0.92900000000000005</v>
      </c>
      <c r="D8" s="22">
        <v>0.95199999999999996</v>
      </c>
      <c r="F8" s="23">
        <f t="shared" si="0"/>
        <v>0.9405</v>
      </c>
      <c r="G8" s="23">
        <f t="shared" si="1"/>
        <v>0.85750000000000004</v>
      </c>
    </row>
    <row r="9" spans="1:11" x14ac:dyDescent="0.25">
      <c r="B9" s="21">
        <v>11</v>
      </c>
      <c r="C9" s="22">
        <v>1.466</v>
      </c>
      <c r="D9" s="22">
        <v>1.7430000000000001</v>
      </c>
      <c r="F9" s="23">
        <f t="shared" si="0"/>
        <v>1.6045</v>
      </c>
      <c r="G9" s="23">
        <f t="shared" si="1"/>
        <v>1.5215000000000001</v>
      </c>
    </row>
    <row r="12" spans="1:11" x14ac:dyDescent="0.25">
      <c r="I12" s="70" t="s">
        <v>20</v>
      </c>
      <c r="J12" s="70"/>
      <c r="K12" s="70"/>
    </row>
    <row r="13" spans="1:11" x14ac:dyDescent="0.25">
      <c r="E13" t="s">
        <v>19</v>
      </c>
      <c r="F13" t="s">
        <v>21</v>
      </c>
      <c r="G13" t="s">
        <v>30</v>
      </c>
      <c r="H13" t="s">
        <v>31</v>
      </c>
      <c r="I13" s="24" t="s">
        <v>18</v>
      </c>
      <c r="J13" s="25" t="s">
        <v>23</v>
      </c>
      <c r="K13" s="25" t="s">
        <v>24</v>
      </c>
    </row>
    <row r="14" spans="1:11" x14ac:dyDescent="0.25">
      <c r="A14" s="71" t="s">
        <v>25</v>
      </c>
      <c r="B14" s="21">
        <v>1</v>
      </c>
      <c r="C14" s="22">
        <v>0.27600000000000002</v>
      </c>
      <c r="E14" s="23">
        <f>C14-$F$4</f>
        <v>0.193</v>
      </c>
      <c r="F14" s="23">
        <f>(E14-0.0286)/0.139</f>
        <v>1.1827338129496401</v>
      </c>
      <c r="G14" s="23">
        <f>F14*4</f>
        <v>4.7309352517985603</v>
      </c>
      <c r="H14" s="23">
        <f>G14*1.45</f>
        <v>6.8598561151079123</v>
      </c>
      <c r="I14" s="72">
        <f>AVERAGE(H14:H16,H18:H19)</f>
        <v>6.4258992805755382</v>
      </c>
      <c r="J14" s="73">
        <f>STDEV(H14:H16,H18:H19)/SQRT(5)</f>
        <v>0.13876845620177303</v>
      </c>
    </row>
    <row r="15" spans="1:11" x14ac:dyDescent="0.25">
      <c r="A15" s="71"/>
      <c r="B15" s="21">
        <v>2</v>
      </c>
      <c r="C15" s="22">
        <v>0.26</v>
      </c>
      <c r="E15" s="23">
        <f t="shared" ref="E15:E25" si="2">C15-$F$4</f>
        <v>0.17699999999999999</v>
      </c>
      <c r="F15" s="23">
        <f t="shared" ref="F15:F25" si="3">(E15-0.0286)/0.139</f>
        <v>1.0676258992805752</v>
      </c>
      <c r="G15" s="23">
        <f t="shared" ref="G15:G25" si="4">F15*4</f>
        <v>4.2705035971223007</v>
      </c>
      <c r="H15" s="55">
        <f t="shared" ref="H15:H25" si="5">G15*1.45</f>
        <v>6.1922302158273359</v>
      </c>
      <c r="I15" s="72"/>
      <c r="J15" s="73"/>
    </row>
    <row r="16" spans="1:11" x14ac:dyDescent="0.25">
      <c r="A16" s="71"/>
      <c r="B16" s="21">
        <v>3</v>
      </c>
      <c r="C16" s="22">
        <v>0.26100000000000001</v>
      </c>
      <c r="E16" s="23">
        <f t="shared" si="2"/>
        <v>0.17799999999999999</v>
      </c>
      <c r="F16" s="23">
        <f t="shared" si="3"/>
        <v>1.0748201438848919</v>
      </c>
      <c r="G16" s="23">
        <f t="shared" si="4"/>
        <v>4.2992805755395676</v>
      </c>
      <c r="H16" s="55">
        <f t="shared" si="5"/>
        <v>6.233956834532373</v>
      </c>
      <c r="I16" s="72"/>
      <c r="J16" s="73"/>
    </row>
    <row r="17" spans="1:11" x14ac:dyDescent="0.25">
      <c r="A17" s="71"/>
      <c r="B17" s="21">
        <v>4</v>
      </c>
      <c r="C17" s="22">
        <v>0.312</v>
      </c>
      <c r="E17" s="23">
        <f t="shared" si="2"/>
        <v>0.22899999999999998</v>
      </c>
      <c r="F17" s="23">
        <f t="shared" si="3"/>
        <v>1.4417266187050357</v>
      </c>
      <c r="G17" s="23">
        <f t="shared" si="4"/>
        <v>5.7669064748201428</v>
      </c>
      <c r="H17" s="55">
        <f t="shared" si="5"/>
        <v>8.3620143884892073</v>
      </c>
      <c r="I17" s="72"/>
      <c r="J17" s="73"/>
    </row>
    <row r="18" spans="1:11" x14ac:dyDescent="0.25">
      <c r="A18" s="71"/>
      <c r="B18" s="21">
        <v>5</v>
      </c>
      <c r="C18" s="22">
        <v>0.26</v>
      </c>
      <c r="E18" s="23">
        <f t="shared" si="2"/>
        <v>0.17699999999999999</v>
      </c>
      <c r="F18" s="23">
        <f t="shared" si="3"/>
        <v>1.0676258992805752</v>
      </c>
      <c r="G18" s="23">
        <f t="shared" si="4"/>
        <v>4.2705035971223007</v>
      </c>
      <c r="H18" s="55">
        <f t="shared" si="5"/>
        <v>6.1922302158273359</v>
      </c>
      <c r="I18" s="72"/>
      <c r="J18" s="73"/>
    </row>
    <row r="19" spans="1:11" x14ac:dyDescent="0.25">
      <c r="A19" s="71"/>
      <c r="B19" s="21">
        <v>6</v>
      </c>
      <c r="C19" s="22">
        <v>0.27100000000000002</v>
      </c>
      <c r="E19" s="23">
        <f t="shared" si="2"/>
        <v>0.188</v>
      </c>
      <c r="F19" s="23">
        <f t="shared" si="3"/>
        <v>1.1467625899280574</v>
      </c>
      <c r="G19" s="23">
        <f t="shared" si="4"/>
        <v>4.5870503597122294</v>
      </c>
      <c r="H19" s="55">
        <f t="shared" si="5"/>
        <v>6.6512230215827328</v>
      </c>
      <c r="I19" s="72"/>
      <c r="J19" s="73"/>
      <c r="K19" s="29">
        <f>J14/I14*100</f>
        <v>2.1595180712098583</v>
      </c>
    </row>
    <row r="20" spans="1:11" x14ac:dyDescent="0.25">
      <c r="A20" s="71" t="s">
        <v>26</v>
      </c>
      <c r="B20" s="21">
        <v>7</v>
      </c>
      <c r="C20" s="22">
        <v>0.27500000000000002</v>
      </c>
      <c r="E20" s="23">
        <f t="shared" si="2"/>
        <v>0.192</v>
      </c>
      <c r="F20" s="23">
        <f t="shared" si="3"/>
        <v>1.1755395683453236</v>
      </c>
      <c r="G20" s="23">
        <f t="shared" si="4"/>
        <v>4.7021582733812943</v>
      </c>
      <c r="H20" s="55">
        <f t="shared" si="5"/>
        <v>6.8181294964028769</v>
      </c>
      <c r="I20" s="72">
        <f>AVERAGE(H20,H22:H25)</f>
        <v>6.8264748201438836</v>
      </c>
      <c r="J20" s="73">
        <f>STDEV(H20,H22:H25)/SQRT(5)</f>
        <v>0.1261497200797406</v>
      </c>
    </row>
    <row r="21" spans="1:11" x14ac:dyDescent="0.25">
      <c r="A21" s="71"/>
      <c r="B21" s="21">
        <v>8</v>
      </c>
      <c r="C21" s="22">
        <v>0.22600000000000001</v>
      </c>
      <c r="E21" s="23">
        <f t="shared" si="2"/>
        <v>0.14300000000000002</v>
      </c>
      <c r="F21" s="23">
        <f t="shared" si="3"/>
        <v>0.82302158273381298</v>
      </c>
      <c r="G21" s="23">
        <f t="shared" si="4"/>
        <v>3.2920863309352519</v>
      </c>
      <c r="H21" s="55">
        <f t="shared" si="5"/>
        <v>4.7735251798561151</v>
      </c>
      <c r="I21" s="72"/>
      <c r="J21" s="73"/>
    </row>
    <row r="22" spans="1:11" x14ac:dyDescent="0.25">
      <c r="A22" s="71"/>
      <c r="B22" s="21">
        <v>9</v>
      </c>
      <c r="C22" s="22">
        <v>0.28000000000000003</v>
      </c>
      <c r="E22" s="23">
        <f t="shared" si="2"/>
        <v>0.19700000000000001</v>
      </c>
      <c r="F22" s="23">
        <f t="shared" si="3"/>
        <v>1.2115107913669063</v>
      </c>
      <c r="G22" s="23">
        <f t="shared" si="4"/>
        <v>4.8460431654676253</v>
      </c>
      <c r="H22" s="55">
        <f t="shared" si="5"/>
        <v>7.0267625899280564</v>
      </c>
      <c r="I22" s="72"/>
      <c r="J22" s="73"/>
    </row>
    <row r="23" spans="1:11" x14ac:dyDescent="0.25">
      <c r="A23" s="71"/>
      <c r="B23" s="21">
        <v>10</v>
      </c>
      <c r="C23" s="22">
        <v>0.28100000000000003</v>
      </c>
      <c r="E23" s="23">
        <f t="shared" si="2"/>
        <v>0.19800000000000001</v>
      </c>
      <c r="F23" s="23">
        <f t="shared" si="3"/>
        <v>1.2187050359712228</v>
      </c>
      <c r="G23" s="23">
        <f t="shared" si="4"/>
        <v>4.8748201438848913</v>
      </c>
      <c r="H23" s="55">
        <f t="shared" si="5"/>
        <v>7.0684892086330917</v>
      </c>
      <c r="I23" s="72"/>
      <c r="J23" s="73"/>
    </row>
    <row r="24" spans="1:11" x14ac:dyDescent="0.25">
      <c r="A24" s="71"/>
      <c r="B24" s="21">
        <v>11</v>
      </c>
      <c r="C24" s="22">
        <v>0.27600000000000002</v>
      </c>
      <c r="E24" s="23">
        <f t="shared" si="2"/>
        <v>0.193</v>
      </c>
      <c r="F24" s="23">
        <f t="shared" si="3"/>
        <v>1.1827338129496401</v>
      </c>
      <c r="G24" s="23">
        <f t="shared" si="4"/>
        <v>4.7309352517985603</v>
      </c>
      <c r="H24" s="55">
        <f t="shared" si="5"/>
        <v>6.8598561151079123</v>
      </c>
      <c r="I24" s="72"/>
      <c r="J24" s="73"/>
    </row>
    <row r="25" spans="1:11" x14ac:dyDescent="0.25">
      <c r="A25" s="71"/>
      <c r="B25" s="21">
        <v>12</v>
      </c>
      <c r="C25" s="22">
        <v>0.26400000000000001</v>
      </c>
      <c r="E25" s="23">
        <f t="shared" si="2"/>
        <v>0.18099999999999999</v>
      </c>
      <c r="F25" s="23">
        <f t="shared" si="3"/>
        <v>1.0964028776978414</v>
      </c>
      <c r="G25" s="23">
        <f t="shared" si="4"/>
        <v>4.3856115107913656</v>
      </c>
      <c r="H25" s="55">
        <f t="shared" si="5"/>
        <v>6.35913669064748</v>
      </c>
      <c r="I25" s="72"/>
      <c r="J25" s="73"/>
      <c r="K25" s="29">
        <f>J20/I20*100</f>
        <v>1.8479482222287271</v>
      </c>
    </row>
    <row r="26" spans="1:11" x14ac:dyDescent="0.25">
      <c r="H26" s="56"/>
    </row>
    <row r="27" spans="1:11" x14ac:dyDescent="0.25">
      <c r="H27" s="56"/>
    </row>
    <row r="28" spans="1:11" x14ac:dyDescent="0.25">
      <c r="A28" s="71" t="s">
        <v>27</v>
      </c>
      <c r="B28" s="21">
        <v>13</v>
      </c>
      <c r="C28" s="22">
        <v>0.27300000000000002</v>
      </c>
      <c r="E28" s="23">
        <f t="shared" ref="E28:E39" si="6">C28-$F$4</f>
        <v>0.19</v>
      </c>
      <c r="F28" s="23">
        <f t="shared" ref="F28:F39" si="7">(E28-0.0286)/0.139</f>
        <v>1.1611510791366904</v>
      </c>
      <c r="G28" s="23">
        <f t="shared" ref="G28:G39" si="8">F28*4</f>
        <v>4.6446043165467614</v>
      </c>
      <c r="H28" s="55">
        <f>G28*1.45</f>
        <v>6.7346762589928035</v>
      </c>
      <c r="I28" s="72">
        <f>AVERAGE(H28,H30:H33)</f>
        <v>6.3090647482014379</v>
      </c>
      <c r="J28" s="73">
        <f>STDEV(H28,H30:H33)/SQRT(5)</f>
        <v>0.31040790359051595</v>
      </c>
    </row>
    <row r="29" spans="1:11" x14ac:dyDescent="0.25">
      <c r="A29" s="71"/>
      <c r="B29" s="21">
        <v>14</v>
      </c>
      <c r="C29" s="22">
        <v>0.307</v>
      </c>
      <c r="E29" s="23">
        <f t="shared" si="6"/>
        <v>0.22399999999999998</v>
      </c>
      <c r="F29" s="23">
        <f t="shared" si="7"/>
        <v>1.4057553956834528</v>
      </c>
      <c r="G29" s="23">
        <f t="shared" si="8"/>
        <v>5.623021582733811</v>
      </c>
      <c r="H29" s="55">
        <f t="shared" ref="H29:H39" si="9">G29*1.45</f>
        <v>8.1533812949640261</v>
      </c>
      <c r="I29" s="72"/>
      <c r="J29" s="73"/>
    </row>
    <row r="30" spans="1:11" x14ac:dyDescent="0.25">
      <c r="A30" s="71"/>
      <c r="B30" s="21">
        <v>15</v>
      </c>
      <c r="C30" s="22">
        <v>0.27400000000000002</v>
      </c>
      <c r="E30" s="23">
        <f t="shared" si="6"/>
        <v>0.191</v>
      </c>
      <c r="F30" s="23">
        <f t="shared" si="7"/>
        <v>1.1683453237410071</v>
      </c>
      <c r="G30" s="23">
        <f t="shared" si="8"/>
        <v>4.6733812949640283</v>
      </c>
      <c r="H30" s="55">
        <f t="shared" si="9"/>
        <v>6.7764028776978407</v>
      </c>
      <c r="I30" s="72"/>
      <c r="J30" s="73"/>
    </row>
    <row r="31" spans="1:11" x14ac:dyDescent="0.25">
      <c r="A31" s="71"/>
      <c r="B31" s="21">
        <v>16</v>
      </c>
      <c r="C31" s="22">
        <v>0.25700000000000001</v>
      </c>
      <c r="E31" s="23">
        <f t="shared" si="6"/>
        <v>0.17399999999999999</v>
      </c>
      <c r="F31" s="23">
        <f t="shared" si="7"/>
        <v>1.0460431654676257</v>
      </c>
      <c r="G31" s="23">
        <f t="shared" si="8"/>
        <v>4.1841726618705026</v>
      </c>
      <c r="H31" s="55">
        <f t="shared" si="9"/>
        <v>6.0670503597122289</v>
      </c>
      <c r="I31" s="72"/>
      <c r="J31" s="73"/>
    </row>
    <row r="32" spans="1:11" x14ac:dyDescent="0.25">
      <c r="A32" s="71"/>
      <c r="B32" s="21">
        <v>17</v>
      </c>
      <c r="C32" s="22">
        <v>0.27400000000000002</v>
      </c>
      <c r="E32" s="23">
        <f t="shared" si="6"/>
        <v>0.191</v>
      </c>
      <c r="F32" s="23">
        <f t="shared" si="7"/>
        <v>1.1683453237410071</v>
      </c>
      <c r="G32" s="23">
        <f t="shared" si="8"/>
        <v>4.6733812949640283</v>
      </c>
      <c r="H32" s="55">
        <f t="shared" si="9"/>
        <v>6.7764028776978407</v>
      </c>
      <c r="I32" s="72"/>
      <c r="J32" s="73"/>
    </row>
    <row r="33" spans="1:11" x14ac:dyDescent="0.25">
      <c r="A33" s="71"/>
      <c r="B33" s="21">
        <v>18</v>
      </c>
      <c r="C33" s="22">
        <v>0.23599999999999999</v>
      </c>
      <c r="E33" s="23">
        <f t="shared" si="6"/>
        <v>0.15299999999999997</v>
      </c>
      <c r="F33" s="23">
        <f t="shared" si="7"/>
        <v>0.89496402877697812</v>
      </c>
      <c r="G33" s="23">
        <f t="shared" si="8"/>
        <v>3.5798561151079125</v>
      </c>
      <c r="H33" s="55">
        <f t="shared" si="9"/>
        <v>5.1907913669064731</v>
      </c>
      <c r="I33" s="72"/>
      <c r="J33" s="73"/>
      <c r="K33" s="29">
        <f>J28/I28*100</f>
        <v>4.9200304003696553</v>
      </c>
    </row>
    <row r="34" spans="1:11" x14ac:dyDescent="0.25">
      <c r="A34" s="71" t="s">
        <v>28</v>
      </c>
      <c r="B34" s="21">
        <v>19</v>
      </c>
      <c r="C34" s="22">
        <v>0.25900000000000001</v>
      </c>
      <c r="E34" s="23">
        <f t="shared" si="6"/>
        <v>0.17599999999999999</v>
      </c>
      <c r="F34" s="23">
        <f t="shared" si="7"/>
        <v>1.0604316546762587</v>
      </c>
      <c r="G34" s="23">
        <f t="shared" si="8"/>
        <v>4.2417266187050346</v>
      </c>
      <c r="H34" s="55">
        <f t="shared" si="9"/>
        <v>6.1505035971222997</v>
      </c>
      <c r="I34" s="72">
        <f>AVERAGE(H32:H37)</f>
        <v>5.9279616306954424</v>
      </c>
      <c r="J34" s="73">
        <f>STDEV(H32:H37)/SQRT(6)</f>
        <v>0.37331787980566167</v>
      </c>
    </row>
    <row r="35" spans="1:11" x14ac:dyDescent="0.25">
      <c r="A35" s="71"/>
      <c r="B35" s="21">
        <v>20</v>
      </c>
      <c r="C35" s="22">
        <v>0.252</v>
      </c>
      <c r="E35" s="23">
        <f t="shared" si="6"/>
        <v>0.16899999999999998</v>
      </c>
      <c r="F35" s="23">
        <f t="shared" si="7"/>
        <v>1.0100719424460429</v>
      </c>
      <c r="G35" s="23">
        <f t="shared" si="8"/>
        <v>4.0402877697841717</v>
      </c>
      <c r="H35" s="55">
        <f t="shared" si="9"/>
        <v>5.8584172661870486</v>
      </c>
      <c r="I35" s="72"/>
      <c r="J35" s="73"/>
    </row>
    <row r="36" spans="1:11" x14ac:dyDescent="0.25">
      <c r="A36" s="71"/>
      <c r="B36" s="21">
        <v>21</v>
      </c>
      <c r="C36" s="22">
        <v>0.222</v>
      </c>
      <c r="E36" s="23">
        <f t="shared" si="6"/>
        <v>0.13900000000000001</v>
      </c>
      <c r="F36" s="23">
        <f t="shared" si="7"/>
        <v>0.79424460431654675</v>
      </c>
      <c r="G36" s="23">
        <f t="shared" si="8"/>
        <v>3.176978417266187</v>
      </c>
      <c r="H36" s="23">
        <f t="shared" si="9"/>
        <v>4.606618705035971</v>
      </c>
      <c r="I36" s="72"/>
      <c r="J36" s="73"/>
    </row>
    <row r="37" spans="1:11" x14ac:dyDescent="0.25">
      <c r="A37" s="71"/>
      <c r="B37" s="21">
        <v>22</v>
      </c>
      <c r="C37" s="22">
        <v>0.27900000000000003</v>
      </c>
      <c r="E37" s="23">
        <f t="shared" si="6"/>
        <v>0.19600000000000001</v>
      </c>
      <c r="F37" s="23">
        <f t="shared" si="7"/>
        <v>1.2043165467625898</v>
      </c>
      <c r="G37" s="23">
        <f t="shared" si="8"/>
        <v>4.8172661870503592</v>
      </c>
      <c r="H37" s="23">
        <f t="shared" si="9"/>
        <v>6.985035971223021</v>
      </c>
      <c r="I37" s="72"/>
      <c r="J37" s="73"/>
    </row>
    <row r="38" spans="1:11" x14ac:dyDescent="0.25">
      <c r="A38" s="71"/>
      <c r="B38" s="21">
        <v>23</v>
      </c>
      <c r="C38" s="22">
        <v>0.221</v>
      </c>
      <c r="E38" s="23">
        <f t="shared" si="6"/>
        <v>0.13800000000000001</v>
      </c>
      <c r="F38" s="23">
        <f t="shared" si="7"/>
        <v>0.78705035971223025</v>
      </c>
      <c r="G38" s="23">
        <f t="shared" si="8"/>
        <v>3.148201438848921</v>
      </c>
      <c r="H38" s="23">
        <f t="shared" si="9"/>
        <v>4.5648920863309357</v>
      </c>
      <c r="I38" s="72"/>
      <c r="J38" s="73"/>
    </row>
    <row r="39" spans="1:11" x14ac:dyDescent="0.25">
      <c r="A39" s="71"/>
      <c r="B39" s="21">
        <v>24</v>
      </c>
      <c r="C39" s="22">
        <v>0.26800000000000002</v>
      </c>
      <c r="E39" s="23">
        <f t="shared" si="6"/>
        <v>0.185</v>
      </c>
      <c r="F39" s="23">
        <f t="shared" si="7"/>
        <v>1.1251798561151076</v>
      </c>
      <c r="G39" s="23">
        <f t="shared" si="8"/>
        <v>4.5007194244604305</v>
      </c>
      <c r="H39" s="23">
        <f t="shared" si="9"/>
        <v>6.5260431654676241</v>
      </c>
      <c r="I39" s="72"/>
      <c r="J39" s="73"/>
      <c r="K39" s="29">
        <f>J34/I34*100</f>
        <v>6.2975758458454409</v>
      </c>
    </row>
    <row r="41" spans="1:11" x14ac:dyDescent="0.25">
      <c r="H41" s="30"/>
    </row>
    <row r="42" spans="1:11" x14ac:dyDescent="0.25">
      <c r="H42" s="30"/>
    </row>
    <row r="43" spans="1:11" x14ac:dyDescent="0.25">
      <c r="H43" s="30"/>
    </row>
    <row r="44" spans="1:11" x14ac:dyDescent="0.25">
      <c r="H44" s="30"/>
    </row>
    <row r="45" spans="1:11" x14ac:dyDescent="0.25">
      <c r="H45" s="43"/>
    </row>
    <row r="46" spans="1:11" x14ac:dyDescent="0.25">
      <c r="H46" s="43"/>
    </row>
  </sheetData>
  <mergeCells count="13">
    <mergeCell ref="A28:A33"/>
    <mergeCell ref="I28:I33"/>
    <mergeCell ref="J28:J33"/>
    <mergeCell ref="A34:A39"/>
    <mergeCell ref="I34:I39"/>
    <mergeCell ref="J34:J39"/>
    <mergeCell ref="I12:K12"/>
    <mergeCell ref="A14:A19"/>
    <mergeCell ref="I14:I19"/>
    <mergeCell ref="J14:J19"/>
    <mergeCell ref="A20:A25"/>
    <mergeCell ref="I20:I25"/>
    <mergeCell ref="J20:J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C36"/>
  <sheetViews>
    <sheetView tabSelected="1" zoomScale="55" zoomScaleNormal="55" workbookViewId="0">
      <selection activeCell="O12" sqref="O12:O32"/>
    </sheetView>
  </sheetViews>
  <sheetFormatPr defaultColWidth="11.42578125" defaultRowHeight="15" x14ac:dyDescent="0.25"/>
  <cols>
    <col min="10" max="10" width="13" customWidth="1"/>
  </cols>
  <sheetData>
    <row r="8" spans="1:29" x14ac:dyDescent="0.25">
      <c r="A8" s="70" t="s">
        <v>32</v>
      </c>
      <c r="B8" s="70"/>
      <c r="C8" s="70"/>
      <c r="D8" s="70"/>
      <c r="E8" s="70"/>
      <c r="F8" s="24"/>
      <c r="L8" s="70" t="s">
        <v>33</v>
      </c>
      <c r="M8" s="70"/>
      <c r="N8" s="70"/>
      <c r="O8" s="70"/>
      <c r="P8" s="70"/>
      <c r="R8" s="70" t="s">
        <v>34</v>
      </c>
      <c r="S8" s="70"/>
      <c r="T8" s="70"/>
      <c r="U8" s="70"/>
      <c r="V8" s="70"/>
      <c r="X8" s="70" t="s">
        <v>35</v>
      </c>
      <c r="Y8" s="70"/>
      <c r="Z8" s="70"/>
      <c r="AA8" s="70"/>
      <c r="AB8" s="70"/>
    </row>
    <row r="9" spans="1:29" ht="45" x14ac:dyDescent="0.25">
      <c r="A9" s="9"/>
      <c r="B9" s="32" t="s">
        <v>0</v>
      </c>
      <c r="C9" s="33" t="s">
        <v>10</v>
      </c>
      <c r="D9" s="32" t="s">
        <v>11</v>
      </c>
      <c r="E9" s="32" t="s">
        <v>23</v>
      </c>
      <c r="F9" s="34"/>
      <c r="G9" s="34" t="s">
        <v>36</v>
      </c>
      <c r="H9" s="35" t="s">
        <v>37</v>
      </c>
      <c r="I9" s="36" t="s">
        <v>4</v>
      </c>
      <c r="J9" s="37" t="s">
        <v>38</v>
      </c>
      <c r="K9" s="38" t="s">
        <v>7</v>
      </c>
      <c r="M9" s="9"/>
      <c r="N9" s="32" t="s">
        <v>0</v>
      </c>
      <c r="O9" s="39" t="s">
        <v>17</v>
      </c>
      <c r="P9" s="32" t="s">
        <v>11</v>
      </c>
      <c r="Q9" s="32" t="s">
        <v>23</v>
      </c>
      <c r="R9" s="35"/>
      <c r="S9" s="9"/>
      <c r="T9" s="32" t="s">
        <v>0</v>
      </c>
      <c r="U9" s="39" t="s">
        <v>17</v>
      </c>
      <c r="V9" s="32" t="s">
        <v>11</v>
      </c>
      <c r="W9" s="32" t="s">
        <v>23</v>
      </c>
      <c r="X9" s="35"/>
      <c r="Y9" s="9"/>
      <c r="Z9" s="32" t="s">
        <v>0</v>
      </c>
      <c r="AA9" s="39" t="s">
        <v>17</v>
      </c>
      <c r="AB9" s="32" t="s">
        <v>11</v>
      </c>
      <c r="AC9" s="32" t="s">
        <v>23</v>
      </c>
    </row>
    <row r="10" spans="1:29" x14ac:dyDescent="0.25">
      <c r="A10" s="57" t="s">
        <v>13</v>
      </c>
      <c r="B10" s="40">
        <v>1</v>
      </c>
      <c r="C10" s="41">
        <v>44.746301020408161</v>
      </c>
      <c r="D10" s="77">
        <v>43.074183273542417</v>
      </c>
      <c r="E10" s="77">
        <v>1.0602972098931103</v>
      </c>
      <c r="F10" s="42"/>
      <c r="G10" s="42">
        <f>C10/100</f>
        <v>0.44746301020408163</v>
      </c>
      <c r="H10" s="29">
        <f>1-G10</f>
        <v>0.55253698979591837</v>
      </c>
      <c r="I10" s="30">
        <v>3.5</v>
      </c>
      <c r="J10" s="30">
        <v>1.9338794642857144</v>
      </c>
      <c r="K10" s="30">
        <v>1.5661205357142856</v>
      </c>
      <c r="M10" s="57" t="s">
        <v>13</v>
      </c>
      <c r="N10" s="40">
        <v>1</v>
      </c>
      <c r="O10" s="43">
        <v>6.8598561151079123</v>
      </c>
      <c r="P10" s="74">
        <f>AVERAGE(O10:O12,O14:O15)</f>
        <v>6.4258992805755382</v>
      </c>
      <c r="Q10" s="77">
        <f>STDEV(O10:O12,O14:O15)/SQRT(5)</f>
        <v>0.13876845620177303</v>
      </c>
      <c r="S10" s="57" t="s">
        <v>13</v>
      </c>
      <c r="T10" s="40">
        <v>1</v>
      </c>
      <c r="U10" s="30">
        <v>12.133333333333333</v>
      </c>
      <c r="V10" s="74">
        <f>AVERAGE(U10:U15)</f>
        <v>10.705982905982905</v>
      </c>
      <c r="W10" s="77">
        <f>STDEV(U10:U15)/SQRT(6)</f>
        <v>0.63164648422085534</v>
      </c>
      <c r="Y10" s="57" t="s">
        <v>13</v>
      </c>
      <c r="Z10" s="40">
        <v>1</v>
      </c>
      <c r="AA10" s="45">
        <f>(O10-(U10*H10))/G10</f>
        <v>0.3480525437094899</v>
      </c>
      <c r="AB10" s="74">
        <f>AVERAGE(AA11,AA13:AA15)</f>
        <v>2.7643707098464612</v>
      </c>
      <c r="AC10" s="74">
        <f>STDEV(AA11,AA13:AA15)/SQRT(4)</f>
        <v>0.56506941251677734</v>
      </c>
    </row>
    <row r="11" spans="1:29" x14ac:dyDescent="0.25">
      <c r="A11" s="58"/>
      <c r="B11" s="34">
        <v>2</v>
      </c>
      <c r="C11" s="44">
        <v>43.533097359210949</v>
      </c>
      <c r="D11" s="78"/>
      <c r="E11" s="78"/>
      <c r="F11" s="42"/>
      <c r="G11" s="42">
        <f t="shared" ref="G11:G33" si="0">C11/100</f>
        <v>0.43533097359210948</v>
      </c>
      <c r="H11" s="29">
        <f t="shared" ref="H11:H33" si="1">1-G11</f>
        <v>0.56466902640789052</v>
      </c>
      <c r="I11" s="30">
        <v>5.6124999999999998</v>
      </c>
      <c r="J11" s="30">
        <v>3.1692049107142855</v>
      </c>
      <c r="K11" s="30">
        <v>2.4432950892857144</v>
      </c>
      <c r="M11" s="58"/>
      <c r="N11" s="34">
        <v>2</v>
      </c>
      <c r="O11" s="43">
        <v>6.1922302158273359</v>
      </c>
      <c r="P11" s="80"/>
      <c r="Q11" s="78"/>
      <c r="S11" s="58"/>
      <c r="T11" s="34">
        <v>2</v>
      </c>
      <c r="U11" s="30">
        <v>8.5435897435897417</v>
      </c>
      <c r="V11" s="80"/>
      <c r="W11" s="78"/>
      <c r="Y11" s="58"/>
      <c r="Z11" s="34">
        <v>2</v>
      </c>
      <c r="AA11" s="45">
        <f>(O11-(U11*H11))/G11</f>
        <v>3.1422751797297606</v>
      </c>
      <c r="AB11" s="75"/>
      <c r="AC11" s="75"/>
    </row>
    <row r="12" spans="1:29" x14ac:dyDescent="0.25">
      <c r="A12" s="58"/>
      <c r="B12" s="46">
        <v>3</v>
      </c>
      <c r="C12" s="44">
        <v>41.033724570623889</v>
      </c>
      <c r="D12" s="78"/>
      <c r="E12" s="78"/>
      <c r="F12" s="42"/>
      <c r="G12" s="42">
        <f t="shared" si="0"/>
        <v>0.41033724570623886</v>
      </c>
      <c r="H12" s="29">
        <f t="shared" si="1"/>
        <v>0.58966275429376114</v>
      </c>
      <c r="I12" s="30">
        <v>6.4556818181818185</v>
      </c>
      <c r="J12" s="30">
        <v>3.8066751217532468</v>
      </c>
      <c r="K12" s="30">
        <v>2.6490066964285717</v>
      </c>
      <c r="M12" s="58"/>
      <c r="N12" s="46">
        <v>3</v>
      </c>
      <c r="O12" s="54">
        <v>6.233956834532373</v>
      </c>
      <c r="P12" s="80"/>
      <c r="Q12" s="78"/>
      <c r="S12" s="58"/>
      <c r="T12" s="46">
        <v>3</v>
      </c>
      <c r="U12" s="30">
        <v>12.492307692307691</v>
      </c>
      <c r="V12" s="80"/>
      <c r="W12" s="78"/>
      <c r="Y12" s="58"/>
      <c r="Z12" s="46">
        <v>3</v>
      </c>
      <c r="AA12" s="45">
        <f t="shared" ref="AA12:AA21" si="2">(O12-(U12*H12))/G12</f>
        <v>-2.7594173783813152</v>
      </c>
      <c r="AB12" s="75"/>
      <c r="AC12" s="75"/>
    </row>
    <row r="13" spans="1:29" x14ac:dyDescent="0.25">
      <c r="A13" s="58"/>
      <c r="B13" s="34">
        <v>4</v>
      </c>
      <c r="C13" s="44">
        <v>39.036605228224239</v>
      </c>
      <c r="D13" s="78"/>
      <c r="E13" s="78"/>
      <c r="F13" s="42"/>
      <c r="G13" s="42">
        <f t="shared" si="0"/>
        <v>0.39036605228224242</v>
      </c>
      <c r="H13" s="29">
        <f t="shared" si="1"/>
        <v>0.60963394771775758</v>
      </c>
      <c r="I13" s="30">
        <v>4.7693181818181811</v>
      </c>
      <c r="J13" s="30">
        <v>2.907538271103896</v>
      </c>
      <c r="K13" s="30">
        <v>1.8617799107142852</v>
      </c>
      <c r="M13" s="58"/>
      <c r="N13" s="34">
        <v>4</v>
      </c>
      <c r="O13" s="54">
        <v>8.3620143884892073</v>
      </c>
      <c r="P13" s="80"/>
      <c r="Q13" s="78"/>
      <c r="S13" s="58"/>
      <c r="T13" s="34">
        <v>4</v>
      </c>
      <c r="U13" s="30">
        <v>11.133333333333333</v>
      </c>
      <c r="V13" s="80"/>
      <c r="W13" s="78"/>
      <c r="Y13" s="58"/>
      <c r="Z13" s="34">
        <v>4</v>
      </c>
      <c r="AA13" s="45">
        <f t="shared" si="2"/>
        <v>4.03405067634551</v>
      </c>
      <c r="AB13" s="75"/>
      <c r="AC13" s="75"/>
    </row>
    <row r="14" spans="1:29" x14ac:dyDescent="0.25">
      <c r="A14" s="58"/>
      <c r="B14" s="34">
        <v>5</v>
      </c>
      <c r="C14" s="44">
        <v>46.281026785714275</v>
      </c>
      <c r="D14" s="78"/>
      <c r="E14" s="78"/>
      <c r="F14" s="42"/>
      <c r="G14" s="42">
        <f t="shared" si="0"/>
        <v>0.46281026785714274</v>
      </c>
      <c r="H14" s="29">
        <f t="shared" si="1"/>
        <v>0.53718973214285726</v>
      </c>
      <c r="I14" s="30">
        <v>7.2727272727272734</v>
      </c>
      <c r="J14" s="30">
        <v>3.9068344155844166</v>
      </c>
      <c r="K14" s="30">
        <v>3.3658928571428568</v>
      </c>
      <c r="M14" s="58"/>
      <c r="N14" s="34">
        <v>5</v>
      </c>
      <c r="O14" s="54">
        <v>6.1922302158273359</v>
      </c>
      <c r="P14" s="80"/>
      <c r="Q14" s="78"/>
      <c r="S14" s="58"/>
      <c r="T14" s="34">
        <v>5</v>
      </c>
      <c r="U14" s="30">
        <v>9.3384615384615373</v>
      </c>
      <c r="V14" s="80"/>
      <c r="W14" s="78"/>
      <c r="Y14" s="58"/>
      <c r="Z14" s="34">
        <v>5</v>
      </c>
      <c r="AA14" s="45">
        <f t="shared" si="2"/>
        <v>2.540359721918954</v>
      </c>
      <c r="AB14" s="75"/>
      <c r="AC14" s="75"/>
    </row>
    <row r="15" spans="1:29" x14ac:dyDescent="0.25">
      <c r="A15" s="59"/>
      <c r="B15" s="47">
        <v>6</v>
      </c>
      <c r="C15" s="48">
        <v>42.615269187873892</v>
      </c>
      <c r="D15" s="79"/>
      <c r="E15" s="79"/>
      <c r="F15" s="49">
        <f>E10/D10*100</f>
        <v>2.4615607988657553</v>
      </c>
      <c r="G15" s="42">
        <f t="shared" si="0"/>
        <v>0.42615269187873894</v>
      </c>
      <c r="H15" s="29">
        <f t="shared" si="1"/>
        <v>0.57384730812126106</v>
      </c>
      <c r="I15" s="30">
        <v>4.0028409090909092</v>
      </c>
      <c r="J15" s="30">
        <v>2.2970194805194799</v>
      </c>
      <c r="K15" s="30">
        <v>1.7058214285714293</v>
      </c>
      <c r="M15" s="59"/>
      <c r="N15" s="47">
        <v>6</v>
      </c>
      <c r="O15" s="54">
        <v>6.6512230215827328</v>
      </c>
      <c r="P15" s="81"/>
      <c r="Q15" s="79"/>
      <c r="R15" s="50"/>
      <c r="S15" s="59"/>
      <c r="T15" s="47">
        <v>6</v>
      </c>
      <c r="U15" s="30">
        <v>10.594871794871795</v>
      </c>
      <c r="V15" s="81"/>
      <c r="W15" s="79"/>
      <c r="X15" s="50"/>
      <c r="Y15" s="59"/>
      <c r="Z15" s="47">
        <v>6</v>
      </c>
      <c r="AA15" s="45">
        <f t="shared" si="2"/>
        <v>1.3407972613916195</v>
      </c>
      <c r="AB15" s="76"/>
      <c r="AC15" s="76"/>
    </row>
    <row r="16" spans="1:29" x14ac:dyDescent="0.25">
      <c r="A16" s="58" t="s">
        <v>14</v>
      </c>
      <c r="B16" s="31">
        <v>7</v>
      </c>
      <c r="C16" s="30">
        <v>48.317194046000594</v>
      </c>
      <c r="D16" s="78">
        <v>45.678916605917237</v>
      </c>
      <c r="E16" s="78">
        <v>0.88235105616071308</v>
      </c>
      <c r="F16" s="42"/>
      <c r="G16" s="42">
        <f t="shared" si="0"/>
        <v>0.48317194046000594</v>
      </c>
      <c r="H16" s="29">
        <f t="shared" si="1"/>
        <v>0.51682805953999411</v>
      </c>
      <c r="I16" s="30">
        <v>7.8015151515151517</v>
      </c>
      <c r="J16" s="30">
        <v>4.0320419372294385</v>
      </c>
      <c r="K16" s="30">
        <v>3.7694732142857137</v>
      </c>
      <c r="M16" s="58" t="s">
        <v>14</v>
      </c>
      <c r="N16" s="31">
        <v>7</v>
      </c>
      <c r="O16" s="54">
        <v>6.8181294964028769</v>
      </c>
      <c r="P16" s="74">
        <f>AVERAGE(O16,O18:O21)</f>
        <v>6.8264748201438836</v>
      </c>
      <c r="Q16" s="77">
        <f>STDEV(O16,O18:O21)/SQRT(5)</f>
        <v>0.1261497200797406</v>
      </c>
      <c r="R16" s="50"/>
      <c r="S16" s="58" t="s">
        <v>14</v>
      </c>
      <c r="T16" s="31">
        <v>7</v>
      </c>
      <c r="U16" s="30">
        <v>11.569230769230769</v>
      </c>
      <c r="V16" s="74">
        <f t="shared" ref="V16" si="3">AVERAGE(U16:U21)</f>
        <v>10.41111111111111</v>
      </c>
      <c r="W16" s="77">
        <f t="shared" ref="W16" si="4">STDEV(U16:U21)/SQRT(6)</f>
        <v>0.33191127739583065</v>
      </c>
      <c r="X16" s="50"/>
      <c r="Y16" s="58" t="s">
        <v>14</v>
      </c>
      <c r="Z16" s="31">
        <v>7</v>
      </c>
      <c r="AA16" s="45">
        <f t="shared" si="2"/>
        <v>1.7360826184822256</v>
      </c>
      <c r="AB16" s="74">
        <f>AVERAGE(AA18:AA21,AA16)</f>
        <v>2.7508154989253391</v>
      </c>
      <c r="AC16" s="74">
        <f>STDEV(AA18:AA21,AA16)/SQRT(5)</f>
        <v>0.32350994995633758</v>
      </c>
    </row>
    <row r="17" spans="1:29" x14ac:dyDescent="0.25">
      <c r="A17" s="58"/>
      <c r="B17" s="31">
        <v>8</v>
      </c>
      <c r="C17" s="30">
        <v>44.93</v>
      </c>
      <c r="D17" s="78"/>
      <c r="E17" s="78"/>
      <c r="F17" s="42"/>
      <c r="G17" s="42">
        <f t="shared" si="0"/>
        <v>0.44929999999999998</v>
      </c>
      <c r="H17" s="29">
        <f t="shared" si="1"/>
        <v>0.55069999999999997</v>
      </c>
      <c r="I17" s="30">
        <v>5.5750000000000002</v>
      </c>
      <c r="J17" s="30">
        <v>3.0285223214285719</v>
      </c>
      <c r="K17" s="30">
        <v>2.5464776785714283</v>
      </c>
      <c r="M17" s="58"/>
      <c r="N17" s="31">
        <v>8</v>
      </c>
      <c r="O17" s="54">
        <v>4.7735251798561151</v>
      </c>
      <c r="P17" s="80"/>
      <c r="Q17" s="78"/>
      <c r="R17" s="50"/>
      <c r="S17" s="58"/>
      <c r="T17" s="31">
        <v>8</v>
      </c>
      <c r="U17" s="30">
        <v>10.62051282051282</v>
      </c>
      <c r="V17" s="80"/>
      <c r="W17" s="78"/>
      <c r="X17" s="50"/>
      <c r="Y17" s="58"/>
      <c r="Z17" s="31">
        <v>8</v>
      </c>
      <c r="AA17" s="45">
        <f t="shared" si="2"/>
        <v>-2.3930363463171482</v>
      </c>
      <c r="AB17" s="75"/>
      <c r="AC17" s="75"/>
    </row>
    <row r="18" spans="1:29" x14ac:dyDescent="0.25">
      <c r="A18" s="58"/>
      <c r="B18" s="31">
        <v>9</v>
      </c>
      <c r="C18" s="30">
        <v>43.526512872533921</v>
      </c>
      <c r="D18" s="78"/>
      <c r="E18" s="78"/>
      <c r="F18" s="42"/>
      <c r="G18" s="42">
        <f t="shared" si="0"/>
        <v>0.43526512872533923</v>
      </c>
      <c r="H18" s="29">
        <f t="shared" si="1"/>
        <v>0.56473487127466071</v>
      </c>
      <c r="I18" s="30">
        <v>8.5083333333333329</v>
      </c>
      <c r="J18" s="30">
        <v>4.8049525297619056</v>
      </c>
      <c r="K18" s="30">
        <v>3.7033808035714277</v>
      </c>
      <c r="M18" s="58"/>
      <c r="N18" s="31">
        <v>9</v>
      </c>
      <c r="O18" s="54">
        <v>7.0267625899280564</v>
      </c>
      <c r="P18" s="80"/>
      <c r="Q18" s="78"/>
      <c r="R18" s="50"/>
      <c r="S18" s="58"/>
      <c r="T18" s="31">
        <v>9</v>
      </c>
      <c r="U18" s="30">
        <v>10.517948717948716</v>
      </c>
      <c r="V18" s="80"/>
      <c r="W18" s="78"/>
      <c r="X18" s="50"/>
      <c r="Y18" s="58"/>
      <c r="Z18" s="31">
        <v>9</v>
      </c>
      <c r="AA18" s="45">
        <f t="shared" si="2"/>
        <v>2.4971221053402308</v>
      </c>
      <c r="AB18" s="75"/>
      <c r="AC18" s="75"/>
    </row>
    <row r="19" spans="1:29" x14ac:dyDescent="0.25">
      <c r="A19" s="58"/>
      <c r="B19" s="31">
        <v>10</v>
      </c>
      <c r="C19" s="30">
        <v>46.103333173698566</v>
      </c>
      <c r="D19" s="78"/>
      <c r="E19" s="78"/>
      <c r="F19" s="42"/>
      <c r="G19" s="42">
        <f t="shared" si="0"/>
        <v>0.46103333173698569</v>
      </c>
      <c r="H19" s="29">
        <f t="shared" si="1"/>
        <v>0.53896666826301431</v>
      </c>
      <c r="I19" s="30">
        <v>10.169318181818182</v>
      </c>
      <c r="J19" s="30">
        <v>5.48092353896104</v>
      </c>
      <c r="K19" s="30">
        <v>4.6883946428571424</v>
      </c>
      <c r="M19" s="58"/>
      <c r="N19" s="31">
        <v>10</v>
      </c>
      <c r="O19" s="54">
        <v>7.0684892086330917</v>
      </c>
      <c r="P19" s="80"/>
      <c r="Q19" s="78"/>
      <c r="R19" s="50"/>
      <c r="S19" s="58"/>
      <c r="T19" s="31">
        <v>10</v>
      </c>
      <c r="U19" s="30">
        <v>10.697435897435897</v>
      </c>
      <c r="V19" s="80"/>
      <c r="W19" s="78"/>
      <c r="X19" s="50"/>
      <c r="Y19" s="58"/>
      <c r="Z19" s="31">
        <v>10</v>
      </c>
      <c r="AA19" s="45">
        <f t="shared" si="2"/>
        <v>2.8261033082488778</v>
      </c>
      <c r="AB19" s="75"/>
      <c r="AC19" s="75"/>
    </row>
    <row r="20" spans="1:29" x14ac:dyDescent="0.25">
      <c r="A20" s="58"/>
      <c r="B20" s="31">
        <v>11</v>
      </c>
      <c r="C20" s="30">
        <v>49.235571988429591</v>
      </c>
      <c r="D20" s="78"/>
      <c r="E20" s="78"/>
      <c r="F20" s="42"/>
      <c r="G20" s="42">
        <f t="shared" si="0"/>
        <v>0.49235571988429588</v>
      </c>
      <c r="H20" s="29">
        <f t="shared" si="1"/>
        <v>0.50764428011570417</v>
      </c>
      <c r="I20" s="30">
        <v>5.799242424242423</v>
      </c>
      <c r="J20" s="30">
        <v>2.9439522456709954</v>
      </c>
      <c r="K20" s="30">
        <v>2.8552901785714275</v>
      </c>
      <c r="M20" s="58"/>
      <c r="N20" s="31">
        <v>11</v>
      </c>
      <c r="O20" s="54">
        <v>6.8598561151079123</v>
      </c>
      <c r="P20" s="80"/>
      <c r="Q20" s="78"/>
      <c r="R20" s="50"/>
      <c r="S20" s="58"/>
      <c r="T20" s="31">
        <v>11</v>
      </c>
      <c r="U20" s="30">
        <v>9.9025641025641011</v>
      </c>
      <c r="V20" s="80"/>
      <c r="W20" s="78"/>
      <c r="X20" s="50"/>
      <c r="Y20" s="58"/>
      <c r="Z20" s="31">
        <v>11</v>
      </c>
      <c r="AA20" s="45">
        <f t="shared" si="2"/>
        <v>3.7226663892375877</v>
      </c>
      <c r="AB20" s="75"/>
      <c r="AC20" s="75"/>
    </row>
    <row r="21" spans="1:29" x14ac:dyDescent="0.25">
      <c r="A21" s="59"/>
      <c r="B21" s="47">
        <v>12</v>
      </c>
      <c r="C21" s="48">
        <v>45.254500038135902</v>
      </c>
      <c r="D21" s="79"/>
      <c r="E21" s="79"/>
      <c r="F21" s="49">
        <f>E16/D16*100</f>
        <v>1.9316374417829636</v>
      </c>
      <c r="G21" s="42">
        <f t="shared" si="0"/>
        <v>0.45254500038135903</v>
      </c>
      <c r="H21" s="29">
        <f t="shared" si="1"/>
        <v>0.54745499961864097</v>
      </c>
      <c r="I21" s="30">
        <v>7.0946969696969706</v>
      </c>
      <c r="J21" s="30">
        <v>3.8840273268398282</v>
      </c>
      <c r="K21" s="30">
        <v>3.2106696428571424</v>
      </c>
      <c r="M21" s="59"/>
      <c r="N21" s="47">
        <v>12</v>
      </c>
      <c r="O21" s="54">
        <v>6.35913669064748</v>
      </c>
      <c r="P21" s="81"/>
      <c r="Q21" s="79"/>
      <c r="R21" s="50"/>
      <c r="S21" s="59"/>
      <c r="T21" s="47">
        <v>12</v>
      </c>
      <c r="U21" s="30">
        <v>9.1589743589743584</v>
      </c>
      <c r="V21" s="81"/>
      <c r="W21" s="79"/>
      <c r="X21" s="50"/>
      <c r="Y21" s="59"/>
      <c r="Z21" s="47">
        <v>12</v>
      </c>
      <c r="AA21" s="45">
        <f t="shared" si="2"/>
        <v>2.9721030733177738</v>
      </c>
      <c r="AB21" s="76"/>
      <c r="AC21" s="76"/>
    </row>
    <row r="22" spans="1:29" x14ac:dyDescent="0.25">
      <c r="A22" s="58" t="s">
        <v>15</v>
      </c>
      <c r="B22" s="31">
        <v>13</v>
      </c>
      <c r="C22" s="51">
        <v>42.7</v>
      </c>
      <c r="D22" s="78">
        <v>42.701088315301497</v>
      </c>
      <c r="E22" s="78">
        <v>1.8286396575371444</v>
      </c>
      <c r="F22" s="42"/>
      <c r="G22" s="42">
        <f t="shared" si="0"/>
        <v>0.42700000000000005</v>
      </c>
      <c r="H22" s="29">
        <f t="shared" si="1"/>
        <v>0.57299999999999995</v>
      </c>
      <c r="I22" s="30">
        <v>5.9185606060606055</v>
      </c>
      <c r="J22" s="30">
        <v>3.6181525703463202</v>
      </c>
      <c r="K22" s="30">
        <v>2.3004080357142853</v>
      </c>
      <c r="M22" s="58" t="s">
        <v>15</v>
      </c>
      <c r="N22" s="31">
        <v>13</v>
      </c>
      <c r="O22" s="53">
        <v>6.7346762589928035</v>
      </c>
      <c r="P22" s="74">
        <f>AVERAGE(O22,O24:O27)</f>
        <v>6.3090647482014379</v>
      </c>
      <c r="Q22" s="77">
        <f>STDEV(O22,O24:O27)/SQRT(5)</f>
        <v>0.31040790359051595</v>
      </c>
      <c r="R22" s="50"/>
      <c r="S22" s="58" t="s">
        <v>15</v>
      </c>
      <c r="T22" s="31">
        <v>13</v>
      </c>
      <c r="U22" s="30">
        <v>11.774358974358975</v>
      </c>
      <c r="V22" s="74">
        <f>AVERAGE(U22:U27)</f>
        <v>10.842735042735043</v>
      </c>
      <c r="W22" s="77">
        <f t="shared" ref="W22" si="5">STDEV(U22:U27)/SQRT(6)</f>
        <v>0.56206573483611388</v>
      </c>
      <c r="X22" s="50"/>
      <c r="Y22" s="58" t="s">
        <v>15</v>
      </c>
      <c r="Z22" s="31">
        <v>13</v>
      </c>
      <c r="AA22" s="45">
        <f>(O22-(U22*H22))/G22</f>
        <v>-2.8176658817068656E-2</v>
      </c>
      <c r="AB22" s="74">
        <f>AVERAGE(AA24:AA25,AA27,AA22)</f>
        <v>0.32962888154730391</v>
      </c>
      <c r="AC22" s="74">
        <f>STDEV(AA24:AA25,AA27,AA22)/SQRT(5)</f>
        <v>0.26965320496696504</v>
      </c>
    </row>
    <row r="23" spans="1:29" x14ac:dyDescent="0.25">
      <c r="A23" s="58"/>
      <c r="B23" s="31">
        <v>14</v>
      </c>
      <c r="C23" s="30">
        <v>39.399680607669076</v>
      </c>
      <c r="D23" s="78"/>
      <c r="E23" s="78"/>
      <c r="F23" s="42"/>
      <c r="G23" s="42">
        <f t="shared" si="0"/>
        <v>0.39399680607669074</v>
      </c>
      <c r="H23" s="29">
        <f t="shared" si="1"/>
        <v>0.60600319392330926</v>
      </c>
      <c r="I23" s="30">
        <v>5.9128787878787872</v>
      </c>
      <c r="J23" s="30">
        <v>3.5832234307359303</v>
      </c>
      <c r="K23" s="30">
        <v>2.3296553571428569</v>
      </c>
      <c r="M23" s="58"/>
      <c r="N23" s="31">
        <v>14</v>
      </c>
      <c r="O23" s="53">
        <v>8.1533812949640261</v>
      </c>
      <c r="P23" s="80"/>
      <c r="Q23" s="78"/>
      <c r="R23" s="50"/>
      <c r="S23" s="58"/>
      <c r="T23" s="31">
        <v>14</v>
      </c>
      <c r="U23" s="30">
        <v>10.21025641025641</v>
      </c>
      <c r="V23" s="80"/>
      <c r="W23" s="78"/>
      <c r="X23" s="50"/>
      <c r="Y23" s="58"/>
      <c r="Z23" s="31">
        <v>14</v>
      </c>
      <c r="AA23" s="45">
        <f>(O23-(U23*H23))/G23</f>
        <v>4.9897188739901468</v>
      </c>
      <c r="AB23" s="75"/>
      <c r="AC23" s="75"/>
    </row>
    <row r="24" spans="1:29" x14ac:dyDescent="0.25">
      <c r="A24" s="58"/>
      <c r="B24" s="31">
        <v>15</v>
      </c>
      <c r="C24" s="30">
        <v>48.354132172384432</v>
      </c>
      <c r="D24" s="78"/>
      <c r="E24" s="78"/>
      <c r="F24" s="42"/>
      <c r="G24" s="42">
        <f t="shared" si="0"/>
        <v>0.48354132172384434</v>
      </c>
      <c r="H24" s="29">
        <f t="shared" si="1"/>
        <v>0.51645867827615566</v>
      </c>
      <c r="I24" s="30">
        <v>4.9251893939393936</v>
      </c>
      <c r="J24" s="30">
        <v>2.5436568046536796</v>
      </c>
      <c r="K24" s="30">
        <v>2.381532589285714</v>
      </c>
      <c r="M24" s="58"/>
      <c r="N24" s="31">
        <v>15</v>
      </c>
      <c r="O24" s="53">
        <v>6.7764028776978407</v>
      </c>
      <c r="P24" s="80"/>
      <c r="Q24" s="78"/>
      <c r="R24" s="50"/>
      <c r="S24" s="58"/>
      <c r="T24" s="31">
        <v>15</v>
      </c>
      <c r="U24" s="30">
        <v>13.133333333333333</v>
      </c>
      <c r="V24" s="80"/>
      <c r="W24" s="78"/>
      <c r="X24" s="50"/>
      <c r="Y24" s="58"/>
      <c r="Z24" s="31">
        <v>15</v>
      </c>
      <c r="AA24" s="45">
        <f t="shared" ref="AA24:AA27" si="6">(O24-(U24*H24))/G24</f>
        <v>-1.3279313901815585E-2</v>
      </c>
      <c r="AB24" s="75"/>
      <c r="AC24" s="75"/>
    </row>
    <row r="25" spans="1:29" x14ac:dyDescent="0.25">
      <c r="A25" s="58"/>
      <c r="B25" s="31">
        <v>16</v>
      </c>
      <c r="C25" s="30">
        <v>40.521326610207254</v>
      </c>
      <c r="D25" s="78"/>
      <c r="E25" s="78"/>
      <c r="F25" s="42"/>
      <c r="G25" s="42">
        <f t="shared" si="0"/>
        <v>0.40521326610207253</v>
      </c>
      <c r="H25" s="29">
        <f t="shared" si="1"/>
        <v>0.59478673389792747</v>
      </c>
      <c r="I25" s="30">
        <v>4.8560606060606055</v>
      </c>
      <c r="J25" s="30">
        <v>2.8883204274891776</v>
      </c>
      <c r="K25" s="30">
        <v>1.9677401785714277</v>
      </c>
      <c r="M25" s="58"/>
      <c r="N25" s="31">
        <v>16</v>
      </c>
      <c r="O25" s="53">
        <v>6.0670503597122289</v>
      </c>
      <c r="P25" s="80"/>
      <c r="Q25" s="78"/>
      <c r="R25" s="50"/>
      <c r="S25" s="58"/>
      <c r="T25" s="31">
        <v>16</v>
      </c>
      <c r="U25" s="30">
        <v>9.3641025641025628</v>
      </c>
      <c r="V25" s="80"/>
      <c r="W25" s="78"/>
      <c r="X25" s="50"/>
      <c r="Y25" s="58"/>
      <c r="Z25" s="31">
        <v>16</v>
      </c>
      <c r="AA25" s="45">
        <f t="shared" si="6"/>
        <v>1.2275175107400409</v>
      </c>
      <c r="AB25" s="75"/>
      <c r="AC25" s="75"/>
    </row>
    <row r="26" spans="1:29" x14ac:dyDescent="0.25">
      <c r="A26" s="58"/>
      <c r="B26" s="31">
        <v>17</v>
      </c>
      <c r="C26" s="30">
        <v>44.880850020395727</v>
      </c>
      <c r="D26" s="78"/>
      <c r="E26" s="78"/>
      <c r="F26" s="42"/>
      <c r="G26" s="42">
        <f t="shared" si="0"/>
        <v>0.44880850020395724</v>
      </c>
      <c r="H26" s="29">
        <f t="shared" si="1"/>
        <v>0.55119149979604276</v>
      </c>
      <c r="I26" s="30">
        <v>5.9032196969696971</v>
      </c>
      <c r="J26" s="30">
        <v>3.2538045183982685</v>
      </c>
      <c r="K26" s="30">
        <v>2.6494151785714286</v>
      </c>
      <c r="M26" s="58"/>
      <c r="N26" s="31">
        <v>17</v>
      </c>
      <c r="O26" s="53">
        <v>6.7764028776978407</v>
      </c>
      <c r="P26" s="80"/>
      <c r="Q26" s="78"/>
      <c r="R26" s="50"/>
      <c r="S26" s="58"/>
      <c r="T26" s="31">
        <v>17</v>
      </c>
      <c r="U26" s="30">
        <v>10.569230769230769</v>
      </c>
      <c r="V26" s="80"/>
      <c r="W26" s="78"/>
      <c r="X26" s="50"/>
      <c r="Y26" s="58"/>
      <c r="Z26" s="31">
        <v>17</v>
      </c>
      <c r="AA26" s="45">
        <f t="shared" si="6"/>
        <v>2.1183482885974709</v>
      </c>
      <c r="AB26" s="75"/>
      <c r="AC26" s="75"/>
    </row>
    <row r="27" spans="1:29" x14ac:dyDescent="0.25">
      <c r="A27" s="59"/>
      <c r="B27" s="47">
        <v>18</v>
      </c>
      <c r="C27" s="48">
        <v>48.764263181613352</v>
      </c>
      <c r="D27" s="79"/>
      <c r="E27" s="79"/>
      <c r="F27" s="49">
        <f>E22/D22*100</f>
        <v>4.2824193239165522</v>
      </c>
      <c r="G27" s="42">
        <f t="shared" si="0"/>
        <v>0.48764263181613354</v>
      </c>
      <c r="H27" s="29">
        <f t="shared" si="1"/>
        <v>0.51235736818386646</v>
      </c>
      <c r="I27" s="30">
        <v>6.604166666666667</v>
      </c>
      <c r="J27" s="30">
        <v>3.3836934523809519</v>
      </c>
      <c r="K27" s="30">
        <v>3.2204732142857151</v>
      </c>
      <c r="M27" s="59"/>
      <c r="N27" s="47">
        <v>18</v>
      </c>
      <c r="O27" s="53">
        <v>5.1907913669064731</v>
      </c>
      <c r="P27" s="81"/>
      <c r="Q27" s="79"/>
      <c r="R27" s="50"/>
      <c r="S27" s="59"/>
      <c r="T27" s="47">
        <v>18</v>
      </c>
      <c r="U27" s="30">
        <v>10.005128205128203</v>
      </c>
      <c r="V27" s="81"/>
      <c r="W27" s="79"/>
      <c r="X27" s="50"/>
      <c r="Y27" s="59"/>
      <c r="Z27" s="47">
        <v>18</v>
      </c>
      <c r="AA27" s="45">
        <f t="shared" si="6"/>
        <v>0.13245398816805912</v>
      </c>
      <c r="AB27" s="76"/>
      <c r="AC27" s="76"/>
    </row>
    <row r="28" spans="1:29" x14ac:dyDescent="0.25">
      <c r="A28" s="58" t="s">
        <v>16</v>
      </c>
      <c r="B28" s="34">
        <v>19</v>
      </c>
      <c r="C28" s="44">
        <v>46.455273453502663</v>
      </c>
      <c r="D28" s="78">
        <v>43.794161033978803</v>
      </c>
      <c r="E28" s="78">
        <v>0.74631027885084478</v>
      </c>
      <c r="F28" s="42"/>
      <c r="G28" s="42">
        <f t="shared" si="0"/>
        <v>0.46455273453502666</v>
      </c>
      <c r="H28" s="29">
        <f t="shared" si="1"/>
        <v>0.53544726546497334</v>
      </c>
      <c r="I28" s="30">
        <v>9.2462121212121229</v>
      </c>
      <c r="J28" s="30">
        <v>4.9508589962121219</v>
      </c>
      <c r="K28" s="30">
        <v>4.295353125000001</v>
      </c>
      <c r="M28" s="58" t="s">
        <v>16</v>
      </c>
      <c r="N28" s="34">
        <v>19</v>
      </c>
      <c r="O28" s="53">
        <v>6.1505035971222997</v>
      </c>
      <c r="P28" s="74">
        <f>AVERAGE(O26:O31)</f>
        <v>5.9279616306954424</v>
      </c>
      <c r="Q28" s="77">
        <f>STDEV(O26:O31)/SQRT(6)</f>
        <v>0.37331787980566167</v>
      </c>
      <c r="R28" s="50"/>
      <c r="S28" s="58" t="s">
        <v>16</v>
      </c>
      <c r="T28" s="34">
        <v>19</v>
      </c>
      <c r="U28" s="30">
        <v>10.671794871794871</v>
      </c>
      <c r="V28" s="74">
        <f>AVERAGE(U28:U32)</f>
        <v>10.902564102564101</v>
      </c>
      <c r="W28" s="77">
        <f>STDEV(U28:U32)/SQRT(5)</f>
        <v>0.64363571191439217</v>
      </c>
      <c r="X28" s="50"/>
      <c r="Y28" s="58" t="s">
        <v>16</v>
      </c>
      <c r="Z28" s="34">
        <v>19</v>
      </c>
      <c r="AA28" s="45">
        <f t="shared" ref="AA28:AA33" si="7">(O26-(U28*H28))/G28</f>
        <v>2.2865423385255332</v>
      </c>
      <c r="AB28" s="74">
        <f>AVERAGE(AA30:AA33,AA28)</f>
        <v>-0.5266845354037939</v>
      </c>
      <c r="AC28" s="74">
        <f>STDEV(AA30:AA33,AA28)/SQRT(5)</f>
        <v>0.96299560178950072</v>
      </c>
    </row>
    <row r="29" spans="1:29" x14ac:dyDescent="0.25">
      <c r="A29" s="58"/>
      <c r="B29" s="34">
        <v>20</v>
      </c>
      <c r="C29" s="44">
        <v>46.10103794932671</v>
      </c>
      <c r="D29" s="78"/>
      <c r="E29" s="78"/>
      <c r="F29" s="42"/>
      <c r="G29" s="42">
        <f t="shared" si="0"/>
        <v>0.46101037949326712</v>
      </c>
      <c r="H29" s="29">
        <f t="shared" si="1"/>
        <v>0.53898962050673282</v>
      </c>
      <c r="I29" s="30">
        <v>10.940340909090907</v>
      </c>
      <c r="J29" s="30">
        <v>5.8967301948051931</v>
      </c>
      <c r="K29" s="30">
        <v>5.0436107142857134</v>
      </c>
      <c r="M29" s="58"/>
      <c r="N29" s="34">
        <v>20</v>
      </c>
      <c r="O29" s="53">
        <v>5.8584172661870486</v>
      </c>
      <c r="P29" s="80"/>
      <c r="Q29" s="78"/>
      <c r="R29" s="50"/>
      <c r="S29" s="58"/>
      <c r="T29" s="34">
        <v>20</v>
      </c>
      <c r="U29" s="30">
        <v>13.261538461538461</v>
      </c>
      <c r="V29" s="80"/>
      <c r="W29" s="78"/>
      <c r="X29" s="50"/>
      <c r="Y29" s="58"/>
      <c r="Z29" s="34">
        <v>20</v>
      </c>
      <c r="AA29" s="45">
        <f t="shared" si="7"/>
        <v>-4.2451109625009318</v>
      </c>
      <c r="AB29" s="75"/>
      <c r="AC29" s="75"/>
    </row>
    <row r="30" spans="1:29" x14ac:dyDescent="0.25">
      <c r="A30" s="58"/>
      <c r="B30" s="34">
        <v>21</v>
      </c>
      <c r="C30" s="44">
        <v>42.637166214963266</v>
      </c>
      <c r="D30" s="78"/>
      <c r="E30" s="78"/>
      <c r="F30" s="42"/>
      <c r="G30" s="42">
        <f t="shared" si="0"/>
        <v>0.42637166214963268</v>
      </c>
      <c r="H30" s="29">
        <f t="shared" si="1"/>
        <v>0.57362833785036726</v>
      </c>
      <c r="I30" s="30">
        <v>7.5871212121212119</v>
      </c>
      <c r="J30" s="30">
        <v>4.3521877299783549</v>
      </c>
      <c r="K30" s="30">
        <v>3.234933482142857</v>
      </c>
      <c r="M30" s="58"/>
      <c r="N30" s="34">
        <v>21</v>
      </c>
      <c r="O30" s="53">
        <v>4.606618705035971</v>
      </c>
      <c r="P30" s="80"/>
      <c r="Q30" s="78"/>
      <c r="R30" s="50"/>
      <c r="S30" s="58"/>
      <c r="T30" s="34">
        <v>21</v>
      </c>
      <c r="U30" s="30">
        <v>9.9025641025641011</v>
      </c>
      <c r="V30" s="80"/>
      <c r="W30" s="78"/>
      <c r="X30" s="50"/>
      <c r="Y30" s="58"/>
      <c r="Z30" s="34">
        <v>21</v>
      </c>
      <c r="AA30" s="45">
        <f t="shared" si="7"/>
        <v>1.1025878411843366</v>
      </c>
      <c r="AB30" s="75"/>
      <c r="AC30" s="75"/>
    </row>
    <row r="31" spans="1:29" x14ac:dyDescent="0.25">
      <c r="A31" s="58"/>
      <c r="B31" s="34">
        <v>22</v>
      </c>
      <c r="C31" s="44">
        <v>41.950054564636837</v>
      </c>
      <c r="D31" s="78"/>
      <c r="E31" s="78"/>
      <c r="F31" s="42"/>
      <c r="G31" s="42">
        <f t="shared" si="0"/>
        <v>0.41950054564636835</v>
      </c>
      <c r="H31" s="29">
        <f t="shared" si="1"/>
        <v>0.58049945435363171</v>
      </c>
      <c r="I31" s="30">
        <v>8.2064393939393945</v>
      </c>
      <c r="J31" s="30">
        <v>4.7638335903679661</v>
      </c>
      <c r="K31" s="30">
        <v>3.4426058035714284</v>
      </c>
      <c r="M31" s="58"/>
      <c r="N31" s="34">
        <v>22</v>
      </c>
      <c r="O31" s="53">
        <v>6.985035971223021</v>
      </c>
      <c r="P31" s="80"/>
      <c r="Q31" s="78"/>
      <c r="R31" s="50"/>
      <c r="S31" s="58"/>
      <c r="T31" s="34">
        <v>22</v>
      </c>
      <c r="U31" s="30">
        <v>11.056410256410256</v>
      </c>
      <c r="V31" s="80"/>
      <c r="W31" s="78"/>
      <c r="X31" s="50"/>
      <c r="Y31" s="58"/>
      <c r="Z31" s="34">
        <v>22</v>
      </c>
      <c r="AA31" s="45">
        <f t="shared" si="7"/>
        <v>-1.33449851395646</v>
      </c>
      <c r="AB31" s="75"/>
      <c r="AC31" s="75"/>
    </row>
    <row r="32" spans="1:29" x14ac:dyDescent="0.25">
      <c r="A32" s="58"/>
      <c r="B32" s="34">
        <v>23</v>
      </c>
      <c r="C32" s="44">
        <v>44.119414504932394</v>
      </c>
      <c r="D32" s="78"/>
      <c r="E32" s="78"/>
      <c r="F32" s="42"/>
      <c r="G32" s="42">
        <f t="shared" si="0"/>
        <v>0.44119414504932392</v>
      </c>
      <c r="H32" s="29">
        <f t="shared" si="1"/>
        <v>0.55880585495067603</v>
      </c>
      <c r="I32" s="30">
        <v>8.8863636363636367</v>
      </c>
      <c r="J32" s="30">
        <v>4.9657520292207806</v>
      </c>
      <c r="K32" s="30">
        <v>3.9206116071428565</v>
      </c>
      <c r="M32" s="58"/>
      <c r="N32" s="34">
        <v>23</v>
      </c>
      <c r="O32" s="54">
        <v>4.5648920863309357</v>
      </c>
      <c r="P32" s="80"/>
      <c r="Q32" s="78"/>
      <c r="R32" s="50"/>
      <c r="S32" s="58"/>
      <c r="T32" s="34">
        <v>23</v>
      </c>
      <c r="U32" s="30">
        <v>9.6205128205128201</v>
      </c>
      <c r="V32" s="80"/>
      <c r="W32" s="78"/>
      <c r="X32" s="50"/>
      <c r="Y32" s="58"/>
      <c r="Z32" s="34">
        <v>23</v>
      </c>
      <c r="AA32" s="45">
        <f t="shared" si="7"/>
        <v>-1.7438585605178891</v>
      </c>
      <c r="AB32" s="75"/>
      <c r="AC32" s="75"/>
    </row>
    <row r="33" spans="1:29" x14ac:dyDescent="0.25">
      <c r="A33" s="69"/>
      <c r="B33" s="32">
        <v>24</v>
      </c>
      <c r="C33" s="52">
        <v>43.468907563025212</v>
      </c>
      <c r="D33" s="82"/>
      <c r="E33" s="82"/>
      <c r="F33" s="49">
        <f>E28/D28*100</f>
        <v>1.7041319235954793</v>
      </c>
      <c r="G33" s="42">
        <f t="shared" si="0"/>
        <v>0.43468907563025211</v>
      </c>
      <c r="H33" s="29">
        <f t="shared" si="1"/>
        <v>0.56531092436974784</v>
      </c>
      <c r="I33" s="30">
        <v>7.9687499999999991</v>
      </c>
      <c r="J33" s="30">
        <v>4.5048214285714279</v>
      </c>
      <c r="K33" s="30">
        <v>3.4639285714285712</v>
      </c>
      <c r="M33" s="69"/>
      <c r="N33" s="32">
        <v>24</v>
      </c>
      <c r="O33" s="43">
        <v>6.5260431654676241</v>
      </c>
      <c r="P33" s="81"/>
      <c r="Q33" s="79"/>
      <c r="R33" s="50"/>
      <c r="S33" s="69"/>
      <c r="T33" s="32">
        <v>24</v>
      </c>
      <c r="U33" s="53">
        <v>14.62</v>
      </c>
      <c r="V33" s="81"/>
      <c r="W33" s="79"/>
      <c r="X33" s="50"/>
      <c r="Y33" s="69"/>
      <c r="Z33" s="32">
        <v>24</v>
      </c>
      <c r="AA33" s="45">
        <f t="shared" si="7"/>
        <v>-2.9441957822544906</v>
      </c>
      <c r="AB33" s="76"/>
      <c r="AC33" s="76"/>
    </row>
    <row r="35" spans="1:29" x14ac:dyDescent="0.25">
      <c r="AA35" s="29"/>
    </row>
    <row r="36" spans="1:29" x14ac:dyDescent="0.25">
      <c r="AA36" s="29"/>
    </row>
  </sheetData>
  <mergeCells count="52">
    <mergeCell ref="AC28:AC33"/>
    <mergeCell ref="A28:A33"/>
    <mergeCell ref="D28:D33"/>
    <mergeCell ref="E28:E33"/>
    <mergeCell ref="M28:M33"/>
    <mergeCell ref="P28:P33"/>
    <mergeCell ref="Q28:Q33"/>
    <mergeCell ref="S28:S33"/>
    <mergeCell ref="V28:V33"/>
    <mergeCell ref="W28:W33"/>
    <mergeCell ref="Y28:Y33"/>
    <mergeCell ref="AB28:AB33"/>
    <mergeCell ref="AC22:AC27"/>
    <mergeCell ref="A22:A27"/>
    <mergeCell ref="D22:D27"/>
    <mergeCell ref="E22:E27"/>
    <mergeCell ref="M22:M27"/>
    <mergeCell ref="P22:P27"/>
    <mergeCell ref="Q22:Q27"/>
    <mergeCell ref="S22:S27"/>
    <mergeCell ref="V22:V27"/>
    <mergeCell ref="W22:W27"/>
    <mergeCell ref="Y22:Y27"/>
    <mergeCell ref="AB22:AB27"/>
    <mergeCell ref="AC16:AC21"/>
    <mergeCell ref="A16:A21"/>
    <mergeCell ref="D16:D21"/>
    <mergeCell ref="E16:E21"/>
    <mergeCell ref="M16:M21"/>
    <mergeCell ref="P16:P21"/>
    <mergeCell ref="Q16:Q21"/>
    <mergeCell ref="S16:S21"/>
    <mergeCell ref="V16:V21"/>
    <mergeCell ref="W16:W21"/>
    <mergeCell ref="Y16:Y21"/>
    <mergeCell ref="AB16:AB21"/>
    <mergeCell ref="AC10:AC15"/>
    <mergeCell ref="A8:E8"/>
    <mergeCell ref="L8:P8"/>
    <mergeCell ref="R8:V8"/>
    <mergeCell ref="X8:AB8"/>
    <mergeCell ref="A10:A15"/>
    <mergeCell ref="D10:D15"/>
    <mergeCell ref="E10:E15"/>
    <mergeCell ref="M10:M15"/>
    <mergeCell ref="P10:P15"/>
    <mergeCell ref="Q10:Q15"/>
    <mergeCell ref="S10:S15"/>
    <mergeCell ref="V10:V15"/>
    <mergeCell ref="W10:W15"/>
    <mergeCell ref="Y10:Y15"/>
    <mergeCell ref="AB10:AB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Glucose</vt:lpstr>
      <vt:lpstr>Hematòcrit</vt:lpstr>
      <vt:lpstr>Plasma Glucose</vt:lpstr>
      <vt:lpstr>Blood Glucose</vt:lpstr>
      <vt:lpstr>Cell Glucose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</dc:creator>
  <cp:lastModifiedBy>malemany</cp:lastModifiedBy>
  <dcterms:created xsi:type="dcterms:W3CDTF">2015-05-19T17:03:18Z</dcterms:created>
  <dcterms:modified xsi:type="dcterms:W3CDTF">2015-05-20T06:00:37Z</dcterms:modified>
</cp:coreProperties>
</file>