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2695" windowHeight="9915"/>
  </bookViews>
  <sheets>
    <sheet name="S. D" sheetId="1" r:id="rId1"/>
    <sheet name="G. D" sheetId="2" r:id="rId2"/>
    <sheet name="S. C" sheetId="3" r:id="rId3"/>
    <sheet name="G. C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U34" i="1" l="1"/>
  <c r="U35" i="1"/>
  <c r="T35" i="1"/>
  <c r="T34" i="1"/>
  <c r="V37" i="1"/>
  <c r="V38" i="1"/>
  <c r="V39" i="1"/>
  <c r="V40" i="1"/>
  <c r="V41" i="1"/>
  <c r="V42" i="1"/>
  <c r="V43" i="1"/>
  <c r="V44" i="1"/>
  <c r="V45" i="1"/>
  <c r="V46" i="1"/>
  <c r="V47" i="1"/>
  <c r="V36" i="1"/>
  <c r="U33" i="1"/>
  <c r="T33" i="1"/>
  <c r="U36" i="1"/>
  <c r="U37" i="1"/>
  <c r="U38" i="1"/>
  <c r="U39" i="1"/>
  <c r="U40" i="1"/>
  <c r="U41" i="1"/>
  <c r="U42" i="1"/>
  <c r="U43" i="1"/>
  <c r="U44" i="1"/>
  <c r="U45" i="1"/>
  <c r="U46" i="1"/>
  <c r="U47" i="1"/>
  <c r="T37" i="1"/>
  <c r="T38" i="1"/>
  <c r="T39" i="1"/>
  <c r="T40" i="1"/>
  <c r="T41" i="1"/>
  <c r="T42" i="1"/>
  <c r="T43" i="1"/>
  <c r="T44" i="1"/>
  <c r="T45" i="1"/>
  <c r="T46" i="1"/>
  <c r="T47" i="1"/>
  <c r="S38" i="1"/>
  <c r="S39" i="1" s="1"/>
  <c r="S40" i="1" s="1"/>
  <c r="S41" i="1" s="1"/>
  <c r="S42" i="1" s="1"/>
  <c r="S43" i="1" s="1"/>
  <c r="S44" i="1" s="1"/>
  <c r="S45" i="1" s="1"/>
  <c r="S46" i="1" s="1"/>
  <c r="S47" i="1" s="1"/>
  <c r="S37" i="1"/>
  <c r="T36" i="1"/>
  <c r="U31" i="1"/>
  <c r="U32" i="1"/>
  <c r="T32" i="1"/>
  <c r="T31" i="1"/>
  <c r="U30" i="1"/>
  <c r="T30" i="1"/>
  <c r="P34" i="1"/>
  <c r="Q30" i="1"/>
  <c r="P30" i="1"/>
  <c r="M31" i="1"/>
  <c r="M32" i="1"/>
  <c r="M33" i="1"/>
  <c r="M34" i="1"/>
  <c r="M35" i="1"/>
  <c r="L35" i="1"/>
  <c r="L34" i="1"/>
  <c r="L33" i="1"/>
  <c r="L32" i="1"/>
  <c r="L31" i="1"/>
  <c r="M30" i="1"/>
  <c r="L30" i="1"/>
  <c r="I31" i="1"/>
  <c r="I32" i="1"/>
  <c r="I33" i="1"/>
  <c r="I34" i="1"/>
  <c r="I35" i="1"/>
  <c r="I36" i="1"/>
  <c r="I37" i="1"/>
  <c r="I38" i="1"/>
  <c r="I40" i="1"/>
  <c r="I39" i="1" s="1"/>
  <c r="I41" i="1"/>
  <c r="I42" i="1"/>
  <c r="I43" i="1"/>
  <c r="I44" i="1"/>
  <c r="I45" i="1"/>
  <c r="I46" i="1"/>
  <c r="H46" i="1"/>
  <c r="H45" i="1"/>
  <c r="H44" i="1"/>
  <c r="H43" i="1"/>
  <c r="H42" i="1"/>
  <c r="H41" i="1"/>
  <c r="H40" i="1"/>
  <c r="H39" i="1" s="1"/>
  <c r="H38" i="1"/>
  <c r="H37" i="1"/>
  <c r="H36" i="1"/>
  <c r="H35" i="1"/>
  <c r="H34" i="1"/>
  <c r="H33" i="1"/>
  <c r="H32" i="1"/>
  <c r="H31" i="1"/>
  <c r="I30" i="1"/>
  <c r="H30" i="1"/>
  <c r="P26" i="1"/>
  <c r="O26" i="1"/>
  <c r="N26" i="1"/>
  <c r="M26" i="1"/>
  <c r="L26" i="1"/>
  <c r="K26" i="1"/>
  <c r="I26" i="1"/>
  <c r="J26" i="1"/>
  <c r="H26" i="1"/>
  <c r="P25" i="1"/>
  <c r="O25" i="1"/>
  <c r="L25" i="1"/>
  <c r="K25" i="1"/>
  <c r="J25" i="1"/>
  <c r="I25" i="1"/>
  <c r="H25" i="1"/>
  <c r="L23" i="1"/>
  <c r="P21" i="1"/>
  <c r="O21" i="1"/>
  <c r="N21" i="1"/>
  <c r="M21" i="1"/>
  <c r="L21" i="1"/>
  <c r="K21" i="1"/>
  <c r="I21" i="1"/>
  <c r="J21" i="1"/>
  <c r="H21" i="1"/>
  <c r="P20" i="1"/>
  <c r="O20" i="1"/>
  <c r="L20" i="1"/>
  <c r="K20" i="1"/>
  <c r="J20" i="1"/>
  <c r="I20" i="1"/>
  <c r="H20" i="1"/>
  <c r="K16" i="1"/>
  <c r="J16" i="1"/>
  <c r="J15" i="1"/>
  <c r="I15" i="1"/>
  <c r="H15" i="1"/>
  <c r="J14" i="1"/>
  <c r="I14" i="1"/>
  <c r="H14" i="1"/>
  <c r="G15" i="1"/>
  <c r="G14" i="1"/>
  <c r="L52" i="3"/>
  <c r="K52" i="3"/>
  <c r="J52" i="3"/>
  <c r="I52" i="3"/>
  <c r="H52" i="3"/>
  <c r="G52" i="3"/>
  <c r="E52" i="3"/>
  <c r="F52" i="3"/>
  <c r="D52" i="3"/>
  <c r="L51" i="3"/>
  <c r="K51" i="3"/>
  <c r="H51" i="3"/>
  <c r="G51" i="3"/>
  <c r="F51" i="3"/>
  <c r="E51" i="3"/>
  <c r="D51" i="3"/>
  <c r="H49" i="3"/>
  <c r="L47" i="3"/>
  <c r="K47" i="3"/>
  <c r="J47" i="3"/>
  <c r="I47" i="3"/>
  <c r="H47" i="3"/>
  <c r="G47" i="3"/>
  <c r="E47" i="3"/>
  <c r="F47" i="3"/>
  <c r="D47" i="3"/>
  <c r="L46" i="3"/>
  <c r="K46" i="3"/>
  <c r="H46" i="3"/>
  <c r="G46" i="3"/>
  <c r="F46" i="3"/>
  <c r="E46" i="3"/>
  <c r="D46" i="3"/>
  <c r="G42" i="3"/>
  <c r="F42" i="3"/>
  <c r="F41" i="3"/>
  <c r="E41" i="3"/>
  <c r="D41" i="3"/>
  <c r="F40" i="3"/>
  <c r="E40" i="3"/>
  <c r="D40" i="3"/>
  <c r="C41" i="3"/>
  <c r="C40" i="3"/>
  <c r="T17" i="3"/>
  <c r="T18" i="3"/>
  <c r="S18" i="3"/>
  <c r="S17" i="3"/>
  <c r="U20" i="3"/>
  <c r="U21" i="3"/>
  <c r="U22" i="3"/>
  <c r="U23" i="3"/>
  <c r="U24" i="3"/>
  <c r="U25" i="3"/>
  <c r="U26" i="3"/>
  <c r="U27" i="3"/>
  <c r="U28" i="3"/>
  <c r="U29" i="3"/>
  <c r="U30" i="3"/>
  <c r="U19" i="3"/>
  <c r="T16" i="3"/>
  <c r="S16" i="3"/>
  <c r="T19" i="3"/>
  <c r="T20" i="3"/>
  <c r="T21" i="3"/>
  <c r="T22" i="3"/>
  <c r="T23" i="3"/>
  <c r="T24" i="3"/>
  <c r="T25" i="3"/>
  <c r="T26" i="3"/>
  <c r="T27" i="3"/>
  <c r="T28" i="3"/>
  <c r="T29" i="3"/>
  <c r="T30" i="3"/>
  <c r="S20" i="3"/>
  <c r="S21" i="3"/>
  <c r="S22" i="3"/>
  <c r="S23" i="3"/>
  <c r="S24" i="3"/>
  <c r="S25" i="3"/>
  <c r="S26" i="3"/>
  <c r="S27" i="3"/>
  <c r="S28" i="3"/>
  <c r="S29" i="3"/>
  <c r="S30" i="3"/>
  <c r="R21" i="3"/>
  <c r="R22" i="3"/>
  <c r="R23" i="3" s="1"/>
  <c r="R24" i="3" s="1"/>
  <c r="R25" i="3" s="1"/>
  <c r="R26" i="3" s="1"/>
  <c r="R27" i="3" s="1"/>
  <c r="R28" i="3" s="1"/>
  <c r="R29" i="3" s="1"/>
  <c r="R30" i="3" s="1"/>
  <c r="R20" i="3"/>
  <c r="S19" i="3"/>
  <c r="T14" i="3"/>
  <c r="T15" i="3"/>
  <c r="S15" i="3"/>
  <c r="S14" i="3"/>
  <c r="T13" i="3"/>
  <c r="S13" i="3"/>
  <c r="O17" i="3"/>
  <c r="P13" i="3"/>
  <c r="O13" i="3"/>
  <c r="L14" i="3"/>
  <c r="L15" i="3" s="1"/>
  <c r="L16" i="3"/>
  <c r="L17" i="3"/>
  <c r="L18" i="3"/>
  <c r="K18" i="3"/>
  <c r="K17" i="3"/>
  <c r="K16" i="3"/>
  <c r="K15" i="3"/>
  <c r="K14" i="3"/>
  <c r="L13" i="3"/>
  <c r="K13" i="3"/>
  <c r="H14" i="3"/>
  <c r="H15" i="3"/>
  <c r="H16" i="3"/>
  <c r="H17" i="3"/>
  <c r="H18" i="3"/>
  <c r="H19" i="3"/>
  <c r="H20" i="3"/>
  <c r="H21" i="3"/>
  <c r="H23" i="3"/>
  <c r="H22" i="3" s="1"/>
  <c r="H24" i="3"/>
  <c r="H25" i="3"/>
  <c r="H26" i="3"/>
  <c r="H27" i="3"/>
  <c r="H28" i="3"/>
  <c r="H29" i="3"/>
  <c r="G29" i="3"/>
  <c r="G28" i="3"/>
  <c r="G27" i="3"/>
  <c r="G26" i="3"/>
  <c r="G25" i="3"/>
  <c r="G24" i="3"/>
  <c r="G23" i="3"/>
  <c r="G21" i="3"/>
  <c r="G20" i="3"/>
  <c r="G19" i="3"/>
  <c r="G18" i="3"/>
  <c r="G17" i="3"/>
  <c r="G16" i="3"/>
  <c r="G15" i="3"/>
  <c r="G14" i="3"/>
  <c r="H13" i="3"/>
  <c r="G13" i="3"/>
  <c r="Q21" i="3"/>
  <c r="Q22" i="3"/>
  <c r="Q23" i="3"/>
  <c r="Q24" i="3"/>
  <c r="Q25" i="3"/>
  <c r="Q26" i="3"/>
  <c r="Q27" i="3"/>
  <c r="Q28" i="3"/>
  <c r="Q29" i="3"/>
  <c r="Q30" i="3"/>
  <c r="Q20" i="3"/>
  <c r="B23" i="3"/>
  <c r="B22" i="3"/>
  <c r="B21" i="3"/>
  <c r="B20" i="3"/>
  <c r="B19" i="3"/>
  <c r="B18" i="3"/>
  <c r="B17" i="3"/>
  <c r="B16" i="3"/>
  <c r="B15" i="3"/>
  <c r="B14" i="3"/>
  <c r="B13" i="3"/>
  <c r="B12" i="3"/>
  <c r="B9" i="3"/>
  <c r="B9" i="4"/>
  <c r="C8" i="3"/>
  <c r="D8" i="3"/>
  <c r="E8" i="3"/>
  <c r="F8" i="3"/>
  <c r="G8" i="3"/>
  <c r="H8" i="3"/>
  <c r="I8" i="3"/>
  <c r="J8" i="3"/>
  <c r="K8" i="3"/>
  <c r="L8" i="3"/>
  <c r="M8" i="3"/>
  <c r="B8" i="3"/>
  <c r="M8" i="4"/>
  <c r="L8" i="4"/>
  <c r="K8" i="4"/>
  <c r="J8" i="4"/>
  <c r="I8" i="4"/>
  <c r="H8" i="4"/>
  <c r="G8" i="4"/>
  <c r="F8" i="4"/>
  <c r="E8" i="4"/>
  <c r="D8" i="4"/>
  <c r="C8" i="4"/>
  <c r="B4" i="4"/>
  <c r="B15" i="2"/>
  <c r="B14" i="2"/>
  <c r="B13" i="2"/>
  <c r="B12" i="2"/>
  <c r="B11" i="2"/>
  <c r="B10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7" i="1"/>
  <c r="L7" i="1"/>
  <c r="K7" i="1"/>
  <c r="J7" i="1"/>
  <c r="I7" i="1"/>
  <c r="H7" i="1"/>
  <c r="G7" i="1"/>
  <c r="F7" i="1"/>
  <c r="E7" i="1"/>
  <c r="D7" i="1"/>
  <c r="C7" i="1"/>
  <c r="B7" i="1"/>
  <c r="Q31" i="1"/>
  <c r="Q32" i="1"/>
  <c r="P32" i="1"/>
  <c r="P31" i="1"/>
  <c r="I47" i="1"/>
  <c r="I48" i="1"/>
  <c r="H48" i="1"/>
  <c r="H47" i="1"/>
  <c r="P14" i="3"/>
  <c r="P15" i="3"/>
  <c r="O15" i="3"/>
  <c r="O14" i="3"/>
  <c r="H30" i="3"/>
  <c r="H31" i="3"/>
  <c r="G31" i="3"/>
  <c r="G30" i="3"/>
  <c r="B10" i="3"/>
  <c r="B10" i="4"/>
  <c r="Q34" i="1" l="1"/>
  <c r="P17" i="3"/>
  <c r="G22" i="3"/>
  <c r="B8" i="4"/>
</calcChain>
</file>

<file path=xl/sharedStrings.xml><?xml version="1.0" encoding="utf-8"?>
<sst xmlns="http://schemas.openxmlformats.org/spreadsheetml/2006/main" count="248" uniqueCount="132">
  <si>
    <t>Observer</t>
  </si>
  <si>
    <t>DTrans1</t>
  </si>
  <si>
    <t>DTrans2</t>
  </si>
  <si>
    <t>DTrans3</t>
  </si>
  <si>
    <t>DTrans4</t>
  </si>
  <si>
    <t>DTrans5</t>
  </si>
  <si>
    <t>DTrans6</t>
  </si>
  <si>
    <t>DTrans7</t>
  </si>
  <si>
    <t>DTrans8</t>
  </si>
  <si>
    <t>DTrans9</t>
  </si>
  <si>
    <t>DTrans10</t>
  </si>
  <si>
    <t>DTrans11</t>
  </si>
  <si>
    <t>DTrans12</t>
  </si>
  <si>
    <t>Ciaran</t>
  </si>
  <si>
    <t>DGTrans1</t>
  </si>
  <si>
    <t>DGTrans2</t>
  </si>
  <si>
    <t>DGTrans3</t>
  </si>
  <si>
    <t>DGTrans4</t>
  </si>
  <si>
    <t>DGTrans5</t>
  </si>
  <si>
    <t>DGTrans6</t>
  </si>
  <si>
    <t>DGTrans7</t>
  </si>
  <si>
    <t>DGTrans8</t>
  </si>
  <si>
    <t>DGTrans9</t>
  </si>
  <si>
    <t>DGTrans10</t>
  </si>
  <si>
    <t>DGTrans11</t>
  </si>
  <si>
    <t>DGTrans12</t>
  </si>
  <si>
    <t>Pete</t>
  </si>
  <si>
    <t>Sally</t>
  </si>
  <si>
    <t>Sam</t>
  </si>
  <si>
    <t>Victoria</t>
  </si>
  <si>
    <t>MEAN</t>
  </si>
  <si>
    <t>SE</t>
  </si>
  <si>
    <t>MEAN (n5)</t>
  </si>
  <si>
    <t>se(n5)</t>
  </si>
  <si>
    <t>STDEV</t>
  </si>
  <si>
    <t>CTrans1</t>
  </si>
  <si>
    <t>CTrans2</t>
  </si>
  <si>
    <t>CTrans3</t>
  </si>
  <si>
    <t>CTrans4</t>
  </si>
  <si>
    <t>CTrans5</t>
  </si>
  <si>
    <t>CTrans6</t>
  </si>
  <si>
    <t>CTrans7</t>
  </si>
  <si>
    <t>CTrans8</t>
  </si>
  <si>
    <t>CTrans9</t>
  </si>
  <si>
    <t>CTrans10</t>
  </si>
  <si>
    <t>CTrans11</t>
  </si>
  <si>
    <t>CTrans12</t>
  </si>
  <si>
    <t>STD across trans</t>
  </si>
  <si>
    <t>C</t>
  </si>
  <si>
    <t>D</t>
  </si>
  <si>
    <t>G</t>
  </si>
  <si>
    <t>H</t>
  </si>
  <si>
    <t>F</t>
  </si>
  <si>
    <t>E</t>
  </si>
  <si>
    <t>J</t>
  </si>
  <si>
    <t>I</t>
  </si>
  <si>
    <t>L</t>
  </si>
  <si>
    <t>K</t>
  </si>
  <si>
    <t>CGTrans1</t>
  </si>
  <si>
    <t>CGTrans2</t>
  </si>
  <si>
    <t>CGTrans3</t>
  </si>
  <si>
    <t>CGTrans4</t>
  </si>
  <si>
    <t>CGTrans5</t>
  </si>
  <si>
    <t>CGTrans6</t>
  </si>
  <si>
    <t>CGTrans7</t>
  </si>
  <si>
    <t>CGTrans8</t>
  </si>
  <si>
    <t>CGTrans9</t>
  </si>
  <si>
    <t>CGTrans10</t>
  </si>
  <si>
    <t>CGTrans11</t>
  </si>
  <si>
    <t>CGTrans12</t>
  </si>
  <si>
    <t>stderr</t>
  </si>
  <si>
    <t>Mean total</t>
  </si>
  <si>
    <t>Mean</t>
  </si>
  <si>
    <t>whole mean</t>
  </si>
  <si>
    <t>Descriptive Statistics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</si>
  <si>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</si>
  <si>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</si>
  <si>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</si>
  <si>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</si>
  <si>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</si>
  <si>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</si>
  <si>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</si>
  <si>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</si>
  <si>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Maximum</t>
  </si>
  <si>
    <t>Minimum</t>
  </si>
  <si>
    <t>Sum</t>
  </si>
  <si>
    <t>Count</t>
  </si>
  <si>
    <t>Geometric Mean</t>
  </si>
  <si>
    <t>Harmonic Mean</t>
  </si>
  <si>
    <t>AAD</t>
  </si>
  <si>
    <t>MAD</t>
  </si>
  <si>
    <t>IQR</t>
  </si>
  <si>
    <t>Box Plot</t>
  </si>
  <si>
    <t>Min</t>
  </si>
  <si>
    <t>Q1-Min</t>
  </si>
  <si>
    <t>Med-Q1</t>
  </si>
  <si>
    <t>Q3-Med</t>
  </si>
  <si>
    <t>Max-Q3</t>
  </si>
  <si>
    <t>Shapiro-Wilk Test</t>
  </si>
  <si>
    <t>W</t>
  </si>
  <si>
    <t>p-value</t>
  </si>
  <si>
    <t>alpha</t>
  </si>
  <si>
    <t>normal</t>
  </si>
  <si>
    <t>Outliers and Missing Data</t>
  </si>
  <si>
    <t>mean</t>
  </si>
  <si>
    <t>stdev</t>
  </si>
  <si>
    <t># outliers</t>
  </si>
  <si>
    <t># blank</t>
  </si>
  <si>
    <t># non-num</t>
  </si>
  <si>
    <t>GoPro</t>
  </si>
  <si>
    <t>Snorkel</t>
  </si>
  <si>
    <t>T Test: Two Independent Samples</t>
  </si>
  <si>
    <t>SUMMARY</t>
  </si>
  <si>
    <t>Hyp Mean Diff</t>
  </si>
  <si>
    <t>Groups</t>
  </si>
  <si>
    <t>Variance</t>
  </si>
  <si>
    <t>Cohen d</t>
  </si>
  <si>
    <t>Pooled</t>
  </si>
  <si>
    <t>T TEST: Equal Variances</t>
  </si>
  <si>
    <t>Alpha</t>
  </si>
  <si>
    <t xml:space="preserve"> </t>
  </si>
  <si>
    <t>std err</t>
  </si>
  <si>
    <t>t-stat</t>
  </si>
  <si>
    <t>df</t>
  </si>
  <si>
    <t>t-crit</t>
  </si>
  <si>
    <t>lower</t>
  </si>
  <si>
    <t>upper</t>
  </si>
  <si>
    <t>sig</t>
  </si>
  <si>
    <t>effect r</t>
  </si>
  <si>
    <t>One Tail</t>
  </si>
  <si>
    <t>Two Tail</t>
  </si>
  <si>
    <t>T TEST: Unequal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</si>
</sst>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rgb="FF000000"/>
      <name val="Calibri"/>
    </font>
    <font>
      <sz val="11"/>
      <name val="Calibri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/>
    <xf numFmtId="0" fontId="0" fillId="0" borderId="1" xfId="0" applyFont="1" applyBorder="1" applyAlignment="1"/>
    <xf numFmtId="164" fontId="0" fillId="0" borderId="0" xfId="0" applyNumberFormat="1" applyFont="1"/>
    <xf numFmtId="164" fontId="1" fillId="0" borderId="1" xfId="0" applyNumberFormat="1" applyFont="1" applyBorder="1" applyAlignment="1"/>
    <xf numFmtId="164" fontId="2" fillId="0" borderId="1" xfId="0" applyNumberFormat="1" applyFont="1" applyBorder="1" applyAlignment="1"/>
    <xf numFmtId="164" fontId="3" fillId="0" borderId="1" xfId="0" applyNumberFormat="1" applyFont="1" applyBorder="1" applyAlignment="1"/>
    <xf numFmtId="0" fontId="2" fillId="0" borderId="0" xfId="0" applyFont="1" applyAlignment="1"/>
    <xf numFmtId="164" fontId="1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/>
    <xf numFmtId="164" fontId="0" fillId="0" borderId="0" xfId="0" applyNumberFormat="1" applyFont="1" applyAlignment="1"/>
    <xf numFmtId="0" fontId="4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Font="1" applyBorder="1" applyAlignment="1"/>
    <xf numFmtId="164" fontId="0" fillId="0" borderId="4" xfId="0" applyNumberFormat="1" applyFont="1" applyBorder="1" applyAlignment="1"/>
    <xf numFmtId="164" fontId="0" fillId="0" borderId="5" xfId="0" applyNumberFormat="1" applyFont="1" applyBorder="1" applyAlignment="1"/>
    <xf numFmtId="0" fontId="0" fillId="0" borderId="2" xfId="0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6" fillId="0" borderId="0" xfId="0" applyFont="1" applyAlignment="1"/>
    <xf numFmtId="164" fontId="0" fillId="0" borderId="7" xfId="0" applyNumberFormat="1" applyFont="1" applyBorder="1" applyAlignment="1"/>
    <xf numFmtId="164" fontId="0" fillId="0" borderId="8" xfId="0" applyNumberFormat="1" applyFont="1" applyBorder="1" applyAlignment="1"/>
    <xf numFmtId="164" fontId="0" fillId="0" borderId="9" xfId="0" applyNumberFormat="1" applyFont="1" applyBorder="1" applyAlignment="1"/>
    <xf numFmtId="164" fontId="0" fillId="0" borderId="10" xfId="0" applyNumberFormat="1" applyFont="1" applyBorder="1" applyAlignment="1"/>
    <xf numFmtId="164" fontId="0" fillId="0" borderId="11" xfId="0" applyNumberFormat="1" applyFont="1" applyBorder="1" applyAlignment="1"/>
    <xf numFmtId="164" fontId="0" fillId="0" borderId="12" xfId="0" applyNumberFormat="1" applyFont="1" applyBorder="1" applyAlignment="1"/>
    <xf numFmtId="0" fontId="0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'S. D'!$K$31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</a:extLst>
          </c:spPr>
          <c:invertIfNegative val="0"/>
          <c:cat>
            <c:strRef>
              <c:f>'S. D'!$L$30:$M$30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D'!$L$31:$M$31</c:f>
              <c:numCache>
                <c:formatCode>General</c:formatCode>
                <c:ptCount val="2"/>
                <c:pt idx="0">
                  <c:v>11.2</c:v>
                </c:pt>
                <c:pt idx="1">
                  <c:v>8.6</c:v>
                </c:pt>
              </c:numCache>
            </c:numRef>
          </c:val>
        </c:ser>
        <c:ser>
          <c:idx val="1"/>
          <c:order val="1"/>
          <c:tx>
            <c:strRef>
              <c:f>'S. D'!$K$32</c:f>
              <c:strCache>
                <c:ptCount val="1"/>
                <c:pt idx="0">
                  <c:v>Q1-Min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</a:extLst>
          </c:spPr>
          <c:invertIfNegative val="0"/>
          <c:errBars>
            <c:errBarType val="minus"/>
            <c:errValType val="percentage"/>
            <c:noEndCap val="0"/>
            <c:val val="100"/>
          </c:errBars>
          <c:cat>
            <c:strRef>
              <c:f>'S. D'!$L$30:$M$30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D'!$L$32:$M$32</c:f>
              <c:numCache>
                <c:formatCode>General</c:formatCode>
                <c:ptCount val="2"/>
                <c:pt idx="0">
                  <c:v>2.0500000000000007</c:v>
                </c:pt>
                <c:pt idx="1">
                  <c:v>1.5999999999999996</c:v>
                </c:pt>
              </c:numCache>
            </c:numRef>
          </c:val>
        </c:ser>
        <c:ser>
          <c:idx val="2"/>
          <c:order val="2"/>
          <c:tx>
            <c:strRef>
              <c:f>'S. D'!$K$33</c:f>
              <c:strCache>
                <c:ptCount val="1"/>
                <c:pt idx="0">
                  <c:v>Med-Q1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'S. D'!$L$30:$M$30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D'!$L$33:$M$33</c:f>
              <c:numCache>
                <c:formatCode>General</c:formatCode>
                <c:ptCount val="2"/>
                <c:pt idx="0">
                  <c:v>0.64999999999999858</c:v>
                </c:pt>
                <c:pt idx="1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'S. D'!$K$34</c:f>
              <c:strCache>
                <c:ptCount val="1"/>
                <c:pt idx="0">
                  <c:v>Q3-Med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'S. D'!$L$35:$M$35</c:f>
                <c:numCache>
                  <c:formatCode>General</c:formatCode>
                  <c:ptCount val="2"/>
                  <c:pt idx="0">
                    <c:v>2.0500000000000007</c:v>
                  </c:pt>
                  <c:pt idx="1">
                    <c:v>1.0999999999999996</c:v>
                  </c:pt>
                </c:numCache>
              </c:numRef>
            </c:plus>
          </c:errBars>
          <c:cat>
            <c:strRef>
              <c:f>'S. D'!$L$30:$M$30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D'!$L$34:$M$34</c:f>
              <c:numCache>
                <c:formatCode>General</c:formatCode>
                <c:ptCount val="2"/>
                <c:pt idx="0">
                  <c:v>0.85000000000000142</c:v>
                </c:pt>
                <c:pt idx="1">
                  <c:v>0.40000000000000036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163264"/>
        <c:axId val="94999680"/>
      </c:barChart>
      <c:catAx>
        <c:axId val="17716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94999680"/>
        <c:crosses val="autoZero"/>
        <c:auto val="1"/>
        <c:lblAlgn val="ctr"/>
        <c:lblOffset val="100"/>
        <c:noMultiLvlLbl val="0"/>
      </c:catAx>
      <c:valAx>
        <c:axId val="94999680"/>
        <c:scaling>
          <c:orientation val="minMax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benthic diversity per transect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11032006415864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71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'S. C'!$J$14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</a:extLst>
          </c:spPr>
          <c:invertIfNegative val="0"/>
          <c:cat>
            <c:strRef>
              <c:f>'S. C'!$K$13:$L$13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C'!$K$14:$L$14</c:f>
              <c:numCache>
                <c:formatCode>0.000</c:formatCode>
                <c:ptCount val="2"/>
                <c:pt idx="0">
                  <c:v>11.573583531199999</c:v>
                </c:pt>
                <c:pt idx="1">
                  <c:v>8.1556000000000015</c:v>
                </c:pt>
              </c:numCache>
            </c:numRef>
          </c:val>
        </c:ser>
        <c:ser>
          <c:idx val="1"/>
          <c:order val="1"/>
          <c:tx>
            <c:strRef>
              <c:f>'S. C'!$J$15</c:f>
              <c:strCache>
                <c:ptCount val="1"/>
                <c:pt idx="0">
                  <c:v>Q1-Min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</a:extLst>
          </c:spPr>
          <c:invertIfNegative val="0"/>
          <c:errBars>
            <c:errBarType val="minus"/>
            <c:errValType val="percentage"/>
            <c:noEndCap val="0"/>
            <c:val val="100"/>
          </c:errBars>
          <c:cat>
            <c:strRef>
              <c:f>'S. C'!$K$13:$L$13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C'!$K$15:$L$15</c:f>
              <c:numCache>
                <c:formatCode>0.000</c:formatCode>
                <c:ptCount val="2"/>
                <c:pt idx="0">
                  <c:v>1.2378150378000008</c:v>
                </c:pt>
                <c:pt idx="1">
                  <c:v>2.8226499999999994</c:v>
                </c:pt>
              </c:numCache>
            </c:numRef>
          </c:val>
        </c:ser>
        <c:ser>
          <c:idx val="2"/>
          <c:order val="2"/>
          <c:tx>
            <c:strRef>
              <c:f>'S. C'!$J$16</c:f>
              <c:strCache>
                <c:ptCount val="1"/>
                <c:pt idx="0">
                  <c:v>Med-Q1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'S. C'!$K$13:$L$13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C'!$K$16:$L$16</c:f>
              <c:numCache>
                <c:formatCode>0.000</c:formatCode>
                <c:ptCount val="2"/>
                <c:pt idx="0">
                  <c:v>0.68490799300000127</c:v>
                </c:pt>
                <c:pt idx="1">
                  <c:v>1.2656499999999991</c:v>
                </c:pt>
              </c:numCache>
            </c:numRef>
          </c:val>
        </c:ser>
        <c:ser>
          <c:idx val="3"/>
          <c:order val="3"/>
          <c:tx>
            <c:strRef>
              <c:f>'S. C'!$J$17</c:f>
              <c:strCache>
                <c:ptCount val="1"/>
                <c:pt idx="0">
                  <c:v>Q3-Med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'S. C'!$K$18:$L$18</c:f>
                <c:numCache>
                  <c:formatCode>General</c:formatCode>
                  <c:ptCount val="2"/>
                  <c:pt idx="0">
                    <c:v>4.9260835165000021</c:v>
                  </c:pt>
                  <c:pt idx="1">
                    <c:v>2.4873500000000011</c:v>
                  </c:pt>
                </c:numCache>
              </c:numRef>
            </c:plus>
          </c:errBars>
          <c:cat>
            <c:strRef>
              <c:f>'S. C'!$K$13:$L$13</c:f>
              <c:strCache>
                <c:ptCount val="2"/>
                <c:pt idx="0">
                  <c:v>Snorkel</c:v>
                </c:pt>
                <c:pt idx="1">
                  <c:v>GoPro</c:v>
                </c:pt>
              </c:strCache>
            </c:strRef>
          </c:cat>
          <c:val>
            <c:numRef>
              <c:f>'S. C'!$K$17:$L$17</c:f>
              <c:numCache>
                <c:formatCode>0.000</c:formatCode>
                <c:ptCount val="2"/>
                <c:pt idx="0">
                  <c:v>0.99260859550000013</c:v>
                </c:pt>
                <c:pt idx="1">
                  <c:v>2.0885499999999997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86112"/>
        <c:axId val="94192384"/>
      </c:barChart>
      <c:catAx>
        <c:axId val="9418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4192384"/>
        <c:crosses val="autoZero"/>
        <c:auto val="1"/>
        <c:lblAlgn val="ctr"/>
        <c:lblOffset val="100"/>
        <c:noMultiLvlLbl val="0"/>
      </c:catAx>
      <c:valAx>
        <c:axId val="94192384"/>
        <c:scaling>
          <c:orientation val="minMax"/>
          <c:max val="20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benthic cover per transect (m2)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8.605497229512977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418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27</xdr:row>
      <xdr:rowOff>152400</xdr:rowOff>
    </xdr:from>
    <xdr:to>
      <xdr:col>15</xdr:col>
      <xdr:colOff>819150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18</xdr:row>
      <xdr:rowOff>152400</xdr:rowOff>
    </xdr:from>
    <xdr:to>
      <xdr:col>16</xdr:col>
      <xdr:colOff>361950</xdr:colOff>
      <xdr:row>33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cent/Downloads/RealStat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coxon Table"/>
      <sheetName val="Mann Table"/>
      <sheetName val="RSign Table"/>
      <sheetName val="Runs Table"/>
      <sheetName val="KS Table"/>
      <sheetName val="Lil Table"/>
      <sheetName val="SW Table"/>
      <sheetName val="Stud. Q Table"/>
      <sheetName val="Stud. Q Table 2"/>
      <sheetName val="Dunnett Table"/>
      <sheetName val="Sp Rho Table"/>
      <sheetName val="Ken Tau Table"/>
      <sheetName val="Durbin Table"/>
    </sheetNames>
    <definedNames>
      <definedName name="IQR"/>
      <definedName name="MAD"/>
      <definedName name="SHAPIRO"/>
      <definedName name="STDERR"/>
      <definedName name="SWTES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G22" workbookViewId="0">
      <selection activeCell="P48" sqref="P48"/>
    </sheetView>
  </sheetViews>
  <sheetFormatPr defaultColWidth="15.140625" defaultRowHeight="15" customHeight="1"/>
  <cols>
    <col min="1" max="1" width="9.28515625" customWidth="1"/>
    <col min="2" max="12" width="7.5703125" customWidth="1"/>
    <col min="13" max="13" width="8.28515625" customWidth="1"/>
  </cols>
  <sheetData>
    <row r="1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1" t="s">
        <v>13</v>
      </c>
      <c r="B2" s="3">
        <v>21</v>
      </c>
      <c r="C2" s="3">
        <v>16</v>
      </c>
      <c r="D2" s="4">
        <v>12</v>
      </c>
      <c r="E2" s="3">
        <v>17</v>
      </c>
      <c r="F2" s="3">
        <v>16</v>
      </c>
      <c r="G2" s="3">
        <v>15</v>
      </c>
      <c r="H2" s="3">
        <v>16</v>
      </c>
      <c r="I2" s="3">
        <v>13</v>
      </c>
      <c r="J2" s="3">
        <v>15</v>
      </c>
      <c r="K2" s="3">
        <v>14</v>
      </c>
      <c r="L2" s="3">
        <v>14</v>
      </c>
      <c r="M2" s="3">
        <v>13</v>
      </c>
    </row>
    <row r="3" spans="1:13">
      <c r="A3" s="1" t="s">
        <v>26</v>
      </c>
      <c r="B3" s="3">
        <v>18</v>
      </c>
      <c r="C3" s="3">
        <v>17</v>
      </c>
      <c r="D3" s="3">
        <v>15</v>
      </c>
      <c r="E3" s="3">
        <v>18</v>
      </c>
      <c r="F3" s="3">
        <v>14</v>
      </c>
      <c r="G3" s="3">
        <v>13</v>
      </c>
      <c r="H3" s="3">
        <v>14</v>
      </c>
      <c r="I3" s="3">
        <v>12</v>
      </c>
      <c r="J3" s="3">
        <v>14</v>
      </c>
      <c r="K3" s="3">
        <v>13</v>
      </c>
      <c r="L3" s="3">
        <v>12</v>
      </c>
      <c r="M3" s="3">
        <v>10</v>
      </c>
    </row>
    <row r="4" spans="1:13">
      <c r="A4" s="1" t="s">
        <v>27</v>
      </c>
      <c r="B4" s="3">
        <v>10</v>
      </c>
      <c r="C4" s="3">
        <v>15</v>
      </c>
      <c r="D4" s="3">
        <v>13</v>
      </c>
      <c r="E4" s="3">
        <v>14</v>
      </c>
      <c r="F4" s="3">
        <v>12</v>
      </c>
      <c r="G4" s="3">
        <v>12</v>
      </c>
      <c r="H4" s="3">
        <v>11</v>
      </c>
      <c r="I4" s="3">
        <v>14</v>
      </c>
      <c r="J4" s="3">
        <v>13</v>
      </c>
      <c r="K4" s="3">
        <v>12</v>
      </c>
      <c r="L4" s="3">
        <v>12</v>
      </c>
      <c r="M4" s="3">
        <v>12</v>
      </c>
    </row>
    <row r="5" spans="1:13">
      <c r="A5" s="1" t="s">
        <v>28</v>
      </c>
      <c r="B5" s="3">
        <v>20</v>
      </c>
      <c r="C5" s="3">
        <v>17</v>
      </c>
      <c r="D5" s="3">
        <v>19</v>
      </c>
      <c r="E5" s="3">
        <v>18</v>
      </c>
      <c r="F5" s="3">
        <v>15</v>
      </c>
      <c r="G5" s="3">
        <v>11</v>
      </c>
      <c r="H5" s="3">
        <v>15</v>
      </c>
      <c r="I5" s="3">
        <v>15</v>
      </c>
      <c r="J5" s="3">
        <v>14</v>
      </c>
      <c r="K5" s="3">
        <v>13</v>
      </c>
      <c r="L5" s="3">
        <v>11</v>
      </c>
      <c r="M5" s="3">
        <v>9</v>
      </c>
    </row>
    <row r="6" spans="1:13">
      <c r="A6" s="1" t="s">
        <v>29</v>
      </c>
      <c r="B6" s="3">
        <v>15</v>
      </c>
      <c r="C6" s="3">
        <v>14</v>
      </c>
      <c r="D6" s="3">
        <v>13</v>
      </c>
      <c r="E6" s="3">
        <v>15</v>
      </c>
      <c r="F6" s="3">
        <v>15</v>
      </c>
      <c r="G6" s="3">
        <v>16</v>
      </c>
      <c r="H6" s="3">
        <v>15</v>
      </c>
      <c r="I6" s="3">
        <v>13</v>
      </c>
      <c r="J6" s="3">
        <v>12</v>
      </c>
      <c r="K6" s="3">
        <v>12</v>
      </c>
      <c r="L6" s="3">
        <v>12</v>
      </c>
      <c r="M6" s="3">
        <v>12</v>
      </c>
    </row>
    <row r="7" spans="1:13">
      <c r="A7" s="5" t="s">
        <v>30</v>
      </c>
      <c r="B7">
        <f t="shared" ref="B7:M7" si="0">AVERAGE(B2:B6)</f>
        <v>16.8</v>
      </c>
      <c r="C7">
        <f t="shared" si="0"/>
        <v>15.8</v>
      </c>
      <c r="D7">
        <f t="shared" si="0"/>
        <v>14.4</v>
      </c>
      <c r="E7">
        <f t="shared" si="0"/>
        <v>16.399999999999999</v>
      </c>
      <c r="F7">
        <f t="shared" si="0"/>
        <v>14.4</v>
      </c>
      <c r="G7">
        <f t="shared" si="0"/>
        <v>13.4</v>
      </c>
      <c r="H7">
        <f t="shared" si="0"/>
        <v>14.2</v>
      </c>
      <c r="I7">
        <f t="shared" si="0"/>
        <v>13.4</v>
      </c>
      <c r="J7">
        <f t="shared" si="0"/>
        <v>13.6</v>
      </c>
      <c r="K7">
        <f t="shared" si="0"/>
        <v>12.8</v>
      </c>
      <c r="L7">
        <f t="shared" si="0"/>
        <v>12.2</v>
      </c>
      <c r="M7">
        <f t="shared" si="0"/>
        <v>11.2</v>
      </c>
    </row>
    <row r="8" spans="1:13">
      <c r="A8" s="5" t="s">
        <v>31</v>
      </c>
      <c r="B8" s="5">
        <v>1.6870000000000001</v>
      </c>
      <c r="C8" s="5">
        <v>0.66700000000000004</v>
      </c>
      <c r="D8" s="5">
        <v>1.0249999999999999</v>
      </c>
      <c r="M8" s="5"/>
    </row>
    <row r="9" spans="1:13">
      <c r="M9" s="5"/>
    </row>
    <row r="10" spans="1:13">
      <c r="A10" s="5" t="s">
        <v>32</v>
      </c>
      <c r="B10" s="5">
        <v>16.8</v>
      </c>
      <c r="C10" s="5">
        <v>15.8</v>
      </c>
      <c r="D10" s="5">
        <v>14.4</v>
      </c>
      <c r="G10" t="s">
        <v>111</v>
      </c>
      <c r="J10" s="5"/>
      <c r="M10" s="5"/>
    </row>
    <row r="11" spans="1:13">
      <c r="A11" s="5" t="s">
        <v>33</v>
      </c>
      <c r="B11" s="5">
        <v>1.9850000000000001</v>
      </c>
      <c r="C11" s="5">
        <v>0.58299999999999996</v>
      </c>
      <c r="D11" s="5">
        <v>1.2490000000000001</v>
      </c>
    </row>
    <row r="12" spans="1:13" ht="15" customHeight="1" thickBot="1">
      <c r="B12" s="37" t="s">
        <v>110</v>
      </c>
      <c r="C12" s="37" t="s">
        <v>109</v>
      </c>
      <c r="G12" t="s">
        <v>112</v>
      </c>
      <c r="J12" t="s">
        <v>113</v>
      </c>
      <c r="K12">
        <v>0</v>
      </c>
    </row>
    <row r="13" spans="1:13" ht="15" customHeight="1" thickTop="1">
      <c r="B13" s="2">
        <v>16.8</v>
      </c>
      <c r="C13" s="5">
        <v>10.8</v>
      </c>
      <c r="G13" s="45" t="s">
        <v>114</v>
      </c>
      <c r="H13" s="45" t="s">
        <v>86</v>
      </c>
      <c r="I13" s="45" t="s">
        <v>72</v>
      </c>
      <c r="J13" s="45" t="s">
        <v>115</v>
      </c>
      <c r="K13" s="45" t="s">
        <v>116</v>
      </c>
    </row>
    <row r="14" spans="1:13" ht="15" customHeight="1">
      <c r="B14" s="2">
        <v>15.8</v>
      </c>
      <c r="C14">
        <v>9.6</v>
      </c>
      <c r="G14" t="str">
        <f>B12</f>
        <v>Snorkel</v>
      </c>
      <c r="H14">
        <f>COUNT(B13:B24)</f>
        <v>12</v>
      </c>
      <c r="I14">
        <f>AVERAGE(B13:B24)</f>
        <v>14.049999999999999</v>
      </c>
      <c r="J14">
        <f>VAR(B13:B24)</f>
        <v>2.7790909090909239</v>
      </c>
    </row>
    <row r="15" spans="1:13" ht="15" customHeight="1">
      <c r="B15" s="2">
        <v>14.4</v>
      </c>
      <c r="C15">
        <v>10.6</v>
      </c>
      <c r="G15" t="str">
        <f>C12</f>
        <v>GoPro</v>
      </c>
      <c r="H15">
        <f>COUNT(C13:C24)</f>
        <v>12</v>
      </c>
      <c r="I15">
        <f>AVERAGE(C13:C24)</f>
        <v>10.55</v>
      </c>
      <c r="J15">
        <f>VAR(C13:C24)</f>
        <v>1.0045454545454549</v>
      </c>
    </row>
    <row r="16" spans="1:13" ht="15" customHeight="1">
      <c r="B16" s="2">
        <v>16.399999999999999</v>
      </c>
      <c r="C16">
        <v>12.2</v>
      </c>
      <c r="G16" s="36" t="s">
        <v>117</v>
      </c>
      <c r="H16" s="36"/>
      <c r="I16" s="36"/>
      <c r="J16" s="36">
        <f>((H14-1)*J14+(H15-1)*J15)/(H14+H15-2)</f>
        <v>1.8918181818181894</v>
      </c>
      <c r="K16" s="36">
        <f>ABS(I14-I15-K12)/SQRT(J16)</f>
        <v>2.5446517016197778</v>
      </c>
    </row>
    <row r="17" spans="2:21" ht="15" customHeight="1">
      <c r="B17" s="2">
        <v>14.4</v>
      </c>
      <c r="C17" s="5">
        <v>11</v>
      </c>
    </row>
    <row r="18" spans="2:21" ht="15" customHeight="1" thickBot="1">
      <c r="B18" s="2">
        <v>13.4</v>
      </c>
      <c r="C18">
        <v>10.4</v>
      </c>
      <c r="G18" t="s">
        <v>118</v>
      </c>
      <c r="K18" t="s">
        <v>119</v>
      </c>
      <c r="L18">
        <v>0.05</v>
      </c>
    </row>
    <row r="19" spans="2:21" ht="15" customHeight="1" thickTop="1">
      <c r="B19" s="2">
        <v>14.2</v>
      </c>
      <c r="C19">
        <v>10.6</v>
      </c>
      <c r="G19" s="45" t="s">
        <v>120</v>
      </c>
      <c r="H19" s="45" t="s">
        <v>121</v>
      </c>
      <c r="I19" s="45" t="s">
        <v>122</v>
      </c>
      <c r="J19" s="45" t="s">
        <v>123</v>
      </c>
      <c r="K19" s="45" t="s">
        <v>100</v>
      </c>
      <c r="L19" s="45" t="s">
        <v>124</v>
      </c>
      <c r="M19" s="45" t="s">
        <v>125</v>
      </c>
      <c r="N19" s="45" t="s">
        <v>126</v>
      </c>
      <c r="O19" s="45" t="s">
        <v>127</v>
      </c>
      <c r="P19" s="45" t="s">
        <v>128</v>
      </c>
    </row>
    <row r="20" spans="2:21" ht="15" customHeight="1">
      <c r="B20" s="2">
        <v>13.4</v>
      </c>
      <c r="C20">
        <v>8.6</v>
      </c>
      <c r="G20" t="s">
        <v>129</v>
      </c>
      <c r="H20">
        <f>SQRT(J16*(1/H14+1/H15))</f>
        <v>0.56151850397206993</v>
      </c>
      <c r="I20">
        <f>(ABS(I14-I15-K12))/H20</f>
        <v>6.2330982420734067</v>
      </c>
      <c r="J20">
        <f>H14+H15-2</f>
        <v>22</v>
      </c>
      <c r="K20">
        <f>TDIST(I20,J20,1)</f>
        <v>1.4194347537578216E-6</v>
      </c>
      <c r="L20">
        <f>TINV(L18*2,J20)</f>
        <v>1.7171443743802424</v>
      </c>
      <c r="O20" s="27" t="str">
        <f>IF(K20&lt;L18,"yes","no")</f>
        <v>yes</v>
      </c>
      <c r="P20">
        <f>SQRT(I20^2/(I20^2+J20))</f>
        <v>0.79903955550261518</v>
      </c>
    </row>
    <row r="21" spans="2:21" ht="15" customHeight="1">
      <c r="B21" s="2">
        <v>13.6</v>
      </c>
      <c r="C21">
        <v>11.4</v>
      </c>
      <c r="G21" t="s">
        <v>130</v>
      </c>
      <c r="H21">
        <f>H20</f>
        <v>0.56151850397206993</v>
      </c>
      <c r="I21" s="2">
        <f t="shared" ref="I21:J21" si="1">I20</f>
        <v>6.2330982420734067</v>
      </c>
      <c r="J21" s="2">
        <f t="shared" si="1"/>
        <v>22</v>
      </c>
      <c r="K21">
        <f>TDIST(I21,J21,2)</f>
        <v>2.8388695075156432E-6</v>
      </c>
      <c r="L21">
        <f>TINV(L18,J21)</f>
        <v>2.0738730679040258</v>
      </c>
      <c r="M21">
        <f>(I14-I15)-L21*H21</f>
        <v>2.3354818974825626</v>
      </c>
      <c r="N21">
        <f>(I14-I15)+L21*H21</f>
        <v>4.6645181025174338</v>
      </c>
      <c r="O21" s="27" t="str">
        <f>IF(K21&lt;L18,"yes","no")</f>
        <v>yes</v>
      </c>
      <c r="P21">
        <f>P20</f>
        <v>0.79903955550261518</v>
      </c>
    </row>
    <row r="22" spans="2:21" ht="15" customHeight="1">
      <c r="B22" s="2">
        <v>12.8</v>
      </c>
      <c r="C22">
        <v>11.4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1" ht="15" customHeight="1" thickBot="1">
      <c r="B23" s="2">
        <v>12.2</v>
      </c>
      <c r="C23">
        <v>9.1999999999999993</v>
      </c>
      <c r="G23" t="s">
        <v>131</v>
      </c>
      <c r="K23" t="s">
        <v>119</v>
      </c>
      <c r="L23">
        <f>L18</f>
        <v>0.05</v>
      </c>
    </row>
    <row r="24" spans="2:21" ht="15" customHeight="1" thickTop="1">
      <c r="B24" s="2">
        <v>11.2</v>
      </c>
      <c r="C24">
        <v>10.8</v>
      </c>
      <c r="G24" s="45" t="s">
        <v>120</v>
      </c>
      <c r="H24" s="45" t="s">
        <v>121</v>
      </c>
      <c r="I24" s="45" t="s">
        <v>122</v>
      </c>
      <c r="J24" s="45" t="s">
        <v>123</v>
      </c>
      <c r="K24" s="45" t="s">
        <v>100</v>
      </c>
      <c r="L24" s="45" t="s">
        <v>124</v>
      </c>
      <c r="M24" s="45" t="s">
        <v>125</v>
      </c>
      <c r="N24" s="45" t="s">
        <v>126</v>
      </c>
      <c r="O24" s="45" t="s">
        <v>127</v>
      </c>
      <c r="P24" s="45" t="s">
        <v>128</v>
      </c>
    </row>
    <row r="25" spans="2:21" ht="15" customHeight="1">
      <c r="G25" t="s">
        <v>129</v>
      </c>
      <c r="H25">
        <f>SQRT(J14/H14+J15/H15)</f>
        <v>0.56151850397206993</v>
      </c>
      <c r="I25">
        <f>(ABS(I14-I15-K12))/H25</f>
        <v>6.2330982420734067</v>
      </c>
      <c r="J25">
        <f>(J14/H14+J15/H15)^2/((J14/H14)^2/(H14-1)+(J15/H15)^2/(H15-1))</f>
        <v>18.033290069895944</v>
      </c>
      <c r="K25">
        <f>TTEST(B13:B24,C13:C24,1,3)</f>
        <v>3.4790982952360576E-6</v>
      </c>
      <c r="L25">
        <f>TINV(L23*2,ROUND(J25,0))</f>
        <v>1.7340636066175394</v>
      </c>
      <c r="O25" s="27" t="str">
        <f>IF(K25&lt;L23,"yes","no")</f>
        <v>yes</v>
      </c>
      <c r="P25">
        <f>SQRT(I25^2/(I25^2+J25))</f>
        <v>0.82642955451564537</v>
      </c>
    </row>
    <row r="26" spans="2:21" ht="15" customHeight="1">
      <c r="G26" t="s">
        <v>130</v>
      </c>
      <c r="H26">
        <f>H25</f>
        <v>0.56151850397206993</v>
      </c>
      <c r="I26" s="2">
        <f t="shared" ref="I26:J26" si="2">I25</f>
        <v>6.2330982420734067</v>
      </c>
      <c r="J26" s="2">
        <f t="shared" si="2"/>
        <v>18.033290069895944</v>
      </c>
      <c r="K26">
        <f>TTEST(B13:B24,C13:C24,2,3)</f>
        <v>6.9581965904721153E-6</v>
      </c>
      <c r="L26">
        <f>TINV(L23,ROUND(J26,0))</f>
        <v>2.1009220402410378</v>
      </c>
      <c r="M26">
        <f>(I14-I15)-L26*H26</f>
        <v>2.3202933990019017</v>
      </c>
      <c r="N26">
        <f>(I14-I15)+L26*H26</f>
        <v>4.6797066009980952</v>
      </c>
      <c r="O26" s="27" t="str">
        <f>IF(K26&lt;L23,"yes","no")</f>
        <v>yes</v>
      </c>
      <c r="P26">
        <f>P25</f>
        <v>0.82642955451564537</v>
      </c>
    </row>
    <row r="27" spans="2:21" ht="15" customHeight="1"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2:21" ht="15" customHeight="1">
      <c r="G28" t="s">
        <v>74</v>
      </c>
      <c r="K28" t="s">
        <v>92</v>
      </c>
      <c r="O28" t="s">
        <v>98</v>
      </c>
      <c r="S28" t="s">
        <v>103</v>
      </c>
    </row>
    <row r="30" spans="2:21" ht="15" customHeight="1">
      <c r="G30" s="25"/>
      <c r="H30" s="25" t="str">
        <f>B12</f>
        <v>Snorkel</v>
      </c>
      <c r="I30" s="25" t="str">
        <f>C12</f>
        <v>GoPro</v>
      </c>
      <c r="L30" s="28" t="str">
        <f>B12</f>
        <v>Snorkel</v>
      </c>
      <c r="M30" s="28" t="str">
        <f>C12</f>
        <v>GoPro</v>
      </c>
      <c r="O30" s="25"/>
      <c r="P30" s="25" t="str">
        <f>B12</f>
        <v>Snorkel</v>
      </c>
      <c r="Q30" s="25" t="str">
        <f>C12</f>
        <v>GoPro</v>
      </c>
      <c r="S30" s="25"/>
      <c r="T30" s="25" t="str">
        <f>B12</f>
        <v>Snorkel</v>
      </c>
      <c r="U30" s="25" t="str">
        <f>C12</f>
        <v>GoPro</v>
      </c>
    </row>
    <row r="31" spans="2:21" ht="15" customHeight="1">
      <c r="G31" t="s">
        <v>72</v>
      </c>
      <c r="H31">
        <f>AVERAGE(B13:B24)</f>
        <v>14.049999999999999</v>
      </c>
      <c r="I31" s="2">
        <f>AVERAGE(C13:C24)</f>
        <v>10.55</v>
      </c>
      <c r="K31" t="s">
        <v>93</v>
      </c>
      <c r="L31" s="46">
        <f>MIN(B13:B24)</f>
        <v>11.2</v>
      </c>
      <c r="M31" s="47">
        <f>MIN(C13:C24)</f>
        <v>8.6</v>
      </c>
      <c r="O31" t="s">
        <v>99</v>
      </c>
      <c r="P31">
        <f>[1]!SHAPIRO(B13:B24)</f>
        <v>0.96648617142386661</v>
      </c>
      <c r="Q31" s="2">
        <f>[1]!SHAPIRO(C13:C24)</f>
        <v>0.95263826975327748</v>
      </c>
      <c r="S31" s="27" t="s">
        <v>104</v>
      </c>
      <c r="T31">
        <f>AVERAGE(B13:B24)</f>
        <v>14.049999999999999</v>
      </c>
      <c r="U31" s="2">
        <f>AVERAGE(C13:C24)</f>
        <v>10.55</v>
      </c>
    </row>
    <row r="32" spans="2:21" ht="15" customHeight="1">
      <c r="G32" t="s">
        <v>75</v>
      </c>
      <c r="H32">
        <f>STDEV(B13:B24)/SQRT(COUNT(B13:B24))</f>
        <v>0.48123893139573648</v>
      </c>
      <c r="I32" s="2">
        <f>STDEV(C13:C24)/SQRT(COUNT(C13:C24))</f>
        <v>0.28933047059050188</v>
      </c>
      <c r="K32" t="s">
        <v>94</v>
      </c>
      <c r="L32" s="48">
        <f>QUARTILE(B13:B24,1)-L31</f>
        <v>2.0500000000000007</v>
      </c>
      <c r="M32" s="49">
        <f>QUARTILE(C13:C24,1)-M31</f>
        <v>1.5999999999999996</v>
      </c>
      <c r="O32" t="s">
        <v>100</v>
      </c>
      <c r="P32">
        <f>[1]!SWTEST(B13:B24)</f>
        <v>0.8707439358342357</v>
      </c>
      <c r="Q32" s="2">
        <f>[1]!SWTEST(C13:C24)</f>
        <v>0.67581681428340701</v>
      </c>
      <c r="S32" s="27" t="s">
        <v>105</v>
      </c>
      <c r="T32">
        <f>STDEV(B13:B24)</f>
        <v>1.6670605595151378</v>
      </c>
      <c r="U32" s="2">
        <f>STDEV(C13:C24)</f>
        <v>1.002270150481124</v>
      </c>
    </row>
    <row r="33" spans="7:22" ht="15" customHeight="1">
      <c r="G33" t="s">
        <v>76</v>
      </c>
      <c r="H33">
        <f>MEDIAN(B13:B24)</f>
        <v>13.899999999999999</v>
      </c>
      <c r="I33" s="2">
        <f>MEDIAN(C13:C24)</f>
        <v>10.7</v>
      </c>
      <c r="K33" t="s">
        <v>95</v>
      </c>
      <c r="L33" s="48">
        <f>MEDIAN(B13:B24)-QUARTILE(B13:B24,1)</f>
        <v>0.64999999999999858</v>
      </c>
      <c r="M33" s="49">
        <f>MEDIAN(C13:C24)-QUARTILE(C13:C24,1)</f>
        <v>0.5</v>
      </c>
      <c r="O33" t="s">
        <v>101</v>
      </c>
      <c r="P33">
        <v>0.05</v>
      </c>
      <c r="Q33" s="2">
        <v>0.05</v>
      </c>
      <c r="S33" s="35" t="s">
        <v>106</v>
      </c>
      <c r="T33" s="36">
        <f>COUNTIF(T36:T47,"&gt;=2.5")+COUNTIF(T36:T47,"&lt;=-2.5")</f>
        <v>0</v>
      </c>
      <c r="U33" s="36">
        <f>COUNTIF(U36:U47,"&gt;=2.5")+COUNTIF(U36:U47,"&lt;=-2.5")</f>
        <v>0</v>
      </c>
    </row>
    <row r="34" spans="7:22" ht="15" customHeight="1">
      <c r="G34" t="s">
        <v>77</v>
      </c>
      <c r="H34">
        <f>MODE(B13:B24)</f>
        <v>14.4</v>
      </c>
      <c r="I34" s="2">
        <f>MODE(C13:C24)</f>
        <v>10.8</v>
      </c>
      <c r="K34" t="s">
        <v>96</v>
      </c>
      <c r="L34" s="48">
        <f>QUARTILE(B13:B24,3)-MEDIAN(B13:B24)</f>
        <v>0.85000000000000142</v>
      </c>
      <c r="M34" s="49">
        <f>QUARTILE(C13:C24,3)-MEDIAN(C13:C24)</f>
        <v>0.40000000000000036</v>
      </c>
      <c r="O34" s="23" t="s">
        <v>102</v>
      </c>
      <c r="P34" s="33" t="str">
        <f>IF(P32&lt;P33,"no","yes")</f>
        <v>yes</v>
      </c>
      <c r="Q34" s="33" t="str">
        <f>IF(Q32&lt;Q33,"no","yes")</f>
        <v>yes</v>
      </c>
      <c r="S34" s="27" t="s">
        <v>107</v>
      </c>
      <c r="T34">
        <f>COUNTIF(T36:T47,"")</f>
        <v>0</v>
      </c>
      <c r="U34" s="2">
        <f>COUNTIF(U36:U47,"")</f>
        <v>0</v>
      </c>
    </row>
    <row r="35" spans="7:22" ht="15" customHeight="1">
      <c r="G35" t="s">
        <v>78</v>
      </c>
      <c r="H35">
        <f>STDEV(B13:B24)</f>
        <v>1.6670605595151378</v>
      </c>
      <c r="I35" s="2">
        <f>STDEV(C13:C24)</f>
        <v>1.002270150481124</v>
      </c>
      <c r="K35" t="s">
        <v>97</v>
      </c>
      <c r="L35" s="50">
        <f>MAX(B13:B24)-QUARTILE(B13:B24,3)</f>
        <v>2.0500000000000007</v>
      </c>
      <c r="M35" s="51">
        <f>MAX(C13:C24)-QUARTILE(C13:C24,3)</f>
        <v>1.0999999999999996</v>
      </c>
      <c r="S35" s="24" t="s">
        <v>108</v>
      </c>
      <c r="T35" s="23">
        <f>COUNTIF(T36:T47," ******* ")</f>
        <v>0</v>
      </c>
      <c r="U35" s="23">
        <f>COUNTIF(U36:U47," ******* ")</f>
        <v>0</v>
      </c>
    </row>
    <row r="36" spans="7:22" ht="15" customHeight="1">
      <c r="G36" t="s">
        <v>79</v>
      </c>
      <c r="H36">
        <f>VAR(B13:B24)</f>
        <v>2.7790909090909239</v>
      </c>
      <c r="I36" s="2">
        <f>VAR(C13:C24)</f>
        <v>1.0045454545454549</v>
      </c>
      <c r="S36" s="27">
        <v>1</v>
      </c>
      <c r="T36">
        <f>IF(B13="","",IF(ISNUMBER(B13),STANDARDIZE(B13,T$31,T$32)," ******* "))</f>
        <v>1.6496101382182753</v>
      </c>
      <c r="U36" s="2">
        <f>IF(C13="","",IF(ISNUMBER(C13),STANDARDIZE(C13,U$31,U$32)," ******* "))</f>
        <v>0.24943374785729319</v>
      </c>
      <c r="V36" t="str">
        <f>IF(COUNTIF(T36:U36,"&gt;=2.5")+COUNTIF(T36:U36,"&lt;=-2.5")&gt;0,"*","")</f>
        <v/>
      </c>
    </row>
    <row r="37" spans="7:22" ht="15" customHeight="1">
      <c r="G37" t="s">
        <v>80</v>
      </c>
      <c r="H37">
        <f>KURT(B13:B24)</f>
        <v>-0.40929879985006412</v>
      </c>
      <c r="I37" s="2">
        <f>KURT(C13:C24)</f>
        <v>0.19847041078875005</v>
      </c>
      <c r="S37" s="27">
        <f>S36+1</f>
        <v>2</v>
      </c>
      <c r="T37" s="2">
        <f t="shared" ref="T37:U47" si="3">IF(B14="","",IF(ISNUMBER(B14),STANDARDIZE(B14,T$31,T$32)," ******* "))</f>
        <v>1.0497519061389029</v>
      </c>
      <c r="U37" s="2">
        <f t="shared" si="3"/>
        <v>-0.94784824185771521</v>
      </c>
      <c r="V37" s="2" t="str">
        <f t="shared" ref="V37:V47" si="4">IF(COUNTIF(T37:U37,"&gt;=2.5")+COUNTIF(T37:U37,"&lt;=-2.5")&gt;0,"*","")</f>
        <v/>
      </c>
    </row>
    <row r="38" spans="7:22" ht="15" customHeight="1">
      <c r="G38" t="s">
        <v>81</v>
      </c>
      <c r="H38">
        <f>SKEW(B13:B24)</f>
        <v>0.16833705598176618</v>
      </c>
      <c r="I38" s="2">
        <f>SKEW(C13:C24)</f>
        <v>-0.53016296612448632</v>
      </c>
      <c r="S38" s="27">
        <f t="shared" ref="S38:S47" si="5">S37+1</f>
        <v>3</v>
      </c>
      <c r="T38" s="2">
        <f t="shared" si="3"/>
        <v>0.2099503812277812</v>
      </c>
      <c r="U38" s="2">
        <f t="shared" si="3"/>
        <v>4.9886749571457577E-2</v>
      </c>
      <c r="V38" s="2" t="str">
        <f t="shared" si="4"/>
        <v/>
      </c>
    </row>
    <row r="39" spans="7:22" ht="15" customHeight="1">
      <c r="G39" t="s">
        <v>82</v>
      </c>
      <c r="H39">
        <f>H40-H41</f>
        <v>5.6000000000000014</v>
      </c>
      <c r="I39" s="2">
        <f>I40-I41</f>
        <v>3.5999999999999996</v>
      </c>
      <c r="S39" s="27">
        <f t="shared" si="5"/>
        <v>4</v>
      </c>
      <c r="T39" s="2">
        <f t="shared" si="3"/>
        <v>1.4096668453865251</v>
      </c>
      <c r="U39" s="2">
        <f t="shared" si="3"/>
        <v>1.6462627358581337</v>
      </c>
      <c r="V39" s="2" t="str">
        <f t="shared" si="4"/>
        <v/>
      </c>
    </row>
    <row r="40" spans="7:22" ht="15" customHeight="1">
      <c r="G40" t="s">
        <v>83</v>
      </c>
      <c r="H40">
        <f>MAX(B13:B24)</f>
        <v>16.8</v>
      </c>
      <c r="I40" s="2">
        <f>MAX(C13:C24)</f>
        <v>12.2</v>
      </c>
      <c r="S40" s="27">
        <f t="shared" si="5"/>
        <v>5</v>
      </c>
      <c r="T40" s="2">
        <f t="shared" si="3"/>
        <v>0.2099503812277812</v>
      </c>
      <c r="U40" s="2">
        <f t="shared" si="3"/>
        <v>0.44898074614312705</v>
      </c>
      <c r="V40" s="2" t="str">
        <f t="shared" si="4"/>
        <v/>
      </c>
    </row>
    <row r="41" spans="7:22" ht="15" customHeight="1">
      <c r="G41" t="s">
        <v>84</v>
      </c>
      <c r="H41">
        <f>MIN(B13:B24)</f>
        <v>11.2</v>
      </c>
      <c r="I41" s="2">
        <f>MIN(C13:C24)</f>
        <v>8.6</v>
      </c>
      <c r="S41" s="27">
        <f t="shared" si="5"/>
        <v>6</v>
      </c>
      <c r="T41" s="2">
        <f t="shared" si="3"/>
        <v>-0.38990785085159124</v>
      </c>
      <c r="U41" s="2">
        <f t="shared" si="3"/>
        <v>-0.14966024871437628</v>
      </c>
      <c r="V41" s="2" t="str">
        <f t="shared" si="4"/>
        <v/>
      </c>
    </row>
    <row r="42" spans="7:22" ht="15" customHeight="1">
      <c r="G42" t="s">
        <v>85</v>
      </c>
      <c r="H42">
        <f>SUM(B13:B24)</f>
        <v>168.6</v>
      </c>
      <c r="I42" s="2">
        <f>SUM(C13:C24)</f>
        <v>126.60000000000001</v>
      </c>
      <c r="S42" s="27">
        <f t="shared" si="5"/>
        <v>7</v>
      </c>
      <c r="T42" s="2">
        <f t="shared" si="3"/>
        <v>8.9978734811906075E-2</v>
      </c>
      <c r="U42" s="2">
        <f t="shared" si="3"/>
        <v>4.9886749571457577E-2</v>
      </c>
      <c r="V42" s="2" t="str">
        <f t="shared" si="4"/>
        <v/>
      </c>
    </row>
    <row r="43" spans="7:22" ht="15" customHeight="1">
      <c r="G43" t="s">
        <v>86</v>
      </c>
      <c r="H43">
        <f>COUNT(B13:B24)</f>
        <v>12</v>
      </c>
      <c r="I43" s="2">
        <f>COUNT(C13:C24)</f>
        <v>12</v>
      </c>
      <c r="S43" s="27">
        <f t="shared" si="5"/>
        <v>8</v>
      </c>
      <c r="T43" s="2">
        <f t="shared" si="3"/>
        <v>-0.38990785085159124</v>
      </c>
      <c r="U43" s="2">
        <f t="shared" si="3"/>
        <v>-1.9455832332868881</v>
      </c>
      <c r="V43" s="2" t="str">
        <f t="shared" si="4"/>
        <v/>
      </c>
    </row>
    <row r="44" spans="7:22" ht="15" customHeight="1">
      <c r="G44" t="s">
        <v>87</v>
      </c>
      <c r="H44">
        <f>GEOMEAN(B13:B24)</f>
        <v>13.959289778234846</v>
      </c>
      <c r="I44" s="2">
        <f>GEOMEAN(C13:C24)</f>
        <v>10.504717057069085</v>
      </c>
      <c r="S44" s="27">
        <f t="shared" si="5"/>
        <v>9</v>
      </c>
      <c r="T44" s="2">
        <f t="shared" si="3"/>
        <v>-0.2699362044357172</v>
      </c>
      <c r="U44" s="2">
        <f t="shared" si="3"/>
        <v>0.84807474271479655</v>
      </c>
      <c r="V44" s="2" t="str">
        <f t="shared" si="4"/>
        <v/>
      </c>
    </row>
    <row r="45" spans="7:22" ht="15" customHeight="1">
      <c r="G45" t="s">
        <v>88</v>
      </c>
      <c r="H45">
        <f>HARMEAN(B13:B24)</f>
        <v>13.868614817892338</v>
      </c>
      <c r="I45" s="2">
        <f>HARMEAN(C13:C24)</f>
        <v>10.457748135103511</v>
      </c>
      <c r="S45" s="27">
        <f t="shared" si="5"/>
        <v>10</v>
      </c>
      <c r="T45" s="2">
        <f t="shared" si="3"/>
        <v>-0.74982279009921449</v>
      </c>
      <c r="U45" s="2">
        <f t="shared" si="3"/>
        <v>0.84807474271479655</v>
      </c>
      <c r="V45" s="2" t="str">
        <f t="shared" si="4"/>
        <v/>
      </c>
    </row>
    <row r="46" spans="7:22" ht="15" customHeight="1">
      <c r="G46" t="s">
        <v>89</v>
      </c>
      <c r="H46">
        <f>AVEDEV(B13:B24)</f>
        <v>1.2833333333333334</v>
      </c>
      <c r="I46" s="2">
        <f>AVEDEV(C13:C24)</f>
        <v>0.73333333333333328</v>
      </c>
      <c r="S46" s="27">
        <f t="shared" si="5"/>
        <v>11</v>
      </c>
      <c r="T46" s="2">
        <f t="shared" si="3"/>
        <v>-1.1097377293468389</v>
      </c>
      <c r="U46" s="2">
        <f t="shared" si="3"/>
        <v>-1.3469422384293848</v>
      </c>
      <c r="V46" s="2" t="str">
        <f t="shared" si="4"/>
        <v/>
      </c>
    </row>
    <row r="47" spans="7:22" ht="15" customHeight="1">
      <c r="G47" t="s">
        <v>90</v>
      </c>
      <c r="H47">
        <f>[1]!MAD(B13:B24)</f>
        <v>0.79999999999999982</v>
      </c>
      <c r="I47" s="2">
        <f>[1]!MAD(C13:C24)</f>
        <v>0.50000000000000089</v>
      </c>
      <c r="S47" s="24">
        <f t="shared" si="5"/>
        <v>12</v>
      </c>
      <c r="T47" s="23">
        <f t="shared" si="3"/>
        <v>-1.7095959614262113</v>
      </c>
      <c r="U47" s="23">
        <f t="shared" si="3"/>
        <v>0.24943374785729319</v>
      </c>
      <c r="V47" s="2" t="str">
        <f t="shared" si="4"/>
        <v/>
      </c>
    </row>
    <row r="48" spans="7:22" ht="15" customHeight="1">
      <c r="G48" s="23" t="s">
        <v>91</v>
      </c>
      <c r="H48" s="23">
        <f>[1]!IQR(B13:B24,FALSE)</f>
        <v>1.5</v>
      </c>
      <c r="I48" s="23">
        <f>[1]!IQR(C13:C24,FALSE)</f>
        <v>0.90000000000000036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19" sqref="B19"/>
    </sheetView>
  </sheetViews>
  <sheetFormatPr defaultColWidth="15.140625" defaultRowHeight="15" customHeight="1"/>
  <cols>
    <col min="1" max="7" width="7.5703125" customWidth="1"/>
    <col min="8" max="9" width="7.85546875" customWidth="1"/>
    <col min="10" max="14" width="8.7109375" customWidth="1"/>
  </cols>
  <sheetData>
    <row r="1" spans="1:14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/>
    </row>
    <row r="2" spans="1:14">
      <c r="A2" s="1" t="s">
        <v>13</v>
      </c>
      <c r="B2" s="3">
        <v>10</v>
      </c>
      <c r="C2" s="5">
        <v>9</v>
      </c>
      <c r="D2" s="3">
        <v>11</v>
      </c>
      <c r="E2" s="3">
        <v>13</v>
      </c>
      <c r="F2" s="3">
        <v>10</v>
      </c>
      <c r="G2" s="3">
        <v>11</v>
      </c>
      <c r="H2" s="3">
        <v>11</v>
      </c>
      <c r="I2" s="3">
        <v>7</v>
      </c>
      <c r="J2" s="3">
        <v>10</v>
      </c>
      <c r="K2" s="3">
        <v>10</v>
      </c>
      <c r="L2" s="3">
        <v>7</v>
      </c>
      <c r="M2" s="3">
        <v>10</v>
      </c>
      <c r="N2" s="3"/>
    </row>
    <row r="3" spans="1:14">
      <c r="A3" s="1" t="s">
        <v>26</v>
      </c>
      <c r="B3" s="3">
        <v>12</v>
      </c>
      <c r="C3" s="3">
        <v>10</v>
      </c>
      <c r="D3" s="3">
        <v>11</v>
      </c>
      <c r="E3" s="3">
        <v>10</v>
      </c>
      <c r="F3" s="3">
        <v>11</v>
      </c>
      <c r="G3" s="3">
        <v>10</v>
      </c>
      <c r="H3" s="3">
        <v>10</v>
      </c>
      <c r="I3" s="3">
        <v>7</v>
      </c>
      <c r="J3" s="3">
        <v>11</v>
      </c>
      <c r="K3" s="3">
        <v>11</v>
      </c>
      <c r="L3" s="3">
        <v>9</v>
      </c>
      <c r="M3" s="3">
        <v>10</v>
      </c>
      <c r="N3" s="3"/>
    </row>
    <row r="4" spans="1:14">
      <c r="A4" s="1" t="s">
        <v>27</v>
      </c>
      <c r="B4" s="3">
        <v>9</v>
      </c>
      <c r="C4" s="3">
        <v>8</v>
      </c>
      <c r="D4" s="3">
        <v>7</v>
      </c>
      <c r="E4" s="3">
        <v>13</v>
      </c>
      <c r="F4" s="3">
        <v>12</v>
      </c>
      <c r="G4" s="3">
        <v>11</v>
      </c>
      <c r="H4" s="3">
        <v>11</v>
      </c>
      <c r="I4" s="3">
        <v>10</v>
      </c>
      <c r="J4" s="3">
        <v>12</v>
      </c>
      <c r="K4" s="3">
        <v>12</v>
      </c>
      <c r="L4" s="3">
        <v>11</v>
      </c>
      <c r="M4" s="3">
        <v>10</v>
      </c>
      <c r="N4" s="6"/>
    </row>
    <row r="5" spans="1:14">
      <c r="A5" s="1" t="s">
        <v>28</v>
      </c>
      <c r="B5" s="3">
        <v>11</v>
      </c>
      <c r="C5" s="3">
        <v>10</v>
      </c>
      <c r="D5" s="3">
        <v>9</v>
      </c>
      <c r="E5" s="3">
        <v>12</v>
      </c>
      <c r="F5" s="3">
        <v>13</v>
      </c>
      <c r="G5" s="5">
        <v>11</v>
      </c>
      <c r="H5" s="5">
        <v>11</v>
      </c>
      <c r="I5" s="3">
        <v>9</v>
      </c>
      <c r="J5" s="3">
        <v>12</v>
      </c>
      <c r="K5" s="3">
        <v>13</v>
      </c>
      <c r="L5" s="3">
        <v>9</v>
      </c>
      <c r="M5" s="3">
        <v>11</v>
      </c>
      <c r="N5" s="6"/>
    </row>
    <row r="6" spans="1:14">
      <c r="A6" s="1" t="s">
        <v>29</v>
      </c>
      <c r="B6" s="3">
        <v>12</v>
      </c>
      <c r="C6" s="3">
        <v>11</v>
      </c>
      <c r="D6" s="3">
        <v>15</v>
      </c>
      <c r="E6" s="3">
        <v>13</v>
      </c>
      <c r="F6" s="3">
        <v>9</v>
      </c>
      <c r="G6" s="3">
        <v>9</v>
      </c>
      <c r="H6" s="3">
        <v>10</v>
      </c>
      <c r="I6" s="3">
        <v>10</v>
      </c>
      <c r="J6" s="3">
        <v>12</v>
      </c>
      <c r="K6" s="3">
        <v>11</v>
      </c>
      <c r="L6" s="3">
        <v>10</v>
      </c>
      <c r="M6" s="3">
        <v>13</v>
      </c>
      <c r="N6" s="6"/>
    </row>
    <row r="7" spans="1:14">
      <c r="A7" s="5" t="s">
        <v>30</v>
      </c>
      <c r="B7">
        <f t="shared" ref="B7:M7" si="0">AVERAGE(B2:B6)</f>
        <v>10.8</v>
      </c>
      <c r="C7">
        <f t="shared" si="0"/>
        <v>9.6</v>
      </c>
      <c r="D7">
        <f t="shared" si="0"/>
        <v>10.6</v>
      </c>
      <c r="E7">
        <f t="shared" si="0"/>
        <v>12.2</v>
      </c>
      <c r="F7">
        <f t="shared" si="0"/>
        <v>11</v>
      </c>
      <c r="G7">
        <f t="shared" si="0"/>
        <v>10.4</v>
      </c>
      <c r="H7">
        <f t="shared" si="0"/>
        <v>10.6</v>
      </c>
      <c r="I7">
        <f t="shared" si="0"/>
        <v>8.6</v>
      </c>
      <c r="J7">
        <f t="shared" si="0"/>
        <v>11.4</v>
      </c>
      <c r="K7">
        <f t="shared" si="0"/>
        <v>11.4</v>
      </c>
      <c r="L7">
        <f t="shared" si="0"/>
        <v>9.1999999999999993</v>
      </c>
      <c r="M7">
        <f t="shared" si="0"/>
        <v>10.8</v>
      </c>
    </row>
    <row r="8" spans="1:14">
      <c r="A8" s="5" t="s">
        <v>34</v>
      </c>
      <c r="B8">
        <f t="shared" ref="B8:D8" si="1">STDEV(B2:B6)</f>
        <v>1.3038404810405253</v>
      </c>
      <c r="C8">
        <f t="shared" si="1"/>
        <v>1.1401754250991367</v>
      </c>
      <c r="D8">
        <f t="shared" si="1"/>
        <v>2.9664793948382671</v>
      </c>
      <c r="E8" s="5" t="s">
        <v>47</v>
      </c>
    </row>
    <row r="9" spans="1:14">
      <c r="A9" s="5" t="s">
        <v>31</v>
      </c>
      <c r="B9" s="5">
        <v>0.49399999999999999</v>
      </c>
      <c r="C9" s="5">
        <v>0.49399999999999999</v>
      </c>
      <c r="D9" s="5">
        <v>1.1160000000000001</v>
      </c>
    </row>
    <row r="10" spans="1:14">
      <c r="B10">
        <f t="shared" ref="B10:B11" si="2">STDEV(B2,C2,D2)</f>
        <v>1</v>
      </c>
    </row>
    <row r="11" spans="1:14">
      <c r="B11">
        <f t="shared" si="2"/>
        <v>1</v>
      </c>
    </row>
    <row r="12" spans="1:14">
      <c r="B12" t="e">
        <f>STDEV(#REF!,#REF!,#REF!)</f>
        <v>#REF!</v>
      </c>
      <c r="D12" s="5" t="s">
        <v>48</v>
      </c>
      <c r="E12" s="5" t="s">
        <v>49</v>
      </c>
      <c r="F12" s="5" t="s">
        <v>50</v>
      </c>
      <c r="G12" s="5" t="s">
        <v>51</v>
      </c>
      <c r="H12" s="5" t="s">
        <v>52</v>
      </c>
      <c r="I12" s="5" t="s">
        <v>53</v>
      </c>
      <c r="J12" s="5" t="s">
        <v>54</v>
      </c>
      <c r="K12" s="5" t="s">
        <v>55</v>
      </c>
      <c r="L12" s="5" t="s">
        <v>56</v>
      </c>
      <c r="M12" s="5" t="s">
        <v>57</v>
      </c>
    </row>
    <row r="13" spans="1:14">
      <c r="B13">
        <f t="shared" ref="B13:B15" si="3">STDEV(B4,C4,D4)</f>
        <v>1</v>
      </c>
    </row>
    <row r="14" spans="1:14">
      <c r="B14">
        <f t="shared" si="3"/>
        <v>1</v>
      </c>
    </row>
    <row r="15" spans="1:14">
      <c r="B15">
        <f t="shared" si="3"/>
        <v>2.0816659994661348</v>
      </c>
    </row>
    <row r="16" spans="1:14">
      <c r="A16" s="5" t="s">
        <v>32</v>
      </c>
      <c r="B16" s="5">
        <v>10.8</v>
      </c>
      <c r="C16" s="5">
        <v>9.6</v>
      </c>
      <c r="D16" s="5">
        <v>10.6</v>
      </c>
    </row>
    <row r="17" spans="1:4">
      <c r="A17" s="5" t="s">
        <v>33</v>
      </c>
      <c r="B17" s="5">
        <v>0.58299999999999996</v>
      </c>
      <c r="C17" s="5">
        <v>0.51</v>
      </c>
      <c r="D17" s="5">
        <v>1.327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7" workbookViewId="0">
      <selection activeCell="O48" sqref="O48"/>
    </sheetView>
  </sheetViews>
  <sheetFormatPr defaultColWidth="15.140625" defaultRowHeight="15" customHeight="1"/>
  <cols>
    <col min="1" max="13" width="7.5703125" customWidth="1"/>
  </cols>
  <sheetData>
    <row r="1" spans="1:20">
      <c r="A1" s="1" t="s">
        <v>0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45</v>
      </c>
      <c r="M1" s="7" t="s">
        <v>46</v>
      </c>
    </row>
    <row r="2" spans="1:20">
      <c r="A2" s="8" t="s">
        <v>13</v>
      </c>
      <c r="B2" s="9">
        <v>16.744688839999998</v>
      </c>
      <c r="C2" s="9">
        <v>21.20575041</v>
      </c>
      <c r="D2" s="10">
        <v>11.52964504</v>
      </c>
      <c r="E2" s="9">
        <v>10.367255760000001</v>
      </c>
      <c r="F2" s="10">
        <v>10.49291946</v>
      </c>
      <c r="G2" s="9">
        <v>8.4508842380000004</v>
      </c>
      <c r="H2" s="11">
        <v>15.173892520000001</v>
      </c>
      <c r="I2" s="10">
        <v>19.572122230000002</v>
      </c>
      <c r="J2" s="10">
        <v>12.3150432</v>
      </c>
      <c r="K2" s="3">
        <v>14.294</v>
      </c>
      <c r="L2" s="3">
        <v>12.755000000000001</v>
      </c>
      <c r="M2" s="3">
        <v>11.183999999999999</v>
      </c>
    </row>
    <row r="3" spans="1:20">
      <c r="A3" s="8" t="s">
        <v>26</v>
      </c>
      <c r="B3" s="9">
        <v>16.745000000000001</v>
      </c>
      <c r="C3" s="9">
        <v>18.975000000000001</v>
      </c>
      <c r="D3" s="10">
        <v>6.7859999999999996</v>
      </c>
      <c r="E3" s="9">
        <v>9.1419999999999995</v>
      </c>
      <c r="F3" s="9">
        <v>9.3930000000000007</v>
      </c>
      <c r="G3" s="9">
        <v>9.016</v>
      </c>
      <c r="H3" s="9">
        <v>9.0790000000000006</v>
      </c>
      <c r="I3" s="9">
        <v>8.2620000000000005</v>
      </c>
      <c r="J3" s="9">
        <v>12.975</v>
      </c>
      <c r="K3" s="3">
        <v>12.127000000000001</v>
      </c>
      <c r="L3" s="3">
        <v>12.189</v>
      </c>
      <c r="M3" s="3">
        <v>13.635</v>
      </c>
    </row>
    <row r="4" spans="1:20">
      <c r="A4" s="8" t="s">
        <v>27</v>
      </c>
      <c r="B4" s="9">
        <v>18.880971850000002</v>
      </c>
      <c r="C4" s="9">
        <v>16.36769773</v>
      </c>
      <c r="D4" s="9">
        <v>10.869910580000001</v>
      </c>
      <c r="E4" s="9">
        <v>21.237166340000002</v>
      </c>
      <c r="F4" s="9">
        <v>12.911945810000001</v>
      </c>
      <c r="G4" s="9">
        <v>9.1734505479999999</v>
      </c>
      <c r="H4" s="10">
        <v>8.7650435039999994</v>
      </c>
      <c r="I4" s="12">
        <v>9.2050000000000001</v>
      </c>
      <c r="J4" s="4">
        <v>9.9589999999999996</v>
      </c>
      <c r="K4" s="3">
        <v>10.493</v>
      </c>
      <c r="L4" s="3">
        <v>7.8849999999999998</v>
      </c>
      <c r="M4" s="3">
        <v>8.3879999999999999</v>
      </c>
    </row>
    <row r="5" spans="1:20">
      <c r="A5" s="8" t="s">
        <v>28</v>
      </c>
      <c r="B5" s="10">
        <v>11.93805208</v>
      </c>
      <c r="C5" s="10">
        <v>19.82344964</v>
      </c>
      <c r="D5" s="9">
        <v>25.258404930000001</v>
      </c>
      <c r="E5" s="9">
        <v>20.70309559</v>
      </c>
      <c r="F5" s="9">
        <v>16.022122530000001</v>
      </c>
      <c r="G5" s="9">
        <v>17.059000000000001</v>
      </c>
      <c r="H5" s="9">
        <v>18.881</v>
      </c>
      <c r="I5" s="4">
        <v>15.519</v>
      </c>
      <c r="J5" s="4">
        <v>16.492999999999999</v>
      </c>
      <c r="K5" s="3">
        <v>14.86</v>
      </c>
      <c r="L5" s="3">
        <v>13.666</v>
      </c>
      <c r="M5" s="3">
        <v>16.713000000000001</v>
      </c>
    </row>
    <row r="6" spans="1:20">
      <c r="A6" s="8" t="s">
        <v>29</v>
      </c>
      <c r="B6" s="9">
        <v>17.844246269999999</v>
      </c>
      <c r="C6" s="9">
        <v>20.70309559</v>
      </c>
      <c r="D6" s="10">
        <v>13.226105069999999</v>
      </c>
      <c r="E6" s="10">
        <v>18.25265332</v>
      </c>
      <c r="F6" s="9">
        <v>15.142476589999999</v>
      </c>
      <c r="G6" s="9">
        <v>14.16858287</v>
      </c>
      <c r="H6" s="9">
        <v>16.053538459999999</v>
      </c>
      <c r="I6" s="9">
        <v>17.46725515</v>
      </c>
      <c r="J6" s="9">
        <v>12.34645913</v>
      </c>
      <c r="K6" s="4">
        <v>15.519</v>
      </c>
      <c r="L6" s="3">
        <v>13.163</v>
      </c>
      <c r="M6" s="3">
        <v>14.984999999999999</v>
      </c>
    </row>
    <row r="7" spans="1:20">
      <c r="B7" s="13"/>
      <c r="C7" s="13"/>
      <c r="D7" s="13"/>
      <c r="E7" s="13"/>
      <c r="F7" s="13"/>
      <c r="G7" s="13"/>
      <c r="H7" s="13"/>
      <c r="I7" s="13"/>
      <c r="J7" s="13"/>
    </row>
    <row r="8" spans="1:20" ht="15" customHeight="1">
      <c r="A8" s="22" t="s">
        <v>72</v>
      </c>
      <c r="B8" s="20">
        <f>AVERAGE(B2:B6)</f>
        <v>16.430591807999999</v>
      </c>
      <c r="C8" s="20">
        <f t="shared" ref="C8:M8" si="0">AVERAGE(C2:C6)</f>
        <v>19.414998674000003</v>
      </c>
      <c r="D8" s="20">
        <f t="shared" si="0"/>
        <v>13.534013124000001</v>
      </c>
      <c r="E8" s="20">
        <f t="shared" si="0"/>
        <v>15.940434202</v>
      </c>
      <c r="F8" s="20">
        <f t="shared" si="0"/>
        <v>12.792492878000001</v>
      </c>
      <c r="G8" s="20">
        <f t="shared" si="0"/>
        <v>11.573583531199999</v>
      </c>
      <c r="H8" s="20">
        <f t="shared" si="0"/>
        <v>13.590494896799999</v>
      </c>
      <c r="I8" s="20">
        <f t="shared" si="0"/>
        <v>14.005075476000002</v>
      </c>
      <c r="J8" s="20">
        <f t="shared" si="0"/>
        <v>12.817700466</v>
      </c>
      <c r="K8" s="20">
        <f t="shared" si="0"/>
        <v>13.458600000000001</v>
      </c>
      <c r="L8" s="20">
        <f t="shared" si="0"/>
        <v>11.9316</v>
      </c>
      <c r="M8" s="20">
        <f t="shared" si="0"/>
        <v>12.981</v>
      </c>
    </row>
    <row r="9" spans="1:20" ht="15" customHeight="1">
      <c r="A9" s="22" t="s">
        <v>73</v>
      </c>
      <c r="B9" s="20">
        <f>AVERAGE(B8:M8)</f>
        <v>14.039215421333333</v>
      </c>
    </row>
    <row r="10" spans="1:20" ht="15" customHeight="1">
      <c r="A10" s="22" t="s">
        <v>70</v>
      </c>
      <c r="B10">
        <f>[1]!STDERR(B8:M8)</f>
        <v>0.63791111446251625</v>
      </c>
    </row>
    <row r="11" spans="1:20" ht="15" customHeight="1">
      <c r="B11" s="37" t="s">
        <v>110</v>
      </c>
      <c r="C11" s="37" t="s">
        <v>109</v>
      </c>
      <c r="F11" t="s">
        <v>74</v>
      </c>
      <c r="J11" t="s">
        <v>92</v>
      </c>
      <c r="N11" t="s">
        <v>98</v>
      </c>
      <c r="R11" t="s">
        <v>103</v>
      </c>
    </row>
    <row r="12" spans="1:20" ht="15" customHeight="1">
      <c r="B12" s="20">
        <f>AVERAGE(B2:B6)</f>
        <v>16.430591807999999</v>
      </c>
      <c r="C12">
        <v>15.626200000000001</v>
      </c>
    </row>
    <row r="13" spans="1:20" ht="15" customHeight="1">
      <c r="B13" s="20">
        <f>AVERAGE(C2:C6)</f>
        <v>19.414998674000003</v>
      </c>
      <c r="C13">
        <v>16.819800000000001</v>
      </c>
      <c r="F13" s="25"/>
      <c r="G13" s="25" t="str">
        <f>B11</f>
        <v>Snorkel</v>
      </c>
      <c r="H13" s="25" t="str">
        <f>C11</f>
        <v>GoPro</v>
      </c>
      <c r="K13" s="28" t="str">
        <f>B11</f>
        <v>Snorkel</v>
      </c>
      <c r="L13" s="28" t="str">
        <f>C11</f>
        <v>GoPro</v>
      </c>
      <c r="N13" s="25"/>
      <c r="O13" s="25" t="str">
        <f>B11</f>
        <v>Snorkel</v>
      </c>
      <c r="P13" s="25" t="str">
        <f>C11</f>
        <v>GoPro</v>
      </c>
      <c r="R13" s="25"/>
      <c r="S13" s="25" t="str">
        <f>B11</f>
        <v>Snorkel</v>
      </c>
      <c r="T13" s="25" t="str">
        <f>C11</f>
        <v>GoPro</v>
      </c>
    </row>
    <row r="14" spans="1:20" ht="15" customHeight="1">
      <c r="B14" s="20">
        <f>AVERAGE(D2:D6)</f>
        <v>13.534013124000001</v>
      </c>
      <c r="C14">
        <v>16.77</v>
      </c>
      <c r="F14" s="25" t="s">
        <v>72</v>
      </c>
      <c r="G14" s="26">
        <f>AVERAGE(B12:B23)</f>
        <v>14.039215421333333</v>
      </c>
      <c r="H14" s="26">
        <f>AVERAGE(C12:C23)</f>
        <v>12.672866666666666</v>
      </c>
      <c r="J14" s="29" t="s">
        <v>93</v>
      </c>
      <c r="K14" s="38">
        <f>MIN(B12:B23)</f>
        <v>11.573583531199999</v>
      </c>
      <c r="L14" s="39">
        <f>MIN(C12:C23)</f>
        <v>8.1556000000000015</v>
      </c>
      <c r="M14" s="26"/>
      <c r="N14" t="s">
        <v>99</v>
      </c>
      <c r="O14" s="25">
        <f>[1]!SHAPIRO(B12:B23)</f>
        <v>0.85439461214889723</v>
      </c>
      <c r="P14" s="25">
        <f>[1]!SHAPIRO(C12:C23)</f>
        <v>0.94619141721701394</v>
      </c>
      <c r="R14" s="27" t="s">
        <v>104</v>
      </c>
      <c r="S14" s="20">
        <f>AVERAGE(B12:B23)</f>
        <v>14.039215421333333</v>
      </c>
      <c r="T14" s="20">
        <f>AVERAGE(C12:C23)</f>
        <v>12.672866666666666</v>
      </c>
    </row>
    <row r="15" spans="1:20" ht="15" customHeight="1">
      <c r="B15" s="20">
        <f>AVERAGE(E2:E6)</f>
        <v>15.940434202</v>
      </c>
      <c r="C15">
        <v>12.943199999999999</v>
      </c>
      <c r="F15" t="s">
        <v>75</v>
      </c>
      <c r="G15" s="20">
        <f>STDEV(B12:B23)/SQRT(COUNT(B12:B23))</f>
        <v>0.63791111446251625</v>
      </c>
      <c r="H15" s="20">
        <f>STDEV(C12:C23)/SQRT(COUNT(C12:C23))</f>
        <v>0.77498266073793376</v>
      </c>
      <c r="J15" s="30" t="s">
        <v>94</v>
      </c>
      <c r="K15" s="40">
        <f>QUARTILE(B12:B23,1)-K14</f>
        <v>1.2378150378000008</v>
      </c>
      <c r="L15" s="41">
        <f>QUARTILE(C12:C23,1)-L14</f>
        <v>2.8226499999999994</v>
      </c>
      <c r="N15" t="s">
        <v>100</v>
      </c>
      <c r="O15" s="27">
        <f>[1]!SWTEST(B12:B23)</f>
        <v>4.1615668688064877E-2</v>
      </c>
      <c r="P15" s="27">
        <f>[1]!SWTEST(C12:C23)</f>
        <v>0.58214162761255062</v>
      </c>
      <c r="R15" s="27" t="s">
        <v>105</v>
      </c>
      <c r="S15">
        <f>STDEV(B12:B23)</f>
        <v>2.2097889219239275</v>
      </c>
      <c r="T15" s="2">
        <f>STDEV(C12:C23)</f>
        <v>2.6846186867660307</v>
      </c>
    </row>
    <row r="16" spans="1:20" ht="15" customHeight="1">
      <c r="B16" s="20">
        <f>AVERAGE(F2:F6)</f>
        <v>12.792492878000001</v>
      </c>
      <c r="C16">
        <v>11.108600000000001</v>
      </c>
      <c r="D16" s="20"/>
      <c r="E16" s="20"/>
      <c r="F16" s="20" t="s">
        <v>76</v>
      </c>
      <c r="G16" s="20">
        <f>MEDIAN(B12:B23)</f>
        <v>13.496306562000001</v>
      </c>
      <c r="H16" s="20">
        <f>MEDIAN(C12:C23)</f>
        <v>12.2439</v>
      </c>
      <c r="I16" s="20"/>
      <c r="J16" s="31" t="s">
        <v>95</v>
      </c>
      <c r="K16" s="40">
        <f>MEDIAN(B12:B23)-QUARTILE(B12:B23,1)</f>
        <v>0.68490799300000127</v>
      </c>
      <c r="L16" s="41">
        <f>MEDIAN(C12:C23)-QUARTILE(C12:C23,1)</f>
        <v>1.2656499999999991</v>
      </c>
      <c r="M16" s="20"/>
      <c r="N16" s="20" t="s">
        <v>101</v>
      </c>
      <c r="O16" s="34">
        <v>0.05</v>
      </c>
      <c r="P16" s="34">
        <v>0.05</v>
      </c>
      <c r="R16" s="35" t="s">
        <v>106</v>
      </c>
      <c r="S16" s="36">
        <f>COUNTIF(S19:S30,"&gt;=2.5")+COUNTIF(S19:S30,"&lt;=-2.5")</f>
        <v>0</v>
      </c>
      <c r="T16" s="36">
        <f>COUNTIF(T19:T30,"&gt;=2.5")+COUNTIF(T19:T30,"&lt;=-2.5")</f>
        <v>0</v>
      </c>
    </row>
    <row r="17" spans="2:21" ht="15" customHeight="1">
      <c r="B17" s="20">
        <f>AVERAGE(G2:G6)</f>
        <v>11.573583531199999</v>
      </c>
      <c r="C17">
        <v>8.1556000000000015</v>
      </c>
      <c r="F17" t="s">
        <v>77</v>
      </c>
      <c r="G17" s="20" t="e">
        <f>MODE(B12:B23)</f>
        <v>#N/A</v>
      </c>
      <c r="H17" s="20" t="e">
        <f>MODE(C12:C23)</f>
        <v>#N/A</v>
      </c>
      <c r="J17" s="31" t="s">
        <v>96</v>
      </c>
      <c r="K17" s="40">
        <f>QUARTILE(B12:B23,3)-MEDIAN(B12:B23)</f>
        <v>0.99260859550000013</v>
      </c>
      <c r="L17" s="41">
        <f>QUARTILE(C12:C23,3)-MEDIAN(C12:C23)</f>
        <v>2.0885499999999997</v>
      </c>
      <c r="N17" s="23" t="s">
        <v>102</v>
      </c>
      <c r="O17" s="44" t="str">
        <f>IF(O15&lt;O16,"no","yes")</f>
        <v>no</v>
      </c>
      <c r="P17" s="44" t="str">
        <f>IF(P15&lt;P16,"no","yes")</f>
        <v>yes</v>
      </c>
      <c r="R17" s="27" t="s">
        <v>107</v>
      </c>
      <c r="S17">
        <f>COUNTIF(S19:S30,"")</f>
        <v>0</v>
      </c>
      <c r="T17" s="2">
        <f>COUNTIF(T19:T30,"")</f>
        <v>0</v>
      </c>
    </row>
    <row r="18" spans="2:21" ht="15" customHeight="1">
      <c r="B18" s="20">
        <f>AVERAGE(H2:H6)</f>
        <v>13.590494896799999</v>
      </c>
      <c r="C18">
        <v>10.587200000000001</v>
      </c>
      <c r="F18" t="s">
        <v>78</v>
      </c>
      <c r="G18">
        <f>STDEV(B12:B23)</f>
        <v>2.2097889219239275</v>
      </c>
      <c r="H18" s="2">
        <f>STDEV(C12:C23)</f>
        <v>2.6846186867660307</v>
      </c>
      <c r="J18" s="31" t="s">
        <v>97</v>
      </c>
      <c r="K18" s="42">
        <f>MAX(B12:B23)-QUARTILE(B12:B23,3)</f>
        <v>4.9260835165000021</v>
      </c>
      <c r="L18" s="43">
        <f>MAX(C12:C23)-QUARTILE(C12:C23,3)</f>
        <v>2.4873500000000011</v>
      </c>
      <c r="M18" s="33"/>
      <c r="O18" s="27"/>
      <c r="R18" s="24" t="s">
        <v>108</v>
      </c>
      <c r="S18" s="23">
        <f>COUNTIF(S19:S30," ******* ")</f>
        <v>0</v>
      </c>
      <c r="T18" s="23">
        <f>COUNTIF(T19:T30," ******* ")</f>
        <v>0</v>
      </c>
    </row>
    <row r="19" spans="2:21" ht="15" customHeight="1">
      <c r="B19" s="20">
        <f>AVERAGE(I2:I6)</f>
        <v>14.005075476000002</v>
      </c>
      <c r="C19">
        <v>11.253200000000001</v>
      </c>
      <c r="F19" t="s">
        <v>79</v>
      </c>
      <c r="G19">
        <f>VAR(B12:B23)</f>
        <v>4.8831670794577144</v>
      </c>
      <c r="H19" s="2">
        <f>VAR(C12:C23)</f>
        <v>7.2071774933333677</v>
      </c>
      <c r="J19" s="32"/>
      <c r="O19" s="24"/>
      <c r="P19" s="23"/>
      <c r="R19" s="27">
        <v>1</v>
      </c>
      <c r="S19">
        <f>IF(B12="","",IF(ISNUMBER(B12),STANDARDIZE(B12,S$14,S$15)," ******* "))</f>
        <v>1.0821741221259455</v>
      </c>
      <c r="T19" s="2">
        <f>IF(C12="","",IF(ISNUMBER(C12),STANDARDIZE(C12,T$14,T$15)," ******* "))</f>
        <v>1.1000941578377397</v>
      </c>
      <c r="U19" t="str">
        <f>IF(COUNTIF(S19:T19,"&gt;=2.5")+COUNTIF(S19:T19,"&lt;=-2.5")&gt;0,"*","")</f>
        <v/>
      </c>
    </row>
    <row r="20" spans="2:21" ht="15" customHeight="1">
      <c r="B20" s="20">
        <f>AVERAGE(J2:J6)</f>
        <v>12.817700466</v>
      </c>
      <c r="C20">
        <v>11.833400000000001</v>
      </c>
      <c r="F20" t="s">
        <v>80</v>
      </c>
      <c r="G20">
        <f>KURT(B12:B23)</f>
        <v>2.2030634046296482</v>
      </c>
      <c r="H20" s="2">
        <f>KURT(C12:C23)</f>
        <v>-0.6131521670504898</v>
      </c>
      <c r="O20" s="27"/>
      <c r="Q20" t="str">
        <f>IF(COUNTIF(P20,"&gt;=2.5")+COUNTIF(P20,"&lt;=-2.5")&gt;0,"*","")</f>
        <v/>
      </c>
      <c r="R20" s="27">
        <f>R19+1</f>
        <v>2</v>
      </c>
      <c r="S20" s="2">
        <f t="shared" ref="S20:T30" si="1">IF(B13="","",IF(ISNUMBER(B13),STANDARDIZE(B13,S$14,S$15)," ******* "))</f>
        <v>2.432713459340861</v>
      </c>
      <c r="T20" s="2">
        <f t="shared" si="1"/>
        <v>1.544701060815773</v>
      </c>
      <c r="U20" s="2" t="str">
        <f t="shared" ref="U20:U30" si="2">IF(COUNTIF(S20:T20,"&gt;=2.5")+COUNTIF(S20:T20,"&lt;=-2.5")&gt;0,"*","")</f>
        <v/>
      </c>
    </row>
    <row r="21" spans="2:21" ht="15" customHeight="1">
      <c r="B21" s="20">
        <f>AVERAGE(K2:K6)</f>
        <v>13.458600000000001</v>
      </c>
      <c r="C21">
        <v>10.421600000000002</v>
      </c>
      <c r="F21" t="s">
        <v>81</v>
      </c>
      <c r="G21">
        <f>SKEW(B12:B23)</f>
        <v>1.4779370110694785</v>
      </c>
      <c r="H21" s="2">
        <f>SKEW(C12:C23)</f>
        <v>0.26941098637599664</v>
      </c>
      <c r="O21" s="27"/>
      <c r="P21" s="2"/>
      <c r="Q21" s="2" t="str">
        <f t="shared" ref="Q21:Q30" si="3">IF(COUNTIF(P21,"&gt;=2.5")+COUNTIF(P21,"&lt;=-2.5")&gt;0,"*","")</f>
        <v/>
      </c>
      <c r="R21" s="27">
        <f t="shared" ref="R21:R30" si="4">R20+1</f>
        <v>3</v>
      </c>
      <c r="S21" s="2">
        <f t="shared" si="1"/>
        <v>-0.22862016019769132</v>
      </c>
      <c r="T21" s="2">
        <f t="shared" si="1"/>
        <v>1.5261509403664544</v>
      </c>
      <c r="U21" s="2" t="str">
        <f t="shared" si="2"/>
        <v/>
      </c>
    </row>
    <row r="22" spans="2:21" ht="15" customHeight="1">
      <c r="B22" s="20">
        <f>AVERAGE(L2:L6)</f>
        <v>11.9316</v>
      </c>
      <c r="C22">
        <v>13.901199999999999</v>
      </c>
      <c r="F22" t="s">
        <v>82</v>
      </c>
      <c r="G22" s="20">
        <f>G23-G24</f>
        <v>7.8414151428000043</v>
      </c>
      <c r="H22" s="20">
        <f>H23-H24</f>
        <v>8.6641999999999992</v>
      </c>
      <c r="O22" s="27"/>
      <c r="P22" s="2"/>
      <c r="Q22" s="2" t="str">
        <f t="shared" si="3"/>
        <v/>
      </c>
      <c r="R22" s="27">
        <f t="shared" si="4"/>
        <v>4</v>
      </c>
      <c r="S22" s="2">
        <f t="shared" si="1"/>
        <v>0.86036216482223693</v>
      </c>
      <c r="T22" s="2">
        <f t="shared" si="1"/>
        <v>0.10069710632126481</v>
      </c>
      <c r="U22" s="2" t="str">
        <f t="shared" si="2"/>
        <v/>
      </c>
    </row>
    <row r="23" spans="2:21" ht="15" customHeight="1">
      <c r="B23" s="20">
        <f>AVERAGE(M2:M6)</f>
        <v>12.981</v>
      </c>
      <c r="C23">
        <v>12.654399999999999</v>
      </c>
      <c r="F23" t="s">
        <v>83</v>
      </c>
      <c r="G23" s="20">
        <f>MAX(B12:B23)</f>
        <v>19.414998674000003</v>
      </c>
      <c r="H23" s="20">
        <f>MAX(C12:C23)</f>
        <v>16.819800000000001</v>
      </c>
      <c r="O23" s="27"/>
      <c r="P23" s="2"/>
      <c r="Q23" s="2" t="str">
        <f t="shared" si="3"/>
        <v/>
      </c>
      <c r="R23" s="27">
        <f t="shared" si="4"/>
        <v>5</v>
      </c>
      <c r="S23" s="2">
        <f t="shared" si="1"/>
        <v>-0.56418173290862883</v>
      </c>
      <c r="T23" s="2">
        <f t="shared" si="1"/>
        <v>-0.58267741127550066</v>
      </c>
      <c r="U23" s="2" t="str">
        <f t="shared" si="2"/>
        <v/>
      </c>
    </row>
    <row r="24" spans="2:21" ht="15" customHeight="1">
      <c r="B24" s="20"/>
      <c r="F24" t="s">
        <v>84</v>
      </c>
      <c r="G24" s="20">
        <f>MIN(B12:B23)</f>
        <v>11.573583531199999</v>
      </c>
      <c r="H24" s="20">
        <f>MIN(C12:C23)</f>
        <v>8.1556000000000015</v>
      </c>
      <c r="O24" s="27"/>
      <c r="P24" s="2"/>
      <c r="Q24" s="2" t="str">
        <f t="shared" si="3"/>
        <v/>
      </c>
      <c r="R24" s="27">
        <f t="shared" si="4"/>
        <v>6</v>
      </c>
      <c r="S24" s="2">
        <f t="shared" si="1"/>
        <v>-1.1157771068861455</v>
      </c>
      <c r="T24" s="2">
        <f t="shared" si="1"/>
        <v>-1.6826474049870725</v>
      </c>
      <c r="U24" s="2" t="str">
        <f t="shared" si="2"/>
        <v/>
      </c>
    </row>
    <row r="25" spans="2:21" ht="15" customHeight="1">
      <c r="F25" t="s">
        <v>85</v>
      </c>
      <c r="G25" s="20">
        <f>SUM(B12:B23)</f>
        <v>168.470585056</v>
      </c>
      <c r="H25" s="20">
        <f>SUM(C12:C23)</f>
        <v>152.0744</v>
      </c>
      <c r="O25" s="27"/>
      <c r="P25" s="2"/>
      <c r="Q25" s="2" t="str">
        <f t="shared" si="3"/>
        <v/>
      </c>
      <c r="R25" s="27">
        <f t="shared" si="4"/>
        <v>7</v>
      </c>
      <c r="S25" s="2">
        <f t="shared" si="1"/>
        <v>-0.20306035571155839</v>
      </c>
      <c r="T25" s="2">
        <f t="shared" si="1"/>
        <v>-0.7768949374255899</v>
      </c>
      <c r="U25" s="2" t="str">
        <f t="shared" si="2"/>
        <v/>
      </c>
    </row>
    <row r="26" spans="2:21" ht="15" customHeight="1">
      <c r="F26" t="s">
        <v>86</v>
      </c>
      <c r="G26" s="20">
        <f>COUNT(B12:B23)</f>
        <v>12</v>
      </c>
      <c r="H26" s="20">
        <f>COUNT(C12:C23)</f>
        <v>12</v>
      </c>
      <c r="O26" s="27"/>
      <c r="P26" s="2"/>
      <c r="Q26" s="2" t="str">
        <f t="shared" si="3"/>
        <v/>
      </c>
      <c r="R26" s="27">
        <f t="shared" si="4"/>
        <v>8</v>
      </c>
      <c r="S26" s="2">
        <f t="shared" si="1"/>
        <v>-1.5449414645271983E-2</v>
      </c>
      <c r="T26" s="2">
        <f t="shared" si="1"/>
        <v>-0.52881501334434799</v>
      </c>
      <c r="U26" s="2" t="str">
        <f t="shared" si="2"/>
        <v/>
      </c>
    </row>
    <row r="27" spans="2:21" ht="15" customHeight="1">
      <c r="F27" t="s">
        <v>87</v>
      </c>
      <c r="G27">
        <f>GEOMEAN(B12:B23)</f>
        <v>13.895467387483741</v>
      </c>
      <c r="H27" s="2">
        <f>GEOMEAN(C12:C23)</f>
        <v>12.411185323822879</v>
      </c>
      <c r="O27" s="27"/>
      <c r="P27" s="2"/>
      <c r="Q27" s="2" t="str">
        <f t="shared" si="3"/>
        <v/>
      </c>
      <c r="R27" s="27">
        <f t="shared" si="4"/>
        <v>9</v>
      </c>
      <c r="S27" s="2">
        <f t="shared" si="1"/>
        <v>-0.55277449498200726</v>
      </c>
      <c r="T27" s="2">
        <f t="shared" si="1"/>
        <v>-0.31269493533843745</v>
      </c>
      <c r="U27" s="2" t="str">
        <f t="shared" si="2"/>
        <v/>
      </c>
    </row>
    <row r="28" spans="2:21" ht="15" customHeight="1">
      <c r="F28" t="s">
        <v>88</v>
      </c>
      <c r="G28">
        <f>HARMEAN(B12:B23)</f>
        <v>13.765984191585538</v>
      </c>
      <c r="H28" s="2">
        <f>HARMEAN(C12:C23)</f>
        <v>12.149268466005161</v>
      </c>
      <c r="O28" s="27"/>
      <c r="P28" s="2"/>
      <c r="Q28" s="2" t="str">
        <f t="shared" si="3"/>
        <v/>
      </c>
      <c r="R28" s="27">
        <f t="shared" si="4"/>
        <v>10</v>
      </c>
      <c r="S28" s="2">
        <f t="shared" si="1"/>
        <v>-0.26274700518809113</v>
      </c>
      <c r="T28" s="2">
        <f t="shared" si="1"/>
        <v>-0.83857967530524991</v>
      </c>
      <c r="U28" s="2" t="str">
        <f t="shared" si="2"/>
        <v/>
      </c>
    </row>
    <row r="29" spans="2:21" ht="15" customHeight="1">
      <c r="F29" t="s">
        <v>89</v>
      </c>
      <c r="G29">
        <f>AVEDEV(B12:B23)</f>
        <v>1.6113964033333337</v>
      </c>
      <c r="H29" s="2">
        <f>AVEDEV(C12:C23)</f>
        <v>2.1160111111111104</v>
      </c>
      <c r="O29" s="27"/>
      <c r="P29" s="2"/>
      <c r="Q29" s="2" t="str">
        <f t="shared" si="3"/>
        <v/>
      </c>
      <c r="R29" s="27">
        <f t="shared" si="4"/>
        <v>11</v>
      </c>
      <c r="S29" s="2">
        <f t="shared" si="1"/>
        <v>-0.95376323069732938</v>
      </c>
      <c r="T29" s="2">
        <f t="shared" si="1"/>
        <v>0.45754480492461275</v>
      </c>
      <c r="U29" s="2" t="str">
        <f t="shared" si="2"/>
        <v/>
      </c>
    </row>
    <row r="30" spans="2:21" ht="15" customHeight="1">
      <c r="F30" t="s">
        <v>90</v>
      </c>
      <c r="G30">
        <f>[1]!MAD(B12:B23)</f>
        <v>0.69120989000000055</v>
      </c>
      <c r="H30" s="2">
        <f>[1]!MAD(C12:C23)</f>
        <v>1.6569999999999991</v>
      </c>
      <c r="O30" s="24"/>
      <c r="P30" s="23"/>
      <c r="Q30" s="2" t="str">
        <f t="shared" si="3"/>
        <v/>
      </c>
      <c r="R30" s="24">
        <f t="shared" si="4"/>
        <v>12</v>
      </c>
      <c r="S30" s="23">
        <f t="shared" si="1"/>
        <v>-0.47887624507231669</v>
      </c>
      <c r="T30" s="23">
        <f t="shared" si="1"/>
        <v>-6.8786925896401081E-3</v>
      </c>
      <c r="U30" s="2" t="str">
        <f t="shared" si="2"/>
        <v/>
      </c>
    </row>
    <row r="31" spans="2:21" ht="15" customHeight="1">
      <c r="F31" s="23" t="s">
        <v>91</v>
      </c>
      <c r="G31" s="23">
        <f>[1]!IQR(B12:B23,FALSE)</f>
        <v>1.6775165885000014</v>
      </c>
      <c r="H31" s="23">
        <f>[1]!IQR(C12:C23,FALSE)</f>
        <v>3.3541999999999987</v>
      </c>
    </row>
    <row r="32" spans="2:21" ht="15" customHeight="1">
      <c r="F32" s="23"/>
      <c r="G32" s="23"/>
    </row>
    <row r="36" spans="3:12" ht="15" customHeight="1">
      <c r="C36" t="s">
        <v>111</v>
      </c>
    </row>
    <row r="38" spans="3:12" ht="15" customHeight="1" thickBot="1">
      <c r="C38" t="s">
        <v>112</v>
      </c>
      <c r="F38" t="s">
        <v>113</v>
      </c>
      <c r="G38">
        <v>0</v>
      </c>
    </row>
    <row r="39" spans="3:12" ht="15" customHeight="1" thickTop="1">
      <c r="C39" s="45" t="s">
        <v>114</v>
      </c>
      <c r="D39" s="45" t="s">
        <v>86</v>
      </c>
      <c r="E39" s="45" t="s">
        <v>72</v>
      </c>
      <c r="F39" s="45" t="s">
        <v>115</v>
      </c>
      <c r="G39" s="45" t="s">
        <v>116</v>
      </c>
    </row>
    <row r="40" spans="3:12" ht="15" customHeight="1">
      <c r="C40" t="str">
        <f>B11</f>
        <v>Snorkel</v>
      </c>
      <c r="D40">
        <f>COUNT(B12:B23)</f>
        <v>12</v>
      </c>
      <c r="E40" s="20">
        <f>AVERAGE(B12:B23)</f>
        <v>14.039215421333333</v>
      </c>
      <c r="F40">
        <f>VAR(B12:B23)</f>
        <v>4.8831670794577144</v>
      </c>
    </row>
    <row r="41" spans="3:12" ht="15" customHeight="1">
      <c r="C41" t="str">
        <f>C11</f>
        <v>GoPro</v>
      </c>
      <c r="D41">
        <f>COUNT(C12:C23)</f>
        <v>12</v>
      </c>
      <c r="E41">
        <f>AVERAGE(C12:C23)</f>
        <v>12.672866666666666</v>
      </c>
      <c r="F41">
        <f>VAR(C12:C23)</f>
        <v>7.2071774933333677</v>
      </c>
    </row>
    <row r="42" spans="3:12" ht="15" customHeight="1">
      <c r="C42" s="36" t="s">
        <v>117</v>
      </c>
      <c r="D42" s="36"/>
      <c r="E42" s="36"/>
      <c r="F42" s="36">
        <f>((D40-1)*F40+(D41-1)*F41)/(D40+D41-2)</f>
        <v>6.0451722863955411</v>
      </c>
      <c r="G42" s="36">
        <f>ABS(E40-E41-G38)/SQRT(F42)</f>
        <v>0.55572153156344806</v>
      </c>
    </row>
    <row r="44" spans="3:12" ht="15" customHeight="1" thickBot="1">
      <c r="C44" t="s">
        <v>118</v>
      </c>
      <c r="G44" t="s">
        <v>119</v>
      </c>
      <c r="H44">
        <v>0.05</v>
      </c>
    </row>
    <row r="45" spans="3:12" ht="15" customHeight="1" thickTop="1">
      <c r="C45" s="45" t="s">
        <v>120</v>
      </c>
      <c r="D45" s="45" t="s">
        <v>121</v>
      </c>
      <c r="E45" s="45" t="s">
        <v>122</v>
      </c>
      <c r="F45" s="45" t="s">
        <v>123</v>
      </c>
      <c r="G45" s="45" t="s">
        <v>100</v>
      </c>
      <c r="H45" s="45" t="s">
        <v>124</v>
      </c>
      <c r="I45" s="45" t="s">
        <v>125</v>
      </c>
      <c r="J45" s="45" t="s">
        <v>126</v>
      </c>
      <c r="K45" s="45" t="s">
        <v>127</v>
      </c>
      <c r="L45" s="45" t="s">
        <v>128</v>
      </c>
    </row>
    <row r="46" spans="3:12" ht="15" customHeight="1">
      <c r="C46" t="s">
        <v>129</v>
      </c>
      <c r="D46">
        <f>SQRT(F42*(1/D40+1/D41))</f>
        <v>1.0037572985534187</v>
      </c>
      <c r="E46">
        <f>(ABS(E40-E41-G38))/D46</f>
        <v>1.3612341914084243</v>
      </c>
      <c r="F46">
        <f>D40+D41-2</f>
        <v>22</v>
      </c>
      <c r="G46">
        <f>TDIST(E46,F46,1)</f>
        <v>9.3610191998733244E-2</v>
      </c>
      <c r="H46">
        <f>TINV(H44*2,F46)</f>
        <v>1.7171443743802424</v>
      </c>
      <c r="K46" s="27" t="str">
        <f>IF(G46&lt;H44,"yes","no")</f>
        <v>no</v>
      </c>
      <c r="L46">
        <f>SQRT(E46^2/(E46^2+F46))</f>
        <v>0.27871588580085904</v>
      </c>
    </row>
    <row r="47" spans="3:12" ht="15" customHeight="1">
      <c r="C47" t="s">
        <v>130</v>
      </c>
      <c r="D47">
        <f>D46</f>
        <v>1.0037572985534187</v>
      </c>
      <c r="E47" s="2">
        <f t="shared" ref="E47:F47" si="5">E46</f>
        <v>1.3612341914084243</v>
      </c>
      <c r="F47" s="2">
        <f t="shared" si="5"/>
        <v>22</v>
      </c>
      <c r="G47">
        <f>TDIST(E47,F47,2)</f>
        <v>0.18722038399746649</v>
      </c>
      <c r="H47">
        <f>TINV(H44,F47)</f>
        <v>2.0738730679040258</v>
      </c>
      <c r="I47">
        <f>(E40-E41)-H47*D47</f>
        <v>-0.71531647351536831</v>
      </c>
      <c r="J47">
        <f>(E40-E41)+H47*D47</f>
        <v>3.4480139828487029</v>
      </c>
      <c r="K47" s="27" t="str">
        <f>IF(G47&lt;H44,"yes","no")</f>
        <v>no</v>
      </c>
      <c r="L47">
        <f>L46</f>
        <v>0.27871588580085904</v>
      </c>
    </row>
    <row r="48" spans="3:12" ht="15" customHeight="1"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3:12" ht="15" customHeight="1" thickBot="1">
      <c r="C49" t="s">
        <v>131</v>
      </c>
      <c r="G49" t="s">
        <v>119</v>
      </c>
      <c r="H49">
        <f>H44</f>
        <v>0.05</v>
      </c>
    </row>
    <row r="50" spans="3:12" ht="15" customHeight="1" thickTop="1">
      <c r="C50" s="45" t="s">
        <v>120</v>
      </c>
      <c r="D50" s="45" t="s">
        <v>121</v>
      </c>
      <c r="E50" s="45" t="s">
        <v>122</v>
      </c>
      <c r="F50" s="45" t="s">
        <v>123</v>
      </c>
      <c r="G50" s="45" t="s">
        <v>100</v>
      </c>
      <c r="H50" s="45" t="s">
        <v>124</v>
      </c>
      <c r="I50" s="45" t="s">
        <v>125</v>
      </c>
      <c r="J50" s="45" t="s">
        <v>126</v>
      </c>
      <c r="K50" s="45" t="s">
        <v>127</v>
      </c>
      <c r="L50" s="45" t="s">
        <v>128</v>
      </c>
    </row>
    <row r="51" spans="3:12" ht="15" customHeight="1">
      <c r="C51" t="s">
        <v>129</v>
      </c>
      <c r="D51">
        <f>SQRT(F40/D40+F41/D41)</f>
        <v>1.0037572985534187</v>
      </c>
      <c r="E51">
        <f>(ABS(E40-E41-G38))/D51</f>
        <v>1.3612341914084243</v>
      </c>
      <c r="F51">
        <f>(F40/D40+F41/D41)^2/((F40/D40)^2/(D40-1)+(F41/D41)^2/(D41-1))</f>
        <v>21.21609360791577</v>
      </c>
      <c r="G51">
        <f>TTEST(B12:B23,C12:C23,1,3)</f>
        <v>9.386165874255821E-2</v>
      </c>
      <c r="H51">
        <f>TINV(H49*2,ROUND(F51,0))</f>
        <v>1.7207429028118781</v>
      </c>
      <c r="K51" s="27" t="str">
        <f>IF(G51&lt;H49,"yes","no")</f>
        <v>no</v>
      </c>
      <c r="L51">
        <f>SQRT(E51^2/(E51^2+F51))</f>
        <v>0.28341182972275752</v>
      </c>
    </row>
    <row r="52" spans="3:12" ht="15" customHeight="1">
      <c r="C52" t="s">
        <v>130</v>
      </c>
      <c r="D52">
        <f>D51</f>
        <v>1.0037572985534187</v>
      </c>
      <c r="E52" s="2">
        <f t="shared" ref="E52:F52" si="6">E51</f>
        <v>1.3612341914084243</v>
      </c>
      <c r="F52" s="2">
        <f t="shared" si="6"/>
        <v>21.21609360791577</v>
      </c>
      <c r="G52">
        <f>TTEST(B12:B23,C12:C23,2,3)</f>
        <v>0.18772331748511642</v>
      </c>
      <c r="H52">
        <f>TINV(H49,ROUND(F52,0))</f>
        <v>2.07961384472768</v>
      </c>
      <c r="I52">
        <f>(E40-E41)-H52*D52</f>
        <v>-0.72107882015147728</v>
      </c>
      <c r="J52">
        <f>(E40-E41)+H52*D52</f>
        <v>3.4537763294848118</v>
      </c>
      <c r="K52" s="27" t="str">
        <f>IF(G52&lt;H49,"yes","no")</f>
        <v>no</v>
      </c>
      <c r="L52">
        <f>L51</f>
        <v>0.28341182972275752</v>
      </c>
    </row>
    <row r="53" spans="3:12" ht="15" customHeight="1">
      <c r="C53" s="36"/>
      <c r="D53" s="36"/>
      <c r="E53" s="36"/>
      <c r="F53" s="36"/>
      <c r="G53" s="36"/>
      <c r="H53" s="36"/>
      <c r="I53" s="36"/>
      <c r="J53" s="36"/>
      <c r="K53" s="36"/>
      <c r="L53" s="3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8" sqref="B8:M8"/>
    </sheetView>
  </sheetViews>
  <sheetFormatPr defaultColWidth="15.140625" defaultRowHeight="15" customHeight="1"/>
  <cols>
    <col min="1" max="1" width="10.5703125" bestFit="1" customWidth="1"/>
    <col min="2" max="2" width="14.140625" customWidth="1"/>
    <col min="3" max="3" width="11.140625" customWidth="1"/>
    <col min="4" max="4" width="10.140625" customWidth="1"/>
    <col min="5" max="5" width="12.42578125" customWidth="1"/>
    <col min="6" max="6" width="8.5703125" customWidth="1"/>
    <col min="7" max="9" width="8.42578125" customWidth="1"/>
    <col min="10" max="10" width="8.28515625" customWidth="1"/>
    <col min="11" max="11" width="7.85546875" customWidth="1"/>
    <col min="12" max="12" width="9.7109375" customWidth="1"/>
    <col min="13" max="13" width="8.42578125" customWidth="1"/>
  </cols>
  <sheetData>
    <row r="1" spans="1:13">
      <c r="A1" s="14" t="s">
        <v>0</v>
      </c>
      <c r="B1" s="15" t="s">
        <v>58</v>
      </c>
      <c r="C1" s="15" t="s">
        <v>59</v>
      </c>
      <c r="D1" s="15" t="s">
        <v>60</v>
      </c>
      <c r="E1" s="15" t="s">
        <v>61</v>
      </c>
      <c r="F1" s="15" t="s">
        <v>62</v>
      </c>
      <c r="G1" s="15" t="s">
        <v>63</v>
      </c>
      <c r="H1" s="15" t="s">
        <v>64</v>
      </c>
      <c r="I1" s="15" t="s">
        <v>65</v>
      </c>
      <c r="J1" s="15" t="s">
        <v>66</v>
      </c>
      <c r="K1" s="15" t="s">
        <v>67</v>
      </c>
      <c r="L1" s="15" t="s">
        <v>68</v>
      </c>
      <c r="M1" s="15" t="s">
        <v>69</v>
      </c>
    </row>
    <row r="2" spans="1:13">
      <c r="A2" s="14" t="s">
        <v>13</v>
      </c>
      <c r="B2" s="16">
        <v>13.257999999999999</v>
      </c>
      <c r="C2" s="16">
        <v>14.765000000000001</v>
      </c>
      <c r="D2" s="16">
        <v>12.881</v>
      </c>
      <c r="E2" s="16">
        <v>13.666</v>
      </c>
      <c r="F2" s="16">
        <v>11.624000000000001</v>
      </c>
      <c r="G2" s="16">
        <v>9.2050000000000001</v>
      </c>
      <c r="H2" s="16">
        <v>15.928000000000001</v>
      </c>
      <c r="I2" s="16">
        <v>11.811999999999999</v>
      </c>
      <c r="J2" s="16">
        <v>15.3</v>
      </c>
      <c r="K2" s="16">
        <v>11.654999999999999</v>
      </c>
      <c r="L2" s="16">
        <v>20.263000000000002</v>
      </c>
      <c r="M2" s="16">
        <v>13.885999999999999</v>
      </c>
    </row>
    <row r="3" spans="1:13">
      <c r="A3" s="14" t="s">
        <v>26</v>
      </c>
      <c r="B3" s="16">
        <v>15.959</v>
      </c>
      <c r="C3" s="16">
        <v>13.446</v>
      </c>
      <c r="D3" s="16">
        <v>10.996</v>
      </c>
      <c r="E3" s="16">
        <v>12.252000000000001</v>
      </c>
      <c r="F3" s="16">
        <v>11.781000000000001</v>
      </c>
      <c r="G3" s="16">
        <v>5.7489999999999997</v>
      </c>
      <c r="H3" s="16">
        <v>10.776</v>
      </c>
      <c r="I3" s="16">
        <v>11.938000000000001</v>
      </c>
      <c r="J3" s="16">
        <v>12.315</v>
      </c>
      <c r="K3" s="16">
        <v>10.356999999999999</v>
      </c>
      <c r="L3" s="16">
        <v>14.12</v>
      </c>
      <c r="M3" s="16">
        <v>15.237</v>
      </c>
    </row>
    <row r="4" spans="1:13">
      <c r="A4" s="14" t="s">
        <v>27</v>
      </c>
      <c r="B4" s="17">
        <f>SUM(B3)</f>
        <v>15.959</v>
      </c>
      <c r="C4" s="18">
        <v>17.687000000000001</v>
      </c>
      <c r="D4" s="16">
        <v>15.048</v>
      </c>
      <c r="E4" s="16">
        <v>13.32</v>
      </c>
      <c r="F4" s="16">
        <v>11.121</v>
      </c>
      <c r="G4" s="16">
        <v>9.9589999999999996</v>
      </c>
      <c r="H4" s="16">
        <v>10.210000000000001</v>
      </c>
      <c r="I4" s="16">
        <v>11.497999999999999</v>
      </c>
      <c r="J4" s="16">
        <v>10.032</v>
      </c>
      <c r="K4" s="16">
        <v>9.6760000000000002</v>
      </c>
      <c r="L4" s="16">
        <v>12.032</v>
      </c>
      <c r="M4" s="16">
        <v>10.493</v>
      </c>
    </row>
    <row r="5" spans="1:13">
      <c r="A5" s="14" t="s">
        <v>28</v>
      </c>
      <c r="B5" s="16">
        <v>17.844000000000001</v>
      </c>
      <c r="C5" s="16">
        <v>24.440999999999999</v>
      </c>
      <c r="D5" s="16">
        <v>29.468</v>
      </c>
      <c r="E5" s="16">
        <v>14.042999999999999</v>
      </c>
      <c r="F5" s="16">
        <v>12.88</v>
      </c>
      <c r="G5" s="16">
        <v>10.022</v>
      </c>
      <c r="H5" s="16">
        <v>9.99</v>
      </c>
      <c r="I5" s="16">
        <v>10.776</v>
      </c>
      <c r="J5" s="16">
        <v>9.7080000000000002</v>
      </c>
      <c r="K5" s="16">
        <v>14.451000000000001</v>
      </c>
      <c r="L5" s="16">
        <v>15.677</v>
      </c>
      <c r="M5" s="16">
        <v>16.399000000000001</v>
      </c>
    </row>
    <row r="6" spans="1:13">
      <c r="A6" s="14" t="s">
        <v>29</v>
      </c>
      <c r="B6" s="16">
        <v>15.111000000000001</v>
      </c>
      <c r="C6" s="19">
        <v>13.76</v>
      </c>
      <c r="D6" s="16">
        <v>15.457000000000001</v>
      </c>
      <c r="E6" s="16">
        <v>11.435</v>
      </c>
      <c r="F6" s="16">
        <v>8.1370000000000005</v>
      </c>
      <c r="G6" s="16">
        <v>5.843</v>
      </c>
      <c r="H6" s="16">
        <v>6.032</v>
      </c>
      <c r="I6" s="16">
        <v>10.242000000000001</v>
      </c>
      <c r="J6" s="16">
        <v>11.811999999999999</v>
      </c>
      <c r="K6" s="16">
        <v>5.9690000000000003</v>
      </c>
      <c r="L6" s="16">
        <v>7.4139999999999997</v>
      </c>
      <c r="M6" s="16">
        <v>7.2569999999999997</v>
      </c>
    </row>
    <row r="8" spans="1:13">
      <c r="A8" s="5" t="s">
        <v>30</v>
      </c>
      <c r="B8">
        <f t="shared" ref="B8:M8" si="0">AVERAGE(B2:B6)</f>
        <v>15.626200000000001</v>
      </c>
      <c r="C8">
        <f t="shared" si="0"/>
        <v>16.819800000000001</v>
      </c>
      <c r="D8">
        <f t="shared" si="0"/>
        <v>16.77</v>
      </c>
      <c r="E8">
        <f t="shared" si="0"/>
        <v>12.943199999999999</v>
      </c>
      <c r="F8">
        <f t="shared" si="0"/>
        <v>11.108600000000001</v>
      </c>
      <c r="G8">
        <f t="shared" si="0"/>
        <v>8.1556000000000015</v>
      </c>
      <c r="H8">
        <f t="shared" si="0"/>
        <v>10.587200000000001</v>
      </c>
      <c r="I8">
        <f t="shared" si="0"/>
        <v>11.253200000000001</v>
      </c>
      <c r="J8">
        <f t="shared" si="0"/>
        <v>11.833400000000001</v>
      </c>
      <c r="K8">
        <f t="shared" si="0"/>
        <v>10.421600000000002</v>
      </c>
      <c r="L8">
        <f t="shared" si="0"/>
        <v>13.901199999999999</v>
      </c>
      <c r="M8">
        <f t="shared" si="0"/>
        <v>12.654399999999999</v>
      </c>
    </row>
    <row r="9" spans="1:13" s="2" customFormat="1">
      <c r="A9" s="5" t="s">
        <v>71</v>
      </c>
      <c r="B9" s="2">
        <f>AVERAGE(B8:M8)</f>
        <v>12.672866666666666</v>
      </c>
    </row>
    <row r="10" spans="1:13" ht="15" customHeight="1">
      <c r="A10" s="21" t="s">
        <v>70</v>
      </c>
      <c r="B10">
        <f>[1]!STDERR(B8:M8)</f>
        <v>0.77498266073793376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E11" s="5"/>
    </row>
    <row r="13" spans="1:13">
      <c r="B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S. D</vt:lpstr>
      <vt:lpstr>G. D</vt:lpstr>
      <vt:lpstr>S. C</vt:lpstr>
      <vt:lpstr>G.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2015-11-10T00:28:33Z</dcterms:created>
  <dcterms:modified xsi:type="dcterms:W3CDTF">2015-11-10T00:30:11Z</dcterms:modified>
</cp:coreProperties>
</file>