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ali\Documents\Artigos\artigo Cristina\Raw data\"/>
    </mc:Choice>
  </mc:AlternateContent>
  <bookViews>
    <workbookView xWindow="0" yWindow="0" windowWidth="21600" windowHeight="9135" activeTab="5"/>
  </bookViews>
  <sheets>
    <sheet name="COD initial" sheetId="2" r:id="rId1"/>
    <sheet name="COD final" sheetId="3" r:id="rId2"/>
    <sheet name="Biogas vol" sheetId="4" r:id="rId3"/>
    <sheet name="Biogas area" sheetId="6" r:id="rId4"/>
    <sheet name="Table " sheetId="7" r:id="rId5"/>
    <sheet name="Plan1" sheetId="8" r:id="rId6"/>
  </sheets>
  <calcPr calcId="152511"/>
</workbook>
</file>

<file path=xl/calcChain.xml><?xml version="1.0" encoding="utf-8"?>
<calcChain xmlns="http://schemas.openxmlformats.org/spreadsheetml/2006/main">
  <c r="E19" i="6" l="1"/>
  <c r="G19" i="6"/>
  <c r="I19" i="6"/>
  <c r="I32" i="6"/>
  <c r="G32" i="6"/>
  <c r="E32" i="6"/>
  <c r="I31" i="6"/>
  <c r="G31" i="6"/>
  <c r="E31" i="6"/>
  <c r="I28" i="6"/>
  <c r="G28" i="6"/>
  <c r="E28" i="6"/>
  <c r="I27" i="6"/>
  <c r="G27" i="6"/>
  <c r="E27" i="6"/>
  <c r="I26" i="6"/>
  <c r="G26" i="6"/>
  <c r="E26" i="6"/>
  <c r="I23" i="6"/>
  <c r="G23" i="6"/>
  <c r="E23" i="6"/>
  <c r="I22" i="6"/>
  <c r="G22" i="6"/>
  <c r="E22" i="6"/>
  <c r="I18" i="6"/>
  <c r="G18" i="6"/>
  <c r="E18" i="6"/>
  <c r="I17" i="6"/>
  <c r="G17" i="6"/>
  <c r="E17" i="6"/>
  <c r="I14" i="6"/>
  <c r="G14" i="6"/>
  <c r="E14" i="6"/>
  <c r="I13" i="6"/>
  <c r="G13" i="6"/>
  <c r="E13" i="6"/>
  <c r="I10" i="6"/>
  <c r="G10" i="6"/>
  <c r="E10" i="6"/>
  <c r="I9" i="6"/>
  <c r="G9" i="6"/>
  <c r="E9" i="6"/>
  <c r="I8" i="6"/>
  <c r="G8" i="6"/>
  <c r="E8" i="6"/>
  <c r="I5" i="6"/>
  <c r="G5" i="6"/>
  <c r="E5" i="6"/>
  <c r="I4" i="6"/>
  <c r="G4" i="6"/>
  <c r="E4" i="6"/>
  <c r="K67" i="4"/>
  <c r="L67" i="4"/>
  <c r="E67" i="4"/>
  <c r="F67" i="4"/>
  <c r="G67" i="4"/>
  <c r="H67" i="4"/>
  <c r="I67" i="4"/>
  <c r="J67" i="4"/>
  <c r="D67" i="4"/>
  <c r="L65" i="4"/>
  <c r="K65" i="4"/>
  <c r="J65" i="4"/>
  <c r="I65" i="4"/>
  <c r="H65" i="4"/>
  <c r="G65" i="4"/>
  <c r="F65" i="4"/>
  <c r="E65" i="4"/>
  <c r="D65" i="4"/>
  <c r="L64" i="4"/>
  <c r="K64" i="4"/>
  <c r="J64" i="4"/>
  <c r="I64" i="4"/>
  <c r="H64" i="4"/>
  <c r="G64" i="4"/>
  <c r="F64" i="4"/>
  <c r="E64" i="4"/>
  <c r="D64" i="4"/>
  <c r="L60" i="4"/>
  <c r="L61" i="4"/>
  <c r="K61" i="4"/>
  <c r="J61" i="4"/>
  <c r="I61" i="4"/>
  <c r="H61" i="4"/>
  <c r="G61" i="4"/>
  <c r="F61" i="4"/>
  <c r="E61" i="4"/>
  <c r="D61" i="4"/>
  <c r="K60" i="4"/>
  <c r="J60" i="4"/>
  <c r="I60" i="4"/>
  <c r="H60" i="4"/>
  <c r="G60" i="4"/>
  <c r="F60" i="4"/>
  <c r="E60" i="4"/>
  <c r="D60" i="4"/>
  <c r="L56" i="4"/>
  <c r="E56" i="4"/>
  <c r="L57" i="4"/>
  <c r="K56" i="4"/>
  <c r="K57" i="4"/>
  <c r="J57" i="4"/>
  <c r="I57" i="4"/>
  <c r="H57" i="4"/>
  <c r="G57" i="4"/>
  <c r="F57" i="4"/>
  <c r="E57" i="4"/>
  <c r="D57" i="4"/>
  <c r="J56" i="4"/>
  <c r="I56" i="4"/>
  <c r="H56" i="4"/>
  <c r="G56" i="4"/>
  <c r="F56" i="4"/>
  <c r="D56" i="4"/>
  <c r="J52" i="4"/>
  <c r="K53" i="4"/>
  <c r="K52" i="4"/>
  <c r="E53" i="4"/>
  <c r="F53" i="4"/>
  <c r="G53" i="4"/>
  <c r="H53" i="4"/>
  <c r="I53" i="4"/>
  <c r="J53" i="4"/>
  <c r="E52" i="4"/>
  <c r="F52" i="4"/>
  <c r="G52" i="4"/>
  <c r="H52" i="4"/>
  <c r="I52" i="4"/>
  <c r="D53" i="4"/>
  <c r="D52" i="4"/>
  <c r="K47" i="4"/>
  <c r="K48" i="4"/>
  <c r="J48" i="4"/>
  <c r="I48" i="4"/>
  <c r="H48" i="4"/>
  <c r="G48" i="4"/>
  <c r="F48" i="4"/>
  <c r="E48" i="4"/>
  <c r="D48" i="4"/>
  <c r="J47" i="4"/>
  <c r="I47" i="4"/>
  <c r="H47" i="4"/>
  <c r="G47" i="4"/>
  <c r="F47" i="4"/>
  <c r="E47" i="4"/>
  <c r="D47" i="4"/>
  <c r="K44" i="4"/>
  <c r="K43" i="4"/>
  <c r="J44" i="4"/>
  <c r="I44" i="4"/>
  <c r="H44" i="4"/>
  <c r="G44" i="4"/>
  <c r="F44" i="4"/>
  <c r="E44" i="4"/>
  <c r="D44" i="4"/>
  <c r="J43" i="4"/>
  <c r="I43" i="4"/>
  <c r="H43" i="4"/>
  <c r="G43" i="4"/>
  <c r="F43" i="4"/>
  <c r="E43" i="4"/>
  <c r="D43" i="4"/>
  <c r="E37" i="4"/>
  <c r="F37" i="4"/>
  <c r="G37" i="4"/>
  <c r="H37" i="4"/>
  <c r="I37" i="4"/>
  <c r="J37" i="4"/>
  <c r="K37" i="4"/>
  <c r="L37" i="4"/>
  <c r="D37" i="4"/>
  <c r="E36" i="4"/>
  <c r="F36" i="4"/>
  <c r="G36" i="4"/>
  <c r="H36" i="4"/>
  <c r="I36" i="4"/>
  <c r="J36" i="4"/>
  <c r="K36" i="4"/>
  <c r="L36" i="4"/>
  <c r="D36" i="4"/>
  <c r="E33" i="4"/>
  <c r="F33" i="4"/>
  <c r="G33" i="4"/>
  <c r="H33" i="4"/>
  <c r="I33" i="4"/>
  <c r="J33" i="4"/>
  <c r="K33" i="4"/>
  <c r="L33" i="4"/>
  <c r="D33" i="4"/>
  <c r="E32" i="4"/>
  <c r="F32" i="4"/>
  <c r="G32" i="4"/>
  <c r="H32" i="4"/>
  <c r="I32" i="4"/>
  <c r="J32" i="4"/>
  <c r="K32" i="4"/>
  <c r="L32" i="4"/>
  <c r="D32" i="4"/>
  <c r="E28" i="4"/>
  <c r="F28" i="4"/>
  <c r="G28" i="4"/>
  <c r="H28" i="4"/>
  <c r="I28" i="4"/>
  <c r="J28" i="4"/>
  <c r="K28" i="4"/>
  <c r="L28" i="4"/>
  <c r="D28" i="4"/>
  <c r="H27" i="4"/>
  <c r="L27" i="4"/>
  <c r="E27" i="4"/>
  <c r="F27" i="4"/>
  <c r="G27" i="4"/>
  <c r="I27" i="4"/>
  <c r="J27" i="4"/>
  <c r="K27" i="4"/>
  <c r="D27" i="4"/>
  <c r="L24" i="4"/>
  <c r="E24" i="4"/>
  <c r="F24" i="4"/>
  <c r="G24" i="4"/>
  <c r="H24" i="4"/>
  <c r="I24" i="4"/>
  <c r="J24" i="4"/>
  <c r="K24" i="4"/>
  <c r="E23" i="4"/>
  <c r="F23" i="4"/>
  <c r="G23" i="4"/>
  <c r="H23" i="4"/>
  <c r="I23" i="4"/>
  <c r="J23" i="4"/>
  <c r="K23" i="4"/>
  <c r="L23" i="4"/>
  <c r="D24" i="4"/>
  <c r="D23" i="4"/>
  <c r="L13" i="4"/>
  <c r="E13" i="4"/>
  <c r="F13" i="4"/>
  <c r="G13" i="4"/>
  <c r="H13" i="4"/>
  <c r="I13" i="4"/>
  <c r="J13" i="4"/>
  <c r="K13" i="4"/>
  <c r="L18" i="4"/>
  <c r="E18" i="4"/>
  <c r="F18" i="4"/>
  <c r="G18" i="4"/>
  <c r="H18" i="4"/>
  <c r="I18" i="4"/>
  <c r="J18" i="4"/>
  <c r="K18" i="4"/>
  <c r="D18" i="4"/>
  <c r="E17" i="4"/>
  <c r="F17" i="4"/>
  <c r="G17" i="4"/>
  <c r="H17" i="4"/>
  <c r="I17" i="4"/>
  <c r="J17" i="4"/>
  <c r="K17" i="4"/>
  <c r="L17" i="4"/>
  <c r="D17" i="4"/>
  <c r="D14" i="4"/>
  <c r="E14" i="4"/>
  <c r="F14" i="4"/>
  <c r="G14" i="4"/>
  <c r="H14" i="4"/>
  <c r="I14" i="4"/>
  <c r="J14" i="4"/>
  <c r="K14" i="4"/>
  <c r="L14" i="4"/>
  <c r="D13" i="4"/>
  <c r="E8" i="4"/>
  <c r="F8" i="4"/>
  <c r="G8" i="4"/>
  <c r="H8" i="4"/>
  <c r="I8" i="4"/>
  <c r="J8" i="4"/>
  <c r="K8" i="4"/>
  <c r="L8" i="4"/>
  <c r="D8" i="4"/>
  <c r="E7" i="4"/>
  <c r="F7" i="4"/>
  <c r="G7" i="4"/>
  <c r="H7" i="4"/>
  <c r="I7" i="4"/>
  <c r="J7" i="4"/>
  <c r="K7" i="4"/>
  <c r="L7" i="4"/>
  <c r="D7" i="4"/>
  <c r="K19" i="6" l="1"/>
  <c r="N19" i="6" s="1"/>
  <c r="J19" i="6"/>
  <c r="M19" i="6" s="1"/>
  <c r="K32" i="6"/>
  <c r="N32" i="6" s="1"/>
  <c r="L19" i="6"/>
  <c r="O19" i="6" s="1"/>
  <c r="K8" i="6"/>
  <c r="N8" i="6" s="1"/>
  <c r="J10" i="6"/>
  <c r="M10" i="6" s="1"/>
  <c r="K14" i="6"/>
  <c r="N14" i="6" s="1"/>
  <c r="L31" i="6"/>
  <c r="O31" i="6" s="1"/>
  <c r="L28" i="6"/>
  <c r="O28" i="6" s="1"/>
  <c r="K18" i="6"/>
  <c r="N18" i="6" s="1"/>
  <c r="K23" i="6"/>
  <c r="N23" i="6" s="1"/>
  <c r="K26" i="6"/>
  <c r="N26" i="6" s="1"/>
  <c r="J28" i="6"/>
  <c r="M28" i="6" s="1"/>
  <c r="J31" i="6"/>
  <c r="M31" i="6" s="1"/>
  <c r="L5" i="6"/>
  <c r="O5" i="6" s="1"/>
  <c r="K10" i="6"/>
  <c r="N10" i="6" s="1"/>
  <c r="J13" i="6"/>
  <c r="M13" i="6" s="1"/>
  <c r="J4" i="6"/>
  <c r="M4" i="6" s="1"/>
  <c r="L32" i="6"/>
  <c r="O32" i="6" s="1"/>
  <c r="K31" i="6"/>
  <c r="N31" i="6" s="1"/>
  <c r="J32" i="6"/>
  <c r="M32" i="6" s="1"/>
  <c r="K17" i="6"/>
  <c r="N17" i="6" s="1"/>
  <c r="L8" i="6"/>
  <c r="O8" i="6" s="1"/>
  <c r="J9" i="6"/>
  <c r="M9" i="6" s="1"/>
  <c r="L14" i="6"/>
  <c r="O14" i="6" s="1"/>
  <c r="L17" i="6"/>
  <c r="O17" i="6" s="1"/>
  <c r="J22" i="6"/>
  <c r="M22" i="6" s="1"/>
  <c r="J27" i="6"/>
  <c r="M27" i="6" s="1"/>
  <c r="J5" i="6"/>
  <c r="M5" i="6" s="1"/>
  <c r="L10" i="6"/>
  <c r="O10" i="6" s="1"/>
  <c r="J14" i="6"/>
  <c r="M14" i="6" s="1"/>
  <c r="J18" i="6"/>
  <c r="M18" i="6" s="1"/>
  <c r="L26" i="6"/>
  <c r="O26" i="6" s="1"/>
  <c r="K27" i="6"/>
  <c r="N27" i="6" s="1"/>
  <c r="L27" i="6"/>
  <c r="O27" i="6" s="1"/>
  <c r="K28" i="6"/>
  <c r="N28" i="6" s="1"/>
  <c r="J26" i="6"/>
  <c r="M26" i="6" s="1"/>
  <c r="L23" i="6"/>
  <c r="O23" i="6" s="1"/>
  <c r="K22" i="6"/>
  <c r="N22" i="6" s="1"/>
  <c r="J23" i="6"/>
  <c r="M23" i="6" s="1"/>
  <c r="L22" i="6"/>
  <c r="O22" i="6" s="1"/>
  <c r="L18" i="6"/>
  <c r="O18" i="6" s="1"/>
  <c r="J17" i="6"/>
  <c r="M17" i="6" s="1"/>
  <c r="K13" i="6"/>
  <c r="N13" i="6" s="1"/>
  <c r="L13" i="6"/>
  <c r="O13" i="6" s="1"/>
  <c r="K9" i="6"/>
  <c r="N9" i="6" s="1"/>
  <c r="L9" i="6"/>
  <c r="O9" i="6" s="1"/>
  <c r="J8" i="6"/>
  <c r="M8" i="6" s="1"/>
  <c r="M11" i="6" s="1"/>
  <c r="K4" i="6"/>
  <c r="N4" i="6" s="1"/>
  <c r="L4" i="6"/>
  <c r="O4" i="6" s="1"/>
  <c r="K5" i="6"/>
  <c r="N5" i="6" s="1"/>
  <c r="N20" i="6" l="1"/>
  <c r="M21" i="6"/>
  <c r="M20" i="6"/>
  <c r="M29" i="6"/>
  <c r="O34" i="6"/>
  <c r="O33" i="6"/>
  <c r="M16" i="6"/>
  <c r="N12" i="6"/>
  <c r="M15" i="6"/>
  <c r="M6" i="6"/>
  <c r="O12" i="6"/>
  <c r="M25" i="6"/>
  <c r="N29" i="6"/>
  <c r="M7" i="6"/>
  <c r="M34" i="6"/>
  <c r="O20" i="6"/>
  <c r="M33" i="6"/>
  <c r="O21" i="6"/>
  <c r="N34" i="6"/>
  <c r="N33" i="6"/>
  <c r="N21" i="6"/>
  <c r="N11" i="6"/>
  <c r="M30" i="6"/>
  <c r="O30" i="6"/>
  <c r="O29" i="6"/>
  <c r="N30" i="6"/>
  <c r="M24" i="6"/>
  <c r="N24" i="6"/>
  <c r="N25" i="6"/>
  <c r="O25" i="6"/>
  <c r="O24" i="6"/>
  <c r="O16" i="6"/>
  <c r="O15" i="6"/>
  <c r="N15" i="6"/>
  <c r="N16" i="6"/>
  <c r="O11" i="6"/>
  <c r="M12" i="6"/>
  <c r="N6" i="6"/>
  <c r="N7" i="6"/>
  <c r="O7" i="6"/>
  <c r="O6" i="6"/>
  <c r="O336" i="3" l="1"/>
  <c r="J336" i="3"/>
  <c r="O334" i="3"/>
  <c r="J334" i="3"/>
  <c r="O329" i="3"/>
  <c r="J329" i="3"/>
  <c r="U328" i="3"/>
  <c r="O324" i="3"/>
  <c r="J324" i="3"/>
  <c r="O322" i="3"/>
  <c r="J322" i="3"/>
  <c r="O317" i="3"/>
  <c r="J317" i="3"/>
  <c r="U312" i="3"/>
  <c r="O312" i="3"/>
  <c r="O307" i="3"/>
  <c r="J307" i="3"/>
  <c r="O305" i="3"/>
  <c r="J305" i="3"/>
  <c r="O300" i="3"/>
  <c r="J300" i="3"/>
  <c r="U295" i="3"/>
  <c r="O295" i="3"/>
  <c r="J295" i="3"/>
  <c r="O290" i="3"/>
  <c r="J290" i="3"/>
  <c r="O288" i="3"/>
  <c r="J288" i="3"/>
  <c r="O283" i="3"/>
  <c r="J283" i="3"/>
  <c r="U278" i="3"/>
  <c r="O278" i="3"/>
  <c r="J278" i="3"/>
  <c r="O273" i="3"/>
  <c r="J273" i="3"/>
  <c r="O271" i="3"/>
  <c r="J271" i="3"/>
  <c r="O266" i="3"/>
  <c r="J266" i="3"/>
  <c r="U261" i="3"/>
  <c r="O261" i="3"/>
  <c r="J261" i="3"/>
  <c r="O256" i="3"/>
  <c r="J256" i="3"/>
  <c r="O254" i="3"/>
  <c r="J254" i="3"/>
  <c r="O249" i="3"/>
  <c r="J249" i="3"/>
  <c r="U244" i="3"/>
  <c r="O244" i="3"/>
  <c r="J244" i="3"/>
  <c r="O239" i="3"/>
  <c r="J239" i="3"/>
  <c r="O237" i="3"/>
  <c r="J237" i="3"/>
  <c r="O232" i="3"/>
  <c r="J232" i="3"/>
  <c r="U227" i="3"/>
  <c r="O227" i="3"/>
  <c r="J227" i="3"/>
  <c r="O222" i="3"/>
  <c r="J222" i="3"/>
  <c r="O220" i="3"/>
  <c r="J220" i="3"/>
  <c r="O215" i="3"/>
  <c r="J215" i="3"/>
  <c r="U210" i="3"/>
  <c r="O210" i="3"/>
  <c r="J210" i="3"/>
  <c r="O205" i="3"/>
  <c r="J205" i="3"/>
  <c r="O203" i="3"/>
  <c r="J203" i="3"/>
  <c r="O198" i="3"/>
  <c r="J198" i="3"/>
  <c r="U193" i="3"/>
  <c r="O193" i="3"/>
  <c r="J193" i="3"/>
  <c r="O188" i="3"/>
  <c r="J188" i="3"/>
  <c r="O186" i="3"/>
  <c r="J186" i="3"/>
  <c r="O181" i="3"/>
  <c r="J181" i="3"/>
  <c r="U176" i="3"/>
  <c r="O176" i="3"/>
  <c r="J176" i="3"/>
  <c r="J171" i="3"/>
  <c r="O169" i="3"/>
  <c r="J169" i="3"/>
  <c r="O164" i="3"/>
  <c r="J164" i="3"/>
  <c r="U159" i="3"/>
  <c r="O159" i="3"/>
  <c r="J159" i="3"/>
  <c r="O154" i="3"/>
  <c r="J154" i="3"/>
  <c r="O152" i="3"/>
  <c r="J152" i="3"/>
  <c r="O147" i="3"/>
  <c r="J147" i="3"/>
  <c r="U142" i="3"/>
  <c r="O142" i="3"/>
  <c r="J142" i="3"/>
  <c r="O137" i="3"/>
  <c r="J137" i="3"/>
  <c r="O135" i="3"/>
  <c r="J135" i="3"/>
  <c r="O130" i="3"/>
  <c r="J130" i="3"/>
  <c r="U129" i="3"/>
  <c r="O125" i="3"/>
  <c r="J125" i="3"/>
  <c r="O123" i="3"/>
  <c r="J123" i="3"/>
  <c r="O118" i="3"/>
  <c r="J118" i="3"/>
  <c r="U113" i="3"/>
  <c r="O113" i="3"/>
  <c r="J113" i="3"/>
  <c r="O108" i="3"/>
  <c r="J108" i="3"/>
  <c r="O106" i="3"/>
  <c r="J106" i="3"/>
  <c r="O101" i="3"/>
  <c r="J101" i="3"/>
  <c r="U100" i="3"/>
  <c r="O96" i="3"/>
  <c r="J96" i="3"/>
  <c r="O94" i="3"/>
  <c r="J94" i="3"/>
  <c r="O89" i="3"/>
  <c r="J89" i="3"/>
  <c r="O84" i="3"/>
  <c r="J84" i="3"/>
  <c r="O79" i="3"/>
  <c r="J79" i="3"/>
  <c r="U76" i="3"/>
  <c r="O74" i="3"/>
  <c r="J74" i="3"/>
  <c r="O69" i="3"/>
  <c r="J69" i="3"/>
  <c r="O67" i="3"/>
  <c r="J67" i="3"/>
  <c r="U62" i="3"/>
  <c r="O62" i="3"/>
  <c r="J62" i="3"/>
  <c r="O57" i="3"/>
  <c r="J57" i="3"/>
  <c r="O55" i="3"/>
  <c r="J55" i="3"/>
  <c r="O50" i="3"/>
  <c r="J50" i="3"/>
  <c r="O45" i="3"/>
  <c r="J45" i="3"/>
  <c r="O40" i="3"/>
  <c r="J40" i="3"/>
  <c r="U37" i="3"/>
  <c r="O35" i="3"/>
  <c r="J35" i="3"/>
  <c r="O30" i="3"/>
  <c r="J30" i="3"/>
  <c r="O28" i="3"/>
  <c r="J28" i="3"/>
  <c r="O23" i="3"/>
  <c r="J23" i="3"/>
  <c r="O18" i="3"/>
  <c r="J18" i="3"/>
  <c r="O13" i="3"/>
  <c r="AB5" i="3" s="1"/>
  <c r="J13" i="3"/>
  <c r="U10" i="3"/>
  <c r="O8" i="3"/>
  <c r="J8" i="3"/>
  <c r="Z5" i="3"/>
  <c r="J112" i="3"/>
  <c r="O12" i="3" l="1"/>
  <c r="I36" i="2"/>
  <c r="I35" i="2"/>
  <c r="I66" i="6" l="1"/>
  <c r="G66" i="6"/>
  <c r="E66" i="6"/>
  <c r="I65" i="6"/>
  <c r="G65" i="6"/>
  <c r="E65" i="6"/>
  <c r="I64" i="6"/>
  <c r="G64" i="6"/>
  <c r="E64" i="6"/>
  <c r="I61" i="6"/>
  <c r="G61" i="6"/>
  <c r="E61" i="6"/>
  <c r="I60" i="6"/>
  <c r="G60" i="6"/>
  <c r="E60" i="6"/>
  <c r="I55" i="6"/>
  <c r="I56" i="6"/>
  <c r="G55" i="6"/>
  <c r="G56" i="6"/>
  <c r="E55" i="6"/>
  <c r="E56" i="6"/>
  <c r="I47" i="6"/>
  <c r="I48" i="6"/>
  <c r="I49" i="6"/>
  <c r="G47" i="6"/>
  <c r="G48" i="6"/>
  <c r="G49" i="6"/>
  <c r="E47" i="6"/>
  <c r="E48" i="6"/>
  <c r="E49" i="6"/>
  <c r="I39" i="6"/>
  <c r="G39" i="6"/>
  <c r="E39" i="6"/>
  <c r="G35" i="6"/>
  <c r="K47" i="6" l="1"/>
  <c r="N47" i="6" s="1"/>
  <c r="K56" i="6"/>
  <c r="N56" i="6" s="1"/>
  <c r="K49" i="6"/>
  <c r="N49" i="6" s="1"/>
  <c r="K64" i="6"/>
  <c r="N64" i="6" s="1"/>
  <c r="J66" i="6"/>
  <c r="M66" i="6" s="1"/>
  <c r="L65" i="6"/>
  <c r="O65" i="6" s="1"/>
  <c r="J65" i="6"/>
  <c r="M65" i="6" s="1"/>
  <c r="K66" i="6"/>
  <c r="N66" i="6" s="1"/>
  <c r="J64" i="6"/>
  <c r="M64" i="6" s="1"/>
  <c r="L66" i="6"/>
  <c r="O66" i="6" s="1"/>
  <c r="L64" i="6"/>
  <c r="O64" i="6" s="1"/>
  <c r="K65" i="6"/>
  <c r="N65" i="6" s="1"/>
  <c r="N68" i="6" s="1"/>
  <c r="J60" i="6"/>
  <c r="M60" i="6" s="1"/>
  <c r="L56" i="6"/>
  <c r="O56" i="6" s="1"/>
  <c r="J61" i="6"/>
  <c r="M61" i="6" s="1"/>
  <c r="L60" i="6"/>
  <c r="O60" i="6" s="1"/>
  <c r="L61" i="6"/>
  <c r="O61" i="6" s="1"/>
  <c r="K60" i="6"/>
  <c r="N60" i="6" s="1"/>
  <c r="K61" i="6"/>
  <c r="N61" i="6" s="1"/>
  <c r="K55" i="6"/>
  <c r="N55" i="6" s="1"/>
  <c r="J56" i="6"/>
  <c r="M56" i="6" s="1"/>
  <c r="L55" i="6"/>
  <c r="O55" i="6" s="1"/>
  <c r="J55" i="6"/>
  <c r="M55" i="6" s="1"/>
  <c r="J49" i="6"/>
  <c r="M49" i="6" s="1"/>
  <c r="L48" i="6"/>
  <c r="O48" i="6" s="1"/>
  <c r="L49" i="6"/>
  <c r="O49" i="6" s="1"/>
  <c r="J48" i="6"/>
  <c r="M48" i="6" s="1"/>
  <c r="K48" i="6"/>
  <c r="N48" i="6" s="1"/>
  <c r="L47" i="6"/>
  <c r="O47" i="6" s="1"/>
  <c r="J47" i="6"/>
  <c r="M47" i="6" s="1"/>
  <c r="L39" i="6"/>
  <c r="O39" i="6" s="1"/>
  <c r="J39" i="6"/>
  <c r="M39" i="6" s="1"/>
  <c r="K39" i="6"/>
  <c r="N39" i="6" s="1"/>
  <c r="I57" i="6"/>
  <c r="G57" i="6"/>
  <c r="E57" i="6"/>
  <c r="I52" i="6"/>
  <c r="G52" i="6"/>
  <c r="E52" i="6"/>
  <c r="I46" i="6"/>
  <c r="G46" i="6"/>
  <c r="E46" i="6"/>
  <c r="I43" i="6"/>
  <c r="G43" i="6"/>
  <c r="E43" i="6"/>
  <c r="I42" i="6"/>
  <c r="G42" i="6"/>
  <c r="E42" i="6"/>
  <c r="I38" i="6"/>
  <c r="G38" i="6"/>
  <c r="E38" i="6"/>
  <c r="I35" i="6"/>
  <c r="E35" i="6"/>
  <c r="M67" i="6" l="1"/>
  <c r="M63" i="6"/>
  <c r="N67" i="6"/>
  <c r="M68" i="6"/>
  <c r="O68" i="6"/>
  <c r="O67" i="6"/>
  <c r="N62" i="6"/>
  <c r="M62" i="6"/>
  <c r="O63" i="6"/>
  <c r="N63" i="6"/>
  <c r="O62" i="6"/>
  <c r="L57" i="6"/>
  <c r="O57" i="6" s="1"/>
  <c r="L43" i="6"/>
  <c r="O43" i="6" s="1"/>
  <c r="L52" i="6"/>
  <c r="O52" i="6" s="1"/>
  <c r="J42" i="6"/>
  <c r="M42" i="6" s="1"/>
  <c r="J38" i="6"/>
  <c r="M38" i="6" s="1"/>
  <c r="M40" i="6" s="1"/>
  <c r="L46" i="6"/>
  <c r="O46" i="6" s="1"/>
  <c r="L35" i="6"/>
  <c r="O35" i="6" s="1"/>
  <c r="L42" i="6"/>
  <c r="O42" i="6" s="1"/>
  <c r="K43" i="6"/>
  <c r="N43" i="6" s="1"/>
  <c r="L38" i="6"/>
  <c r="O38" i="6" s="1"/>
  <c r="O41" i="6" s="1"/>
  <c r="J52" i="6"/>
  <c r="M52" i="6" s="1"/>
  <c r="J57" i="6"/>
  <c r="M57" i="6" s="1"/>
  <c r="M59" i="6" s="1"/>
  <c r="K38" i="6"/>
  <c r="N38" i="6" s="1"/>
  <c r="K42" i="6"/>
  <c r="N42" i="6" s="1"/>
  <c r="K46" i="6"/>
  <c r="N46" i="6" s="1"/>
  <c r="J46" i="6"/>
  <c r="M46" i="6" s="1"/>
  <c r="M50" i="6" s="1"/>
  <c r="K52" i="6"/>
  <c r="N52" i="6" s="1"/>
  <c r="K35" i="6"/>
  <c r="N35" i="6" s="1"/>
  <c r="J35" i="6"/>
  <c r="M35" i="6" s="1"/>
  <c r="J43" i="6"/>
  <c r="M43" i="6" s="1"/>
  <c r="K57" i="6"/>
  <c r="N57" i="6" s="1"/>
  <c r="M44" i="6" l="1"/>
  <c r="M58" i="6"/>
  <c r="M51" i="6"/>
  <c r="O45" i="6"/>
  <c r="O44" i="6"/>
  <c r="M45" i="6"/>
  <c r="N59" i="6"/>
  <c r="O50" i="6"/>
  <c r="O40" i="6"/>
  <c r="N58" i="6"/>
  <c r="O53" i="6"/>
  <c r="N44" i="6"/>
  <c r="N45" i="6"/>
  <c r="M41" i="6"/>
  <c r="O51" i="6"/>
  <c r="N53" i="6"/>
  <c r="O59" i="6"/>
  <c r="O58" i="6"/>
  <c r="N41" i="6"/>
  <c r="N40" i="6"/>
  <c r="N50" i="6"/>
  <c r="N51" i="6"/>
  <c r="U329" i="3" l="1"/>
  <c r="U296" i="3"/>
  <c r="J333" i="3"/>
  <c r="J332" i="3"/>
  <c r="J331" i="3"/>
  <c r="J328" i="3"/>
  <c r="J327" i="3"/>
  <c r="J326" i="3"/>
  <c r="J321" i="3"/>
  <c r="J320" i="3"/>
  <c r="J319" i="3"/>
  <c r="J311" i="3"/>
  <c r="J310" i="3"/>
  <c r="J309" i="3"/>
  <c r="J304" i="3"/>
  <c r="J303" i="3"/>
  <c r="J302" i="3"/>
  <c r="J299" i="3"/>
  <c r="J298" i="3"/>
  <c r="J297" i="3"/>
  <c r="J294" i="3"/>
  <c r="J293" i="3"/>
  <c r="J292" i="3"/>
  <c r="J287" i="3"/>
  <c r="J286" i="3"/>
  <c r="J285" i="3"/>
  <c r="J282" i="3"/>
  <c r="J281" i="3"/>
  <c r="J280" i="3"/>
  <c r="J276" i="3"/>
  <c r="J277" i="3"/>
  <c r="J275" i="3"/>
  <c r="U279" i="3"/>
  <c r="U262" i="3"/>
  <c r="U245" i="3"/>
  <c r="U228" i="3"/>
  <c r="U211" i="3"/>
  <c r="U313" i="3"/>
  <c r="O333" i="3"/>
  <c r="O332" i="3"/>
  <c r="O331" i="3"/>
  <c r="O328" i="3"/>
  <c r="O327" i="3"/>
  <c r="O326" i="3"/>
  <c r="O321" i="3"/>
  <c r="O320" i="3"/>
  <c r="O319" i="3"/>
  <c r="O316" i="3"/>
  <c r="J316" i="3"/>
  <c r="O315" i="3"/>
  <c r="J315" i="3"/>
  <c r="O314" i="3"/>
  <c r="J314" i="3"/>
  <c r="O311" i="3"/>
  <c r="O310" i="3"/>
  <c r="O309" i="3"/>
  <c r="O304" i="3"/>
  <c r="O303" i="3"/>
  <c r="O302" i="3"/>
  <c r="O299" i="3"/>
  <c r="O298" i="3"/>
  <c r="O297" i="3"/>
  <c r="O294" i="3"/>
  <c r="O293" i="3"/>
  <c r="O292" i="3"/>
  <c r="O287" i="3"/>
  <c r="O286" i="3"/>
  <c r="O285" i="3"/>
  <c r="O282" i="3"/>
  <c r="O281" i="3"/>
  <c r="O280" i="3"/>
  <c r="O277" i="3"/>
  <c r="O276" i="3"/>
  <c r="O275" i="3"/>
  <c r="O270" i="3"/>
  <c r="J270" i="3"/>
  <c r="O269" i="3"/>
  <c r="J269" i="3"/>
  <c r="O268" i="3"/>
  <c r="J268" i="3"/>
  <c r="O265" i="3"/>
  <c r="J265" i="3"/>
  <c r="O264" i="3"/>
  <c r="J264" i="3"/>
  <c r="O263" i="3"/>
  <c r="J263" i="3"/>
  <c r="O260" i="3"/>
  <c r="J260" i="3"/>
  <c r="O259" i="3"/>
  <c r="J259" i="3"/>
  <c r="O258" i="3"/>
  <c r="J258" i="3"/>
  <c r="O253" i="3"/>
  <c r="J253" i="3"/>
  <c r="O252" i="3"/>
  <c r="J252" i="3"/>
  <c r="O251" i="3"/>
  <c r="J251" i="3"/>
  <c r="Q254" i="3" s="1"/>
  <c r="O248" i="3"/>
  <c r="J248" i="3"/>
  <c r="O247" i="3"/>
  <c r="J247" i="3"/>
  <c r="O246" i="3"/>
  <c r="J246" i="3"/>
  <c r="O243" i="3"/>
  <c r="J243" i="3"/>
  <c r="O242" i="3"/>
  <c r="J242" i="3"/>
  <c r="O241" i="3"/>
  <c r="J241" i="3"/>
  <c r="O236" i="3"/>
  <c r="J236" i="3"/>
  <c r="O235" i="3"/>
  <c r="J235" i="3"/>
  <c r="O234" i="3"/>
  <c r="J234" i="3"/>
  <c r="O231" i="3"/>
  <c r="J231" i="3"/>
  <c r="O230" i="3"/>
  <c r="J230" i="3"/>
  <c r="O229" i="3"/>
  <c r="J229" i="3"/>
  <c r="O226" i="3"/>
  <c r="J226" i="3"/>
  <c r="O225" i="3"/>
  <c r="J225" i="3"/>
  <c r="O224" i="3"/>
  <c r="J224" i="3"/>
  <c r="O219" i="3"/>
  <c r="J219" i="3"/>
  <c r="O218" i="3"/>
  <c r="J218" i="3"/>
  <c r="O217" i="3"/>
  <c r="J217" i="3"/>
  <c r="J221" i="3" s="1"/>
  <c r="O214" i="3"/>
  <c r="J214" i="3"/>
  <c r="O213" i="3"/>
  <c r="J213" i="3"/>
  <c r="O212" i="3"/>
  <c r="J212" i="3"/>
  <c r="O209" i="3"/>
  <c r="J209" i="3"/>
  <c r="O208" i="3"/>
  <c r="J208" i="3"/>
  <c r="O207" i="3"/>
  <c r="J207" i="3"/>
  <c r="U194" i="3"/>
  <c r="O202" i="3"/>
  <c r="J202" i="3"/>
  <c r="O201" i="3"/>
  <c r="J201" i="3"/>
  <c r="O200" i="3"/>
  <c r="J200" i="3"/>
  <c r="J204" i="3" s="1"/>
  <c r="O197" i="3"/>
  <c r="J197" i="3"/>
  <c r="O196" i="3"/>
  <c r="J196" i="3"/>
  <c r="O195" i="3"/>
  <c r="J195" i="3"/>
  <c r="O192" i="3"/>
  <c r="J192" i="3"/>
  <c r="O191" i="3"/>
  <c r="J191" i="3"/>
  <c r="O190" i="3"/>
  <c r="J190" i="3"/>
  <c r="J194" i="3" s="1"/>
  <c r="U177" i="3"/>
  <c r="O185" i="3"/>
  <c r="J185" i="3"/>
  <c r="O184" i="3"/>
  <c r="J184" i="3"/>
  <c r="O183" i="3"/>
  <c r="J183" i="3"/>
  <c r="O180" i="3"/>
  <c r="J180" i="3"/>
  <c r="O179" i="3"/>
  <c r="J179" i="3"/>
  <c r="O178" i="3"/>
  <c r="J178" i="3"/>
  <c r="O175" i="3"/>
  <c r="J175" i="3"/>
  <c r="O174" i="3"/>
  <c r="J174" i="3"/>
  <c r="O173" i="3"/>
  <c r="J173" i="3"/>
  <c r="U160" i="3"/>
  <c r="O168" i="3"/>
  <c r="J168" i="3"/>
  <c r="O167" i="3"/>
  <c r="J167" i="3"/>
  <c r="O166" i="3"/>
  <c r="J166" i="3"/>
  <c r="O163" i="3"/>
  <c r="J163" i="3"/>
  <c r="O162" i="3"/>
  <c r="J162" i="3"/>
  <c r="O161" i="3"/>
  <c r="J161" i="3"/>
  <c r="O158" i="3"/>
  <c r="J158" i="3"/>
  <c r="O157" i="3"/>
  <c r="J157" i="3"/>
  <c r="O156" i="3"/>
  <c r="J156" i="3"/>
  <c r="U143" i="3"/>
  <c r="O151" i="3"/>
  <c r="J151" i="3"/>
  <c r="O150" i="3"/>
  <c r="J150" i="3"/>
  <c r="O149" i="3"/>
  <c r="J149" i="3"/>
  <c r="O146" i="3"/>
  <c r="J146" i="3"/>
  <c r="O145" i="3"/>
  <c r="J145" i="3"/>
  <c r="O144" i="3"/>
  <c r="J144" i="3"/>
  <c r="O141" i="3"/>
  <c r="J141" i="3"/>
  <c r="O140" i="3"/>
  <c r="J140" i="3"/>
  <c r="O139" i="3"/>
  <c r="J139" i="3"/>
  <c r="U130" i="3"/>
  <c r="O134" i="3"/>
  <c r="J134" i="3"/>
  <c r="O133" i="3"/>
  <c r="J133" i="3"/>
  <c r="O132" i="3"/>
  <c r="J132" i="3"/>
  <c r="O129" i="3"/>
  <c r="J129" i="3"/>
  <c r="O128" i="3"/>
  <c r="J128" i="3"/>
  <c r="O127" i="3"/>
  <c r="J127" i="3"/>
  <c r="U114" i="3"/>
  <c r="O117" i="3"/>
  <c r="J117" i="3"/>
  <c r="O116" i="3"/>
  <c r="J116" i="3"/>
  <c r="O115" i="3"/>
  <c r="J115" i="3"/>
  <c r="O122" i="3"/>
  <c r="J122" i="3"/>
  <c r="O121" i="3"/>
  <c r="J121" i="3"/>
  <c r="O120" i="3"/>
  <c r="J120" i="3"/>
  <c r="O112" i="3"/>
  <c r="O111" i="3"/>
  <c r="J111" i="3"/>
  <c r="O110" i="3"/>
  <c r="J110" i="3"/>
  <c r="U101" i="3"/>
  <c r="O105" i="3"/>
  <c r="J105" i="3"/>
  <c r="O104" i="3"/>
  <c r="J104" i="3"/>
  <c r="O103" i="3"/>
  <c r="J103" i="3"/>
  <c r="O100" i="3"/>
  <c r="J100" i="3"/>
  <c r="O99" i="3"/>
  <c r="J99" i="3"/>
  <c r="O98" i="3"/>
  <c r="J98" i="3"/>
  <c r="U77" i="3"/>
  <c r="O71" i="3"/>
  <c r="O93" i="3"/>
  <c r="J93" i="3"/>
  <c r="O92" i="3"/>
  <c r="J92" i="3"/>
  <c r="O91" i="3"/>
  <c r="J91" i="3"/>
  <c r="O88" i="3"/>
  <c r="J88" i="3"/>
  <c r="O87" i="3"/>
  <c r="J87" i="3"/>
  <c r="O86" i="3"/>
  <c r="J86" i="3"/>
  <c r="O83" i="3"/>
  <c r="J83" i="3"/>
  <c r="O82" i="3"/>
  <c r="J82" i="3"/>
  <c r="O81" i="3"/>
  <c r="J81" i="3"/>
  <c r="O78" i="3"/>
  <c r="J78" i="3"/>
  <c r="O77" i="3"/>
  <c r="J77" i="3"/>
  <c r="O76" i="3"/>
  <c r="J76" i="3"/>
  <c r="O73" i="3"/>
  <c r="J73" i="3"/>
  <c r="O72" i="3"/>
  <c r="J72" i="3"/>
  <c r="J71" i="3"/>
  <c r="O66" i="3"/>
  <c r="O65" i="3"/>
  <c r="O64" i="3"/>
  <c r="O61" i="3"/>
  <c r="O60" i="3"/>
  <c r="O59" i="3"/>
  <c r="J66" i="3"/>
  <c r="J65" i="3"/>
  <c r="J64" i="3"/>
  <c r="J61" i="3"/>
  <c r="J60" i="3"/>
  <c r="J59" i="3"/>
  <c r="U63" i="3"/>
  <c r="U38" i="3"/>
  <c r="O54" i="3"/>
  <c r="J54" i="3"/>
  <c r="O53" i="3"/>
  <c r="J53" i="3"/>
  <c r="O52" i="3"/>
  <c r="J52" i="3"/>
  <c r="O49" i="3"/>
  <c r="J49" i="3"/>
  <c r="O48" i="3"/>
  <c r="J48" i="3"/>
  <c r="O47" i="3"/>
  <c r="J47" i="3"/>
  <c r="O44" i="3"/>
  <c r="J44" i="3"/>
  <c r="O43" i="3"/>
  <c r="J43" i="3"/>
  <c r="O42" i="3"/>
  <c r="J42" i="3"/>
  <c r="O39" i="3"/>
  <c r="J39" i="3"/>
  <c r="O38" i="3"/>
  <c r="J38" i="3"/>
  <c r="O37" i="3"/>
  <c r="J37" i="3"/>
  <c r="O34" i="3"/>
  <c r="J34" i="3"/>
  <c r="O33" i="3"/>
  <c r="J33" i="3"/>
  <c r="O32" i="3"/>
  <c r="J32" i="3"/>
  <c r="J15" i="3"/>
  <c r="O27" i="3"/>
  <c r="O26" i="3"/>
  <c r="O25" i="3"/>
  <c r="O22" i="3"/>
  <c r="O21" i="3"/>
  <c r="O20" i="3"/>
  <c r="O17" i="3"/>
  <c r="O16" i="3"/>
  <c r="O15" i="3"/>
  <c r="O11" i="3"/>
  <c r="O10" i="3"/>
  <c r="J27" i="3"/>
  <c r="J26" i="3"/>
  <c r="J25" i="3"/>
  <c r="J21" i="3"/>
  <c r="J22" i="3"/>
  <c r="J20" i="3"/>
  <c r="J16" i="3"/>
  <c r="J17" i="3"/>
  <c r="J11" i="3"/>
  <c r="J12" i="3"/>
  <c r="J10" i="3"/>
  <c r="O6" i="3"/>
  <c r="O7" i="3"/>
  <c r="O5" i="3"/>
  <c r="J6" i="3"/>
  <c r="J7" i="3"/>
  <c r="J5" i="3"/>
  <c r="U11" i="3"/>
  <c r="O325" i="3" l="1"/>
  <c r="O337" i="3"/>
  <c r="J325" i="3"/>
  <c r="J337" i="3"/>
  <c r="O308" i="3"/>
  <c r="J308" i="3"/>
  <c r="J296" i="3"/>
  <c r="J31" i="3"/>
  <c r="O58" i="3"/>
  <c r="O36" i="3"/>
  <c r="O56" i="3"/>
  <c r="O97" i="3"/>
  <c r="O109" i="3"/>
  <c r="O155" i="3"/>
  <c r="O160" i="3"/>
  <c r="O170" i="3"/>
  <c r="O171" i="3" s="1"/>
  <c r="O187" i="3"/>
  <c r="O223" i="3"/>
  <c r="O257" i="3"/>
  <c r="O279" i="3"/>
  <c r="O291" i="3"/>
  <c r="O31" i="3"/>
  <c r="J29" i="3"/>
  <c r="Q28" i="3"/>
  <c r="J70" i="3"/>
  <c r="J97" i="3"/>
  <c r="J109" i="3"/>
  <c r="J148" i="3"/>
  <c r="J172" i="3"/>
  <c r="J189" i="3"/>
  <c r="J223" i="3"/>
  <c r="Q244" i="3"/>
  <c r="J257" i="3"/>
  <c r="Q278" i="3"/>
  <c r="J279" i="3"/>
  <c r="J291" i="3"/>
  <c r="Q18" i="3"/>
  <c r="J19" i="3"/>
  <c r="O126" i="3"/>
  <c r="O124" i="3"/>
  <c r="O138" i="3"/>
  <c r="O206" i="3"/>
  <c r="O240" i="3"/>
  <c r="O274" i="3"/>
  <c r="O14" i="3"/>
  <c r="Q35" i="3"/>
  <c r="J58" i="3"/>
  <c r="J36" i="3"/>
  <c r="Q45" i="3"/>
  <c r="J46" i="3"/>
  <c r="O70" i="3"/>
  <c r="O68" i="3"/>
  <c r="O85" i="3"/>
  <c r="O90" i="3"/>
  <c r="J126" i="3"/>
  <c r="J138" i="3"/>
  <c r="J155" i="3"/>
  <c r="J143" i="3"/>
  <c r="J206" i="3"/>
  <c r="J240" i="3"/>
  <c r="J274" i="3"/>
  <c r="Q13" i="3"/>
  <c r="O46" i="3"/>
  <c r="Q295" i="3"/>
  <c r="Q322" i="3"/>
  <c r="Q283" i="3"/>
  <c r="J289" i="3"/>
  <c r="Q305" i="3"/>
  <c r="Q334" i="3"/>
  <c r="O296" i="3"/>
  <c r="Q317" i="3"/>
  <c r="O255" i="3"/>
  <c r="Q8" i="3"/>
  <c r="J9" i="3"/>
  <c r="Q23" i="3"/>
  <c r="O95" i="3"/>
  <c r="O107" i="3"/>
  <c r="O148" i="3"/>
  <c r="O165" i="3"/>
  <c r="O182" i="3"/>
  <c r="J238" i="3"/>
  <c r="J262" i="3"/>
  <c r="O306" i="3"/>
  <c r="Q79" i="3"/>
  <c r="Q84" i="3"/>
  <c r="J90" i="3"/>
  <c r="Q101" i="3"/>
  <c r="O199" i="3"/>
  <c r="Q300" i="3"/>
  <c r="Q312" i="3"/>
  <c r="Q329" i="3"/>
  <c r="O289" i="3"/>
  <c r="J41" i="3"/>
  <c r="J216" i="3"/>
  <c r="J136" i="3"/>
  <c r="J153" i="3"/>
  <c r="J177" i="3"/>
  <c r="Q181" i="3"/>
  <c r="O228" i="3"/>
  <c r="O238" i="3"/>
  <c r="O250" i="3"/>
  <c r="O262" i="3"/>
  <c r="Q288" i="3"/>
  <c r="J323" i="3"/>
  <c r="J330" i="3"/>
  <c r="Q50" i="3"/>
  <c r="J56" i="3"/>
  <c r="J119" i="3"/>
  <c r="O136" i="3"/>
  <c r="O143" i="3"/>
  <c r="O153" i="3"/>
  <c r="Q227" i="3"/>
  <c r="Q239" i="3" s="1"/>
  <c r="J245" i="3"/>
  <c r="Q266" i="3"/>
  <c r="Q271" i="3"/>
  <c r="J284" i="3"/>
  <c r="J306" i="3"/>
  <c r="O313" i="3"/>
  <c r="O323" i="3"/>
  <c r="O330" i="3"/>
  <c r="O272" i="3"/>
  <c r="J272" i="3"/>
  <c r="Q261" i="3"/>
  <c r="Q273" i="3" s="1"/>
  <c r="O245" i="3"/>
  <c r="J255" i="3"/>
  <c r="J250" i="3"/>
  <c r="Q237" i="3"/>
  <c r="Q232" i="3"/>
  <c r="J228" i="3"/>
  <c r="O211" i="3"/>
  <c r="Q220" i="3"/>
  <c r="Q210" i="3"/>
  <c r="Q222" i="3" s="1"/>
  <c r="J335" i="3"/>
  <c r="O335" i="3"/>
  <c r="J318" i="3"/>
  <c r="O318" i="3"/>
  <c r="O301" i="3"/>
  <c r="J301" i="3"/>
  <c r="O284" i="3"/>
  <c r="J267" i="3"/>
  <c r="O267" i="3"/>
  <c r="J233" i="3"/>
  <c r="O233" i="3"/>
  <c r="O221" i="3"/>
  <c r="J211" i="3"/>
  <c r="Q215" i="3"/>
  <c r="O216" i="3"/>
  <c r="O204" i="3"/>
  <c r="Q198" i="3"/>
  <c r="O194" i="3"/>
  <c r="Q193" i="3"/>
  <c r="J199" i="3"/>
  <c r="Q203" i="3"/>
  <c r="J187" i="3"/>
  <c r="J182" i="3"/>
  <c r="Q176" i="3"/>
  <c r="Q186" i="3"/>
  <c r="O177" i="3"/>
  <c r="Q164" i="3"/>
  <c r="Q159" i="3"/>
  <c r="Q169" i="3" s="1"/>
  <c r="J160" i="3"/>
  <c r="J170" i="3"/>
  <c r="J165" i="3"/>
  <c r="Q135" i="3"/>
  <c r="Q130" i="3"/>
  <c r="J131" i="3"/>
  <c r="O131" i="3"/>
  <c r="Q113" i="3"/>
  <c r="O119" i="3"/>
  <c r="J124" i="3"/>
  <c r="J114" i="3"/>
  <c r="Q118" i="3"/>
  <c r="Q123" i="3"/>
  <c r="O114" i="3"/>
  <c r="Q106" i="3"/>
  <c r="J107" i="3"/>
  <c r="J102" i="3"/>
  <c r="O102" i="3"/>
  <c r="J95" i="3"/>
  <c r="O75" i="3"/>
  <c r="Q74" i="3"/>
  <c r="O80" i="3"/>
  <c r="J75" i="3"/>
  <c r="Q89" i="3"/>
  <c r="J85" i="3"/>
  <c r="Q94" i="3"/>
  <c r="J80" i="3"/>
  <c r="O41" i="3"/>
  <c r="J51" i="3"/>
  <c r="Q40" i="3"/>
  <c r="O51" i="3"/>
  <c r="Q55" i="3"/>
  <c r="J68" i="3"/>
  <c r="AA18" i="3"/>
  <c r="Q188" i="3" l="1"/>
  <c r="Q307" i="3"/>
  <c r="Q205" i="3"/>
  <c r="Q336" i="3"/>
  <c r="Q324" i="3"/>
  <c r="Q108" i="3"/>
  <c r="Q290" i="3"/>
  <c r="Q125" i="3"/>
  <c r="Q57" i="3"/>
  <c r="Q96" i="3"/>
  <c r="Q137" i="3"/>
  <c r="Q30" i="3"/>
  <c r="Q274" i="3"/>
  <c r="AE19" i="3"/>
  <c r="Q240" i="3"/>
  <c r="AE17" i="3"/>
  <c r="Q308" i="3"/>
  <c r="AE21" i="3"/>
  <c r="Q170" i="3"/>
  <c r="AE13" i="3"/>
  <c r="AD22" i="3"/>
  <c r="Q325" i="3"/>
  <c r="AE22" i="3"/>
  <c r="Q138" i="3"/>
  <c r="AE11" i="3"/>
  <c r="AD14" i="3"/>
  <c r="Q189" i="3"/>
  <c r="AE14" i="3"/>
  <c r="Q31" i="3"/>
  <c r="Q58" i="3"/>
  <c r="AE6" i="3"/>
  <c r="AC6" i="3"/>
  <c r="AD8" i="3"/>
  <c r="Q97" i="3"/>
  <c r="AE8" i="3"/>
  <c r="AD10" i="3"/>
  <c r="Q126" i="3"/>
  <c r="AE10" i="3"/>
  <c r="AD15" i="3"/>
  <c r="Q206" i="3"/>
  <c r="AE15" i="3"/>
  <c r="AD16" i="3"/>
  <c r="Q223" i="3"/>
  <c r="AE16" i="3"/>
  <c r="AD23" i="3"/>
  <c r="Q337" i="3"/>
  <c r="AE23" i="3"/>
  <c r="Q109" i="3"/>
  <c r="AE9" i="3"/>
  <c r="AE5" i="3"/>
  <c r="AD20" i="3"/>
  <c r="Q291" i="3"/>
  <c r="AE20" i="3"/>
  <c r="AD11" i="3"/>
  <c r="AD21" i="3"/>
  <c r="AD19" i="3"/>
  <c r="AD5" i="3"/>
  <c r="O189" i="3"/>
  <c r="O172" i="3"/>
  <c r="Z18" i="3"/>
  <c r="Q249" i="3"/>
  <c r="Q257" i="3" s="1"/>
  <c r="AD13" i="3"/>
  <c r="AD17" i="3"/>
  <c r="AD9" i="3"/>
  <c r="AD6" i="3"/>
  <c r="AB6" i="3"/>
  <c r="Z8" i="3"/>
  <c r="Z11" i="3"/>
  <c r="AB12" i="3"/>
  <c r="Z13" i="3"/>
  <c r="AB16" i="3"/>
  <c r="AB14" i="3"/>
  <c r="Z10" i="3"/>
  <c r="AB13" i="3"/>
  <c r="Z15" i="3"/>
  <c r="AB20" i="3"/>
  <c r="AB21" i="3"/>
  <c r="Z17" i="3"/>
  <c r="Z23" i="3"/>
  <c r="Z9" i="3"/>
  <c r="AB10" i="3"/>
  <c r="Z21" i="3"/>
  <c r="Z20" i="3"/>
  <c r="Z12" i="3"/>
  <c r="Z14" i="3"/>
  <c r="AB15" i="3"/>
  <c r="Z16" i="3"/>
  <c r="AB23" i="3"/>
  <c r="AB8" i="3"/>
  <c r="AB22" i="3"/>
  <c r="AB18" i="3"/>
  <c r="Z6" i="3"/>
  <c r="AB9" i="3"/>
  <c r="AB17" i="3"/>
  <c r="Z19" i="3"/>
  <c r="Z22" i="3"/>
  <c r="AB11" i="3"/>
  <c r="AB19" i="3"/>
  <c r="O63" i="3"/>
  <c r="Q62" i="3"/>
  <c r="O19" i="3"/>
  <c r="J14" i="3"/>
  <c r="J24" i="3"/>
  <c r="O29" i="3"/>
  <c r="O9" i="3"/>
  <c r="J63" i="3"/>
  <c r="Q67" i="3"/>
  <c r="O24" i="3"/>
  <c r="AA5" i="3"/>
  <c r="I39" i="2"/>
  <c r="I38" i="2"/>
  <c r="I37" i="2"/>
  <c r="I44" i="2"/>
  <c r="I43" i="2"/>
  <c r="I42" i="2"/>
  <c r="D44" i="2"/>
  <c r="D43" i="2"/>
  <c r="D42" i="2"/>
  <c r="D39" i="2"/>
  <c r="D38" i="2"/>
  <c r="D37" i="2"/>
  <c r="AC10" i="3"/>
  <c r="AA16" i="3"/>
  <c r="AA17" i="3"/>
  <c r="AC13" i="3"/>
  <c r="AA6" i="3"/>
  <c r="AA19" i="3"/>
  <c r="AA10" i="3"/>
  <c r="AA15" i="3"/>
  <c r="AA23" i="3"/>
  <c r="AA21" i="3"/>
  <c r="AC22" i="3"/>
  <c r="AC14" i="3"/>
  <c r="AA8" i="3"/>
  <c r="AA11" i="3"/>
  <c r="AC11" i="3"/>
  <c r="AA13" i="3"/>
  <c r="AA12" i="3"/>
  <c r="AC12" i="3"/>
  <c r="AA14" i="3"/>
  <c r="AC16" i="3"/>
  <c r="AC8" i="3"/>
  <c r="AC19" i="3"/>
  <c r="AA20" i="3"/>
  <c r="AC18" i="3"/>
  <c r="AA22" i="3"/>
  <c r="AC21" i="3"/>
  <c r="AC23" i="3"/>
  <c r="AC17" i="3"/>
  <c r="AC20" i="3"/>
  <c r="AC7" i="3"/>
  <c r="AA9" i="3"/>
  <c r="AC9" i="3"/>
  <c r="AC15" i="3"/>
  <c r="Q69" i="3" l="1"/>
  <c r="Q256" i="3"/>
  <c r="D41" i="2"/>
  <c r="D40" i="2"/>
  <c r="E37" i="2" s="1"/>
  <c r="I25" i="2" s="1"/>
  <c r="AD7" i="3"/>
  <c r="Q70" i="3"/>
  <c r="AE7" i="3"/>
  <c r="AE18" i="3"/>
  <c r="AD18" i="3"/>
  <c r="AB7" i="3"/>
  <c r="AC5" i="3"/>
  <c r="Z7" i="3"/>
  <c r="I46" i="2"/>
  <c r="D46" i="2"/>
  <c r="I45" i="2"/>
  <c r="J42" i="2" s="1"/>
  <c r="J26" i="2" s="1"/>
  <c r="D45" i="2"/>
  <c r="E42" i="2" s="1"/>
  <c r="I26" i="2" s="1"/>
  <c r="I41" i="2"/>
  <c r="I40" i="2"/>
  <c r="J37" i="2" s="1"/>
  <c r="J25" i="2" s="1"/>
  <c r="D36" i="2"/>
  <c r="J32" i="2"/>
  <c r="D35" i="2"/>
  <c r="E32" i="2" s="1"/>
  <c r="AA7" i="3"/>
  <c r="I24" i="2" l="1"/>
  <c r="I20" i="2"/>
  <c r="I10" i="2"/>
  <c r="I23" i="2"/>
  <c r="I19" i="2"/>
  <c r="I22" i="2"/>
  <c r="I18" i="2"/>
  <c r="I14" i="2"/>
  <c r="I21" i="2"/>
  <c r="I17" i="2"/>
  <c r="I12" i="2"/>
  <c r="J24" i="2"/>
  <c r="J20" i="2"/>
  <c r="J12" i="2"/>
  <c r="J22" i="2"/>
  <c r="J10" i="2"/>
  <c r="J21" i="2"/>
  <c r="J17" i="2"/>
  <c r="J13" i="2"/>
  <c r="J9" i="2"/>
  <c r="J18" i="2"/>
  <c r="J14" i="2"/>
  <c r="J23" i="2"/>
  <c r="J19" i="2"/>
  <c r="J11" i="2"/>
  <c r="I13" i="2"/>
  <c r="I11" i="2"/>
  <c r="I9" i="2"/>
</calcChain>
</file>

<file path=xl/comments1.xml><?xml version="1.0" encoding="utf-8"?>
<comments xmlns="http://schemas.openxmlformats.org/spreadsheetml/2006/main">
  <authors>
    <author>Magali</author>
  </authors>
  <commentList>
    <comment ref="S4" authorId="0" shapeId="0">
      <text>
        <r>
          <rPr>
            <b/>
            <sz val="9"/>
            <color indexed="81"/>
            <rFont val="Tahoma"/>
            <family val="2"/>
          </rPr>
          <t>Magali:</t>
        </r>
        <r>
          <rPr>
            <sz val="9"/>
            <color indexed="81"/>
            <rFont val="Tahoma"/>
            <family val="2"/>
          </rPr>
          <t xml:space="preserve">
considerei volume de meio 75 mL
</t>
        </r>
      </text>
    </comment>
  </commentList>
</comments>
</file>

<file path=xl/sharedStrings.xml><?xml version="1.0" encoding="utf-8"?>
<sst xmlns="http://schemas.openxmlformats.org/spreadsheetml/2006/main" count="784" uniqueCount="209">
  <si>
    <t>ID.</t>
  </si>
  <si>
    <t>2 (1%)</t>
  </si>
  <si>
    <t>3 (5%)</t>
  </si>
  <si>
    <t>4 (10%)</t>
  </si>
  <si>
    <t>Média</t>
  </si>
  <si>
    <r>
      <t>CH</t>
    </r>
    <r>
      <rPr>
        <b/>
        <vertAlign val="subscript"/>
        <sz val="11"/>
        <rFont val="Times New Roman"/>
        <family val="1"/>
      </rPr>
      <t>4</t>
    </r>
  </si>
  <si>
    <r>
      <t>CO</t>
    </r>
    <r>
      <rPr>
        <b/>
        <vertAlign val="subscript"/>
        <sz val="11"/>
        <rFont val="Times New Roman"/>
        <family val="1"/>
      </rPr>
      <t>2</t>
    </r>
  </si>
  <si>
    <r>
      <t>H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</si>
  <si>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t>1 a 5</t>
  </si>
  <si>
    <t>6 a 10</t>
  </si>
  <si>
    <t>11 e 12</t>
  </si>
  <si>
    <t>16 a 20</t>
  </si>
  <si>
    <t>21 a 22</t>
  </si>
  <si>
    <t>26 a 28</t>
  </si>
  <si>
    <t>31 a 32</t>
  </si>
  <si>
    <t>36 a 38</t>
  </si>
  <si>
    <t>39 a 41</t>
  </si>
  <si>
    <t>42 a 44</t>
  </si>
  <si>
    <t>45 a 47</t>
  </si>
  <si>
    <t>48 a 50</t>
  </si>
  <si>
    <t>51 a 53</t>
  </si>
  <si>
    <t>54 a 56</t>
  </si>
  <si>
    <t>57 a 59</t>
  </si>
  <si>
    <t>60 a 62</t>
  </si>
  <si>
    <t>66 a 68</t>
  </si>
  <si>
    <t>7 (10%)</t>
  </si>
  <si>
    <t>8 (25%)</t>
  </si>
  <si>
    <t>9 (50%)</t>
  </si>
  <si>
    <t>10 (75%)</t>
  </si>
  <si>
    <t>11 (100%)</t>
  </si>
  <si>
    <t>Hidrol. 25%</t>
  </si>
  <si>
    <t>Hidrol. 50%</t>
  </si>
  <si>
    <t>Hidrol. 75%</t>
  </si>
  <si>
    <t>Hidrol. 100%</t>
  </si>
  <si>
    <t>pH</t>
  </si>
  <si>
    <t>DP</t>
  </si>
  <si>
    <t>Hidro. 1%</t>
  </si>
  <si>
    <t>Hidro. 5%</t>
  </si>
  <si>
    <t>Hidro. 10%</t>
  </si>
  <si>
    <t>Hidro. 25%</t>
  </si>
  <si>
    <t>Hidro. 50%</t>
  </si>
  <si>
    <t>Hidro. 75%</t>
  </si>
  <si>
    <t>Hidro. 100%</t>
  </si>
  <si>
    <t>7,5 ± 0,0</t>
  </si>
  <si>
    <t>7,5 ± 0,1</t>
  </si>
  <si>
    <t>7,6 ± 0,1</t>
  </si>
  <si>
    <t>7,7 ± 0,1</t>
  </si>
  <si>
    <t>7,6 ± 0,0</t>
  </si>
  <si>
    <t>7,4 ± 0,1</t>
  </si>
  <si>
    <t>CH4 (%)</t>
  </si>
  <si>
    <r>
      <t xml:space="preserve">135 </t>
    </r>
    <r>
      <rPr>
        <sz val="11"/>
        <color theme="1"/>
        <rFont val="Calibri"/>
        <family val="2"/>
      </rPr>
      <t>± 5</t>
    </r>
  </si>
  <si>
    <t>49 ± 1</t>
  </si>
  <si>
    <t>141 ± 14</t>
  </si>
  <si>
    <t>40 ± 11</t>
  </si>
  <si>
    <t>232 ± 29</t>
  </si>
  <si>
    <t>79 ± 4</t>
  </si>
  <si>
    <t>274 ± 23</t>
  </si>
  <si>
    <t>58 ± 14</t>
  </si>
  <si>
    <t>441 ± 30</t>
  </si>
  <si>
    <t>56 ± 3</t>
  </si>
  <si>
    <t>230 ± 69</t>
  </si>
  <si>
    <t>83 ± 20</t>
  </si>
  <si>
    <t>606 ± 94</t>
  </si>
  <si>
    <t>188 ± 19</t>
  </si>
  <si>
    <t>390 ± 33</t>
  </si>
  <si>
    <t>75 ± 26</t>
  </si>
  <si>
    <t>748 ± 122</t>
  </si>
  <si>
    <t>216 ± 38</t>
  </si>
  <si>
    <t>81,8 ± 2,0</t>
  </si>
  <si>
    <t>76,6 ± 3,4</t>
  </si>
  <si>
    <t>80,9 ±1,8</t>
  </si>
  <si>
    <t>76,4 ± 1,6</t>
  </si>
  <si>
    <t>88,7± 2,6</t>
  </si>
  <si>
    <t>78,0 ± 0,5</t>
  </si>
  <si>
    <t>83,0 ± 1,3</t>
  </si>
  <si>
    <t>75,4 ± 4,4</t>
  </si>
  <si>
    <t>9,5 ±0,7</t>
  </si>
  <si>
    <t>7,5 ±0,7</t>
  </si>
  <si>
    <t>17,3 ±2,5</t>
  </si>
  <si>
    <t>12,5 ±3,5</t>
  </si>
  <si>
    <t>20,0 ±4,2</t>
  </si>
  <si>
    <t>8,5 ±3,5</t>
  </si>
  <si>
    <t>78,5 ±1,4</t>
  </si>
  <si>
    <t>68,7 ±1,7</t>
  </si>
  <si>
    <t>75,1 ±2,2</t>
  </si>
  <si>
    <t>74,3 ±2,0</t>
  </si>
  <si>
    <t>75,8 ±0,9</t>
  </si>
  <si>
    <t>72,8 ±28,9</t>
  </si>
  <si>
    <t>lag (d)</t>
  </si>
  <si>
    <t>&gt;9</t>
  </si>
  <si>
    <t>Vm(mL/d)</t>
  </si>
  <si>
    <t>6,5 ± 2,1</t>
  </si>
  <si>
    <t>23,4± 22,2</t>
  </si>
  <si>
    <t>8,5 ± 1,3</t>
  </si>
  <si>
    <t>27,9 ± 8,7</t>
  </si>
  <si>
    <t>3,5 ± 0,7</t>
  </si>
  <si>
    <t>27,3 ± 6,3</t>
  </si>
  <si>
    <t>8,8 ± 1,3</t>
  </si>
  <si>
    <t>75,9 ± 16,9</t>
  </si>
  <si>
    <t>12,5 ± 0,7</t>
  </si>
  <si>
    <t>63,2 ±25,2</t>
  </si>
  <si>
    <t>17,7 ± 0,6</t>
  </si>
  <si>
    <t>86,0 ± 6,6</t>
  </si>
  <si>
    <t>17,0 ± 2,8</t>
  </si>
  <si>
    <t>84,0 ± 3,6</t>
  </si>
  <si>
    <t>Total COD (mg/L)</t>
  </si>
  <si>
    <t>Condition</t>
  </si>
  <si>
    <t>Samples</t>
  </si>
  <si>
    <t>Sludge (mL)</t>
  </si>
  <si>
    <t>Soluble COD (mg/L)</t>
  </si>
  <si>
    <t>Sewage (mL)</t>
  </si>
  <si>
    <t>Raw sewage</t>
  </si>
  <si>
    <t>Control</t>
  </si>
  <si>
    <t>Sample</t>
  </si>
  <si>
    <t>Initial</t>
  </si>
  <si>
    <t>BUFFER (pH 7) 75 mL</t>
  </si>
  <si>
    <t>SLUDGE</t>
  </si>
  <si>
    <t>INITIAL</t>
  </si>
  <si>
    <t>Crude Scum  (mL)</t>
  </si>
  <si>
    <t>Hydrolyzed Scum (mL)</t>
  </si>
  <si>
    <t>Crude Scum</t>
  </si>
  <si>
    <t>Hydrolyzed Scum</t>
  </si>
  <si>
    <t>Average</t>
  </si>
  <si>
    <t>Standard deviation</t>
  </si>
  <si>
    <t>Crude 1%</t>
  </si>
  <si>
    <t>Hydrolyzed 1%</t>
  </si>
  <si>
    <t>Crude 5%</t>
  </si>
  <si>
    <t>Crude 10%</t>
  </si>
  <si>
    <t>Crude 25%</t>
  </si>
  <si>
    <t>Crude 50%</t>
  </si>
  <si>
    <t>Crude 75%</t>
  </si>
  <si>
    <t>Crude 100%</t>
  </si>
  <si>
    <t>Hydrolyzed 5%</t>
  </si>
  <si>
    <t>Hydrolyzed 10%</t>
  </si>
  <si>
    <t>Hydrolyzed 25%</t>
  </si>
  <si>
    <t>Hydrolyzed 50%</t>
  </si>
  <si>
    <t>Hydrolyzed 75%</t>
  </si>
  <si>
    <t>Hydrolyzed 100%</t>
  </si>
  <si>
    <t>Total COD</t>
  </si>
  <si>
    <t>SOLUBLE COD</t>
  </si>
  <si>
    <t>COD (mgO2/L)</t>
  </si>
  <si>
    <t>TOTAL COD</t>
  </si>
  <si>
    <t>SAMPLE</t>
  </si>
  <si>
    <t>INITIAL CONDITION</t>
  </si>
  <si>
    <t>TOTAL COD (mg/L)</t>
  </si>
  <si>
    <t>SOLUBLE COD (mg/L)</t>
  </si>
  <si>
    <t>RAW SEWAGE</t>
  </si>
  <si>
    <t>CRUDE 1%</t>
  </si>
  <si>
    <t>CRUDE 5%</t>
  </si>
  <si>
    <t>CRUDE 10%</t>
  </si>
  <si>
    <t>CRUDE 25%</t>
  </si>
  <si>
    <t>CRUDE 50%</t>
  </si>
  <si>
    <t>CRUDE 75%</t>
  </si>
  <si>
    <t>CRUDE 100%</t>
  </si>
  <si>
    <t>Mean</t>
  </si>
  <si>
    <t>% TOTAL COD REMOVAL</t>
  </si>
  <si>
    <t>SD</t>
  </si>
  <si>
    <t>FINAL CONDITION</t>
  </si>
  <si>
    <t>Biogas (mL)</t>
  </si>
  <si>
    <t>Time (days)</t>
  </si>
  <si>
    <t>Corrected CH4</t>
  </si>
  <si>
    <r>
      <t xml:space="preserve"> Corrected CO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 xml:space="preserve"> </t>
    </r>
  </si>
  <si>
    <r>
      <t>Corrected H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O</t>
    </r>
  </si>
  <si>
    <t>Percentage</t>
  </si>
  <si>
    <t>Area</t>
  </si>
  <si>
    <t>7,3 ± 0,1</t>
  </si>
  <si>
    <t>7,2 ± 0,1</t>
  </si>
  <si>
    <t>7,4 ± 0,0</t>
  </si>
  <si>
    <t>134 ± 13</t>
  </si>
  <si>
    <t>90 ± 2</t>
  </si>
  <si>
    <t>11,8 ± 8,3</t>
  </si>
  <si>
    <t>172 ± 11</t>
  </si>
  <si>
    <t>82 ± 23</t>
  </si>
  <si>
    <t>22,0 ±  4,8</t>
  </si>
  <si>
    <t>216 ±  0</t>
  </si>
  <si>
    <t>113 ± 10</t>
  </si>
  <si>
    <t xml:space="preserve">5,7 ± 0,0 </t>
  </si>
  <si>
    <t>116 ± 19</t>
  </si>
  <si>
    <t>62 ± 3</t>
  </si>
  <si>
    <t>76,6 ± 3,9</t>
  </si>
  <si>
    <t>138 ± 10</t>
  </si>
  <si>
    <t>80 ± 2</t>
  </si>
  <si>
    <t>74,3 ±1,8</t>
  </si>
  <si>
    <t>275 ± 11</t>
  </si>
  <si>
    <t>241 ± 3</t>
  </si>
  <si>
    <t>67,1 ± 8,5</t>
  </si>
  <si>
    <t>458 ± 71</t>
  </si>
  <si>
    <t>241 ± 6</t>
  </si>
  <si>
    <t>50,4 ± 7,7</t>
  </si>
  <si>
    <t>% scum</t>
  </si>
  <si>
    <t>Initial condition</t>
  </si>
  <si>
    <t>Final condition</t>
  </si>
  <si>
    <r>
      <t>Total COD (mgO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/L)</t>
    </r>
  </si>
  <si>
    <r>
      <t>Soluble COD (mgO</t>
    </r>
    <r>
      <rPr>
        <b/>
        <sz val="8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/L)</t>
    </r>
  </si>
  <si>
    <t>Biogas (mL, 30°C/1 atm)</t>
  </si>
  <si>
    <t>VSS sludge (mg/L)</t>
  </si>
  <si>
    <t>Dilution</t>
  </si>
  <si>
    <t>COD without dilution</t>
  </si>
  <si>
    <t>t stab (d)</t>
  </si>
  <si>
    <t>MIXTURE</t>
  </si>
  <si>
    <t>SMP (mL CH4/g COD applied)</t>
  </si>
  <si>
    <t>CODt removal (%)</t>
  </si>
  <si>
    <t>SMP (mL CH4/gCOD appl)</t>
  </si>
  <si>
    <t>SMP</t>
  </si>
  <si>
    <t>COD t final</t>
  </si>
  <si>
    <t>increase of 46,8%</t>
  </si>
  <si>
    <t>Hydrolysed</t>
  </si>
  <si>
    <t>raw sewage</t>
  </si>
  <si>
    <t xml:space="preserve"> 5% Hydrolysed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</si>
</sst>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0.0"/>
    <numFmt numFmtId="167" formatCode="_-* #,##0.0_-;\-* #,##0.0_-;_-* &quot;-&quot;??_-;_-@_-"/>
    <numFmt numFmtId="168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3">
    <xf numFmtId="0" fontId="0" fillId="0" borderId="0" xfId="0"/>
    <xf numFmtId="0" fontId="0" fillId="0" borderId="0" xfId="0" applyBorder="1"/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0" fontId="0" fillId="2" borderId="0" xfId="0" applyFill="1"/>
    <xf numFmtId="1" fontId="3" fillId="0" borderId="0" xfId="1" applyNumberFormat="1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8" xfId="1" applyNumberFormat="1" applyFont="1" applyBorder="1" applyAlignment="1">
      <alignment horizontal="center"/>
    </xf>
    <xf numFmtId="165" fontId="0" fillId="0" borderId="17" xfId="1" applyNumberFormat="1" applyFont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165" fontId="0" fillId="3" borderId="7" xfId="1" applyNumberFormat="1" applyFont="1" applyFill="1" applyBorder="1" applyAlignment="1">
      <alignment horizontal="center"/>
    </xf>
    <xf numFmtId="165" fontId="0" fillId="3" borderId="9" xfId="1" applyNumberFormat="1" applyFont="1" applyFill="1" applyBorder="1" applyAlignment="1">
      <alignment horizontal="center"/>
    </xf>
    <xf numFmtId="165" fontId="0" fillId="0" borderId="4" xfId="1" applyNumberFormat="1" applyFont="1" applyBorder="1" applyAlignment="1">
      <alignment horizontal="center"/>
    </xf>
    <xf numFmtId="165" fontId="0" fillId="0" borderId="3" xfId="1" applyNumberFormat="1" applyFont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/>
    </xf>
    <xf numFmtId="1" fontId="4" fillId="0" borderId="0" xfId="0" applyNumberFormat="1" applyFont="1" applyFill="1" applyBorder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1" fontId="2" fillId="0" borderId="0" xfId="0" applyNumberFormat="1" applyFont="1" applyFill="1" applyBorder="1" applyAlignment="1">
      <alignment vertical="center"/>
    </xf>
    <xf numFmtId="1" fontId="2" fillId="0" borderId="0" xfId="1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/>
    </xf>
    <xf numFmtId="1" fontId="2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1" fontId="2" fillId="0" borderId="1" xfId="0" applyNumberFormat="1" applyFont="1" applyFill="1" applyBorder="1" applyAlignment="1">
      <alignment horizontal="right" vertical="center"/>
    </xf>
    <xf numFmtId="1" fontId="2" fillId="0" borderId="1" xfId="1" applyNumberFormat="1" applyFont="1" applyFill="1" applyBorder="1" applyAlignment="1">
      <alignment horizontal="right" vertical="center"/>
    </xf>
    <xf numFmtId="1" fontId="3" fillId="0" borderId="1" xfId="1" applyNumberFormat="1" applyFont="1" applyFill="1" applyBorder="1" applyAlignment="1">
      <alignment horizontal="right" vertical="center"/>
    </xf>
    <xf numFmtId="1" fontId="3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/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right"/>
    </xf>
    <xf numFmtId="43" fontId="0" fillId="0" borderId="0" xfId="1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165" fontId="0" fillId="0" borderId="0" xfId="1" applyNumberFormat="1" applyFont="1" applyFill="1" applyBorder="1"/>
    <xf numFmtId="0" fontId="5" fillId="0" borderId="0" xfId="0" applyFont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6" fontId="8" fillId="5" borderId="0" xfId="0" applyNumberFormat="1" applyFont="1" applyFill="1" applyBorder="1" applyAlignment="1">
      <alignment horizontal="center" vertical="center"/>
    </xf>
    <xf numFmtId="166" fontId="8" fillId="5" borderId="1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vertical="center"/>
    </xf>
    <xf numFmtId="1" fontId="2" fillId="0" borderId="1" xfId="1" applyNumberFormat="1" applyFont="1" applyFill="1" applyBorder="1" applyAlignment="1">
      <alignment vertical="center"/>
    </xf>
    <xf numFmtId="0" fontId="0" fillId="0" borderId="5" xfId="0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0" xfId="0" applyFill="1"/>
    <xf numFmtId="0" fontId="0" fillId="3" borderId="16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" fontId="3" fillId="0" borderId="10" xfId="1" applyNumberFormat="1" applyFont="1" applyFill="1" applyBorder="1" applyAlignment="1">
      <alignment vertical="center"/>
    </xf>
    <xf numFmtId="1" fontId="3" fillId="0" borderId="1" xfId="1" applyNumberFormat="1" applyFont="1" applyFill="1" applyBorder="1" applyAlignment="1">
      <alignment vertical="center"/>
    </xf>
    <xf numFmtId="1" fontId="2" fillId="0" borderId="0" xfId="1" applyNumberFormat="1" applyFont="1" applyBorder="1" applyAlignment="1">
      <alignment vertical="center"/>
    </xf>
    <xf numFmtId="1" fontId="3" fillId="0" borderId="0" xfId="1" applyNumberFormat="1" applyFont="1" applyBorder="1" applyAlignment="1">
      <alignment vertical="center"/>
    </xf>
    <xf numFmtId="0" fontId="2" fillId="0" borderId="6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5" fontId="0" fillId="0" borderId="7" xfId="1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vertical="center"/>
    </xf>
    <xf numFmtId="2" fontId="0" fillId="0" borderId="0" xfId="0" applyNumberFormat="1"/>
    <xf numFmtId="1" fontId="2" fillId="0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24" xfId="0" applyFont="1" applyBorder="1" applyAlignment="1">
      <alignment horizontal="center" vertical="center"/>
    </xf>
    <xf numFmtId="1" fontId="1" fillId="0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vertical="center"/>
    </xf>
    <xf numFmtId="167" fontId="2" fillId="2" borderId="0" xfId="1" applyNumberFormat="1" applyFont="1" applyFill="1" applyBorder="1" applyAlignment="1">
      <alignment vertical="center"/>
    </xf>
    <xf numFmtId="166" fontId="2" fillId="2" borderId="1" xfId="1" applyNumberFormat="1" applyFont="1" applyFill="1" applyBorder="1" applyAlignment="1">
      <alignment vertical="center"/>
    </xf>
    <xf numFmtId="2" fontId="0" fillId="0" borderId="0" xfId="0" applyNumberFormat="1" applyBorder="1"/>
    <xf numFmtId="1" fontId="4" fillId="0" borderId="0" xfId="0" applyNumberFormat="1" applyFont="1" applyBorder="1" applyAlignment="1">
      <alignment horizontal="right" vertical="center"/>
    </xf>
    <xf numFmtId="1" fontId="0" fillId="0" borderId="35" xfId="0" applyNumberFormat="1" applyFill="1" applyBorder="1" applyAlignment="1">
      <alignment vertical="center"/>
    </xf>
    <xf numFmtId="1" fontId="2" fillId="0" borderId="35" xfId="0" applyNumberFormat="1" applyFont="1" applyFill="1" applyBorder="1" applyAlignment="1">
      <alignment horizontal="center" vertical="center"/>
    </xf>
    <xf numFmtId="1" fontId="0" fillId="0" borderId="20" xfId="0" applyNumberFormat="1" applyFill="1" applyBorder="1" applyAlignment="1">
      <alignment vertical="center"/>
    </xf>
    <xf numFmtId="0" fontId="0" fillId="0" borderId="32" xfId="0" applyBorder="1"/>
    <xf numFmtId="1" fontId="2" fillId="0" borderId="13" xfId="0" applyNumberFormat="1" applyFont="1" applyFill="1" applyBorder="1" applyAlignment="1">
      <alignment horizontal="center" vertical="center"/>
    </xf>
    <xf numFmtId="1" fontId="1" fillId="0" borderId="9" xfId="1" applyNumberFormat="1" applyFont="1" applyFill="1" applyBorder="1" applyAlignment="1">
      <alignment horizontal="center" vertical="center"/>
    </xf>
    <xf numFmtId="1" fontId="1" fillId="0" borderId="12" xfId="1" applyNumberFormat="1" applyFont="1" applyFill="1" applyBorder="1" applyAlignment="1">
      <alignment horizontal="center" vertical="center"/>
    </xf>
    <xf numFmtId="1" fontId="2" fillId="2" borderId="12" xfId="1" applyNumberFormat="1" applyFont="1" applyFill="1" applyBorder="1" applyAlignment="1">
      <alignment horizontal="center" vertical="center"/>
    </xf>
    <xf numFmtId="1" fontId="2" fillId="0" borderId="12" xfId="1" applyNumberFormat="1" applyFont="1" applyFill="1" applyBorder="1" applyAlignment="1">
      <alignment horizontal="center" vertical="center"/>
    </xf>
    <xf numFmtId="1" fontId="4" fillId="0" borderId="34" xfId="0" applyNumberFormat="1" applyFont="1" applyBorder="1" applyAlignment="1">
      <alignment horizontal="right" vertical="center"/>
    </xf>
    <xf numFmtId="1" fontId="0" fillId="0" borderId="7" xfId="0" applyNumberFormat="1" applyFill="1" applyBorder="1" applyAlignment="1">
      <alignment vertical="center"/>
    </xf>
    <xf numFmtId="1" fontId="1" fillId="0" borderId="21" xfId="1" applyNumberFormat="1" applyFont="1" applyFill="1" applyBorder="1" applyAlignment="1">
      <alignment horizontal="center" vertical="center"/>
    </xf>
    <xf numFmtId="1" fontId="2" fillId="0" borderId="26" xfId="0" applyNumberFormat="1" applyFont="1" applyFill="1" applyBorder="1" applyAlignment="1">
      <alignment horizontal="center" vertical="center"/>
    </xf>
    <xf numFmtId="1" fontId="2" fillId="0" borderId="27" xfId="1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1" applyNumberFormat="1" applyFont="1" applyFill="1" applyBorder="1" applyAlignment="1">
      <alignment horizontal="center" vertical="center"/>
    </xf>
    <xf numFmtId="1" fontId="2" fillId="2" borderId="0" xfId="1" applyNumberFormat="1" applyFont="1" applyFill="1" applyBorder="1" applyAlignment="1">
      <alignment horizontal="center" vertical="center"/>
    </xf>
    <xf numFmtId="2" fontId="2" fillId="2" borderId="0" xfId="1" applyNumberFormat="1" applyFont="1" applyFill="1" applyBorder="1" applyAlignment="1">
      <alignment vertical="center"/>
    </xf>
    <xf numFmtId="2" fontId="0" fillId="0" borderId="0" xfId="0" applyNumberFormat="1" applyFill="1" applyBorder="1"/>
    <xf numFmtId="2" fontId="2" fillId="0" borderId="0" xfId="1" applyNumberFormat="1" applyFont="1" applyFill="1" applyBorder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horizontal="center"/>
    </xf>
    <xf numFmtId="1" fontId="0" fillId="0" borderId="31" xfId="0" applyNumberFormat="1" applyFill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1" fontId="5" fillId="0" borderId="22" xfId="0" applyNumberFormat="1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168" fontId="5" fillId="0" borderId="22" xfId="0" applyNumberFormat="1" applyFont="1" applyFill="1" applyBorder="1" applyAlignment="1">
      <alignment horizontal="center" vertical="center"/>
    </xf>
    <xf numFmtId="166" fontId="5" fillId="0" borderId="2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168" fontId="5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0" fillId="0" borderId="5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166" fontId="8" fillId="5" borderId="10" xfId="0" applyNumberFormat="1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" fontId="8" fillId="5" borderId="0" xfId="0" applyNumberFormat="1" applyFont="1" applyFill="1" applyBorder="1" applyAlignment="1">
      <alignment horizontal="right" vertical="center"/>
    </xf>
    <xf numFmtId="1" fontId="8" fillId="5" borderId="1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" fontId="8" fillId="0" borderId="0" xfId="0" applyNumberFormat="1" applyFont="1" applyFill="1" applyBorder="1" applyAlignment="1">
      <alignment horizontal="right" vertical="center"/>
    </xf>
    <xf numFmtId="16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 vertical="center"/>
    </xf>
    <xf numFmtId="0" fontId="2" fillId="0" borderId="0" xfId="0" applyFont="1" applyBorder="1" applyAlignment="1"/>
    <xf numFmtId="0" fontId="2" fillId="0" borderId="3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/>
    </xf>
    <xf numFmtId="1" fontId="0" fillId="0" borderId="16" xfId="1" applyNumberFormat="1" applyFont="1" applyBorder="1" applyAlignment="1">
      <alignment horizontal="center"/>
    </xf>
    <xf numFmtId="166" fontId="0" fillId="0" borderId="43" xfId="1" applyNumberFormat="1" applyFont="1" applyBorder="1" applyAlignment="1">
      <alignment horizontal="center"/>
    </xf>
    <xf numFmtId="1" fontId="0" fillId="0" borderId="0" xfId="1" applyNumberFormat="1" applyFont="1" applyBorder="1" applyAlignment="1">
      <alignment horizontal="center"/>
    </xf>
    <xf numFmtId="0" fontId="0" fillId="0" borderId="51" xfId="0" applyFont="1" applyFill="1" applyBorder="1" applyAlignment="1">
      <alignment horizontal="center" vertical="center"/>
    </xf>
    <xf numFmtId="1" fontId="1" fillId="0" borderId="36" xfId="1" applyNumberFormat="1" applyFont="1" applyBorder="1" applyAlignment="1">
      <alignment horizontal="center"/>
    </xf>
    <xf numFmtId="166" fontId="0" fillId="0" borderId="36" xfId="1" applyNumberFormat="1" applyFont="1" applyBorder="1" applyAlignment="1">
      <alignment horizontal="center"/>
    </xf>
    <xf numFmtId="2" fontId="1" fillId="0" borderId="0" xfId="1" applyNumberFormat="1" applyFont="1" applyBorder="1"/>
    <xf numFmtId="1" fontId="1" fillId="0" borderId="0" xfId="1" applyNumberFormat="1" applyFont="1" applyBorder="1" applyAlignment="1">
      <alignment horizontal="center"/>
    </xf>
    <xf numFmtId="1" fontId="1" fillId="0" borderId="38" xfId="1" applyNumberFormat="1" applyFont="1" applyBorder="1" applyAlignment="1">
      <alignment horizontal="center"/>
    </xf>
    <xf numFmtId="166" fontId="0" fillId="0" borderId="38" xfId="1" applyNumberFormat="1" applyFont="1" applyBorder="1" applyAlignment="1">
      <alignment horizontal="center"/>
    </xf>
    <xf numFmtId="1" fontId="0" fillId="0" borderId="38" xfId="1" applyNumberFormat="1" applyFont="1" applyBorder="1" applyAlignment="1">
      <alignment horizontal="center"/>
    </xf>
    <xf numFmtId="0" fontId="10" fillId="0" borderId="0" xfId="0" applyFont="1"/>
    <xf numFmtId="2" fontId="0" fillId="0" borderId="0" xfId="1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166" fontId="0" fillId="0" borderId="16" xfId="1" applyNumberFormat="1" applyFon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166" fontId="0" fillId="0" borderId="25" xfId="1" applyNumberFormat="1" applyFont="1" applyBorder="1" applyAlignment="1">
      <alignment horizontal="center"/>
    </xf>
    <xf numFmtId="1" fontId="2" fillId="0" borderId="19" xfId="0" applyNumberFormat="1" applyFont="1" applyFill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/>
    </xf>
    <xf numFmtId="1" fontId="4" fillId="0" borderId="7" xfId="1" applyNumberFormat="1" applyFont="1" applyBorder="1" applyAlignment="1">
      <alignment horizontal="center"/>
    </xf>
    <xf numFmtId="1" fontId="4" fillId="0" borderId="19" xfId="1" applyNumberFormat="1" applyFont="1" applyBorder="1" applyAlignment="1">
      <alignment horizontal="center"/>
    </xf>
    <xf numFmtId="1" fontId="4" fillId="0" borderId="18" xfId="1" applyNumberFormat="1" applyFont="1" applyBorder="1" applyAlignment="1">
      <alignment horizontal="center"/>
    </xf>
    <xf numFmtId="1" fontId="4" fillId="0" borderId="26" xfId="1" applyNumberFormat="1" applyFont="1" applyBorder="1" applyAlignment="1">
      <alignment horizontal="center"/>
    </xf>
    <xf numFmtId="1" fontId="4" fillId="0" borderId="25" xfId="1" applyNumberFormat="1" applyFont="1" applyBorder="1" applyAlignment="1">
      <alignment horizontal="center"/>
    </xf>
    <xf numFmtId="0" fontId="0" fillId="0" borderId="41" xfId="0" applyFont="1" applyFill="1" applyBorder="1" applyAlignment="1">
      <alignment horizontal="center" vertical="center" wrapText="1"/>
    </xf>
    <xf numFmtId="1" fontId="0" fillId="0" borderId="17" xfId="1" applyNumberFormat="1" applyFont="1" applyBorder="1" applyAlignment="1">
      <alignment horizontal="center"/>
    </xf>
    <xf numFmtId="1" fontId="0" fillId="0" borderId="21" xfId="1" applyNumberFormat="1" applyFont="1" applyBorder="1" applyAlignment="1">
      <alignment horizontal="center"/>
    </xf>
    <xf numFmtId="1" fontId="0" fillId="0" borderId="27" xfId="1" applyNumberFormat="1" applyFont="1" applyBorder="1" applyAlignment="1">
      <alignment horizontal="center"/>
    </xf>
    <xf numFmtId="1" fontId="1" fillId="0" borderId="29" xfId="1" applyNumberFormat="1" applyFont="1" applyBorder="1" applyAlignment="1">
      <alignment horizontal="center"/>
    </xf>
    <xf numFmtId="1" fontId="0" fillId="0" borderId="3" xfId="1" applyNumberFormat="1" applyFont="1" applyBorder="1" applyAlignment="1">
      <alignment horizontal="center"/>
    </xf>
    <xf numFmtId="0" fontId="0" fillId="0" borderId="45" xfId="0" applyFont="1" applyFill="1" applyBorder="1" applyAlignment="1">
      <alignment horizontal="center" vertical="center"/>
    </xf>
    <xf numFmtId="1" fontId="4" fillId="2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1" fontId="4" fillId="0" borderId="5" xfId="1" applyNumberFormat="1" applyFont="1" applyBorder="1" applyAlignment="1">
      <alignment horizontal="center"/>
    </xf>
    <xf numFmtId="1" fontId="4" fillId="0" borderId="16" xfId="1" applyNumberFormat="1" applyFont="1" applyBorder="1" applyAlignment="1">
      <alignment horizontal="center"/>
    </xf>
    <xf numFmtId="2" fontId="4" fillId="0" borderId="18" xfId="1" applyNumberFormat="1" applyFont="1" applyBorder="1" applyAlignment="1">
      <alignment horizontal="center"/>
    </xf>
    <xf numFmtId="2" fontId="4" fillId="0" borderId="7" xfId="1" applyNumberFormat="1" applyFont="1" applyBorder="1" applyAlignment="1">
      <alignment horizontal="center"/>
    </xf>
    <xf numFmtId="2" fontId="4" fillId="0" borderId="4" xfId="1" applyNumberFormat="1" applyFont="1" applyBorder="1" applyAlignment="1">
      <alignment horizontal="center"/>
    </xf>
    <xf numFmtId="2" fontId="4" fillId="0" borderId="20" xfId="1" applyNumberFormat="1" applyFont="1" applyBorder="1" applyAlignment="1">
      <alignment horizontal="center"/>
    </xf>
    <xf numFmtId="0" fontId="2" fillId="0" borderId="51" xfId="0" applyFont="1" applyBorder="1" applyAlignment="1">
      <alignment vertical="center"/>
    </xf>
    <xf numFmtId="165" fontId="0" fillId="0" borderId="0" xfId="1" applyNumberFormat="1" applyFont="1"/>
    <xf numFmtId="1" fontId="0" fillId="0" borderId="26" xfId="1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35" xfId="0" applyBorder="1"/>
    <xf numFmtId="0" fontId="2" fillId="0" borderId="20" xfId="0" applyFont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2" xfId="0" applyBorder="1"/>
    <xf numFmtId="165" fontId="0" fillId="0" borderId="35" xfId="1" applyNumberFormat="1" applyFont="1" applyBorder="1" applyAlignment="1">
      <alignment horizontal="center"/>
    </xf>
    <xf numFmtId="1" fontId="0" fillId="0" borderId="35" xfId="1" applyNumberFormat="1" applyFont="1" applyBorder="1" applyAlignment="1">
      <alignment horizontal="center"/>
    </xf>
    <xf numFmtId="2" fontId="0" fillId="0" borderId="35" xfId="1" applyNumberFormat="1" applyFont="1" applyBorder="1" applyAlignment="1">
      <alignment horizontal="center"/>
    </xf>
    <xf numFmtId="0" fontId="0" fillId="0" borderId="35" xfId="0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right"/>
    </xf>
    <xf numFmtId="1" fontId="4" fillId="2" borderId="0" xfId="0" applyNumberFormat="1" applyFont="1" applyFill="1" applyBorder="1" applyAlignment="1">
      <alignment horizontal="right" vertical="center"/>
    </xf>
    <xf numFmtId="1" fontId="1" fillId="2" borderId="12" xfId="1" applyNumberFormat="1" applyFont="1" applyFill="1" applyBorder="1" applyAlignment="1">
      <alignment horizontal="center" vertical="center"/>
    </xf>
    <xf numFmtId="1" fontId="2" fillId="0" borderId="53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1" fontId="2" fillId="2" borderId="53" xfId="0" applyNumberFormat="1" applyFont="1" applyFill="1" applyBorder="1" applyAlignment="1">
      <alignment horizontal="center" vertical="center"/>
    </xf>
    <xf numFmtId="0" fontId="0" fillId="2" borderId="53" xfId="0" applyFill="1" applyBorder="1" applyAlignment="1">
      <alignment horizontal="center"/>
    </xf>
    <xf numFmtId="1" fontId="2" fillId="2" borderId="6" xfId="1" applyNumberFormat="1" applyFont="1" applyFill="1" applyBorder="1" applyAlignment="1">
      <alignment horizontal="center" vertical="center"/>
    </xf>
    <xf numFmtId="0" fontId="0" fillId="2" borderId="0" xfId="0" applyFill="1" applyBorder="1"/>
    <xf numFmtId="1" fontId="2" fillId="2" borderId="19" xfId="0" applyNumberFormat="1" applyFont="1" applyFill="1" applyBorder="1" applyAlignment="1">
      <alignment horizontal="center" vertical="center"/>
    </xf>
    <xf numFmtId="1" fontId="1" fillId="2" borderId="21" xfId="1" applyNumberFormat="1" applyFont="1" applyFill="1" applyBorder="1" applyAlignment="1">
      <alignment horizontal="center" vertical="center"/>
    </xf>
    <xf numFmtId="1" fontId="2" fillId="2" borderId="27" xfId="1" applyNumberFormat="1" applyFont="1" applyFill="1" applyBorder="1" applyAlignment="1">
      <alignment horizontal="center" vertical="center"/>
    </xf>
    <xf numFmtId="1" fontId="2" fillId="2" borderId="35" xfId="0" applyNumberFormat="1" applyFont="1" applyFill="1" applyBorder="1" applyAlignment="1">
      <alignment horizontal="center" vertical="center"/>
    </xf>
    <xf numFmtId="0" fontId="0" fillId="2" borderId="35" xfId="0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1" fontId="2" fillId="2" borderId="26" xfId="0" applyNumberFormat="1" applyFont="1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1" fontId="1" fillId="2" borderId="9" xfId="1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2" fillId="6" borderId="35" xfId="0" applyNumberFormat="1" applyFont="1" applyFill="1" applyBorder="1" applyAlignment="1">
      <alignment horizontal="center" vertical="center"/>
    </xf>
    <xf numFmtId="0" fontId="0" fillId="6" borderId="35" xfId="0" applyFill="1" applyBorder="1" applyAlignment="1">
      <alignment horizontal="center"/>
    </xf>
    <xf numFmtId="1" fontId="2" fillId="6" borderId="26" xfId="0" applyNumberFormat="1" applyFont="1" applyFill="1" applyBorder="1" applyAlignment="1">
      <alignment horizontal="center" vertical="center"/>
    </xf>
    <xf numFmtId="0" fontId="0" fillId="6" borderId="26" xfId="0" applyFill="1" applyBorder="1" applyAlignment="1">
      <alignment horizontal="center"/>
    </xf>
    <xf numFmtId="1" fontId="2" fillId="6" borderId="27" xfId="1" applyNumberFormat="1" applyFont="1" applyFill="1" applyBorder="1" applyAlignment="1">
      <alignment horizontal="center" vertical="center"/>
    </xf>
    <xf numFmtId="1" fontId="2" fillId="2" borderId="15" xfId="1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2" fillId="2" borderId="0" xfId="1" applyNumberFormat="1" applyFont="1" applyFill="1" applyBorder="1" applyAlignment="1">
      <alignment horizontal="center" vertical="center"/>
    </xf>
    <xf numFmtId="166" fontId="2" fillId="0" borderId="0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center" vertical="center"/>
    </xf>
    <xf numFmtId="166" fontId="2" fillId="2" borderId="6" xfId="1" applyNumberFormat="1" applyFont="1" applyFill="1" applyBorder="1" applyAlignment="1">
      <alignment horizontal="center" vertical="center"/>
    </xf>
    <xf numFmtId="166" fontId="0" fillId="0" borderId="35" xfId="0" applyNumberFormat="1" applyBorder="1" applyAlignment="1">
      <alignment horizontal="center"/>
    </xf>
    <xf numFmtId="166" fontId="0" fillId="0" borderId="35" xfId="1" applyNumberFormat="1" applyFont="1" applyBorder="1" applyAlignment="1">
      <alignment horizontal="center"/>
    </xf>
    <xf numFmtId="166" fontId="1" fillId="0" borderId="35" xfId="1" applyNumberFormat="1" applyFont="1" applyBorder="1" applyAlignment="1">
      <alignment horizontal="center"/>
    </xf>
    <xf numFmtId="0" fontId="0" fillId="6" borderId="3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6" fontId="0" fillId="6" borderId="35" xfId="1" applyNumberFormat="1" applyFont="1" applyFill="1" applyBorder="1" applyAlignment="1">
      <alignment horizontal="center"/>
    </xf>
    <xf numFmtId="166" fontId="1" fillId="6" borderId="35" xfId="1" applyNumberFormat="1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166" fontId="0" fillId="0" borderId="35" xfId="0" applyNumberFormat="1" applyFont="1" applyBorder="1" applyAlignment="1">
      <alignment horizontal="center"/>
    </xf>
    <xf numFmtId="166" fontId="0" fillId="0" borderId="35" xfId="0" applyNumberFormat="1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66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5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166" fontId="0" fillId="2" borderId="26" xfId="0" applyNumberForma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/>
    </xf>
    <xf numFmtId="1" fontId="2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165" fontId="0" fillId="0" borderId="0" xfId="1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6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6" borderId="0" xfId="0" applyFont="1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6" fontId="0" fillId="0" borderId="0" xfId="0" applyNumberFormat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2" fontId="1" fillId="0" borderId="0" xfId="1" applyNumberFormat="1" applyFont="1" applyFill="1" applyBorder="1"/>
    <xf numFmtId="0" fontId="0" fillId="0" borderId="0" xfId="0" applyBorder="1" applyAlignment="1"/>
    <xf numFmtId="0" fontId="2" fillId="0" borderId="35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" xfId="0" applyBorder="1"/>
    <xf numFmtId="166" fontId="0" fillId="0" borderId="0" xfId="0" applyNumberFormat="1" applyBorder="1" applyAlignment="1">
      <alignment horizontal="center"/>
    </xf>
    <xf numFmtId="1" fontId="1" fillId="0" borderId="0" xfId="1" applyNumberFormat="1" applyFont="1" applyFill="1" applyBorder="1" applyAlignment="1">
      <alignment horizontal="center"/>
    </xf>
    <xf numFmtId="166" fontId="0" fillId="2" borderId="30" xfId="0" applyNumberFormat="1" applyFill="1" applyBorder="1" applyAlignment="1">
      <alignment horizontal="center"/>
    </xf>
    <xf numFmtId="166" fontId="0" fillId="2" borderId="29" xfId="0" applyNumberFormat="1" applyFill="1" applyBorder="1" applyAlignment="1">
      <alignment horizontal="center"/>
    </xf>
    <xf numFmtId="166" fontId="0" fillId="2" borderId="34" xfId="0" applyNumberFormat="1" applyFill="1" applyBorder="1" applyAlignment="1">
      <alignment horizontal="center"/>
    </xf>
    <xf numFmtId="166" fontId="0" fillId="2" borderId="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2" fillId="0" borderId="35" xfId="0" applyFont="1" applyBorder="1"/>
    <xf numFmtId="0" fontId="2" fillId="0" borderId="35" xfId="0" applyFont="1" applyBorder="1" applyAlignment="1">
      <alignment horizontal="center" vertical="center"/>
    </xf>
    <xf numFmtId="0" fontId="2" fillId="0" borderId="14" xfId="0" applyFont="1" applyBorder="1"/>
    <xf numFmtId="0" fontId="2" fillId="0" borderId="20" xfId="0" applyFont="1" applyBorder="1"/>
    <xf numFmtId="0" fontId="0" fillId="0" borderId="58" xfId="0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166" fontId="0" fillId="0" borderId="26" xfId="0" applyNumberFormat="1" applyBorder="1" applyAlignment="1">
      <alignment horizontal="center"/>
    </xf>
    <xf numFmtId="166" fontId="0" fillId="2" borderId="35" xfId="0" applyNumberForma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165" fontId="1" fillId="0" borderId="20" xfId="1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2" fontId="0" fillId="2" borderId="35" xfId="0" applyNumberFormat="1" applyFill="1" applyBorder="1" applyAlignment="1">
      <alignment horizontal="center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0" fillId="2" borderId="12" xfId="0" applyNumberFormat="1" applyFill="1" applyBorder="1" applyAlignment="1">
      <alignment horizontal="center"/>
    </xf>
    <xf numFmtId="166" fontId="0" fillId="2" borderId="27" xfId="0" applyNumberForma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65" fontId="1" fillId="0" borderId="9" xfId="1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2" borderId="56" xfId="0" applyNumberFormat="1" applyFill="1" applyBorder="1" applyAlignment="1">
      <alignment horizontal="center"/>
    </xf>
    <xf numFmtId="166" fontId="0" fillId="2" borderId="57" xfId="0" applyNumberFormat="1" applyFill="1" applyBorder="1" applyAlignment="1">
      <alignment horizontal="center"/>
    </xf>
    <xf numFmtId="166" fontId="0" fillId="0" borderId="12" xfId="0" applyNumberFormat="1" applyFill="1" applyBorder="1" applyAlignment="1">
      <alignment horizontal="center"/>
    </xf>
    <xf numFmtId="166" fontId="0" fillId="0" borderId="27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166" fontId="5" fillId="6" borderId="0" xfId="0" applyNumberFormat="1" applyFont="1" applyFill="1" applyBorder="1" applyAlignment="1">
      <alignment horizontal="center" vertical="center"/>
    </xf>
    <xf numFmtId="166" fontId="5" fillId="5" borderId="0" xfId="0" applyNumberFormat="1" applyFont="1" applyFill="1" applyBorder="1" applyAlignment="1">
      <alignment horizontal="center" vertical="center"/>
    </xf>
    <xf numFmtId="166" fontId="5" fillId="5" borderId="1" xfId="0" applyNumberFormat="1" applyFont="1" applyFill="1" applyBorder="1" applyAlignment="1">
      <alignment horizontal="center" vertical="center"/>
    </xf>
    <xf numFmtId="1" fontId="0" fillId="0" borderId="0" xfId="1" applyNumberFormat="1" applyFont="1" applyFill="1" applyBorder="1" applyAlignment="1">
      <alignment horizontal="center"/>
    </xf>
    <xf numFmtId="2" fontId="0" fillId="0" borderId="0" xfId="1" applyNumberFormat="1" applyFont="1" applyFill="1" applyBorder="1"/>
    <xf numFmtId="166" fontId="0" fillId="0" borderId="0" xfId="0" applyNumberFormat="1" applyFill="1" applyBorder="1" applyAlignment="1">
      <alignment horizontal="center"/>
    </xf>
    <xf numFmtId="166" fontId="1" fillId="0" borderId="0" xfId="1" applyNumberFormat="1" applyFont="1" applyFill="1" applyBorder="1" applyAlignment="1">
      <alignment horizontal="center"/>
    </xf>
    <xf numFmtId="165" fontId="0" fillId="0" borderId="26" xfId="1" applyNumberFormat="1" applyFont="1" applyBorder="1" applyAlignment="1">
      <alignment horizontal="center"/>
    </xf>
    <xf numFmtId="1" fontId="0" fillId="0" borderId="58" xfId="1" applyNumberFormat="1" applyFont="1" applyBorder="1" applyAlignment="1">
      <alignment horizontal="center"/>
    </xf>
    <xf numFmtId="1" fontId="0" fillId="0" borderId="59" xfId="1" applyNumberFormat="1" applyFont="1" applyBorder="1" applyAlignment="1">
      <alignment horizontal="center"/>
    </xf>
    <xf numFmtId="166" fontId="0" fillId="0" borderId="37" xfId="1" applyNumberFormat="1" applyFont="1" applyBorder="1" applyAlignment="1">
      <alignment horizontal="center"/>
    </xf>
    <xf numFmtId="2" fontId="0" fillId="0" borderId="58" xfId="1" applyNumberFormat="1" applyFont="1" applyBorder="1" applyAlignment="1">
      <alignment horizontal="center"/>
    </xf>
    <xf numFmtId="2" fontId="0" fillId="0" borderId="59" xfId="1" applyNumberFormat="1" applyFont="1" applyBorder="1" applyAlignment="1">
      <alignment horizontal="center"/>
    </xf>
    <xf numFmtId="2" fontId="0" fillId="0" borderId="46" xfId="1" applyNumberFormat="1" applyFont="1" applyBorder="1" applyAlignment="1">
      <alignment horizontal="center"/>
    </xf>
    <xf numFmtId="165" fontId="0" fillId="0" borderId="46" xfId="1" applyNumberFormat="1" applyFont="1" applyBorder="1" applyAlignment="1">
      <alignment horizontal="center"/>
    </xf>
    <xf numFmtId="165" fontId="0" fillId="0" borderId="47" xfId="1" applyNumberFormat="1" applyFont="1" applyBorder="1" applyAlignment="1">
      <alignment horizontal="center"/>
    </xf>
    <xf numFmtId="0" fontId="2" fillId="0" borderId="58" xfId="0" applyFont="1" applyBorder="1" applyAlignment="1">
      <alignment horizontal="center" vertical="center" wrapText="1"/>
    </xf>
    <xf numFmtId="1" fontId="0" fillId="0" borderId="0" xfId="1" applyNumberFormat="1" applyFont="1" applyFill="1" applyBorder="1" applyAlignment="1">
      <alignment horizontal="center" vertical="center"/>
    </xf>
    <xf numFmtId="166" fontId="1" fillId="0" borderId="0" xfId="1" applyNumberFormat="1" applyFont="1" applyBorder="1" applyAlignment="1">
      <alignment horizontal="center"/>
    </xf>
    <xf numFmtId="1" fontId="0" fillId="0" borderId="13" xfId="1" applyNumberFormat="1" applyFont="1" applyBorder="1" applyAlignment="1">
      <alignment horizontal="center"/>
    </xf>
    <xf numFmtId="1" fontId="1" fillId="0" borderId="13" xfId="1" applyNumberFormat="1" applyFont="1" applyBorder="1" applyAlignment="1">
      <alignment horizontal="center"/>
    </xf>
    <xf numFmtId="1" fontId="1" fillId="0" borderId="25" xfId="1" applyNumberFormat="1" applyFont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61" xfId="0" applyNumberFormat="1" applyBorder="1" applyAlignment="1">
      <alignment horizontal="center"/>
    </xf>
    <xf numFmtId="166" fontId="1" fillId="0" borderId="61" xfId="1" applyNumberFormat="1" applyFont="1" applyBorder="1" applyAlignment="1">
      <alignment horizontal="center"/>
    </xf>
    <xf numFmtId="166" fontId="0" fillId="0" borderId="61" xfId="1" applyNumberFormat="1" applyFont="1" applyBorder="1" applyAlignment="1">
      <alignment horizontal="center"/>
    </xf>
    <xf numFmtId="166" fontId="0" fillId="0" borderId="62" xfId="1" applyNumberFormat="1" applyFont="1" applyBorder="1" applyAlignment="1">
      <alignment horizontal="center"/>
    </xf>
    <xf numFmtId="1" fontId="3" fillId="0" borderId="22" xfId="1" applyNumberFormat="1" applyFont="1" applyFill="1" applyBorder="1" applyAlignment="1">
      <alignment horizontal="center" vertical="center"/>
    </xf>
    <xf numFmtId="1" fontId="3" fillId="0" borderId="0" xfId="1" applyNumberFormat="1" applyFont="1" applyFill="1" applyBorder="1" applyAlignment="1">
      <alignment horizontal="center" vertical="center"/>
    </xf>
    <xf numFmtId="1" fontId="2" fillId="0" borderId="22" xfId="1" applyNumberFormat="1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2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1" fontId="2" fillId="0" borderId="22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1" fontId="2" fillId="0" borderId="22" xfId="1" applyNumberFormat="1" applyFont="1" applyBorder="1" applyAlignment="1">
      <alignment horizontal="center" vertical="center"/>
    </xf>
    <xf numFmtId="1" fontId="2" fillId="0" borderId="0" xfId="1" applyNumberFormat="1" applyFont="1" applyBorder="1" applyAlignment="1">
      <alignment horizontal="center" vertical="center"/>
    </xf>
    <xf numFmtId="1" fontId="3" fillId="0" borderId="22" xfId="1" applyNumberFormat="1" applyFont="1" applyBorder="1" applyAlignment="1">
      <alignment horizontal="center" vertical="center"/>
    </xf>
    <xf numFmtId="1" fontId="3" fillId="0" borderId="0" xfId="1" applyNumberFormat="1" applyFont="1" applyBorder="1" applyAlignment="1">
      <alignment horizontal="center" vertical="center"/>
    </xf>
    <xf numFmtId="1" fontId="0" fillId="2" borderId="0" xfId="0" applyNumberFormat="1" applyFill="1" applyBorder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" fontId="0" fillId="0" borderId="37" xfId="0" applyNumberFormat="1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4" fillId="2" borderId="22" xfId="0" applyNumberFormat="1" applyFont="1" applyFill="1" applyBorder="1" applyAlignment="1">
      <alignment horizontal="center" vertical="center"/>
    </xf>
    <xf numFmtId="1" fontId="0" fillId="2" borderId="22" xfId="0" applyNumberForma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1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/>
    </xf>
    <xf numFmtId="0" fontId="0" fillId="0" borderId="51" xfId="0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</cellXfs>
  <cellStyles count="3">
    <cellStyle name="Normal" xfId="0" builtinId="0"/>
    <cellStyle name="Separador de milhares 2" xfId="2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66"/>
  <sheetViews>
    <sheetView topLeftCell="A32" workbookViewId="0">
      <selection activeCell="I31" sqref="I31"/>
    </sheetView>
  </sheetViews>
  <sheetFormatPr defaultRowHeight="15" x14ac:dyDescent="0.25"/>
  <cols>
    <col min="2" max="2" width="16.28515625" bestFit="1" customWidth="1"/>
    <col min="3" max="3" width="9.7109375" bestFit="1" customWidth="1"/>
    <col min="4" max="4" width="20.5703125" bestFit="1" customWidth="1"/>
    <col min="5" max="5" width="14.140625" bestFit="1" customWidth="1"/>
    <col min="6" max="6" width="8.5703125" customWidth="1"/>
    <col min="7" max="7" width="16.42578125" bestFit="1" customWidth="1"/>
    <col min="8" max="8" width="14.7109375" customWidth="1"/>
    <col min="9" max="9" width="20.5703125" bestFit="1" customWidth="1"/>
    <col min="10" max="11" width="14" bestFit="1" customWidth="1"/>
    <col min="12" max="12" width="8.140625" bestFit="1" customWidth="1"/>
    <col min="13" max="13" width="14.140625" bestFit="1" customWidth="1"/>
    <col min="14" max="14" width="14" bestFit="1" customWidth="1"/>
  </cols>
  <sheetData>
    <row r="2" spans="2:13" x14ac:dyDescent="0.25">
      <c r="B2" s="8"/>
      <c r="C2" s="8"/>
      <c r="D2" s="8"/>
      <c r="E2" s="8"/>
      <c r="F2" s="8"/>
      <c r="G2" s="8"/>
      <c r="H2" s="8"/>
      <c r="I2" s="8"/>
      <c r="J2" s="8"/>
    </row>
    <row r="3" spans="2:13" x14ac:dyDescent="0.25">
      <c r="B3" s="418" t="s">
        <v>195</v>
      </c>
      <c r="C3" s="418"/>
      <c r="D3" s="9">
        <v>19000</v>
      </c>
      <c r="F3" s="10" t="s">
        <v>105</v>
      </c>
      <c r="G3" s="11"/>
      <c r="H3" s="10">
        <v>2900</v>
      </c>
    </row>
    <row r="5" spans="2:13" x14ac:dyDescent="0.25">
      <c r="I5" s="436" t="s">
        <v>114</v>
      </c>
      <c r="J5" s="437"/>
      <c r="K5" s="1"/>
      <c r="M5" s="12"/>
    </row>
    <row r="6" spans="2:13" x14ac:dyDescent="0.25">
      <c r="B6" s="438" t="s">
        <v>0</v>
      </c>
      <c r="C6" s="440" t="s">
        <v>106</v>
      </c>
      <c r="D6" s="441"/>
      <c r="E6" s="442" t="s">
        <v>108</v>
      </c>
      <c r="F6" s="444" t="s">
        <v>110</v>
      </c>
      <c r="G6" s="444" t="s">
        <v>118</v>
      </c>
      <c r="H6" s="444" t="s">
        <v>119</v>
      </c>
      <c r="I6" s="444" t="s">
        <v>105</v>
      </c>
      <c r="J6" s="446" t="s">
        <v>109</v>
      </c>
      <c r="K6" s="1"/>
      <c r="M6" s="12"/>
    </row>
    <row r="7" spans="2:13" ht="15.75" thickBot="1" x14ac:dyDescent="0.3">
      <c r="B7" s="439"/>
      <c r="C7" s="13" t="s">
        <v>106</v>
      </c>
      <c r="D7" s="2" t="s">
        <v>107</v>
      </c>
      <c r="E7" s="443"/>
      <c r="F7" s="445"/>
      <c r="G7" s="445"/>
      <c r="H7" s="445"/>
      <c r="I7" s="445"/>
      <c r="J7" s="447"/>
      <c r="K7" s="1"/>
      <c r="M7" s="12"/>
    </row>
    <row r="8" spans="2:13" ht="15.75" thickBot="1" x14ac:dyDescent="0.3">
      <c r="B8" s="14" t="s">
        <v>8</v>
      </c>
      <c r="C8" s="15">
        <v>1</v>
      </c>
      <c r="D8" s="16" t="s">
        <v>111</v>
      </c>
      <c r="E8" s="16">
        <v>15</v>
      </c>
      <c r="F8" s="4">
        <v>75</v>
      </c>
      <c r="G8" s="16"/>
      <c r="H8" s="16"/>
      <c r="I8" s="17">
        <v>135</v>
      </c>
      <c r="J8" s="18">
        <v>49</v>
      </c>
      <c r="K8" s="1"/>
      <c r="M8" s="12"/>
    </row>
    <row r="9" spans="2:13" x14ac:dyDescent="0.25">
      <c r="B9" s="19" t="s">
        <v>9</v>
      </c>
      <c r="C9" s="422" t="s">
        <v>1</v>
      </c>
      <c r="D9" s="20" t="s">
        <v>112</v>
      </c>
      <c r="E9" s="6">
        <v>15</v>
      </c>
      <c r="F9" s="6">
        <v>74.099999999999994</v>
      </c>
      <c r="G9" s="20">
        <v>0.9</v>
      </c>
      <c r="H9" s="20"/>
      <c r="I9" s="21">
        <f>(((((F9*$E$32)/1000)+((G9*$E$37)/1000))*1000)/75)</f>
        <v>176.24933333333334</v>
      </c>
      <c r="J9" s="22">
        <f>(((((F9*$J$32)/1000)+((G9*$J$37)/1000))*1000)/75)</f>
        <v>49.227999999999994</v>
      </c>
      <c r="K9" s="1"/>
      <c r="M9" s="12"/>
    </row>
    <row r="10" spans="2:13" ht="15.75" thickBot="1" x14ac:dyDescent="0.3">
      <c r="B10" s="3" t="s">
        <v>10</v>
      </c>
      <c r="C10" s="423"/>
      <c r="D10" s="4" t="s">
        <v>113</v>
      </c>
      <c r="E10" s="4">
        <v>15</v>
      </c>
      <c r="F10" s="4">
        <v>74.099999999999994</v>
      </c>
      <c r="G10" s="4"/>
      <c r="H10" s="4">
        <v>0.9</v>
      </c>
      <c r="I10" s="23">
        <f>(((((F10*$E$32)/1000)+((H10*$E$42)/1000))*1000)/75)</f>
        <v>177.46933333333334</v>
      </c>
      <c r="J10" s="24">
        <f>(((((F10*$J$32)/1000)+((H10*$J$42)/1000))*1000)/75)</f>
        <v>56.204000000000001</v>
      </c>
      <c r="K10" s="1"/>
      <c r="M10" s="12"/>
    </row>
    <row r="11" spans="2:13" x14ac:dyDescent="0.25">
      <c r="B11" s="5" t="s">
        <v>11</v>
      </c>
      <c r="C11" s="424" t="s">
        <v>2</v>
      </c>
      <c r="D11" s="20" t="s">
        <v>112</v>
      </c>
      <c r="E11" s="6">
        <v>15</v>
      </c>
      <c r="F11" s="6">
        <v>70.5</v>
      </c>
      <c r="G11" s="6">
        <v>4.5</v>
      </c>
      <c r="H11" s="6"/>
      <c r="I11" s="21">
        <f>(((((F11*$E$32)/1000)+((G11*$E$37)/1000))*1000)/75)</f>
        <v>339.91333333333336</v>
      </c>
      <c r="J11" s="22">
        <f>(((((F11*$J$32)/1000)+((G11*$J$37)/1000))*1000)/75)</f>
        <v>50.14</v>
      </c>
      <c r="K11" s="1"/>
      <c r="M11" s="12"/>
    </row>
    <row r="12" spans="2:13" ht="15.75" thickBot="1" x14ac:dyDescent="0.3">
      <c r="B12" s="3" t="s">
        <v>12</v>
      </c>
      <c r="C12" s="423"/>
      <c r="D12" s="4" t="s">
        <v>113</v>
      </c>
      <c r="E12" s="4">
        <v>15</v>
      </c>
      <c r="F12" s="4">
        <v>70.5</v>
      </c>
      <c r="G12" s="4"/>
      <c r="H12" s="4">
        <v>4.5</v>
      </c>
      <c r="I12" s="23">
        <f>(((((F12*$E$32)/1000)+((H12*$E$42)/1000))*1000)/75)</f>
        <v>346.01333333333332</v>
      </c>
      <c r="J12" s="24">
        <f>(((((F12*$J$32)/1000)+((H12*$J$42)/1000))*1000)/75)</f>
        <v>85.02</v>
      </c>
      <c r="K12" s="1"/>
      <c r="M12" s="12"/>
    </row>
    <row r="13" spans="2:13" x14ac:dyDescent="0.25">
      <c r="B13" s="5" t="s">
        <v>13</v>
      </c>
      <c r="C13" s="422" t="s">
        <v>3</v>
      </c>
      <c r="D13" s="20" t="s">
        <v>112</v>
      </c>
      <c r="E13" s="6">
        <v>15</v>
      </c>
      <c r="F13" s="6">
        <v>66</v>
      </c>
      <c r="G13" s="6">
        <v>9</v>
      </c>
      <c r="H13" s="6"/>
      <c r="I13" s="21">
        <f>(((((F13*$E$32)/1000)+((G13*$E$37)/1000))*1000)/75)</f>
        <v>544.49333333333334</v>
      </c>
      <c r="J13" s="22">
        <f>(((((F13*$J$32)/1000)+((G13*$J$37)/1000))*1000)/75)</f>
        <v>51.28</v>
      </c>
      <c r="K13" s="1"/>
      <c r="M13" s="12"/>
    </row>
    <row r="14" spans="2:13" ht="15.75" thickBot="1" x14ac:dyDescent="0.3">
      <c r="B14" s="3" t="s">
        <v>14</v>
      </c>
      <c r="C14" s="423"/>
      <c r="D14" s="4" t="s">
        <v>113</v>
      </c>
      <c r="E14" s="4">
        <v>15</v>
      </c>
      <c r="F14" s="4">
        <v>66</v>
      </c>
      <c r="G14" s="4"/>
      <c r="H14" s="4">
        <v>9</v>
      </c>
      <c r="I14" s="23">
        <f>(((((F14*$E$32)/1000)+((H14*$E$42)/1000))*1000)/75)</f>
        <v>556.69333333333338</v>
      </c>
      <c r="J14" s="24">
        <f>(((((F14*$J$32)/1000)+((H14*$J$42)/1000))*1000)/75)</f>
        <v>121.04</v>
      </c>
      <c r="K14" s="1"/>
      <c r="M14" s="12"/>
    </row>
    <row r="15" spans="2:13" ht="15.75" thickBot="1" x14ac:dyDescent="0.3">
      <c r="B15" s="14" t="s">
        <v>15</v>
      </c>
      <c r="C15" s="15">
        <v>5</v>
      </c>
      <c r="D15" s="51" t="s">
        <v>116</v>
      </c>
      <c r="E15" s="16">
        <v>15</v>
      </c>
      <c r="F15" s="421" t="s">
        <v>115</v>
      </c>
      <c r="G15" s="421"/>
      <c r="H15" s="421"/>
      <c r="I15" s="421"/>
      <c r="J15" s="421"/>
      <c r="K15" s="1"/>
      <c r="M15" s="12"/>
    </row>
    <row r="16" spans="2:13" ht="15.75" thickBot="1" x14ac:dyDescent="0.3">
      <c r="B16" s="69" t="s">
        <v>16</v>
      </c>
      <c r="C16" s="70">
        <v>6</v>
      </c>
      <c r="D16" s="16" t="s">
        <v>111</v>
      </c>
      <c r="E16" s="16">
        <v>15</v>
      </c>
      <c r="F16" s="4">
        <v>75</v>
      </c>
      <c r="G16" s="16"/>
      <c r="H16" s="16"/>
      <c r="I16" s="17">
        <v>135</v>
      </c>
      <c r="J16" s="18">
        <v>49</v>
      </c>
      <c r="M16" s="12"/>
    </row>
    <row r="17" spans="2:15" x14ac:dyDescent="0.25">
      <c r="B17" s="66" t="s">
        <v>17</v>
      </c>
      <c r="C17" s="419" t="s">
        <v>25</v>
      </c>
      <c r="D17" s="20" t="s">
        <v>112</v>
      </c>
      <c r="E17" s="6">
        <v>15</v>
      </c>
      <c r="F17" s="6">
        <v>66</v>
      </c>
      <c r="G17" s="6">
        <v>9</v>
      </c>
      <c r="H17" s="6"/>
      <c r="I17" s="21">
        <f>(((((F17*$E$32)/1000)+((G17*$E$37)/1000))*1000)/75)</f>
        <v>544.49333333333334</v>
      </c>
      <c r="J17" s="22">
        <f>(((((F17*$J$32)/1000)+((G17*$J$37)/1000))*1000)/75)</f>
        <v>51.28</v>
      </c>
      <c r="M17" s="12"/>
    </row>
    <row r="18" spans="2:15" ht="15.75" thickBot="1" x14ac:dyDescent="0.3">
      <c r="B18" s="71" t="s">
        <v>18</v>
      </c>
      <c r="C18" s="420"/>
      <c r="D18" s="4" t="s">
        <v>113</v>
      </c>
      <c r="E18" s="4">
        <v>15</v>
      </c>
      <c r="F18" s="4">
        <v>66</v>
      </c>
      <c r="G18" s="4"/>
      <c r="H18" s="4">
        <v>9</v>
      </c>
      <c r="I18" s="23">
        <f>(((((F18*$E$32)/1000)+((H18*$E$42)/1000))*1000)/75)</f>
        <v>556.69333333333338</v>
      </c>
      <c r="J18" s="24">
        <f>(((((F18*$J$32)/1000)+((H18*$J$42)/1000))*1000)/75)</f>
        <v>121.04</v>
      </c>
      <c r="M18" s="12"/>
    </row>
    <row r="19" spans="2:15" x14ac:dyDescent="0.25">
      <c r="B19" s="66" t="s">
        <v>19</v>
      </c>
      <c r="C19" s="419" t="s">
        <v>26</v>
      </c>
      <c r="D19" s="20" t="s">
        <v>112</v>
      </c>
      <c r="E19" s="6">
        <v>15</v>
      </c>
      <c r="F19" s="6">
        <v>52.5</v>
      </c>
      <c r="G19" s="6">
        <v>22.5</v>
      </c>
      <c r="H19" s="6"/>
      <c r="I19" s="21">
        <f>(((((F19*$E$32)/1000)+((G19*$E$37)/1000))*1000)/75)</f>
        <v>1158.2333333333333</v>
      </c>
      <c r="J19" s="22">
        <f>(((((F19*$J$32)/1000)+((G19*$J$37)/1000))*1000)/75)</f>
        <v>54.7</v>
      </c>
      <c r="M19" s="12"/>
    </row>
    <row r="20" spans="2:15" ht="15.75" thickBot="1" x14ac:dyDescent="0.3">
      <c r="B20" s="71" t="s">
        <v>20</v>
      </c>
      <c r="C20" s="420"/>
      <c r="D20" s="4" t="s">
        <v>113</v>
      </c>
      <c r="E20" s="55">
        <v>15</v>
      </c>
      <c r="F20" s="55">
        <v>52.5</v>
      </c>
      <c r="G20" s="55"/>
      <c r="H20" s="55">
        <v>22.5</v>
      </c>
      <c r="I20" s="23">
        <f>(((((F20*$E$32)/1000)+((H20*$E$42)/1000))*1000)/75)</f>
        <v>1188.7333333333333</v>
      </c>
      <c r="J20" s="24">
        <f>(((((F20*$J$32)/1000)+((H20*$J$42)/1000))*1000)/75)</f>
        <v>229.09999999999994</v>
      </c>
      <c r="M20" s="73"/>
    </row>
    <row r="21" spans="2:15" s="68" customFormat="1" x14ac:dyDescent="0.25">
      <c r="B21" s="67" t="s">
        <v>21</v>
      </c>
      <c r="C21" s="419" t="s">
        <v>27</v>
      </c>
      <c r="D21" s="20" t="s">
        <v>112</v>
      </c>
      <c r="E21" s="6">
        <v>15</v>
      </c>
      <c r="F21" s="20">
        <v>30</v>
      </c>
      <c r="G21" s="20">
        <v>45</v>
      </c>
      <c r="H21" s="20"/>
      <c r="I21" s="21">
        <f>(((((F21*$E$32)/1000)+((G21*$E$37)/1000))*1000)/75)</f>
        <v>2181.1333333333332</v>
      </c>
      <c r="J21" s="22">
        <f>(((((F21*$J$32)/1000)+((G21*$J$37)/1000))*1000)/75)</f>
        <v>60.4</v>
      </c>
      <c r="M21" s="12"/>
    </row>
    <row r="22" spans="2:15" ht="15.75" thickBot="1" x14ac:dyDescent="0.3">
      <c r="B22" s="71" t="s">
        <v>22</v>
      </c>
      <c r="C22" s="420"/>
      <c r="D22" s="4" t="s">
        <v>113</v>
      </c>
      <c r="E22" s="55">
        <v>15</v>
      </c>
      <c r="F22" s="55">
        <v>30</v>
      </c>
      <c r="G22" s="55"/>
      <c r="H22" s="55">
        <v>45</v>
      </c>
      <c r="I22" s="23">
        <f>(((((F22*$E$32)/1000)+((H22*$E$42)/1000))*1000)/75)</f>
        <v>2242.1333333333332</v>
      </c>
      <c r="J22" s="24">
        <f>(((((F22*$J$32)/1000)+((H22*$J$42)/1000))*1000)/75)</f>
        <v>409.19999999999993</v>
      </c>
      <c r="M22" s="12"/>
    </row>
    <row r="23" spans="2:15" s="68" customFormat="1" x14ac:dyDescent="0.25">
      <c r="B23" s="72" t="s">
        <v>23</v>
      </c>
      <c r="C23" s="419" t="s">
        <v>28</v>
      </c>
      <c r="D23" s="20" t="s">
        <v>112</v>
      </c>
      <c r="E23" s="6">
        <v>15</v>
      </c>
      <c r="F23" s="6">
        <v>7.5</v>
      </c>
      <c r="G23" s="6">
        <v>67.5</v>
      </c>
      <c r="H23" s="6"/>
      <c r="I23" s="21">
        <f>(((((F23*$E$32)/1000)+((G23*$E$37)/1000))*1000)/75)</f>
        <v>3204.0333333333328</v>
      </c>
      <c r="J23" s="22">
        <f>(((((F23*$J$32)/1000)+((G23*$J$37)/1000))*1000)/75)</f>
        <v>66.099999999999994</v>
      </c>
      <c r="M23" s="12"/>
    </row>
    <row r="24" spans="2:15" s="68" customFormat="1" ht="15.75" thickBot="1" x14ac:dyDescent="0.3">
      <c r="B24" s="71" t="s">
        <v>24</v>
      </c>
      <c r="C24" s="420"/>
      <c r="D24" s="4" t="s">
        <v>113</v>
      </c>
      <c r="E24" s="55">
        <v>15</v>
      </c>
      <c r="F24" s="55">
        <v>7.5</v>
      </c>
      <c r="G24" s="55"/>
      <c r="H24" s="55">
        <v>67.5</v>
      </c>
      <c r="I24" s="23">
        <f>(((((F24*$E$32)/1000)+((H24*$E$42)/1000))*1000)/75)</f>
        <v>3295.5333333333333</v>
      </c>
      <c r="J24" s="24">
        <f>(((((F24*$J$32)/1000)+((H24*$J$42)/1000))*1000)/75)</f>
        <v>589.29999999999995</v>
      </c>
      <c r="M24" s="12"/>
    </row>
    <row r="25" spans="2:15" ht="15.75" thickBot="1" x14ac:dyDescent="0.3">
      <c r="B25" s="72" t="s">
        <v>24</v>
      </c>
      <c r="C25" s="419" t="s">
        <v>29</v>
      </c>
      <c r="D25" s="20" t="s">
        <v>112</v>
      </c>
      <c r="E25" s="6">
        <v>15</v>
      </c>
      <c r="F25" s="6"/>
      <c r="G25" s="6">
        <v>75</v>
      </c>
      <c r="H25" s="6"/>
      <c r="I25" s="21">
        <f>((((G25*$E$37)/1000)*1000)/75)</f>
        <v>3545</v>
      </c>
      <c r="J25" s="22">
        <f>(((((G25*$J$37)/1000))*1000)/75)</f>
        <v>68</v>
      </c>
      <c r="M25" s="12"/>
    </row>
    <row r="26" spans="2:15" ht="15.75" thickBot="1" x14ac:dyDescent="0.3">
      <c r="B26" s="71" t="s">
        <v>24</v>
      </c>
      <c r="C26" s="420"/>
      <c r="D26" s="4" t="s">
        <v>113</v>
      </c>
      <c r="E26" s="55">
        <v>15</v>
      </c>
      <c r="F26" s="55"/>
      <c r="G26" s="55"/>
      <c r="H26" s="55">
        <v>75</v>
      </c>
      <c r="I26" s="89">
        <f>((((H26*$E$42)/1000)*1000)/75)</f>
        <v>3646.6666666666665</v>
      </c>
      <c r="J26" s="24">
        <f>(((((H26*$J$42)/1000))*1000)/75)</f>
        <v>649.33333333333337</v>
      </c>
    </row>
    <row r="27" spans="2:15" x14ac:dyDescent="0.25">
      <c r="B27" s="7"/>
    </row>
    <row r="28" spans="2:15" x14ac:dyDescent="0.25">
      <c r="B28" s="7"/>
    </row>
    <row r="29" spans="2:15" x14ac:dyDescent="0.25">
      <c r="B29" s="425" t="s">
        <v>117</v>
      </c>
      <c r="C29" s="425"/>
      <c r="D29" s="425"/>
      <c r="E29" s="425"/>
      <c r="F29" s="425"/>
      <c r="G29" s="425"/>
      <c r="H29" s="425"/>
      <c r="I29" s="425"/>
      <c r="J29" s="425"/>
      <c r="K29" s="25"/>
      <c r="L29" s="25"/>
      <c r="M29" s="25"/>
      <c r="N29" s="25"/>
    </row>
    <row r="30" spans="2:15" x14ac:dyDescent="0.25">
      <c r="B30" s="434" t="s">
        <v>138</v>
      </c>
      <c r="C30" s="434"/>
      <c r="D30" s="434"/>
      <c r="E30" s="434"/>
      <c r="F30" s="26"/>
      <c r="G30" s="435" t="s">
        <v>139</v>
      </c>
      <c r="H30" s="435"/>
      <c r="I30" s="435"/>
      <c r="J30" s="435"/>
      <c r="K30" s="27"/>
      <c r="L30" s="27"/>
      <c r="M30" s="27"/>
      <c r="N30" s="27"/>
    </row>
    <row r="31" spans="2:15" ht="15.75" thickBot="1" x14ac:dyDescent="0.3">
      <c r="B31" s="323" t="s">
        <v>113</v>
      </c>
      <c r="C31" s="322" t="s">
        <v>196</v>
      </c>
      <c r="D31" s="322" t="s">
        <v>197</v>
      </c>
      <c r="E31" s="322" t="s">
        <v>140</v>
      </c>
      <c r="F31" s="7"/>
      <c r="G31" s="323" t="s">
        <v>113</v>
      </c>
      <c r="H31" s="322" t="s">
        <v>196</v>
      </c>
      <c r="I31" s="322" t="s">
        <v>197</v>
      </c>
      <c r="J31" s="322" t="s">
        <v>140</v>
      </c>
      <c r="K31" s="28"/>
      <c r="L31" s="28"/>
      <c r="M31" s="28"/>
      <c r="N31" s="28"/>
      <c r="O31" s="68"/>
    </row>
    <row r="32" spans="2:15" x14ac:dyDescent="0.25">
      <c r="B32" s="426" t="s">
        <v>111</v>
      </c>
      <c r="C32" s="29">
        <v>1</v>
      </c>
      <c r="D32" s="29">
        <v>137</v>
      </c>
      <c r="E32" s="416">
        <f>D35</f>
        <v>135.33333333333334</v>
      </c>
      <c r="F32" s="26"/>
      <c r="G32" s="426" t="s">
        <v>111</v>
      </c>
      <c r="H32" s="28">
        <v>1</v>
      </c>
      <c r="I32" s="28">
        <v>50</v>
      </c>
      <c r="J32" s="414">
        <f>I35</f>
        <v>49</v>
      </c>
      <c r="K32" s="30"/>
      <c r="L32" s="28"/>
      <c r="M32" s="28"/>
      <c r="N32" s="12"/>
      <c r="O32" s="68"/>
    </row>
    <row r="33" spans="2:15" x14ac:dyDescent="0.25">
      <c r="B33" s="427"/>
      <c r="C33" s="29">
        <v>1</v>
      </c>
      <c r="D33" s="29">
        <v>139</v>
      </c>
      <c r="E33" s="417"/>
      <c r="F33" s="26"/>
      <c r="G33" s="427"/>
      <c r="H33" s="28">
        <v>1</v>
      </c>
      <c r="I33" s="28">
        <v>48</v>
      </c>
      <c r="J33" s="415"/>
      <c r="K33" s="30"/>
      <c r="L33" s="28"/>
      <c r="M33" s="28"/>
      <c r="N33" s="12"/>
      <c r="O33" s="68"/>
    </row>
    <row r="34" spans="2:15" x14ac:dyDescent="0.25">
      <c r="B34" s="427"/>
      <c r="C34" s="29">
        <v>1</v>
      </c>
      <c r="D34" s="29">
        <v>130</v>
      </c>
      <c r="E34" s="417"/>
      <c r="F34" s="26"/>
      <c r="G34" s="427"/>
      <c r="H34" s="28">
        <v>1</v>
      </c>
      <c r="I34" s="241">
        <v>71</v>
      </c>
      <c r="J34" s="415"/>
      <c r="K34" s="30"/>
      <c r="L34" s="28"/>
      <c r="M34" s="28"/>
      <c r="N34" s="12"/>
      <c r="O34" s="68"/>
    </row>
    <row r="35" spans="2:15" x14ac:dyDescent="0.25">
      <c r="B35" s="325" t="s">
        <v>122</v>
      </c>
      <c r="C35" s="30"/>
      <c r="D35" s="31">
        <f>AVERAGE(D32:D34)</f>
        <v>135.33333333333334</v>
      </c>
      <c r="E35" s="64"/>
      <c r="F35" s="26"/>
      <c r="G35" s="325" t="s">
        <v>122</v>
      </c>
      <c r="H35" s="32"/>
      <c r="I35" s="31">
        <f>AVERAGE(I32:I33)</f>
        <v>49</v>
      </c>
      <c r="J35" s="12"/>
      <c r="K35" s="68"/>
      <c r="L35" s="32"/>
      <c r="M35" s="68"/>
      <c r="N35" s="32"/>
      <c r="O35" s="68"/>
    </row>
    <row r="36" spans="2:15" ht="15.75" thickBot="1" x14ac:dyDescent="0.3">
      <c r="B36" s="326" t="s">
        <v>123</v>
      </c>
      <c r="C36" s="33"/>
      <c r="D36" s="34">
        <f>STDEV(D32:D34)</f>
        <v>4.7258156262526088</v>
      </c>
      <c r="E36" s="65"/>
      <c r="F36" s="26"/>
      <c r="G36" s="326" t="s">
        <v>123</v>
      </c>
      <c r="H36" s="35"/>
      <c r="I36" s="34">
        <f>STDEV(I32:I33)</f>
        <v>1.4142135623730951</v>
      </c>
      <c r="J36" s="74"/>
      <c r="K36" s="32"/>
      <c r="L36" s="32"/>
      <c r="M36" s="64"/>
      <c r="N36" s="12"/>
      <c r="O36" s="68"/>
    </row>
    <row r="37" spans="2:15" x14ac:dyDescent="0.25">
      <c r="B37" s="428" t="s">
        <v>120</v>
      </c>
      <c r="C37" s="36">
        <v>10</v>
      </c>
      <c r="D37" s="240">
        <f>124*C39</f>
        <v>1240</v>
      </c>
      <c r="E37" s="430">
        <f>D40</f>
        <v>3545</v>
      </c>
      <c r="F37" s="26"/>
      <c r="G37" s="428" t="s">
        <v>120</v>
      </c>
      <c r="H37" s="28">
        <v>2</v>
      </c>
      <c r="I37" s="38">
        <f>35*H37</f>
        <v>70</v>
      </c>
      <c r="J37" s="432">
        <f>I40</f>
        <v>68</v>
      </c>
      <c r="K37" s="30"/>
      <c r="L37" s="28"/>
      <c r="M37" s="37"/>
      <c r="N37" s="12"/>
      <c r="O37" s="68"/>
    </row>
    <row r="38" spans="2:15" x14ac:dyDescent="0.25">
      <c r="B38" s="429"/>
      <c r="C38" s="36">
        <v>10</v>
      </c>
      <c r="D38" s="37">
        <f>283*C39</f>
        <v>2830</v>
      </c>
      <c r="E38" s="431"/>
      <c r="F38" s="26"/>
      <c r="G38" s="429"/>
      <c r="H38" s="28">
        <v>2</v>
      </c>
      <c r="I38" s="38">
        <f>31*H37</f>
        <v>62</v>
      </c>
      <c r="J38" s="433"/>
      <c r="K38" s="30"/>
      <c r="L38" s="28"/>
      <c r="M38" s="37"/>
      <c r="N38" s="12"/>
      <c r="O38" s="68"/>
    </row>
    <row r="39" spans="2:15" x14ac:dyDescent="0.25">
      <c r="B39" s="429"/>
      <c r="C39" s="36">
        <v>10</v>
      </c>
      <c r="D39" s="37">
        <f>426*C39</f>
        <v>4260</v>
      </c>
      <c r="E39" s="431"/>
      <c r="F39" s="26"/>
      <c r="G39" s="429"/>
      <c r="H39" s="28">
        <v>2</v>
      </c>
      <c r="I39" s="38">
        <f>36*H37</f>
        <v>72</v>
      </c>
      <c r="J39" s="433"/>
      <c r="K39" s="30"/>
      <c r="L39" s="28"/>
      <c r="M39" s="37"/>
      <c r="N39" s="12"/>
    </row>
    <row r="40" spans="2:15" x14ac:dyDescent="0.25">
      <c r="B40" s="325" t="s">
        <v>122</v>
      </c>
      <c r="C40" s="39"/>
      <c r="D40" s="31">
        <f>AVERAGE(D38:D39)</f>
        <v>3545</v>
      </c>
      <c r="E40" s="75"/>
      <c r="F40" s="26"/>
      <c r="G40" s="325" t="s">
        <v>122</v>
      </c>
      <c r="H40" s="40"/>
      <c r="I40" s="31">
        <f>AVERAGE(I37:I39)</f>
        <v>68</v>
      </c>
      <c r="J40" s="76"/>
      <c r="K40" s="41"/>
      <c r="L40" s="41"/>
      <c r="M40" s="31"/>
      <c r="N40" s="12"/>
    </row>
    <row r="41" spans="2:15" ht="15.75" thickBot="1" x14ac:dyDescent="0.3">
      <c r="B41" s="326" t="s">
        <v>123</v>
      </c>
      <c r="C41" s="42"/>
      <c r="D41" s="34">
        <f>STDEV(D38:D39)</f>
        <v>1011.1626970967629</v>
      </c>
      <c r="E41" s="42"/>
      <c r="F41" s="26"/>
      <c r="G41" s="326" t="s">
        <v>123</v>
      </c>
      <c r="H41" s="43"/>
      <c r="I41" s="34">
        <f>STDEV(I37:I39)</f>
        <v>5.2915026221291814</v>
      </c>
      <c r="J41" s="43"/>
      <c r="K41" s="41"/>
      <c r="L41" s="41"/>
      <c r="M41" s="31"/>
      <c r="N41" s="41"/>
    </row>
    <row r="42" spans="2:15" x14ac:dyDescent="0.25">
      <c r="B42" s="426" t="s">
        <v>121</v>
      </c>
      <c r="C42" s="44">
        <v>10</v>
      </c>
      <c r="D42" s="28">
        <f>376*C44</f>
        <v>3760</v>
      </c>
      <c r="E42" s="416">
        <f>D45</f>
        <v>3646.6666666666665</v>
      </c>
      <c r="F42" s="26"/>
      <c r="G42" s="426" t="s">
        <v>121</v>
      </c>
      <c r="H42" s="28">
        <v>2</v>
      </c>
      <c r="I42" s="28">
        <f>323*H44</f>
        <v>646</v>
      </c>
      <c r="J42" s="414">
        <f>I45</f>
        <v>649.33333333333337</v>
      </c>
      <c r="K42" s="30"/>
      <c r="L42" s="28"/>
      <c r="M42" s="28"/>
      <c r="N42" s="12"/>
    </row>
    <row r="43" spans="2:15" x14ac:dyDescent="0.25">
      <c r="B43" s="427"/>
      <c r="C43" s="44">
        <v>10</v>
      </c>
      <c r="D43" s="28">
        <f>370*C44</f>
        <v>3700</v>
      </c>
      <c r="E43" s="417"/>
      <c r="F43" s="26"/>
      <c r="G43" s="427"/>
      <c r="H43" s="28">
        <v>2</v>
      </c>
      <c r="I43" s="28">
        <f>330*H44</f>
        <v>660</v>
      </c>
      <c r="J43" s="415"/>
      <c r="K43" s="30"/>
      <c r="L43" s="28"/>
      <c r="M43" s="28"/>
      <c r="N43" s="12"/>
    </row>
    <row r="44" spans="2:15" x14ac:dyDescent="0.25">
      <c r="B44" s="427"/>
      <c r="C44" s="44">
        <v>10</v>
      </c>
      <c r="D44" s="28">
        <f>348*C44</f>
        <v>3480</v>
      </c>
      <c r="E44" s="417"/>
      <c r="F44" s="26"/>
      <c r="G44" s="427"/>
      <c r="H44" s="28">
        <v>2</v>
      </c>
      <c r="I44" s="28">
        <f>321*H44</f>
        <v>642</v>
      </c>
      <c r="J44" s="415"/>
      <c r="K44" s="30"/>
      <c r="L44" s="28"/>
      <c r="M44" s="28"/>
      <c r="N44" s="12"/>
    </row>
    <row r="45" spans="2:15" x14ac:dyDescent="0.25">
      <c r="B45" s="325" t="s">
        <v>122</v>
      </c>
      <c r="C45" s="45"/>
      <c r="D45" s="31">
        <f>AVERAGE(D42:D44)</f>
        <v>3646.6666666666665</v>
      </c>
      <c r="E45" s="64"/>
      <c r="F45" s="26"/>
      <c r="G45" s="325" t="s">
        <v>122</v>
      </c>
      <c r="H45" s="32"/>
      <c r="I45" s="31">
        <f>AVERAGE(I42:I44)</f>
        <v>649.33333333333337</v>
      </c>
      <c r="J45" s="12"/>
      <c r="K45" s="32"/>
      <c r="L45" s="32"/>
      <c r="M45" s="31"/>
      <c r="N45" s="12"/>
    </row>
    <row r="46" spans="2:15" ht="15.75" thickBot="1" x14ac:dyDescent="0.3">
      <c r="B46" s="326" t="s">
        <v>123</v>
      </c>
      <c r="C46" s="46"/>
      <c r="D46" s="34">
        <f>STDEV(D42:D44)</f>
        <v>147.42229591663988</v>
      </c>
      <c r="E46" s="47"/>
      <c r="F46" s="26"/>
      <c r="G46" s="326" t="s">
        <v>123</v>
      </c>
      <c r="H46" s="35"/>
      <c r="I46" s="34">
        <f>STDEV(I42:I44)</f>
        <v>9.4516312525052175</v>
      </c>
      <c r="J46" s="48"/>
      <c r="K46" s="32"/>
      <c r="L46" s="32"/>
      <c r="M46" s="31"/>
      <c r="N46" s="49"/>
    </row>
    <row r="47" spans="2:15" x14ac:dyDescent="0.25">
      <c r="K47" s="30"/>
      <c r="L47" s="28"/>
      <c r="M47" s="28"/>
      <c r="N47" s="12"/>
    </row>
    <row r="48" spans="2:15" x14ac:dyDescent="0.25">
      <c r="B48" s="1"/>
      <c r="C48" s="1"/>
      <c r="K48" s="30"/>
      <c r="L48" s="28"/>
      <c r="M48" s="28"/>
      <c r="N48" s="12"/>
    </row>
    <row r="49" spans="2:14" x14ac:dyDescent="0.25">
      <c r="B49" s="324"/>
      <c r="C49" s="324"/>
      <c r="K49" s="30"/>
      <c r="L49" s="28"/>
      <c r="M49" s="28"/>
      <c r="N49" s="12"/>
    </row>
    <row r="50" spans="2:14" x14ac:dyDescent="0.25">
      <c r="B50" s="324"/>
      <c r="C50" s="324"/>
      <c r="K50" s="32"/>
      <c r="L50" s="32"/>
      <c r="M50" s="31"/>
      <c r="N50" s="12"/>
    </row>
    <row r="51" spans="2:14" x14ac:dyDescent="0.25">
      <c r="K51" s="32"/>
      <c r="L51" s="32"/>
      <c r="M51" s="31"/>
      <c r="N51" s="49"/>
    </row>
    <row r="52" spans="2:14" x14ac:dyDescent="0.25">
      <c r="K52" s="30"/>
      <c r="L52" s="28"/>
      <c r="M52" s="28"/>
      <c r="N52" s="12"/>
    </row>
    <row r="53" spans="2:14" x14ac:dyDescent="0.25">
      <c r="K53" s="30"/>
      <c r="L53" s="28"/>
      <c r="M53" s="28"/>
      <c r="N53" s="12"/>
    </row>
    <row r="54" spans="2:14" x14ac:dyDescent="0.25">
      <c r="K54" s="30"/>
      <c r="L54" s="28"/>
      <c r="M54" s="28"/>
      <c r="N54" s="12"/>
    </row>
    <row r="55" spans="2:14" x14ac:dyDescent="0.25">
      <c r="K55" s="32"/>
      <c r="L55" s="32"/>
      <c r="M55" s="31"/>
      <c r="N55" s="12"/>
    </row>
    <row r="56" spans="2:14" x14ac:dyDescent="0.25">
      <c r="K56" s="32"/>
      <c r="L56" s="32"/>
      <c r="M56" s="31"/>
      <c r="N56" s="49"/>
    </row>
    <row r="57" spans="2:14" x14ac:dyDescent="0.25">
      <c r="K57" s="30"/>
      <c r="L57" s="28"/>
      <c r="M57" s="28"/>
      <c r="N57" s="12"/>
    </row>
    <row r="58" spans="2:14" x14ac:dyDescent="0.25">
      <c r="K58" s="30"/>
      <c r="L58" s="28"/>
      <c r="M58" s="28"/>
      <c r="N58" s="12"/>
    </row>
    <row r="59" spans="2:14" x14ac:dyDescent="0.25">
      <c r="K59" s="30"/>
      <c r="L59" s="28"/>
      <c r="M59" s="28"/>
      <c r="N59" s="12"/>
    </row>
    <row r="60" spans="2:14" x14ac:dyDescent="0.25">
      <c r="K60" s="32"/>
      <c r="L60" s="32"/>
      <c r="M60" s="31"/>
      <c r="N60" s="12"/>
    </row>
    <row r="61" spans="2:14" x14ac:dyDescent="0.25">
      <c r="K61" s="32"/>
      <c r="L61" s="32"/>
      <c r="M61" s="31"/>
      <c r="N61" s="49"/>
    </row>
    <row r="62" spans="2:14" x14ac:dyDescent="0.25">
      <c r="K62" s="30"/>
      <c r="L62" s="28"/>
      <c r="M62" s="28"/>
      <c r="N62" s="12"/>
    </row>
    <row r="63" spans="2:14" x14ac:dyDescent="0.25">
      <c r="K63" s="30"/>
      <c r="L63" s="28"/>
      <c r="M63" s="28"/>
      <c r="N63" s="12"/>
    </row>
    <row r="64" spans="2:14" x14ac:dyDescent="0.25">
      <c r="K64" s="30"/>
      <c r="L64" s="28"/>
      <c r="M64" s="28"/>
      <c r="N64" s="12"/>
    </row>
    <row r="65" spans="11:14" x14ac:dyDescent="0.25">
      <c r="K65" s="32"/>
      <c r="L65" s="32"/>
      <c r="M65" s="31"/>
      <c r="N65" s="12"/>
    </row>
    <row r="66" spans="11:14" x14ac:dyDescent="0.25">
      <c r="K66" s="32"/>
      <c r="L66" s="32"/>
      <c r="M66" s="31"/>
      <c r="N66" s="49"/>
    </row>
  </sheetData>
  <mergeCells count="34">
    <mergeCell ref="B30:E30"/>
    <mergeCell ref="G30:J30"/>
    <mergeCell ref="I5:J5"/>
    <mergeCell ref="B6:B7"/>
    <mergeCell ref="C6:D6"/>
    <mergeCell ref="E6:E7"/>
    <mergeCell ref="F6:F7"/>
    <mergeCell ref="G6:G7"/>
    <mergeCell ref="H6:H7"/>
    <mergeCell ref="I6:I7"/>
    <mergeCell ref="J6:J7"/>
    <mergeCell ref="G32:G34"/>
    <mergeCell ref="B37:B39"/>
    <mergeCell ref="G37:G39"/>
    <mergeCell ref="J32:J34"/>
    <mergeCell ref="E32:E34"/>
    <mergeCell ref="E37:E39"/>
    <mergeCell ref="J37:J39"/>
    <mergeCell ref="J42:J44"/>
    <mergeCell ref="E42:E44"/>
    <mergeCell ref="B3:C3"/>
    <mergeCell ref="C19:C20"/>
    <mergeCell ref="C21:C22"/>
    <mergeCell ref="C23:C24"/>
    <mergeCell ref="C25:C26"/>
    <mergeCell ref="F15:J15"/>
    <mergeCell ref="C9:C10"/>
    <mergeCell ref="C11:C12"/>
    <mergeCell ref="C13:C14"/>
    <mergeCell ref="C17:C18"/>
    <mergeCell ref="B29:J29"/>
    <mergeCell ref="B42:B44"/>
    <mergeCell ref="G42:G44"/>
    <mergeCell ref="B32:B3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337"/>
  <sheetViews>
    <sheetView topLeftCell="M1" zoomScale="85" zoomScaleNormal="85" workbookViewId="0">
      <selection activeCell="T328" sqref="T328:T329"/>
    </sheetView>
  </sheetViews>
  <sheetFormatPr defaultRowHeight="15" x14ac:dyDescent="0.25"/>
  <cols>
    <col min="1" max="1" width="9.140625" style="1"/>
    <col min="2" max="2" width="17.28515625" bestFit="1" customWidth="1"/>
    <col min="3" max="3" width="16.140625" bestFit="1" customWidth="1"/>
    <col min="4" max="4" width="19.140625" customWidth="1"/>
    <col min="5" max="5" width="9.140625" style="1"/>
    <col min="6" max="6" width="13.85546875" style="1" bestFit="1" customWidth="1"/>
    <col min="7" max="7" width="6.7109375" bestFit="1" customWidth="1"/>
    <col min="8" max="8" width="8.140625" bestFit="1" customWidth="1"/>
    <col min="9" max="9" width="21.28515625" bestFit="1" customWidth="1"/>
    <col min="10" max="10" width="14" bestFit="1" customWidth="1"/>
    <col min="11" max="11" width="0.85546875" style="26" customWidth="1"/>
    <col min="12" max="12" width="6.7109375" bestFit="1" customWidth="1"/>
    <col min="14" max="14" width="21.28515625" bestFit="1" customWidth="1"/>
    <col min="15" max="15" width="14" bestFit="1" customWidth="1"/>
    <col min="16" max="16" width="14" style="68" customWidth="1"/>
    <col min="17" max="17" width="21.140625" bestFit="1" customWidth="1"/>
    <col min="18" max="18" width="14" style="68" customWidth="1"/>
    <col min="19" max="19" width="9.140625" style="1"/>
    <col min="20" max="20" width="14" bestFit="1" customWidth="1"/>
    <col min="23" max="23" width="16.85546875" bestFit="1" customWidth="1"/>
    <col min="26" max="26" width="6.85546875" bestFit="1" customWidth="1"/>
    <col min="28" max="28" width="7.42578125" bestFit="1" customWidth="1"/>
    <col min="30" max="30" width="10.7109375" customWidth="1"/>
    <col min="32" max="33" width="9.140625" style="26"/>
  </cols>
  <sheetData>
    <row r="2" spans="2:35" ht="15.75" thickBot="1" x14ac:dyDescent="0.3"/>
    <row r="3" spans="2:35" ht="15.75" thickBot="1" x14ac:dyDescent="0.3">
      <c r="B3" s="463" t="s">
        <v>113</v>
      </c>
      <c r="C3" s="465" t="s">
        <v>143</v>
      </c>
      <c r="D3" s="466"/>
      <c r="F3" s="112"/>
      <c r="G3" s="112"/>
      <c r="H3" s="453" t="s">
        <v>141</v>
      </c>
      <c r="I3" s="453"/>
      <c r="J3" s="453"/>
      <c r="L3" s="452" t="s">
        <v>139</v>
      </c>
      <c r="M3" s="452"/>
      <c r="N3" s="452"/>
      <c r="O3" s="452"/>
      <c r="P3" s="214"/>
      <c r="Q3" s="213" t="s">
        <v>155</v>
      </c>
      <c r="R3" s="214"/>
      <c r="T3" s="418" t="s">
        <v>34</v>
      </c>
      <c r="U3" s="418"/>
      <c r="W3" s="462" t="s">
        <v>157</v>
      </c>
      <c r="X3" s="462"/>
      <c r="Y3" s="462"/>
      <c r="Z3" s="462"/>
      <c r="AA3" s="462"/>
      <c r="AB3" s="462"/>
      <c r="AC3" s="462"/>
      <c r="AD3" s="462"/>
      <c r="AE3" s="462"/>
    </row>
    <row r="4" spans="2:35" ht="45.75" thickBot="1" x14ac:dyDescent="0.3">
      <c r="B4" s="464"/>
      <c r="C4" s="178" t="s">
        <v>144</v>
      </c>
      <c r="D4" s="91" t="s">
        <v>145</v>
      </c>
      <c r="F4" s="429" t="s">
        <v>142</v>
      </c>
      <c r="G4" s="429"/>
      <c r="H4" s="322" t="s">
        <v>196</v>
      </c>
      <c r="I4" s="322" t="s">
        <v>197</v>
      </c>
      <c r="J4" s="322" t="s">
        <v>140</v>
      </c>
      <c r="L4" s="118"/>
      <c r="M4" s="322" t="s">
        <v>196</v>
      </c>
      <c r="N4" s="322" t="s">
        <v>197</v>
      </c>
      <c r="O4" s="322" t="s">
        <v>140</v>
      </c>
      <c r="P4" s="28"/>
      <c r="Q4" s="108"/>
      <c r="R4" s="28"/>
      <c r="W4" s="221" t="s">
        <v>113</v>
      </c>
      <c r="X4" s="178" t="s">
        <v>34</v>
      </c>
      <c r="Y4" s="179" t="s">
        <v>156</v>
      </c>
      <c r="Z4" s="179" t="s">
        <v>144</v>
      </c>
      <c r="AA4" s="179" t="s">
        <v>156</v>
      </c>
      <c r="AB4" s="180" t="s">
        <v>145</v>
      </c>
      <c r="AC4" s="179" t="s">
        <v>156</v>
      </c>
      <c r="AD4" s="327" t="s">
        <v>155</v>
      </c>
      <c r="AE4" s="179" t="s">
        <v>156</v>
      </c>
      <c r="AF4" s="54"/>
      <c r="AG4" s="54"/>
    </row>
    <row r="5" spans="2:35" ht="15.75" thickBot="1" x14ac:dyDescent="0.3">
      <c r="B5" s="181" t="s">
        <v>111</v>
      </c>
      <c r="C5" s="182">
        <v>135</v>
      </c>
      <c r="D5" s="207">
        <v>56</v>
      </c>
      <c r="F5" s="454" t="s">
        <v>146</v>
      </c>
      <c r="G5" s="449">
        <v>1</v>
      </c>
      <c r="H5" s="119"/>
      <c r="I5" s="119">
        <v>48</v>
      </c>
      <c r="J5" s="120">
        <f>I5</f>
        <v>48</v>
      </c>
      <c r="L5" s="449">
        <v>1</v>
      </c>
      <c r="M5" s="119"/>
      <c r="N5" s="119">
        <v>14</v>
      </c>
      <c r="O5" s="120">
        <f>N5</f>
        <v>14</v>
      </c>
      <c r="P5" s="103"/>
      <c r="Q5" s="266"/>
      <c r="R5" s="103"/>
      <c r="S5" s="1">
        <v>1</v>
      </c>
      <c r="U5" s="99">
        <v>7.13</v>
      </c>
      <c r="W5" s="181" t="s">
        <v>111</v>
      </c>
      <c r="X5" s="183">
        <v>7.2020000000000008</v>
      </c>
      <c r="Y5" s="196">
        <v>0</v>
      </c>
      <c r="Z5" s="200">
        <f>AVERAGE(J8,J13,J18,J23,J28)</f>
        <v>51.966666666666676</v>
      </c>
      <c r="AA5" s="200">
        <f>STDEVPA(J8,J13,J18,J23,J28)</f>
        <v>3.9135093657171121</v>
      </c>
      <c r="AB5" s="200">
        <f>AVERAGE(O8,O13,O18,O23,O28)</f>
        <v>19.533333333333331</v>
      </c>
      <c r="AC5" s="200">
        <f>STDEVPA(O8,O13,O18,O23,O28)</f>
        <v>4.5343136195018614</v>
      </c>
      <c r="AD5" s="217">
        <f>MEDIAN(Q8,Q13,Q18,Q23,Q28)</f>
        <v>60.987654320987659</v>
      </c>
      <c r="AE5" s="200">
        <f>STDEVPA(Q8,Q13,Q18,Q23,Q28)</f>
        <v>2.8988958264571156</v>
      </c>
      <c r="AG5" s="127"/>
      <c r="AH5" s="1"/>
      <c r="AI5" s="1"/>
    </row>
    <row r="6" spans="2:35" x14ac:dyDescent="0.25">
      <c r="B6" s="185" t="s">
        <v>124</v>
      </c>
      <c r="C6" s="186">
        <v>139.19111111111113</v>
      </c>
      <c r="D6" s="208">
        <v>47.061111111111124</v>
      </c>
      <c r="F6" s="455"/>
      <c r="G6" s="450"/>
      <c r="H6" s="109"/>
      <c r="I6" s="109">
        <v>48</v>
      </c>
      <c r="J6" s="115">
        <f t="shared" ref="J6:J7" si="0">I6</f>
        <v>48</v>
      </c>
      <c r="L6" s="450"/>
      <c r="M6" s="109"/>
      <c r="N6" s="109">
        <v>14</v>
      </c>
      <c r="O6" s="115">
        <f t="shared" ref="O6:O7" si="1">N6</f>
        <v>14</v>
      </c>
      <c r="P6" s="103"/>
      <c r="Q6" s="266"/>
      <c r="R6" s="103"/>
      <c r="S6" s="1">
        <v>2</v>
      </c>
      <c r="U6" s="99">
        <v>7.24</v>
      </c>
      <c r="W6" s="185" t="s">
        <v>124</v>
      </c>
      <c r="X6" s="187">
        <v>7.2</v>
      </c>
      <c r="Y6" s="197">
        <v>0.1</v>
      </c>
      <c r="Z6" s="201">
        <f>MEDIAN(J35,J40,J45,J50,J55)</f>
        <v>46</v>
      </c>
      <c r="AA6" s="201">
        <f>_xlfn.STDEV.S(J35,J40,J45,J50,J55)</f>
        <v>8.6229667490693611</v>
      </c>
      <c r="AB6" s="201">
        <f>MEDIAN(O35,O40,O45,O50,O55)</f>
        <v>18</v>
      </c>
      <c r="AC6" s="201">
        <f>_xlfn.STDEV.S(O35,O40,O45,O50,O55)</f>
        <v>3.4769079494414066</v>
      </c>
      <c r="AD6" s="218">
        <f>MEDIAN(Q35,Q40,Q45,Q50,Q55)</f>
        <v>66.9519126380995</v>
      </c>
      <c r="AE6" s="215">
        <f>_xlfn.STDEV.S(Q35,Q40,Q45,Q50,Q55)</f>
        <v>6.1950556183044938</v>
      </c>
      <c r="AG6" s="127"/>
      <c r="AH6" s="1"/>
      <c r="AI6" s="1"/>
    </row>
    <row r="7" spans="2:35" ht="15.75" thickBot="1" x14ac:dyDescent="0.3">
      <c r="B7" s="157" t="s">
        <v>125</v>
      </c>
      <c r="C7" s="190">
        <v>147.89111111111112</v>
      </c>
      <c r="D7" s="209">
        <v>52.87444444444445</v>
      </c>
      <c r="F7" s="455"/>
      <c r="G7" s="450"/>
      <c r="H7" s="109"/>
      <c r="I7" s="109">
        <v>64</v>
      </c>
      <c r="J7" s="115">
        <f t="shared" si="0"/>
        <v>64</v>
      </c>
      <c r="L7" s="450"/>
      <c r="M7" s="109"/>
      <c r="N7" s="109">
        <v>14</v>
      </c>
      <c r="O7" s="115">
        <f t="shared" si="1"/>
        <v>14</v>
      </c>
      <c r="P7" s="103"/>
      <c r="Q7" s="266"/>
      <c r="R7" s="103"/>
      <c r="S7" s="1">
        <v>3</v>
      </c>
      <c r="U7" s="99">
        <v>7.19</v>
      </c>
      <c r="W7" s="157" t="s">
        <v>125</v>
      </c>
      <c r="X7" s="191">
        <v>7.1</v>
      </c>
      <c r="Y7" s="198">
        <v>0</v>
      </c>
      <c r="Z7" s="202">
        <f>MEDIAN(J62,J67)</f>
        <v>40.666666666666671</v>
      </c>
      <c r="AA7" s="202">
        <f>_xlfn.STDEV.S(J62,J67)</f>
        <v>5.1854497287013501</v>
      </c>
      <c r="AB7" s="202">
        <f>MEDIAN(O62,O67)</f>
        <v>14</v>
      </c>
      <c r="AC7" s="202">
        <f>_xlfn.STDEV.S(O62,O67)</f>
        <v>1.4142135623730951</v>
      </c>
      <c r="AD7" s="219">
        <f>MEDIAN(Q62,Q67)</f>
        <v>72.502291475710351</v>
      </c>
      <c r="AE7" s="202">
        <f>_xlfn.STDEV.S(Q62,Q67)</f>
        <v>3.5062619313242576</v>
      </c>
      <c r="AG7" s="283"/>
      <c r="AH7" s="283"/>
      <c r="AI7" s="1"/>
    </row>
    <row r="8" spans="2:35" x14ac:dyDescent="0.25">
      <c r="B8" s="185" t="s">
        <v>126</v>
      </c>
      <c r="C8" s="186">
        <v>244.84444444444443</v>
      </c>
      <c r="D8" s="208">
        <v>47.527777777777779</v>
      </c>
      <c r="F8" s="455"/>
      <c r="G8" s="113" t="s">
        <v>154</v>
      </c>
      <c r="H8" s="110"/>
      <c r="I8" s="78"/>
      <c r="J8" s="116">
        <f>AVERAGE(J5:J7)</f>
        <v>53.333333333333336</v>
      </c>
      <c r="L8" s="113" t="s">
        <v>154</v>
      </c>
      <c r="M8" s="110"/>
      <c r="N8" s="78"/>
      <c r="O8" s="116">
        <f>AVERAGE(O5:O7)</f>
        <v>14</v>
      </c>
      <c r="P8" s="93"/>
      <c r="Q8" s="267">
        <f>((C5-J8)/C5)*100</f>
        <v>60.493827160493815</v>
      </c>
      <c r="R8" s="93"/>
      <c r="S8" s="1">
        <v>4</v>
      </c>
      <c r="U8" s="99">
        <v>7.25</v>
      </c>
      <c r="W8" s="185" t="s">
        <v>126</v>
      </c>
      <c r="X8" s="187">
        <v>7</v>
      </c>
      <c r="Y8" s="197">
        <v>0.1</v>
      </c>
      <c r="Z8" s="201">
        <f>MEDIAN(J74,J79,J84,J89,J94)</f>
        <v>52.666666666666664</v>
      </c>
      <c r="AA8" s="201">
        <f>_xlfn.STDEV.S(J74,J79,J84,J89,J94)</f>
        <v>6.4523897381771054</v>
      </c>
      <c r="AB8" s="201">
        <f>MEDIAN(O74,O79,O84,O89,O94)</f>
        <v>17</v>
      </c>
      <c r="AC8" s="201">
        <f>_xlfn.STDEV.S(O74,O79,O84,O89,O94)</f>
        <v>8.8218478789877146</v>
      </c>
      <c r="AD8" s="218">
        <f>MEDIAN(Q74,Q79,Q84,Q89,Q94)</f>
        <v>78.489744055182427</v>
      </c>
      <c r="AE8" s="215">
        <f>_xlfn.STDEV.S(Q74,Q79,Q84,Q89,Q94)</f>
        <v>2.6353016719728597</v>
      </c>
      <c r="AG8" s="127"/>
      <c r="AH8" s="1"/>
      <c r="AI8" s="1"/>
    </row>
    <row r="9" spans="2:35" ht="15.75" thickBot="1" x14ac:dyDescent="0.3">
      <c r="B9" s="157" t="s">
        <v>132</v>
      </c>
      <c r="C9" s="190">
        <v>288.34444444444443</v>
      </c>
      <c r="D9" s="209">
        <v>76.594444444444434</v>
      </c>
      <c r="F9" s="455"/>
      <c r="G9" s="113" t="s">
        <v>35</v>
      </c>
      <c r="H9" s="110"/>
      <c r="I9" s="78"/>
      <c r="J9" s="116">
        <f>STDEV(J5:J7)</f>
        <v>9.2376043070339957</v>
      </c>
      <c r="L9" s="113" t="s">
        <v>35</v>
      </c>
      <c r="M9" s="110"/>
      <c r="N9" s="78"/>
      <c r="O9" s="117">
        <f>STDEV(O5:O7)</f>
        <v>0</v>
      </c>
      <c r="P9" s="93"/>
      <c r="Q9" s="268"/>
      <c r="R9" s="93"/>
      <c r="S9" s="1">
        <v>5</v>
      </c>
      <c r="U9" s="99">
        <v>7.2</v>
      </c>
      <c r="W9" s="157" t="s">
        <v>132</v>
      </c>
      <c r="X9" s="191">
        <v>6.9</v>
      </c>
      <c r="Y9" s="198">
        <v>0.1</v>
      </c>
      <c r="Z9" s="202">
        <f>MEDIAN(J101,J106)</f>
        <v>67.333333333333343</v>
      </c>
      <c r="AA9" s="202">
        <f>_xlfn.STDEV.S(J101,J106)</f>
        <v>3.7712361663282499</v>
      </c>
      <c r="AB9" s="202">
        <f>MEDIAN(O101,O106)</f>
        <v>20</v>
      </c>
      <c r="AC9" s="202">
        <f>_xlfn.STDEV.S(O101,O106)</f>
        <v>3.7712361663282468</v>
      </c>
      <c r="AD9" s="219">
        <f>MEDIAN(Q101,Q106)</f>
        <v>76.648298716812448</v>
      </c>
      <c r="AE9" s="202">
        <f>_xlfn.STDEV.S(Q101,Q106)</f>
        <v>1.3078927785809444</v>
      </c>
      <c r="AF9" s="30"/>
      <c r="AG9" s="128"/>
      <c r="AH9" s="1"/>
      <c r="AI9" s="1"/>
    </row>
    <row r="10" spans="2:35" x14ac:dyDescent="0.25">
      <c r="B10" s="185" t="s">
        <v>127</v>
      </c>
      <c r="C10" s="186">
        <v>376.9111111111111</v>
      </c>
      <c r="D10" s="208">
        <v>48.111111111111114</v>
      </c>
      <c r="F10" s="455"/>
      <c r="G10" s="450">
        <v>2</v>
      </c>
      <c r="H10" s="109"/>
      <c r="I10" s="109">
        <v>51</v>
      </c>
      <c r="J10" s="115">
        <f>I10</f>
        <v>51</v>
      </c>
      <c r="L10" s="450">
        <v>2</v>
      </c>
      <c r="M10" s="109"/>
      <c r="N10" s="109">
        <v>12</v>
      </c>
      <c r="O10" s="115">
        <f>N10</f>
        <v>12</v>
      </c>
      <c r="P10" s="103"/>
      <c r="Q10" s="266"/>
      <c r="R10" s="103"/>
      <c r="T10" s="92" t="s">
        <v>122</v>
      </c>
      <c r="U10" s="105">
        <f>AVERAGE(U5:U9)</f>
        <v>7.2020000000000008</v>
      </c>
      <c r="W10" s="185" t="s">
        <v>127</v>
      </c>
      <c r="X10" s="187">
        <v>6.9</v>
      </c>
      <c r="Y10" s="197">
        <v>0.2</v>
      </c>
      <c r="Z10" s="201">
        <f>MEDIAN(J113,J118,J123)</f>
        <v>61.333333333333336</v>
      </c>
      <c r="AA10" s="201">
        <f>_xlfn.STDEV.S(J113,J118,J123)</f>
        <v>4.3503937667670858</v>
      </c>
      <c r="AB10" s="201">
        <f>MEDIAN(O113,O118,O123)</f>
        <v>26.666666666666668</v>
      </c>
      <c r="AC10" s="201">
        <f>_xlfn.STDEV.S(O113,O118,O123)</f>
        <v>0.9251848886516153</v>
      </c>
      <c r="AD10" s="218">
        <f>MEDIAN(Q113,Q118,Q123)</f>
        <v>83.727374565178948</v>
      </c>
      <c r="AE10" s="215">
        <f>_xlfn.STDEV.S(Q113,Q118,Q123)</f>
        <v>1.1542227433790329</v>
      </c>
      <c r="AF10" s="92"/>
      <c r="AG10" s="104"/>
      <c r="AH10" s="1"/>
      <c r="AI10" s="1"/>
    </row>
    <row r="11" spans="2:35" ht="15.75" thickBot="1" x14ac:dyDescent="0.3">
      <c r="B11" s="158" t="s">
        <v>133</v>
      </c>
      <c r="C11" s="192">
        <v>463.9111111111111</v>
      </c>
      <c r="D11" s="209">
        <v>106.24444444444447</v>
      </c>
      <c r="F11" s="455"/>
      <c r="G11" s="450"/>
      <c r="H11" s="109"/>
      <c r="I11" s="109">
        <v>56</v>
      </c>
      <c r="J11" s="115">
        <f t="shared" ref="J11:J12" si="2">I11</f>
        <v>56</v>
      </c>
      <c r="L11" s="450"/>
      <c r="M11" s="109"/>
      <c r="N11" s="109">
        <v>5</v>
      </c>
      <c r="O11" s="242">
        <f t="shared" ref="O11" si="3">N11</f>
        <v>5</v>
      </c>
      <c r="P11" s="103"/>
      <c r="Q11" s="266"/>
      <c r="R11" s="103"/>
      <c r="T11" s="97" t="s">
        <v>156</v>
      </c>
      <c r="U11" s="106">
        <f>STDEV(U5:U9)</f>
        <v>4.7644516998286437E-2</v>
      </c>
      <c r="W11" s="290" t="s">
        <v>133</v>
      </c>
      <c r="X11" s="191">
        <v>7.1</v>
      </c>
      <c r="Y11" s="198">
        <v>0.1</v>
      </c>
      <c r="Z11" s="202">
        <f>MEDIAN(J130,J135)</f>
        <v>89.833333333333343</v>
      </c>
      <c r="AA11" s="202">
        <f>_xlfn.STDEV.S(J130,J135)</f>
        <v>13.906433363335362</v>
      </c>
      <c r="AB11" s="202">
        <f>MEDIAN(O130,O135)</f>
        <v>43.5</v>
      </c>
      <c r="AC11" s="202">
        <f>_xlfn.STDEV.S(O130,O135)</f>
        <v>6.3639610306789276</v>
      </c>
      <c r="AD11" s="219">
        <f>MEDIAN(Q130,Q135)</f>
        <v>80.635658172063614</v>
      </c>
      <c r="AE11" s="202">
        <f>_xlfn.STDEV.S(Q130,Q135)</f>
        <v>2.9976504184235302</v>
      </c>
    </row>
    <row r="12" spans="2:35" ht="15.75" thickBot="1" x14ac:dyDescent="0.3">
      <c r="B12" s="206" t="s">
        <v>116</v>
      </c>
      <c r="C12" s="182"/>
      <c r="D12" s="207"/>
      <c r="F12" s="455"/>
      <c r="G12" s="450"/>
      <c r="H12" s="109"/>
      <c r="I12" s="109">
        <v>51</v>
      </c>
      <c r="J12" s="115">
        <f t="shared" si="2"/>
        <v>51</v>
      </c>
      <c r="L12" s="450"/>
      <c r="M12" s="109"/>
      <c r="N12" s="109">
        <v>18</v>
      </c>
      <c r="O12" s="115">
        <f>N12</f>
        <v>18</v>
      </c>
      <c r="P12" s="103"/>
      <c r="Q12" s="266"/>
      <c r="R12" s="103"/>
      <c r="W12" s="206" t="s">
        <v>116</v>
      </c>
      <c r="X12" s="183">
        <v>7.52</v>
      </c>
      <c r="Y12" s="196">
        <v>0</v>
      </c>
      <c r="Z12" s="203">
        <f>MEDIAN(J142,J147,J152)</f>
        <v>85</v>
      </c>
      <c r="AA12" s="203">
        <f>_xlfn.STDEV.S(J142,J147,J1425)</f>
        <v>0.35355339059327379</v>
      </c>
      <c r="AB12" s="203">
        <f>MEDIAN(O142,O147,O152)</f>
        <v>52.333333333333336</v>
      </c>
      <c r="AC12" s="203">
        <f>_xlfn.STDEV.S(O142,O147,O152)</f>
        <v>4.3022388658998549</v>
      </c>
      <c r="AD12" s="217"/>
      <c r="AE12" s="216"/>
    </row>
    <row r="13" spans="2:35" ht="15.75" thickBot="1" x14ac:dyDescent="0.3">
      <c r="B13" s="181" t="s">
        <v>111</v>
      </c>
      <c r="C13" s="182">
        <v>135</v>
      </c>
      <c r="D13" s="207">
        <v>56</v>
      </c>
      <c r="F13" s="455"/>
      <c r="G13" s="113" t="s">
        <v>154</v>
      </c>
      <c r="H13" s="110"/>
      <c r="I13" s="78"/>
      <c r="J13" s="116">
        <f>AVERAGE(J10:J12)</f>
        <v>52.666666666666664</v>
      </c>
      <c r="L13" s="113" t="s">
        <v>154</v>
      </c>
      <c r="M13" s="110"/>
      <c r="N13" s="78"/>
      <c r="O13" s="116">
        <f>AVERAGE(O10,O12)</f>
        <v>15</v>
      </c>
      <c r="P13" s="93"/>
      <c r="Q13" s="267">
        <f>(($C$5-J13)/$C$5)*100</f>
        <v>60.987654320987659</v>
      </c>
      <c r="R13" s="93"/>
      <c r="W13" s="181" t="s">
        <v>111</v>
      </c>
      <c r="X13" s="183">
        <v>7.53</v>
      </c>
      <c r="Y13" s="196">
        <v>0.1</v>
      </c>
      <c r="Z13" s="202">
        <f>MEDIAN(J159,J164,J169)</f>
        <v>100.33333333333333</v>
      </c>
      <c r="AA13" s="202">
        <f>_xlfn.STDEV.S(J159,J164,J169)</f>
        <v>10.263202878893768</v>
      </c>
      <c r="AB13" s="202">
        <f>MEDIAN(O159,O164,O169)</f>
        <v>43.333333333333336</v>
      </c>
      <c r="AC13" s="202">
        <f>_xlfn.STDEV.S(O159,O164,O169)</f>
        <v>2.6158349704430122</v>
      </c>
      <c r="AD13" s="217">
        <f>MEDIAN(Q159,Q164,Q169)</f>
        <v>28.641975308641982</v>
      </c>
      <c r="AE13" s="202">
        <f>_xlfn.STDEV.S(Q159,Q164,Q169)</f>
        <v>7.4074074074073959</v>
      </c>
    </row>
    <row r="14" spans="2:35" x14ac:dyDescent="0.25">
      <c r="B14" s="185" t="s">
        <v>127</v>
      </c>
      <c r="C14" s="186">
        <v>376.9111111111111</v>
      </c>
      <c r="D14" s="208">
        <v>48.111111111111114</v>
      </c>
      <c r="F14" s="455"/>
      <c r="G14" s="113" t="s">
        <v>35</v>
      </c>
      <c r="H14" s="110"/>
      <c r="I14" s="78"/>
      <c r="J14" s="116">
        <f>STDEV(J10:J12)</f>
        <v>2.8867513459481287</v>
      </c>
      <c r="L14" s="113" t="s">
        <v>35</v>
      </c>
      <c r="M14" s="110"/>
      <c r="N14" s="78"/>
      <c r="O14" s="117">
        <f>STDEV(O10,O12)</f>
        <v>4.2426406871192848</v>
      </c>
      <c r="P14" s="93"/>
      <c r="Q14" s="268"/>
      <c r="R14" s="93"/>
      <c r="W14" s="185" t="s">
        <v>127</v>
      </c>
      <c r="X14" s="187">
        <v>7.46</v>
      </c>
      <c r="Y14" s="197">
        <v>0</v>
      </c>
      <c r="Z14" s="201">
        <f>MEDIAN(J176,J181,J186)</f>
        <v>83</v>
      </c>
      <c r="AA14" s="201">
        <f>_xlfn.STDEV.S(J176,J181,J186)</f>
        <v>11.087196486304606</v>
      </c>
      <c r="AB14" s="201">
        <f>MEDIAN(O176,O181,O186)</f>
        <v>32</v>
      </c>
      <c r="AC14" s="201">
        <f>_xlfn.STDEV.S(O176,O181,O186)</f>
        <v>3.4528068292332832</v>
      </c>
      <c r="AD14" s="218">
        <f>MEDIAN(Q176,Q181,Q186)</f>
        <v>77.978892753964985</v>
      </c>
      <c r="AE14" s="215">
        <f>_xlfn.STDEV.S(Q176,Q181,Q186)</f>
        <v>2.9415944925635755</v>
      </c>
    </row>
    <row r="15" spans="2:35" ht="15.75" thickBot="1" x14ac:dyDescent="0.3">
      <c r="B15" s="158" t="s">
        <v>133</v>
      </c>
      <c r="C15" s="190">
        <v>463.9111111111111</v>
      </c>
      <c r="D15" s="209">
        <v>106.24444444444447</v>
      </c>
      <c r="F15" s="455"/>
      <c r="G15" s="450">
        <v>3</v>
      </c>
      <c r="H15" s="109"/>
      <c r="I15" s="109">
        <v>12</v>
      </c>
      <c r="J15" s="242">
        <f>I15</f>
        <v>12</v>
      </c>
      <c r="L15" s="450">
        <v>3</v>
      </c>
      <c r="M15" s="109"/>
      <c r="N15" s="109">
        <v>23</v>
      </c>
      <c r="O15" s="115">
        <f>N15</f>
        <v>23</v>
      </c>
      <c r="P15" s="103"/>
      <c r="Q15" s="266"/>
      <c r="R15" s="103"/>
      <c r="W15" s="290" t="s">
        <v>133</v>
      </c>
      <c r="X15" s="191">
        <v>7.67</v>
      </c>
      <c r="Y15" s="198">
        <v>0</v>
      </c>
      <c r="Z15" s="202">
        <f>MEDIAN(J193,J198,J203)</f>
        <v>145</v>
      </c>
      <c r="AA15" s="202">
        <f>_xlfn.STDEV.S(J193,J198,J203)</f>
        <v>4.5256470787591754</v>
      </c>
      <c r="AB15" s="202">
        <f>MEDIAN(O193,O198,O203)</f>
        <v>50</v>
      </c>
      <c r="AC15" s="202">
        <f>_xlfn.STDEV.S(O193,O198,O203)</f>
        <v>10.631887745693875</v>
      </c>
      <c r="AD15" s="219">
        <f>MEDIAN(Q193,Q198,Q203)</f>
        <v>68.744012262885619</v>
      </c>
      <c r="AE15" s="202">
        <f>_xlfn.STDEV.S(Q193,Q198,Q203)</f>
        <v>0.97554185928417048</v>
      </c>
    </row>
    <row r="16" spans="2:35" x14ac:dyDescent="0.25">
      <c r="B16" s="185" t="s">
        <v>128</v>
      </c>
      <c r="C16" s="186">
        <v>773.11111111111109</v>
      </c>
      <c r="D16" s="208">
        <v>49.861111111111114</v>
      </c>
      <c r="F16" s="455"/>
      <c r="G16" s="450"/>
      <c r="H16" s="109"/>
      <c r="I16" s="109">
        <v>44</v>
      </c>
      <c r="J16" s="115">
        <f t="shared" ref="J16:J17" si="4">I16</f>
        <v>44</v>
      </c>
      <c r="L16" s="450"/>
      <c r="M16" s="109"/>
      <c r="N16" s="109">
        <v>38</v>
      </c>
      <c r="O16" s="115">
        <f t="shared" ref="O16:O17" si="5">N16</f>
        <v>38</v>
      </c>
      <c r="P16" s="103"/>
      <c r="Q16" s="266"/>
      <c r="R16" s="103"/>
      <c r="W16" s="185" t="s">
        <v>128</v>
      </c>
      <c r="X16" s="187">
        <v>7.59</v>
      </c>
      <c r="Y16" s="197">
        <v>0.1</v>
      </c>
      <c r="Z16" s="201">
        <f>MEDIAN(J210,J215,J220)</f>
        <v>132.66666666666666</v>
      </c>
      <c r="AA16" s="201">
        <f>_xlfn.STDEV.S(J210,J215,J220)</f>
        <v>15.728012282878284</v>
      </c>
      <c r="AB16" s="201">
        <f>MEDIAN(O210,O215,O220)</f>
        <v>41</v>
      </c>
      <c r="AC16" s="201">
        <f>_xlfn.STDEV.S(O210,O215,O220)</f>
        <v>12.185297759245824</v>
      </c>
      <c r="AD16" s="218">
        <f>MEDIAN(Q210,Q215,Q220)</f>
        <v>82.83989652198909</v>
      </c>
      <c r="AE16" s="215">
        <f>_xlfn.STDEV.S(Q210,Q215,Q220)</f>
        <v>2.0343792834996357</v>
      </c>
    </row>
    <row r="17" spans="2:33" ht="15.75" thickBot="1" x14ac:dyDescent="0.3">
      <c r="B17" s="158" t="s">
        <v>134</v>
      </c>
      <c r="C17" s="190">
        <v>990.61111111111109</v>
      </c>
      <c r="D17" s="209">
        <v>195.19444444444446</v>
      </c>
      <c r="F17" s="455"/>
      <c r="G17" s="450"/>
      <c r="H17" s="109"/>
      <c r="I17" s="109">
        <v>55</v>
      </c>
      <c r="J17" s="115">
        <f t="shared" si="4"/>
        <v>55</v>
      </c>
      <c r="L17" s="450"/>
      <c r="M17" s="109"/>
      <c r="N17" s="109">
        <v>18</v>
      </c>
      <c r="O17" s="115">
        <f t="shared" si="5"/>
        <v>18</v>
      </c>
      <c r="P17" s="103"/>
      <c r="Q17" s="266"/>
      <c r="R17" s="103"/>
      <c r="W17" s="290" t="s">
        <v>134</v>
      </c>
      <c r="X17" s="191">
        <v>7.66</v>
      </c>
      <c r="Y17" s="198">
        <v>0.1</v>
      </c>
      <c r="Z17" s="202">
        <f>MEDIAN(J227,J232,J237)</f>
        <v>227</v>
      </c>
      <c r="AA17" s="202">
        <f>_xlfn.STDEV.S(J227,J232,J237)</f>
        <v>33.295534123852086</v>
      </c>
      <c r="AB17" s="202">
        <f>MEDIAN(O227,O232,O237)</f>
        <v>77</v>
      </c>
      <c r="AC17" s="202">
        <f>_xlfn.STDEV.S(O227,O232,O237)</f>
        <v>45.346811721810532</v>
      </c>
      <c r="AD17" s="219">
        <f>MEDIAN(Q227,Q232,Q237)</f>
        <v>77.084852223655432</v>
      </c>
      <c r="AE17" s="202">
        <f>_xlfn.STDEV.S(Q227,Q232,Q237)</f>
        <v>3.3611105054642865</v>
      </c>
    </row>
    <row r="18" spans="2:33" x14ac:dyDescent="0.25">
      <c r="B18" s="185" t="s">
        <v>129</v>
      </c>
      <c r="C18" s="186">
        <v>1433.4444444444443</v>
      </c>
      <c r="D18" s="208">
        <v>52.777777777777779</v>
      </c>
      <c r="F18" s="455"/>
      <c r="G18" s="113" t="s">
        <v>154</v>
      </c>
      <c r="H18" s="110"/>
      <c r="I18" s="78"/>
      <c r="J18" s="116">
        <f>AVERAGE(J16:J17)</f>
        <v>49.5</v>
      </c>
      <c r="L18" s="113" t="s">
        <v>154</v>
      </c>
      <c r="M18" s="110"/>
      <c r="N18" s="78"/>
      <c r="O18" s="116">
        <f>AVERAGE(O15:O17)</f>
        <v>26.333333333333332</v>
      </c>
      <c r="P18" s="93"/>
      <c r="Q18" s="267">
        <f>(($C$5-J18)/$C$5)*100</f>
        <v>63.333333333333329</v>
      </c>
      <c r="R18" s="93"/>
      <c r="T18" s="1"/>
      <c r="U18" s="107"/>
      <c r="W18" s="185" t="s">
        <v>129</v>
      </c>
      <c r="X18" s="187">
        <v>7.55</v>
      </c>
      <c r="Y18" s="197">
        <v>0</v>
      </c>
      <c r="Z18" s="201">
        <f>MEDIAN(J244,J249,J254)</f>
        <v>267.66666666666669</v>
      </c>
      <c r="AA18" s="201">
        <f>_xlfn.STDEV.S(J244,J249,J254)</f>
        <v>25.391016200690043</v>
      </c>
      <c r="AB18" s="201">
        <f>MEDIAN(O244,O249,O254)</f>
        <v>65</v>
      </c>
      <c r="AC18" s="201">
        <f>_xlfn.STDEV.S(O244,O249,O254)</f>
        <v>16.098079020434326</v>
      </c>
      <c r="AD18" s="218">
        <f>MEDIAN(Q244,Q249,Q254)</f>
        <v>81.327028912487393</v>
      </c>
      <c r="AE18" s="215">
        <f>_xlfn.STDEV.S(Q244,Q249,Q254)</f>
        <v>1.7713289342392882</v>
      </c>
    </row>
    <row r="19" spans="2:33" ht="15.75" thickBot="1" x14ac:dyDescent="0.3">
      <c r="B19" s="158" t="s">
        <v>135</v>
      </c>
      <c r="C19" s="192">
        <v>1868.4444444444443</v>
      </c>
      <c r="D19" s="209">
        <v>343.44444444444446</v>
      </c>
      <c r="F19" s="455"/>
      <c r="G19" s="113" t="s">
        <v>35</v>
      </c>
      <c r="H19" s="110"/>
      <c r="I19" s="78"/>
      <c r="J19" s="117">
        <f>STDEV(J16:J17)</f>
        <v>7.7781745930520225</v>
      </c>
      <c r="L19" s="113" t="s">
        <v>35</v>
      </c>
      <c r="M19" s="110"/>
      <c r="N19" s="78"/>
      <c r="O19" s="117">
        <f>STDEV(O15:O17)</f>
        <v>10.408329997330661</v>
      </c>
      <c r="P19" s="93"/>
      <c r="Q19" s="268"/>
      <c r="R19" s="93"/>
      <c r="T19" s="1"/>
      <c r="U19" s="107"/>
      <c r="W19" s="290" t="s">
        <v>135</v>
      </c>
      <c r="X19" s="191">
        <v>7.54</v>
      </c>
      <c r="Y19" s="198">
        <v>0</v>
      </c>
      <c r="Z19" s="202">
        <f>MEDIAN(J261,J266,J271)</f>
        <v>430</v>
      </c>
      <c r="AA19" s="202">
        <f>_xlfn.STDEV.S(J261,J266,J271)</f>
        <v>29.670411748631551</v>
      </c>
      <c r="AB19" s="202">
        <f>MEDIAN(O261,O266,O271)</f>
        <v>57</v>
      </c>
      <c r="AC19" s="202">
        <f>_xlfn.STDEV.S(O261,O266,O271)</f>
        <v>2.1430335024428793</v>
      </c>
      <c r="AD19" s="219">
        <f>MEDIAN(Q261,Q266,Q271)</f>
        <v>76.986203615604182</v>
      </c>
      <c r="AE19" s="202">
        <f>_xlfn.STDEV.S(Q261,Q266,Q271)</f>
        <v>1.5879739874981162</v>
      </c>
      <c r="AF19" s="54"/>
      <c r="AG19" s="54"/>
    </row>
    <row r="20" spans="2:33" x14ac:dyDescent="0.25">
      <c r="B20" s="185" t="s">
        <v>130</v>
      </c>
      <c r="C20" s="186">
        <v>2093.7777777777778</v>
      </c>
      <c r="D20" s="208">
        <v>55.694444444444443</v>
      </c>
      <c r="F20" s="455"/>
      <c r="G20" s="450">
        <v>4</v>
      </c>
      <c r="H20" s="109"/>
      <c r="I20" s="109">
        <v>45</v>
      </c>
      <c r="J20" s="115">
        <f>I20</f>
        <v>45</v>
      </c>
      <c r="L20" s="450">
        <v>4</v>
      </c>
      <c r="M20" s="109"/>
      <c r="N20" s="109">
        <v>17</v>
      </c>
      <c r="O20" s="115">
        <f>N20</f>
        <v>17</v>
      </c>
      <c r="P20" s="103"/>
      <c r="Q20" s="266"/>
      <c r="R20" s="103"/>
      <c r="T20" s="30"/>
      <c r="U20" s="98"/>
      <c r="W20" s="185" t="s">
        <v>130</v>
      </c>
      <c r="X20" s="187">
        <v>7.55</v>
      </c>
      <c r="Y20" s="197">
        <v>0.1</v>
      </c>
      <c r="Z20" s="201">
        <f>MEDIAN(J278,J283,J288)</f>
        <v>246.66666666666666</v>
      </c>
      <c r="AA20" s="201">
        <f>_xlfn.STDEV.S(J278,J283,J288)</f>
        <v>54.932618657702939</v>
      </c>
      <c r="AB20" s="201">
        <f>MEDIAN(O278,O283,O288)</f>
        <v>72</v>
      </c>
      <c r="AC20" s="201">
        <f>_xlfn.STDEV.S(O278,O283,O288)</f>
        <v>18.117926461360334</v>
      </c>
      <c r="AD20" s="218">
        <f>MEDIAN(Q278,Q283,Q288)</f>
        <v>88.219061770324771</v>
      </c>
      <c r="AE20" s="215">
        <f>_xlfn.STDEV.S(Q278,Q283,Q288)</f>
        <v>2.6236126508136457</v>
      </c>
      <c r="AG20" s="127"/>
    </row>
    <row r="21" spans="2:33" ht="15.75" thickBot="1" x14ac:dyDescent="0.3">
      <c r="B21" s="158" t="s">
        <v>136</v>
      </c>
      <c r="C21" s="190">
        <v>2746.2777777777778</v>
      </c>
      <c r="D21" s="209">
        <v>491.69444444444446</v>
      </c>
      <c r="F21" s="455"/>
      <c r="G21" s="450"/>
      <c r="H21" s="109"/>
      <c r="I21" s="109">
        <v>47</v>
      </c>
      <c r="J21" s="115">
        <f t="shared" ref="J21:J22" si="6">I21</f>
        <v>47</v>
      </c>
      <c r="L21" s="450"/>
      <c r="M21" s="109"/>
      <c r="N21" s="109">
        <v>18</v>
      </c>
      <c r="O21" s="115">
        <f t="shared" ref="O21:O22" si="7">N21</f>
        <v>18</v>
      </c>
      <c r="P21" s="103"/>
      <c r="Q21" s="266"/>
      <c r="R21" s="103"/>
      <c r="T21" s="30"/>
      <c r="U21" s="104"/>
      <c r="W21" s="290" t="s">
        <v>136</v>
      </c>
      <c r="X21" s="191">
        <v>7.49</v>
      </c>
      <c r="Y21" s="198">
        <v>0</v>
      </c>
      <c r="Z21" s="202">
        <f>MEDIAN(J295,J300,J305)</f>
        <v>600</v>
      </c>
      <c r="AA21" s="202">
        <f>_xlfn.STDEV.S(J295,J300,J305)</f>
        <v>13.228756555322953</v>
      </c>
      <c r="AB21" s="202">
        <f>MEDIAN(O295,O300,O305)</f>
        <v>193</v>
      </c>
      <c r="AC21" s="202">
        <f>_xlfn.STDEV.S(O295,O300,O305)</f>
        <v>20.300519971446828</v>
      </c>
      <c r="AD21" s="219">
        <f>MEDIAN(Q295,Q300,Q305)</f>
        <v>78.152246475026814</v>
      </c>
      <c r="AE21" s="202">
        <f>_xlfn.STDEV.S(Q295,Q300,Q305)</f>
        <v>0.48169768777094213</v>
      </c>
      <c r="AG21" s="127"/>
    </row>
    <row r="22" spans="2:33" x14ac:dyDescent="0.25">
      <c r="B22" s="212" t="s">
        <v>131</v>
      </c>
      <c r="C22" s="186">
        <v>2313.8888888888887</v>
      </c>
      <c r="D22" s="208">
        <v>56.666666666666664</v>
      </c>
      <c r="F22" s="455"/>
      <c r="G22" s="450"/>
      <c r="H22" s="109"/>
      <c r="I22" s="109">
        <v>47</v>
      </c>
      <c r="J22" s="115">
        <f t="shared" si="6"/>
        <v>47</v>
      </c>
      <c r="L22" s="450"/>
      <c r="M22" s="109"/>
      <c r="N22" s="109">
        <v>28</v>
      </c>
      <c r="O22" s="115">
        <f t="shared" si="7"/>
        <v>28</v>
      </c>
      <c r="P22" s="103"/>
      <c r="Q22" s="266"/>
      <c r="R22" s="103"/>
      <c r="T22" s="1"/>
      <c r="U22" s="107"/>
      <c r="W22" s="212" t="s">
        <v>131</v>
      </c>
      <c r="X22" s="187">
        <v>7.44</v>
      </c>
      <c r="Y22" s="197">
        <v>0.1</v>
      </c>
      <c r="Z22" s="201">
        <f>MEDIAN(J312,J317,J322)</f>
        <v>410</v>
      </c>
      <c r="AA22" s="201">
        <f>_xlfn.STDEV.S(J312,J317,J322)</f>
        <v>29.771350881902105</v>
      </c>
      <c r="AB22" s="201">
        <f>MEDIAN(O312,O317,O322)</f>
        <v>61</v>
      </c>
      <c r="AC22" s="201">
        <f>_xlfn.STDEV.S(O312,O317,O322)</f>
        <v>29.56537013316612</v>
      </c>
      <c r="AD22" s="218">
        <f>MEDIAN(Q312,Q317,Q322)</f>
        <v>82.280912364945976</v>
      </c>
      <c r="AE22" s="215">
        <f>_xlfn.STDEV.S(Q312,Q317,Q322)</f>
        <v>1.2866370129033264</v>
      </c>
      <c r="AG22" s="127"/>
    </row>
    <row r="23" spans="2:33" ht="15.75" thickBot="1" x14ac:dyDescent="0.3">
      <c r="B23" s="158" t="s">
        <v>137</v>
      </c>
      <c r="C23" s="210">
        <v>3038.8888888888887</v>
      </c>
      <c r="D23" s="211">
        <v>541.11111111111109</v>
      </c>
      <c r="F23" s="455"/>
      <c r="G23" s="113" t="s">
        <v>154</v>
      </c>
      <c r="H23" s="110"/>
      <c r="I23" s="78"/>
      <c r="J23" s="116">
        <f>AVERAGE(J20:J22)</f>
        <v>46.333333333333336</v>
      </c>
      <c r="L23" s="113" t="s">
        <v>154</v>
      </c>
      <c r="M23" s="110"/>
      <c r="N23" s="78"/>
      <c r="O23" s="116">
        <f>AVERAGE(O20:O22)</f>
        <v>21</v>
      </c>
      <c r="P23" s="93"/>
      <c r="Q23" s="267">
        <f>(($C$5-J23)/$C$5)*100</f>
        <v>65.679012345678998</v>
      </c>
      <c r="R23" s="93"/>
      <c r="T23" s="1"/>
      <c r="U23" s="107"/>
      <c r="W23" s="290" t="s">
        <v>137</v>
      </c>
      <c r="X23" s="191">
        <v>7.53</v>
      </c>
      <c r="Y23" s="198">
        <v>0</v>
      </c>
      <c r="Z23" s="204">
        <f>MEDIAN(J329,J334)</f>
        <v>748.33333333333337</v>
      </c>
      <c r="AA23" s="205">
        <f>_xlfn.STDEV.S(J329,J334)</f>
        <v>134.35028842544315</v>
      </c>
      <c r="AB23" s="204">
        <f>MEDIAN(O329,O334)</f>
        <v>216.16666666666666</v>
      </c>
      <c r="AC23" s="205">
        <f>_xlfn.STDEV.S(O329,O334)</f>
        <v>44.547727214752491</v>
      </c>
      <c r="AD23" s="220">
        <f>MEDIAN(Q329,Q334)</f>
        <v>75.374771480804384</v>
      </c>
      <c r="AE23" s="205">
        <f>_xlfn.STDEV.S(Q329,Q334)</f>
        <v>4.4210332571444164</v>
      </c>
      <c r="AG23" s="127"/>
    </row>
    <row r="24" spans="2:33" x14ac:dyDescent="0.25">
      <c r="B24" s="1"/>
      <c r="C24" s="189"/>
      <c r="D24" s="184"/>
      <c r="F24" s="455"/>
      <c r="G24" s="113" t="s">
        <v>35</v>
      </c>
      <c r="H24" s="110"/>
      <c r="I24" s="78"/>
      <c r="J24" s="116">
        <f>STDEV(J20:J22)</f>
        <v>1.1547005383792517</v>
      </c>
      <c r="L24" s="113" t="s">
        <v>35</v>
      </c>
      <c r="M24" s="110"/>
      <c r="N24" s="78"/>
      <c r="O24" s="117">
        <f>STDEV(O20:O22)</f>
        <v>6.0827625302982193</v>
      </c>
      <c r="P24" s="93"/>
      <c r="Q24" s="268"/>
      <c r="R24" s="93"/>
      <c r="T24" s="1"/>
      <c r="U24" s="107"/>
      <c r="W24" s="1"/>
      <c r="X24" s="195"/>
      <c r="Y24" s="195"/>
      <c r="Z24" s="189"/>
      <c r="AA24" s="189"/>
      <c r="AB24" s="189"/>
      <c r="AC24" s="189"/>
      <c r="AD24" s="194"/>
      <c r="AE24" s="189"/>
      <c r="AF24" s="30"/>
      <c r="AG24" s="128"/>
    </row>
    <row r="25" spans="2:33" x14ac:dyDescent="0.25">
      <c r="B25" s="1"/>
      <c r="C25" s="184"/>
      <c r="D25" s="184"/>
      <c r="F25" s="455"/>
      <c r="G25" s="450">
        <v>5</v>
      </c>
      <c r="H25" s="109"/>
      <c r="I25" s="109">
        <v>32</v>
      </c>
      <c r="J25" s="242">
        <f>I25</f>
        <v>32</v>
      </c>
      <c r="L25" s="450">
        <v>5</v>
      </c>
      <c r="M25" s="109"/>
      <c r="N25" s="109">
        <v>21</v>
      </c>
      <c r="O25" s="115">
        <f>N25</f>
        <v>21</v>
      </c>
      <c r="P25" s="103"/>
      <c r="Q25" s="266"/>
      <c r="R25" s="103"/>
      <c r="T25" s="1"/>
      <c r="U25" s="107"/>
      <c r="W25" s="1"/>
      <c r="X25" s="195"/>
      <c r="Y25" s="195"/>
      <c r="Z25" s="189"/>
      <c r="AA25" s="189"/>
      <c r="AB25" s="189"/>
      <c r="AC25" s="189"/>
      <c r="AD25" s="194"/>
      <c r="AE25" s="189"/>
      <c r="AF25" s="92"/>
      <c r="AG25" s="104"/>
    </row>
    <row r="26" spans="2:33" x14ac:dyDescent="0.25">
      <c r="B26" s="1"/>
      <c r="C26" s="1"/>
      <c r="D26" s="1"/>
      <c r="F26" s="455"/>
      <c r="G26" s="450"/>
      <c r="H26" s="109"/>
      <c r="I26" s="109">
        <v>71</v>
      </c>
      <c r="J26" s="115">
        <f t="shared" ref="J26:J27" si="8">I26</f>
        <v>71</v>
      </c>
      <c r="L26" s="450"/>
      <c r="M26" s="109"/>
      <c r="N26" s="109">
        <v>18</v>
      </c>
      <c r="O26" s="115">
        <f t="shared" ref="O26:O27" si="9">N26</f>
        <v>18</v>
      </c>
      <c r="P26" s="103"/>
      <c r="Q26" s="266"/>
      <c r="R26" s="103"/>
      <c r="T26" s="1"/>
      <c r="U26" s="107"/>
    </row>
    <row r="27" spans="2:33" x14ac:dyDescent="0.25">
      <c r="F27" s="455"/>
      <c r="G27" s="450"/>
      <c r="H27" s="109"/>
      <c r="I27" s="109">
        <v>45</v>
      </c>
      <c r="J27" s="115">
        <f t="shared" si="8"/>
        <v>45</v>
      </c>
      <c r="L27" s="450"/>
      <c r="M27" s="109"/>
      <c r="N27" s="109">
        <v>25</v>
      </c>
      <c r="O27" s="115">
        <f t="shared" si="9"/>
        <v>25</v>
      </c>
      <c r="P27" s="103"/>
      <c r="Q27" s="266"/>
      <c r="R27" s="103"/>
      <c r="T27" s="30"/>
      <c r="U27" s="98"/>
    </row>
    <row r="28" spans="2:33" x14ac:dyDescent="0.25">
      <c r="F28" s="455"/>
      <c r="G28" s="113" t="s">
        <v>154</v>
      </c>
      <c r="H28" s="110"/>
      <c r="I28" s="78"/>
      <c r="J28" s="116">
        <f>AVERAGE(J26:J27)</f>
        <v>58</v>
      </c>
      <c r="L28" s="113" t="s">
        <v>154</v>
      </c>
      <c r="M28" s="110"/>
      <c r="N28" s="78"/>
      <c r="O28" s="116">
        <f>AVERAGE(O25:O27)</f>
        <v>21.333333333333332</v>
      </c>
      <c r="P28" s="93"/>
      <c r="Q28" s="267">
        <f>(($C$5-J28)/$C$5)*100</f>
        <v>57.037037037037038</v>
      </c>
      <c r="R28" s="93"/>
      <c r="T28" s="418" t="s">
        <v>34</v>
      </c>
      <c r="U28" s="418"/>
    </row>
    <row r="29" spans="2:33" ht="15.75" thickBot="1" x14ac:dyDescent="0.3">
      <c r="F29" s="456"/>
      <c r="G29" s="113" t="s">
        <v>35</v>
      </c>
      <c r="H29" s="121"/>
      <c r="I29" s="81"/>
      <c r="J29" s="122">
        <f>STDEV(J26:J27)</f>
        <v>18.384776310850235</v>
      </c>
      <c r="L29" s="113" t="s">
        <v>35</v>
      </c>
      <c r="M29" s="121"/>
      <c r="N29" s="81"/>
      <c r="O29" s="122">
        <f>STDEV(O25:O27)</f>
        <v>3.5118845842842519</v>
      </c>
      <c r="P29" s="93"/>
      <c r="Q29" s="269"/>
      <c r="R29" s="93"/>
      <c r="T29" s="1"/>
      <c r="U29" s="107"/>
    </row>
    <row r="30" spans="2:33" x14ac:dyDescent="0.25">
      <c r="F30" s="102"/>
      <c r="G30" s="113" t="s">
        <v>154</v>
      </c>
      <c r="H30" s="245"/>
      <c r="I30" s="246"/>
      <c r="J30" s="247">
        <f>AVERAGE(J5:J7,J10:J12,J16:J17,J20:J22,J26:J27)</f>
        <v>51.692307692307693</v>
      </c>
      <c r="K30" s="248"/>
      <c r="L30" s="249"/>
      <c r="M30" s="245"/>
      <c r="N30" s="246"/>
      <c r="O30" s="247">
        <f>AVERAGE(O5:O7,O10,O12,O15,O16,O17,O20,O21,O22,O25,O26,O27)</f>
        <v>19.857142857142858</v>
      </c>
      <c r="P30" s="125"/>
      <c r="Q30" s="270">
        <f>AVERAGE(Q5:Q28)</f>
        <v>61.506172839506164</v>
      </c>
      <c r="R30" s="100"/>
      <c r="T30" s="1"/>
      <c r="U30" s="107"/>
    </row>
    <row r="31" spans="2:33" ht="15.75" thickBot="1" x14ac:dyDescent="0.3">
      <c r="F31" s="102"/>
      <c r="G31" s="244" t="s">
        <v>35</v>
      </c>
      <c r="H31" s="245"/>
      <c r="I31" s="246"/>
      <c r="J31" s="247">
        <f>STDEV(J5:J7,J10:J12,J16:J17,J20:J22,J26:J27)</f>
        <v>8.0351790623546684</v>
      </c>
      <c r="K31" s="248"/>
      <c r="L31" s="249"/>
      <c r="M31" s="245"/>
      <c r="N31" s="246"/>
      <c r="O31" s="247">
        <f>STDEV(O5:O7,O10,O12,O15,O16,O17,O20,O21,O22,O25,O26,O27)</f>
        <v>6.9043703311981783</v>
      </c>
      <c r="P31" s="125"/>
      <c r="Q31" s="270">
        <f>STDEV(Q5:Q28)</f>
        <v>3.2410640638242723</v>
      </c>
      <c r="R31" s="100"/>
      <c r="T31" s="1"/>
      <c r="U31" s="107"/>
    </row>
    <row r="32" spans="2:33" x14ac:dyDescent="0.25">
      <c r="F32" s="454" t="s">
        <v>147</v>
      </c>
      <c r="G32" s="449">
        <v>6</v>
      </c>
      <c r="H32" s="119"/>
      <c r="I32" s="119">
        <v>59</v>
      </c>
      <c r="J32" s="120">
        <f>I32</f>
        <v>59</v>
      </c>
      <c r="L32" s="449">
        <v>6</v>
      </c>
      <c r="M32" s="119"/>
      <c r="N32" s="119">
        <v>3</v>
      </c>
      <c r="O32" s="250">
        <f>N32</f>
        <v>3</v>
      </c>
      <c r="P32" s="103"/>
      <c r="Q32" s="266"/>
      <c r="R32" s="103"/>
      <c r="S32" s="1">
        <v>6</v>
      </c>
      <c r="U32" s="99">
        <v>7.04</v>
      </c>
    </row>
    <row r="33" spans="6:33" x14ac:dyDescent="0.25">
      <c r="F33" s="455"/>
      <c r="G33" s="450"/>
      <c r="H33" s="109"/>
      <c r="I33" s="109">
        <v>39</v>
      </c>
      <c r="J33" s="242">
        <f t="shared" ref="J33:J34" si="10">I33</f>
        <v>39</v>
      </c>
      <c r="L33" s="450"/>
      <c r="M33" s="109"/>
      <c r="N33" s="109">
        <v>24</v>
      </c>
      <c r="O33" s="115">
        <f t="shared" ref="O33:O34" si="11">N33</f>
        <v>24</v>
      </c>
      <c r="P33" s="103"/>
      <c r="Q33" s="266"/>
      <c r="R33" s="103"/>
      <c r="S33" s="1">
        <v>7</v>
      </c>
      <c r="U33" s="99">
        <v>7.19</v>
      </c>
    </row>
    <row r="34" spans="6:33" x14ac:dyDescent="0.25">
      <c r="F34" s="455"/>
      <c r="G34" s="450"/>
      <c r="H34" s="109"/>
      <c r="I34" s="109">
        <v>65</v>
      </c>
      <c r="J34" s="115">
        <f t="shared" si="10"/>
        <v>65</v>
      </c>
      <c r="L34" s="450"/>
      <c r="M34" s="109"/>
      <c r="N34" s="109">
        <v>12</v>
      </c>
      <c r="O34" s="115">
        <f t="shared" si="11"/>
        <v>12</v>
      </c>
      <c r="P34" s="103"/>
      <c r="Q34" s="266"/>
      <c r="R34" s="103"/>
      <c r="S34" s="1">
        <v>8</v>
      </c>
      <c r="U34" s="99">
        <v>7.11</v>
      </c>
    </row>
    <row r="35" spans="6:33" x14ac:dyDescent="0.25">
      <c r="F35" s="455"/>
      <c r="G35" s="113" t="s">
        <v>154</v>
      </c>
      <c r="H35" s="110"/>
      <c r="I35" s="78"/>
      <c r="J35" s="116">
        <f>AVERAGE(J32,J34)</f>
        <v>62</v>
      </c>
      <c r="L35" s="113" t="s">
        <v>154</v>
      </c>
      <c r="M35" s="110"/>
      <c r="N35" s="78"/>
      <c r="O35" s="116">
        <f>AVERAGE(O33:O34)</f>
        <v>18</v>
      </c>
      <c r="P35" s="93"/>
      <c r="Q35" s="267">
        <f>(($C$6-J35)/$C$6)*100</f>
        <v>55.456925729612372</v>
      </c>
      <c r="R35" s="93"/>
      <c r="S35" s="1">
        <v>9</v>
      </c>
      <c r="U35" s="99">
        <v>7.28</v>
      </c>
    </row>
    <row r="36" spans="6:33" x14ac:dyDescent="0.25">
      <c r="F36" s="455"/>
      <c r="G36" s="113" t="s">
        <v>35</v>
      </c>
      <c r="H36" s="110"/>
      <c r="I36" s="78"/>
      <c r="J36" s="117">
        <f>STDEV(J32,J34)</f>
        <v>4.2426406871192848</v>
      </c>
      <c r="L36" s="113" t="s">
        <v>35</v>
      </c>
      <c r="M36" s="110"/>
      <c r="N36" s="78"/>
      <c r="O36" s="117">
        <f>STDEV(O33:O34)</f>
        <v>8.4852813742385695</v>
      </c>
      <c r="P36" s="93"/>
      <c r="Q36" s="268"/>
      <c r="R36" s="93"/>
      <c r="S36" s="1">
        <v>10</v>
      </c>
      <c r="U36" s="99">
        <v>7.16</v>
      </c>
      <c r="AF36" s="54"/>
      <c r="AG36" s="54"/>
    </row>
    <row r="37" spans="6:33" x14ac:dyDescent="0.25">
      <c r="F37" s="455"/>
      <c r="G37" s="450">
        <v>7</v>
      </c>
      <c r="H37" s="109"/>
      <c r="I37" s="109">
        <v>48</v>
      </c>
      <c r="J37" s="115">
        <f>I37</f>
        <v>48</v>
      </c>
      <c r="L37" s="450">
        <v>7</v>
      </c>
      <c r="M37" s="109"/>
      <c r="N37" s="109">
        <v>25</v>
      </c>
      <c r="O37" s="115">
        <f>N37</f>
        <v>25</v>
      </c>
      <c r="P37" s="103"/>
      <c r="Q37" s="266"/>
      <c r="R37" s="103"/>
      <c r="T37" s="310" t="s">
        <v>122</v>
      </c>
      <c r="U37" s="105">
        <f>AVERAGE(U32:U36)</f>
        <v>7.1560000000000006</v>
      </c>
      <c r="AG37" s="127"/>
    </row>
    <row r="38" spans="6:33" ht="15.75" thickBot="1" x14ac:dyDescent="0.3">
      <c r="F38" s="455"/>
      <c r="G38" s="450"/>
      <c r="H38" s="109"/>
      <c r="I38" s="109">
        <v>41</v>
      </c>
      <c r="J38" s="115">
        <f t="shared" ref="J38:J39" si="12">I38</f>
        <v>41</v>
      </c>
      <c r="L38" s="450"/>
      <c r="M38" s="109"/>
      <c r="N38" s="109">
        <v>17</v>
      </c>
      <c r="O38" s="115">
        <f t="shared" ref="O38:O39" si="13">N38</f>
        <v>17</v>
      </c>
      <c r="P38" s="103"/>
      <c r="Q38" s="266"/>
      <c r="R38" s="103"/>
      <c r="T38" s="97" t="s">
        <v>156</v>
      </c>
      <c r="U38" s="106">
        <f>STDEV(U32:U36)</f>
        <v>8.9610267268879482E-2</v>
      </c>
      <c r="AG38" s="127"/>
    </row>
    <row r="39" spans="6:33" x14ac:dyDescent="0.25">
      <c r="F39" s="455"/>
      <c r="G39" s="450"/>
      <c r="H39" s="109"/>
      <c r="I39" s="109">
        <v>43</v>
      </c>
      <c r="J39" s="115">
        <f t="shared" si="12"/>
        <v>43</v>
      </c>
      <c r="L39" s="450"/>
      <c r="M39" s="109"/>
      <c r="N39" s="109">
        <v>12</v>
      </c>
      <c r="O39" s="115">
        <f t="shared" si="13"/>
        <v>12</v>
      </c>
      <c r="P39" s="103"/>
      <c r="Q39" s="266"/>
      <c r="R39" s="103"/>
      <c r="T39" s="30"/>
      <c r="U39" s="104"/>
      <c r="AG39" s="127"/>
    </row>
    <row r="40" spans="6:33" x14ac:dyDescent="0.25">
      <c r="F40" s="455"/>
      <c r="G40" s="113" t="s">
        <v>154</v>
      </c>
      <c r="H40" s="110"/>
      <c r="I40" s="78"/>
      <c r="J40" s="116">
        <f>AVERAGE(J37:J39)</f>
        <v>44</v>
      </c>
      <c r="L40" s="113" t="s">
        <v>154</v>
      </c>
      <c r="M40" s="110"/>
      <c r="N40" s="78"/>
      <c r="O40" s="116">
        <f>AVERAGE(O37:O39)</f>
        <v>18</v>
      </c>
      <c r="P40" s="93"/>
      <c r="Q40" s="267">
        <f>(($C$6-J40)/$C$6)*100</f>
        <v>68.388786001660392</v>
      </c>
      <c r="R40" s="93"/>
      <c r="T40" s="1"/>
      <c r="U40" s="107"/>
      <c r="AG40" s="127"/>
    </row>
    <row r="41" spans="6:33" x14ac:dyDescent="0.25">
      <c r="F41" s="455"/>
      <c r="G41" s="113" t="s">
        <v>35</v>
      </c>
      <c r="H41" s="110"/>
      <c r="I41" s="78"/>
      <c r="J41" s="117">
        <f>STDEV(J37:J39)</f>
        <v>3.6055512754639891</v>
      </c>
      <c r="L41" s="113" t="s">
        <v>35</v>
      </c>
      <c r="M41" s="110"/>
      <c r="N41" s="78"/>
      <c r="O41" s="117">
        <f>STDEV(O37:O39)</f>
        <v>6.5574385243020004</v>
      </c>
      <c r="P41" s="93"/>
      <c r="Q41" s="268"/>
      <c r="R41" s="93"/>
      <c r="T41" s="1"/>
      <c r="U41" s="107"/>
      <c r="AF41" s="30"/>
      <c r="AG41" s="128"/>
    </row>
    <row r="42" spans="6:33" x14ac:dyDescent="0.25">
      <c r="F42" s="455"/>
      <c r="G42" s="450">
        <v>8</v>
      </c>
      <c r="H42" s="109"/>
      <c r="I42" s="109">
        <v>44</v>
      </c>
      <c r="J42" s="115">
        <f>I42</f>
        <v>44</v>
      </c>
      <c r="L42" s="450">
        <v>8</v>
      </c>
      <c r="M42" s="109"/>
      <c r="N42" s="109">
        <v>28</v>
      </c>
      <c r="O42" s="115">
        <f>N42</f>
        <v>28</v>
      </c>
      <c r="P42" s="103"/>
      <c r="Q42" s="266"/>
      <c r="R42" s="103"/>
      <c r="T42" s="30"/>
      <c r="U42" s="98"/>
      <c r="AF42" s="30"/>
      <c r="AG42" s="104"/>
    </row>
    <row r="43" spans="6:33" x14ac:dyDescent="0.25">
      <c r="F43" s="455"/>
      <c r="G43" s="450"/>
      <c r="H43" s="109"/>
      <c r="I43" s="109">
        <v>65</v>
      </c>
      <c r="J43" s="242">
        <f t="shared" ref="J43:J44" si="14">I43</f>
        <v>65</v>
      </c>
      <c r="L43" s="450"/>
      <c r="M43" s="109"/>
      <c r="N43" s="109">
        <v>25</v>
      </c>
      <c r="O43" s="115">
        <f t="shared" ref="O43:O44" si="15">N43</f>
        <v>25</v>
      </c>
      <c r="P43" s="103"/>
      <c r="Q43" s="266"/>
      <c r="R43" s="103"/>
      <c r="T43" s="30"/>
      <c r="U43" s="104"/>
    </row>
    <row r="44" spans="6:33" x14ac:dyDescent="0.25">
      <c r="F44" s="455"/>
      <c r="G44" s="450"/>
      <c r="H44" s="109"/>
      <c r="I44" s="109">
        <v>48</v>
      </c>
      <c r="J44" s="115">
        <f t="shared" si="14"/>
        <v>48</v>
      </c>
      <c r="L44" s="450"/>
      <c r="M44" s="109"/>
      <c r="N44" s="109">
        <v>17</v>
      </c>
      <c r="O44" s="115">
        <f t="shared" si="15"/>
        <v>17</v>
      </c>
      <c r="P44" s="103"/>
      <c r="Q44" s="266"/>
      <c r="R44" s="103"/>
      <c r="T44" s="1"/>
      <c r="U44" s="1"/>
    </row>
    <row r="45" spans="6:33" x14ac:dyDescent="0.25">
      <c r="F45" s="455"/>
      <c r="G45" s="113" t="s">
        <v>154</v>
      </c>
      <c r="H45" s="110"/>
      <c r="I45" s="78"/>
      <c r="J45" s="116">
        <f>AVERAGE(J42,J44)</f>
        <v>46</v>
      </c>
      <c r="L45" s="113" t="s">
        <v>154</v>
      </c>
      <c r="M45" s="110"/>
      <c r="N45" s="78"/>
      <c r="O45" s="116">
        <f>AVERAGE(O42:O44)</f>
        <v>23.333333333333332</v>
      </c>
      <c r="P45" s="93"/>
      <c r="Q45" s="267">
        <f>(($C$6-J45)/$C$6)*100</f>
        <v>66.9519126380995</v>
      </c>
      <c r="R45" s="93"/>
      <c r="T45" s="1"/>
      <c r="U45" s="1"/>
    </row>
    <row r="46" spans="6:33" x14ac:dyDescent="0.25">
      <c r="F46" s="455"/>
      <c r="G46" s="113" t="s">
        <v>35</v>
      </c>
      <c r="H46" s="110"/>
      <c r="I46" s="78"/>
      <c r="J46" s="117">
        <f>STDEV(J42,J44)</f>
        <v>2.8284271247461903</v>
      </c>
      <c r="L46" s="113" t="s">
        <v>35</v>
      </c>
      <c r="M46" s="110"/>
      <c r="N46" s="78"/>
      <c r="O46" s="117">
        <f>STDEV(O42:O44)</f>
        <v>5.6862407030773303</v>
      </c>
      <c r="P46" s="93"/>
      <c r="Q46" s="268"/>
      <c r="R46" s="93"/>
    </row>
    <row r="47" spans="6:33" x14ac:dyDescent="0.25">
      <c r="F47" s="455"/>
      <c r="G47" s="450">
        <v>9</v>
      </c>
      <c r="H47" s="109"/>
      <c r="I47" s="109">
        <v>48</v>
      </c>
      <c r="J47" s="115">
        <f>I47</f>
        <v>48</v>
      </c>
      <c r="L47" s="450">
        <v>9</v>
      </c>
      <c r="M47" s="109"/>
      <c r="N47" s="109">
        <v>21</v>
      </c>
      <c r="O47" s="115">
        <f>N47</f>
        <v>21</v>
      </c>
      <c r="P47" s="103"/>
      <c r="Q47" s="266"/>
      <c r="R47" s="103"/>
    </row>
    <row r="48" spans="6:33" x14ac:dyDescent="0.25">
      <c r="F48" s="455"/>
      <c r="G48" s="450"/>
      <c r="H48" s="109"/>
      <c r="I48" s="109">
        <v>38</v>
      </c>
      <c r="J48" s="115">
        <f t="shared" ref="J48:J49" si="16">I48</f>
        <v>38</v>
      </c>
      <c r="L48" s="450"/>
      <c r="M48" s="109"/>
      <c r="N48" s="109">
        <v>25</v>
      </c>
      <c r="O48" s="115">
        <f t="shared" ref="O48:O49" si="17">N48</f>
        <v>25</v>
      </c>
      <c r="P48" s="103"/>
      <c r="Q48" s="266"/>
      <c r="R48" s="103"/>
    </row>
    <row r="49" spans="6:33" x14ac:dyDescent="0.25">
      <c r="F49" s="455"/>
      <c r="G49" s="450"/>
      <c r="H49" s="109"/>
      <c r="I49" s="109">
        <v>44</v>
      </c>
      <c r="J49" s="115">
        <f t="shared" si="16"/>
        <v>44</v>
      </c>
      <c r="L49" s="450"/>
      <c r="M49" s="109"/>
      <c r="N49" s="109">
        <v>16</v>
      </c>
      <c r="O49" s="115">
        <f t="shared" si="17"/>
        <v>16</v>
      </c>
      <c r="P49" s="103"/>
      <c r="Q49" s="266"/>
      <c r="R49" s="103"/>
    </row>
    <row r="50" spans="6:33" x14ac:dyDescent="0.25">
      <c r="F50" s="455"/>
      <c r="G50" s="113" t="s">
        <v>154</v>
      </c>
      <c r="H50" s="110"/>
      <c r="I50" s="78"/>
      <c r="J50" s="116">
        <f>AVERAGE(J47:J49)</f>
        <v>43.333333333333336</v>
      </c>
      <c r="L50" s="113" t="s">
        <v>154</v>
      </c>
      <c r="M50" s="110"/>
      <c r="N50" s="78"/>
      <c r="O50" s="116">
        <f>AVERAGE(O47:O49)</f>
        <v>20.666666666666668</v>
      </c>
      <c r="P50" s="93"/>
      <c r="Q50" s="267">
        <f>(($C$6-J50)/$C$6)*100</f>
        <v>68.867743789514009</v>
      </c>
      <c r="R50" s="93"/>
    </row>
    <row r="51" spans="6:33" x14ac:dyDescent="0.25">
      <c r="F51" s="455"/>
      <c r="G51" s="113" t="s">
        <v>35</v>
      </c>
      <c r="H51" s="110"/>
      <c r="I51" s="78"/>
      <c r="J51" s="117">
        <f>STDEV(J47:J49)</f>
        <v>5.0332229568471671</v>
      </c>
      <c r="L51" s="113" t="s">
        <v>35</v>
      </c>
      <c r="M51" s="110"/>
      <c r="N51" s="78"/>
      <c r="O51" s="117">
        <f>STDEV(O47:O49)</f>
        <v>4.5092497528228987</v>
      </c>
      <c r="P51" s="93"/>
      <c r="Q51" s="268"/>
      <c r="R51" s="93"/>
      <c r="AF51" s="461"/>
      <c r="AG51" s="461"/>
    </row>
    <row r="52" spans="6:33" x14ac:dyDescent="0.25">
      <c r="F52" s="455"/>
      <c r="G52" s="450">
        <v>10</v>
      </c>
      <c r="H52" s="109"/>
      <c r="I52" s="109">
        <v>53</v>
      </c>
      <c r="J52" s="115">
        <f>I52</f>
        <v>53</v>
      </c>
      <c r="L52" s="450">
        <v>10</v>
      </c>
      <c r="M52" s="109"/>
      <c r="N52" s="109">
        <v>27</v>
      </c>
      <c r="O52" s="115">
        <f>N52</f>
        <v>27</v>
      </c>
      <c r="P52" s="103"/>
      <c r="Q52" s="266"/>
      <c r="R52" s="103"/>
      <c r="AG52" s="127"/>
    </row>
    <row r="53" spans="6:33" x14ac:dyDescent="0.25">
      <c r="F53" s="455"/>
      <c r="G53" s="450"/>
      <c r="H53" s="109"/>
      <c r="I53" s="109">
        <v>58</v>
      </c>
      <c r="J53" s="115">
        <f t="shared" ref="J53:J54" si="18">I53</f>
        <v>58</v>
      </c>
      <c r="L53" s="450"/>
      <c r="M53" s="109"/>
      <c r="N53" s="109">
        <v>20</v>
      </c>
      <c r="O53" s="115">
        <f t="shared" ref="O53:O54" si="19">N53</f>
        <v>20</v>
      </c>
      <c r="P53" s="103"/>
      <c r="Q53" s="266"/>
      <c r="R53" s="103"/>
      <c r="AG53" s="127"/>
    </row>
    <row r="54" spans="6:33" x14ac:dyDescent="0.25">
      <c r="F54" s="455"/>
      <c r="G54" s="450"/>
      <c r="H54" s="109"/>
      <c r="I54" s="109">
        <v>62</v>
      </c>
      <c r="J54" s="115">
        <f t="shared" si="18"/>
        <v>62</v>
      </c>
      <c r="L54" s="450"/>
      <c r="M54" s="109"/>
      <c r="N54" s="109">
        <v>8</v>
      </c>
      <c r="O54" s="242">
        <f t="shared" si="19"/>
        <v>8</v>
      </c>
      <c r="P54" s="103"/>
      <c r="Q54" s="266"/>
      <c r="R54" s="103"/>
      <c r="AG54" s="127"/>
    </row>
    <row r="55" spans="6:33" x14ac:dyDescent="0.25">
      <c r="F55" s="455"/>
      <c r="G55" s="113" t="s">
        <v>154</v>
      </c>
      <c r="H55" s="110"/>
      <c r="I55" s="78"/>
      <c r="J55" s="116">
        <f>AVERAGE(J52:J54)</f>
        <v>57.666666666666664</v>
      </c>
      <c r="L55" s="113" t="s">
        <v>154</v>
      </c>
      <c r="M55" s="110"/>
      <c r="N55" s="78"/>
      <c r="O55" s="116">
        <f>AVERAGE(O53:O54)</f>
        <v>14</v>
      </c>
      <c r="P55" s="93"/>
      <c r="Q55" s="267">
        <f>(($C$6-J55)/$C$6)*100</f>
        <v>58.570151350660971</v>
      </c>
      <c r="R55" s="93"/>
      <c r="AG55" s="127"/>
    </row>
    <row r="56" spans="6:33" ht="15.75" thickBot="1" x14ac:dyDescent="0.3">
      <c r="F56" s="455"/>
      <c r="G56" s="113" t="s">
        <v>35</v>
      </c>
      <c r="H56" s="123"/>
      <c r="I56" s="82"/>
      <c r="J56" s="122">
        <f>STDEV(J52:J54)</f>
        <v>4.5092497528228943</v>
      </c>
      <c r="L56" s="113" t="s">
        <v>35</v>
      </c>
      <c r="M56" s="123"/>
      <c r="N56" s="82"/>
      <c r="O56" s="122">
        <f>STDEV(O53:O54)</f>
        <v>8.4852813742385695</v>
      </c>
      <c r="P56" s="93"/>
      <c r="Q56" s="269"/>
      <c r="R56" s="93"/>
      <c r="T56" s="90" t="s">
        <v>34</v>
      </c>
      <c r="U56" s="90"/>
      <c r="AF56" s="30"/>
      <c r="AG56" s="128"/>
    </row>
    <row r="57" spans="6:33" x14ac:dyDescent="0.25">
      <c r="F57" s="102"/>
      <c r="G57" s="244" t="s">
        <v>4</v>
      </c>
      <c r="H57" s="245"/>
      <c r="I57" s="246"/>
      <c r="J57" s="247">
        <f>AVERAGE(J32,J34,J37,J38:J39,J42,J44,J47:J48,J49,J52:J53,J54)</f>
        <v>50.07692307692308</v>
      </c>
      <c r="K57" s="248"/>
      <c r="L57" s="249"/>
      <c r="M57" s="245"/>
      <c r="N57" s="246"/>
      <c r="O57" s="247">
        <f>AVERAGE(O33,O34,O37,O38,O39,O42:O43,O43,O43,O44,O47,O48,O49,O52,O53)</f>
        <v>21.266666666666666</v>
      </c>
      <c r="P57" s="125"/>
      <c r="Q57" s="270">
        <f>AVERAGE(Q32:Q55)</f>
        <v>63.647103901909453</v>
      </c>
      <c r="R57" s="100"/>
      <c r="T57" s="101"/>
      <c r="U57" s="101"/>
      <c r="AF57" s="30"/>
      <c r="AG57" s="128"/>
    </row>
    <row r="58" spans="6:33" ht="15.75" thickBot="1" x14ac:dyDescent="0.3">
      <c r="F58" s="102"/>
      <c r="G58" s="244" t="s">
        <v>35</v>
      </c>
      <c r="H58" s="245"/>
      <c r="I58" s="246"/>
      <c r="J58" s="247">
        <f>STDEV(J32,J34,J37,J38:J39,J42,J44,J47:J48,J49,J52:J53,J54)</f>
        <v>8.5679785486575835</v>
      </c>
      <c r="K58" s="248"/>
      <c r="L58" s="249"/>
      <c r="M58" s="245"/>
      <c r="N58" s="246"/>
      <c r="O58" s="247">
        <f>STDEV(O33,O34,O37,O38,O39,O42:O43,O43,O43,O44,O47,O48,O49,O52,O53)</f>
        <v>5.2977982848223535</v>
      </c>
      <c r="P58" s="125"/>
      <c r="Q58" s="270">
        <f>STDEV(Q32:Q55)</f>
        <v>6.1950556183044938</v>
      </c>
      <c r="R58" s="100"/>
      <c r="T58" s="101"/>
      <c r="U58" s="101"/>
      <c r="AF58" s="30"/>
      <c r="AG58" s="128"/>
    </row>
    <row r="59" spans="6:33" x14ac:dyDescent="0.25">
      <c r="F59" s="457" t="s">
        <v>36</v>
      </c>
      <c r="G59" s="449">
        <v>11</v>
      </c>
      <c r="H59" s="119"/>
      <c r="I59" s="119">
        <v>35</v>
      </c>
      <c r="J59" s="114">
        <f>I59</f>
        <v>35</v>
      </c>
      <c r="L59" s="449">
        <v>11</v>
      </c>
      <c r="M59" s="119"/>
      <c r="N59" s="119">
        <v>12</v>
      </c>
      <c r="O59" s="114">
        <f>N59</f>
        <v>12</v>
      </c>
      <c r="P59" s="103"/>
      <c r="Q59" s="266"/>
      <c r="R59" s="103"/>
      <c r="T59" s="1"/>
      <c r="U59" s="107"/>
      <c r="AF59" s="30"/>
      <c r="AG59" s="104"/>
    </row>
    <row r="60" spans="6:33" x14ac:dyDescent="0.25">
      <c r="F60" s="458"/>
      <c r="G60" s="450"/>
      <c r="H60" s="109"/>
      <c r="I60" s="109">
        <v>39</v>
      </c>
      <c r="J60" s="115">
        <f t="shared" ref="J60:J61" si="20">I60</f>
        <v>39</v>
      </c>
      <c r="L60" s="450"/>
      <c r="M60" s="109"/>
      <c r="N60" s="109">
        <v>15</v>
      </c>
      <c r="O60" s="115">
        <f t="shared" ref="O60:O61" si="21">N60</f>
        <v>15</v>
      </c>
      <c r="P60" s="103"/>
      <c r="Q60" s="266"/>
      <c r="R60" s="103"/>
      <c r="S60" s="1">
        <v>11</v>
      </c>
      <c r="U60" s="99">
        <v>7.1</v>
      </c>
    </row>
    <row r="61" spans="6:33" x14ac:dyDescent="0.25">
      <c r="F61" s="458"/>
      <c r="G61" s="450"/>
      <c r="H61" s="109"/>
      <c r="I61" s="109">
        <v>37</v>
      </c>
      <c r="J61" s="115">
        <f t="shared" si="20"/>
        <v>37</v>
      </c>
      <c r="L61" s="450"/>
      <c r="M61" s="109"/>
      <c r="N61" s="109">
        <v>12</v>
      </c>
      <c r="O61" s="115">
        <f t="shared" si="21"/>
        <v>12</v>
      </c>
      <c r="P61" s="103"/>
      <c r="Q61" s="266"/>
      <c r="R61" s="103"/>
      <c r="S61" s="1">
        <v>12</v>
      </c>
      <c r="U61" s="99">
        <v>7.05</v>
      </c>
    </row>
    <row r="62" spans="6:33" x14ac:dyDescent="0.25">
      <c r="F62" s="458"/>
      <c r="G62" s="113" t="s">
        <v>154</v>
      </c>
      <c r="H62" s="110"/>
      <c r="I62" s="78"/>
      <c r="J62" s="116">
        <f>AVERAGE(J59:J61)</f>
        <v>37</v>
      </c>
      <c r="L62" s="113" t="s">
        <v>154</v>
      </c>
      <c r="M62" s="110"/>
      <c r="N62" s="78"/>
      <c r="O62" s="116">
        <f>AVERAGE(O59:O61)</f>
        <v>13</v>
      </c>
      <c r="P62" s="93"/>
      <c r="Q62" s="267">
        <f>(($C$7-J62)/$C$7)*100</f>
        <v>74.981593063965974</v>
      </c>
      <c r="R62" s="93"/>
      <c r="T62" s="310" t="s">
        <v>122</v>
      </c>
      <c r="U62" s="105">
        <f>AVERAGE(U60:U61)</f>
        <v>7.0749999999999993</v>
      </c>
    </row>
    <row r="63" spans="6:33" ht="15.75" thickBot="1" x14ac:dyDescent="0.3">
      <c r="F63" s="458"/>
      <c r="G63" s="113" t="s">
        <v>35</v>
      </c>
      <c r="H63" s="110"/>
      <c r="I63" s="78"/>
      <c r="J63" s="117">
        <f>STDEV(J59:J61)</f>
        <v>2</v>
      </c>
      <c r="L63" s="113" t="s">
        <v>35</v>
      </c>
      <c r="M63" s="110"/>
      <c r="N63" s="78"/>
      <c r="O63" s="117">
        <f>STDEV(O59:O61)</f>
        <v>1.7320508075688772</v>
      </c>
      <c r="P63" s="93"/>
      <c r="Q63" s="268"/>
      <c r="R63" s="93"/>
      <c r="T63" s="97" t="s">
        <v>156</v>
      </c>
      <c r="U63" s="106">
        <f>STDEV(U60:U61)</f>
        <v>3.5355339059327251E-2</v>
      </c>
      <c r="AF63" s="50"/>
      <c r="AG63" s="50"/>
    </row>
    <row r="64" spans="6:33" x14ac:dyDescent="0.25">
      <c r="F64" s="458"/>
      <c r="G64" s="450">
        <v>12</v>
      </c>
      <c r="H64" s="109"/>
      <c r="I64" s="109">
        <v>47</v>
      </c>
      <c r="J64" s="115">
        <f>I64</f>
        <v>47</v>
      </c>
      <c r="L64" s="450">
        <v>12</v>
      </c>
      <c r="M64" s="109"/>
      <c r="N64" s="109">
        <v>5</v>
      </c>
      <c r="O64" s="242">
        <f>N64</f>
        <v>5</v>
      </c>
      <c r="P64" s="103"/>
      <c r="Q64" s="266"/>
      <c r="R64" s="103"/>
      <c r="AF64" s="50"/>
      <c r="AG64" s="50"/>
    </row>
    <row r="65" spans="6:33" x14ac:dyDescent="0.25">
      <c r="F65" s="458"/>
      <c r="G65" s="450"/>
      <c r="H65" s="109"/>
      <c r="I65" s="109">
        <v>44</v>
      </c>
      <c r="J65" s="115">
        <f t="shared" ref="J65:J66" si="22">I65</f>
        <v>44</v>
      </c>
      <c r="L65" s="450"/>
      <c r="M65" s="109"/>
      <c r="N65" s="109">
        <v>14</v>
      </c>
      <c r="O65" s="115">
        <f t="shared" ref="O65:O66" si="23">N65</f>
        <v>14</v>
      </c>
      <c r="P65" s="103"/>
      <c r="Q65" s="266"/>
      <c r="R65" s="103"/>
      <c r="AF65" s="50"/>
      <c r="AG65" s="50"/>
    </row>
    <row r="66" spans="6:33" x14ac:dyDescent="0.25">
      <c r="F66" s="458"/>
      <c r="G66" s="450"/>
      <c r="H66" s="109"/>
      <c r="I66" s="109">
        <v>42</v>
      </c>
      <c r="J66" s="115">
        <f t="shared" si="22"/>
        <v>42</v>
      </c>
      <c r="L66" s="450"/>
      <c r="M66" s="109"/>
      <c r="N66" s="109">
        <v>16</v>
      </c>
      <c r="O66" s="115">
        <f t="shared" si="23"/>
        <v>16</v>
      </c>
      <c r="P66" s="103"/>
      <c r="Q66" s="266"/>
      <c r="R66" s="103"/>
      <c r="AF66" s="50"/>
      <c r="AG66" s="50"/>
    </row>
    <row r="67" spans="6:33" x14ac:dyDescent="0.25">
      <c r="F67" s="458"/>
      <c r="G67" s="113" t="s">
        <v>154</v>
      </c>
      <c r="H67" s="110"/>
      <c r="I67" s="78"/>
      <c r="J67" s="116">
        <f>AVERAGE(J64:J66)</f>
        <v>44.333333333333336</v>
      </c>
      <c r="L67" s="113" t="s">
        <v>154</v>
      </c>
      <c r="M67" s="110"/>
      <c r="N67" s="78"/>
      <c r="O67" s="116">
        <f>AVERAGE(O65:O66)</f>
        <v>15</v>
      </c>
      <c r="P67" s="93"/>
      <c r="Q67" s="267">
        <f>(($C$7-J67)/$C$7)*100</f>
        <v>70.022989887454727</v>
      </c>
      <c r="R67" s="93"/>
      <c r="T67" s="418" t="s">
        <v>34</v>
      </c>
      <c r="U67" s="418"/>
      <c r="AF67" s="50"/>
      <c r="AG67" s="50"/>
    </row>
    <row r="68" spans="6:33" ht="15.75" thickBot="1" x14ac:dyDescent="0.3">
      <c r="F68" s="459"/>
      <c r="G68" s="113" t="s">
        <v>35</v>
      </c>
      <c r="H68" s="121"/>
      <c r="I68" s="81"/>
      <c r="J68" s="122">
        <f>STDEV(J64:J66)</f>
        <v>2.5166114784235831</v>
      </c>
      <c r="L68" s="113" t="s">
        <v>35</v>
      </c>
      <c r="M68" s="121"/>
      <c r="N68" s="81"/>
      <c r="O68" s="122">
        <f>STDEV(O65:O66)</f>
        <v>1.4142135623730951</v>
      </c>
      <c r="P68" s="93"/>
      <c r="Q68" s="269"/>
      <c r="R68" s="93"/>
      <c r="T68" s="1"/>
      <c r="U68" s="107"/>
      <c r="AF68" s="461"/>
      <c r="AG68" s="461"/>
    </row>
    <row r="69" spans="6:33" x14ac:dyDescent="0.25">
      <c r="F69" s="102"/>
      <c r="G69" s="113" t="s">
        <v>154</v>
      </c>
      <c r="H69" s="245"/>
      <c r="I69" s="246"/>
      <c r="J69" s="116">
        <f>AVERAGE(J59:J61,J64:J66)</f>
        <v>40.666666666666664</v>
      </c>
      <c r="K69" s="248"/>
      <c r="L69" s="249"/>
      <c r="M69" s="245"/>
      <c r="N69" s="246"/>
      <c r="O69" s="116">
        <f>AVERAGE(O59:O61,O65:O66)</f>
        <v>13.8</v>
      </c>
      <c r="P69" s="125"/>
      <c r="Q69" s="270">
        <f>AVERAGE(Q59:Q67)</f>
        <v>72.502291475710351</v>
      </c>
      <c r="R69" s="100"/>
      <c r="T69" s="1"/>
      <c r="U69" s="107"/>
      <c r="AF69" s="130"/>
      <c r="AG69" s="130"/>
    </row>
    <row r="70" spans="6:33" ht="15.75" thickBot="1" x14ac:dyDescent="0.3">
      <c r="F70" s="102"/>
      <c r="G70" s="244" t="s">
        <v>35</v>
      </c>
      <c r="H70" s="245"/>
      <c r="I70" s="246"/>
      <c r="J70" s="251">
        <f>STDEV(J59:J61,J64:J66)</f>
        <v>4.5018514709691155</v>
      </c>
      <c r="K70" s="248"/>
      <c r="L70" s="249"/>
      <c r="M70" s="245"/>
      <c r="N70" s="246"/>
      <c r="O70" s="251">
        <f>STDEV(O59:O61,O65:O66)</f>
        <v>1.7888543819998286</v>
      </c>
      <c r="P70" s="125"/>
      <c r="Q70" s="270">
        <f>STDEV(Q59:Q67)</f>
        <v>3.5062619313242576</v>
      </c>
      <c r="R70" s="100"/>
      <c r="T70" s="1"/>
      <c r="U70" s="107"/>
      <c r="AF70" s="130"/>
      <c r="AG70" s="130"/>
    </row>
    <row r="71" spans="6:33" x14ac:dyDescent="0.25">
      <c r="F71" s="454" t="s">
        <v>148</v>
      </c>
      <c r="G71" s="449">
        <v>16</v>
      </c>
      <c r="H71" s="119"/>
      <c r="I71" s="119">
        <v>56</v>
      </c>
      <c r="J71" s="120">
        <f>I71</f>
        <v>56</v>
      </c>
      <c r="L71" s="449">
        <v>16</v>
      </c>
      <c r="M71" s="119"/>
      <c r="N71" s="119">
        <v>16</v>
      </c>
      <c r="O71" s="120">
        <f>N71</f>
        <v>16</v>
      </c>
      <c r="P71" s="103"/>
      <c r="Q71" s="266"/>
      <c r="R71" s="103"/>
      <c r="S71" s="1">
        <v>16</v>
      </c>
      <c r="U71" s="99">
        <v>6.96</v>
      </c>
      <c r="AG71" s="127"/>
    </row>
    <row r="72" spans="6:33" x14ac:dyDescent="0.25">
      <c r="F72" s="455"/>
      <c r="G72" s="450"/>
      <c r="H72" s="109"/>
      <c r="I72" s="109">
        <v>50</v>
      </c>
      <c r="J72" s="115">
        <f t="shared" ref="J72:J73" si="24">I72</f>
        <v>50</v>
      </c>
      <c r="L72" s="450"/>
      <c r="M72" s="109"/>
      <c r="N72" s="109">
        <v>14</v>
      </c>
      <c r="O72" s="115">
        <f t="shared" ref="O72:O73" si="25">N72</f>
        <v>14</v>
      </c>
      <c r="P72" s="103"/>
      <c r="Q72" s="266"/>
      <c r="R72" s="103"/>
      <c r="S72" s="1">
        <v>17</v>
      </c>
      <c r="U72" s="99">
        <v>6.94</v>
      </c>
      <c r="AG72" s="127"/>
    </row>
    <row r="73" spans="6:33" x14ac:dyDescent="0.25">
      <c r="F73" s="455"/>
      <c r="G73" s="450"/>
      <c r="H73" s="109"/>
      <c r="I73" s="109">
        <v>69</v>
      </c>
      <c r="J73" s="115">
        <f t="shared" si="24"/>
        <v>69</v>
      </c>
      <c r="L73" s="450"/>
      <c r="M73" s="109"/>
      <c r="N73" s="109">
        <v>21</v>
      </c>
      <c r="O73" s="115">
        <f t="shared" si="25"/>
        <v>21</v>
      </c>
      <c r="P73" s="103"/>
      <c r="Q73" s="266"/>
      <c r="R73" s="103"/>
      <c r="S73" s="1">
        <v>18</v>
      </c>
      <c r="U73" s="99">
        <v>6.97</v>
      </c>
      <c r="AG73" s="127"/>
    </row>
    <row r="74" spans="6:33" x14ac:dyDescent="0.25">
      <c r="F74" s="455"/>
      <c r="G74" s="113" t="s">
        <v>154</v>
      </c>
      <c r="H74" s="110"/>
      <c r="I74" s="78"/>
      <c r="J74" s="116">
        <f>AVERAGE(J71:J73)</f>
        <v>58.333333333333336</v>
      </c>
      <c r="L74" s="113" t="s">
        <v>154</v>
      </c>
      <c r="M74" s="110"/>
      <c r="N74" s="78"/>
      <c r="O74" s="116">
        <f>AVERAGE(O71:O73)</f>
        <v>17</v>
      </c>
      <c r="P74" s="93"/>
      <c r="Q74" s="267">
        <f>(($C$8-J74)/$C$8)*100</f>
        <v>76.175349428208378</v>
      </c>
      <c r="R74" s="93"/>
      <c r="S74" s="1">
        <v>19</v>
      </c>
      <c r="U74" s="99">
        <v>7.04</v>
      </c>
      <c r="AF74" s="30"/>
      <c r="AG74" s="128"/>
    </row>
    <row r="75" spans="6:33" x14ac:dyDescent="0.25">
      <c r="F75" s="455"/>
      <c r="G75" s="113" t="s">
        <v>35</v>
      </c>
      <c r="H75" s="110"/>
      <c r="I75" s="78"/>
      <c r="J75" s="117">
        <f>STDEV(J71:J73)</f>
        <v>9.7125348562222946</v>
      </c>
      <c r="L75" s="113" t="s">
        <v>35</v>
      </c>
      <c r="M75" s="110"/>
      <c r="N75" s="78"/>
      <c r="O75" s="117">
        <f>STDEV(O71:O73)</f>
        <v>3.6055512754639891</v>
      </c>
      <c r="P75" s="93"/>
      <c r="Q75" s="268"/>
      <c r="R75" s="93"/>
      <c r="S75" s="1">
        <v>20</v>
      </c>
      <c r="U75" s="99">
        <v>6.89</v>
      </c>
      <c r="AF75" s="30"/>
      <c r="AG75" s="104"/>
    </row>
    <row r="76" spans="6:33" x14ac:dyDescent="0.25">
      <c r="F76" s="455"/>
      <c r="G76" s="450">
        <v>17</v>
      </c>
      <c r="H76" s="109"/>
      <c r="I76" s="109">
        <v>57</v>
      </c>
      <c r="J76" s="115">
        <f>I76</f>
        <v>57</v>
      </c>
      <c r="L76" s="450">
        <v>17</v>
      </c>
      <c r="M76" s="109"/>
      <c r="N76" s="109">
        <v>22</v>
      </c>
      <c r="O76" s="115">
        <f>N76</f>
        <v>22</v>
      </c>
      <c r="P76" s="103"/>
      <c r="Q76" s="266"/>
      <c r="R76" s="103"/>
      <c r="T76" s="310" t="s">
        <v>122</v>
      </c>
      <c r="U76" s="105">
        <f>AVERAGE(U71:U75)</f>
        <v>6.9599999999999991</v>
      </c>
    </row>
    <row r="77" spans="6:33" ht="15.75" thickBot="1" x14ac:dyDescent="0.3">
      <c r="F77" s="455"/>
      <c r="G77" s="450"/>
      <c r="H77" s="109"/>
      <c r="I77" s="109">
        <v>61</v>
      </c>
      <c r="J77" s="115">
        <f t="shared" ref="J77:J78" si="26">I77</f>
        <v>61</v>
      </c>
      <c r="L77" s="450"/>
      <c r="M77" s="109"/>
      <c r="N77" s="109">
        <v>14</v>
      </c>
      <c r="O77" s="115">
        <f t="shared" ref="O77:O78" si="27">N77</f>
        <v>14</v>
      </c>
      <c r="P77" s="103"/>
      <c r="Q77" s="266"/>
      <c r="R77" s="103"/>
      <c r="T77" s="97" t="s">
        <v>156</v>
      </c>
      <c r="U77" s="106">
        <f>STDEV(U71:U75)</f>
        <v>5.4313902456001144E-2</v>
      </c>
    </row>
    <row r="78" spans="6:33" x14ac:dyDescent="0.25">
      <c r="F78" s="455"/>
      <c r="G78" s="450"/>
      <c r="H78" s="109"/>
      <c r="I78" s="109">
        <v>61</v>
      </c>
      <c r="J78" s="115">
        <f t="shared" si="26"/>
        <v>61</v>
      </c>
      <c r="L78" s="450"/>
      <c r="M78" s="109"/>
      <c r="N78" s="109">
        <v>15</v>
      </c>
      <c r="O78" s="115">
        <f t="shared" si="27"/>
        <v>15</v>
      </c>
      <c r="P78" s="103"/>
      <c r="Q78" s="266"/>
      <c r="R78" s="103"/>
    </row>
    <row r="79" spans="6:33" x14ac:dyDescent="0.25">
      <c r="F79" s="455"/>
      <c r="G79" s="113" t="s">
        <v>154</v>
      </c>
      <c r="H79" s="110"/>
      <c r="I79" s="78"/>
      <c r="J79" s="116">
        <f>AVERAGE(J76:J78)</f>
        <v>59.666666666666664</v>
      </c>
      <c r="L79" s="113" t="s">
        <v>154</v>
      </c>
      <c r="M79" s="110"/>
      <c r="N79" s="78"/>
      <c r="O79" s="116">
        <f>AVERAGE(O76:O78)</f>
        <v>17</v>
      </c>
      <c r="P79" s="93"/>
      <c r="Q79" s="267">
        <f>(($C$8-J79)/$C$8)*100</f>
        <v>75.630785986567446</v>
      </c>
      <c r="R79" s="93"/>
    </row>
    <row r="80" spans="6:33" x14ac:dyDescent="0.25">
      <c r="F80" s="455"/>
      <c r="G80" s="113" t="s">
        <v>35</v>
      </c>
      <c r="H80" s="110"/>
      <c r="I80" s="78"/>
      <c r="J80" s="117">
        <f>STDEV(J76:J78)</f>
        <v>2.3094010767585029</v>
      </c>
      <c r="L80" s="113" t="s">
        <v>35</v>
      </c>
      <c r="M80" s="110"/>
      <c r="N80" s="78"/>
      <c r="O80" s="117">
        <f>STDEV(O76:O78)</f>
        <v>4.358898943540674</v>
      </c>
      <c r="P80" s="93"/>
      <c r="Q80" s="268"/>
      <c r="R80" s="93"/>
    </row>
    <row r="81" spans="6:21" x14ac:dyDescent="0.25">
      <c r="F81" s="455"/>
      <c r="G81" s="450">
        <v>18</v>
      </c>
      <c r="H81" s="109"/>
      <c r="I81" s="109">
        <v>49</v>
      </c>
      <c r="J81" s="115">
        <f>I81</f>
        <v>49</v>
      </c>
      <c r="L81" s="450">
        <v>18</v>
      </c>
      <c r="M81" s="109"/>
      <c r="N81" s="109">
        <v>9</v>
      </c>
      <c r="O81" s="242">
        <f>N81</f>
        <v>9</v>
      </c>
      <c r="P81" s="103"/>
      <c r="Q81" s="266"/>
      <c r="R81" s="103"/>
    </row>
    <row r="82" spans="6:21" x14ac:dyDescent="0.25">
      <c r="F82" s="455"/>
      <c r="G82" s="450"/>
      <c r="H82" s="109"/>
      <c r="I82" s="109">
        <v>56</v>
      </c>
      <c r="J82" s="115">
        <f t="shared" ref="J82:J83" si="28">I82</f>
        <v>56</v>
      </c>
      <c r="L82" s="450"/>
      <c r="M82" s="109"/>
      <c r="N82" s="109">
        <v>16</v>
      </c>
      <c r="O82" s="115">
        <f t="shared" ref="O82:O83" si="29">N82</f>
        <v>16</v>
      </c>
      <c r="P82" s="103"/>
      <c r="Q82" s="266"/>
      <c r="R82" s="103"/>
    </row>
    <row r="83" spans="6:21" x14ac:dyDescent="0.25">
      <c r="F83" s="455"/>
      <c r="G83" s="450"/>
      <c r="H83" s="109"/>
      <c r="I83" s="109">
        <v>52</v>
      </c>
      <c r="J83" s="115">
        <f t="shared" si="28"/>
        <v>52</v>
      </c>
      <c r="L83" s="450"/>
      <c r="M83" s="109"/>
      <c r="N83" s="109">
        <v>14</v>
      </c>
      <c r="O83" s="115">
        <f t="shared" si="29"/>
        <v>14</v>
      </c>
      <c r="P83" s="103"/>
      <c r="Q83" s="266"/>
      <c r="R83" s="103"/>
    </row>
    <row r="84" spans="6:21" x14ac:dyDescent="0.25">
      <c r="F84" s="455"/>
      <c r="G84" s="113" t="s">
        <v>154</v>
      </c>
      <c r="H84" s="110"/>
      <c r="I84" s="78"/>
      <c r="J84" s="116">
        <f>AVERAGE(J81:J83)</f>
        <v>52.333333333333336</v>
      </c>
      <c r="L84" s="113" t="s">
        <v>154</v>
      </c>
      <c r="M84" s="110"/>
      <c r="N84" s="78"/>
      <c r="O84" s="116">
        <f>AVERAGE(O82:O83)</f>
        <v>15</v>
      </c>
      <c r="P84" s="93"/>
      <c r="Q84" s="267">
        <f>(($C$8-J84)/$C$8)*100</f>
        <v>78.625884915592664</v>
      </c>
      <c r="R84" s="93"/>
    </row>
    <row r="85" spans="6:21" x14ac:dyDescent="0.25">
      <c r="F85" s="455"/>
      <c r="G85" s="113" t="s">
        <v>35</v>
      </c>
      <c r="H85" s="110"/>
      <c r="I85" s="78"/>
      <c r="J85" s="117">
        <f>STDEV(J81:J83)</f>
        <v>3.5118845842842465</v>
      </c>
      <c r="L85" s="113" t="s">
        <v>35</v>
      </c>
      <c r="M85" s="110"/>
      <c r="N85" s="78"/>
      <c r="O85" s="117">
        <f>STDEV(O82:O83)</f>
        <v>1.4142135623730951</v>
      </c>
      <c r="P85" s="93"/>
      <c r="Q85" s="268"/>
      <c r="R85" s="93"/>
    </row>
    <row r="86" spans="6:21" x14ac:dyDescent="0.25">
      <c r="F86" s="455"/>
      <c r="G86" s="450">
        <v>19</v>
      </c>
      <c r="H86" s="109"/>
      <c r="I86" s="109">
        <v>57</v>
      </c>
      <c r="J86" s="115">
        <f>I86</f>
        <v>57</v>
      </c>
      <c r="L86" s="450">
        <v>19</v>
      </c>
      <c r="M86" s="109"/>
      <c r="N86" s="109">
        <v>20</v>
      </c>
      <c r="O86" s="115">
        <f>N86</f>
        <v>20</v>
      </c>
      <c r="P86" s="103"/>
      <c r="Q86" s="266"/>
      <c r="R86" s="103"/>
    </row>
    <row r="87" spans="6:21" x14ac:dyDescent="0.25">
      <c r="F87" s="455"/>
      <c r="G87" s="450"/>
      <c r="H87" s="109"/>
      <c r="I87" s="109">
        <v>49</v>
      </c>
      <c r="J87" s="115">
        <f t="shared" ref="J87:J88" si="30">I87</f>
        <v>49</v>
      </c>
      <c r="L87" s="450"/>
      <c r="M87" s="109"/>
      <c r="N87" s="109">
        <v>27</v>
      </c>
      <c r="O87" s="115">
        <f t="shared" ref="O87:O88" si="31">N87</f>
        <v>27</v>
      </c>
      <c r="P87" s="103"/>
      <c r="Q87" s="266"/>
      <c r="R87" s="103"/>
    </row>
    <row r="88" spans="6:21" x14ac:dyDescent="0.25">
      <c r="F88" s="455"/>
      <c r="G88" s="450"/>
      <c r="H88" s="109"/>
      <c r="I88" s="109">
        <v>52</v>
      </c>
      <c r="J88" s="115">
        <f t="shared" si="30"/>
        <v>52</v>
      </c>
      <c r="L88" s="450"/>
      <c r="M88" s="109"/>
      <c r="N88" s="109">
        <v>3</v>
      </c>
      <c r="O88" s="242">
        <f t="shared" si="31"/>
        <v>3</v>
      </c>
      <c r="P88" s="103"/>
      <c r="Q88" s="266"/>
      <c r="R88" s="103"/>
    </row>
    <row r="89" spans="6:21" x14ac:dyDescent="0.25">
      <c r="F89" s="455"/>
      <c r="G89" s="113" t="s">
        <v>154</v>
      </c>
      <c r="H89" s="110"/>
      <c r="I89" s="78"/>
      <c r="J89" s="116">
        <f>AVERAGE(J86:J88)</f>
        <v>52.666666666666664</v>
      </c>
      <c r="L89" s="113" t="s">
        <v>154</v>
      </c>
      <c r="M89" s="110"/>
      <c r="N89" s="78"/>
      <c r="O89" s="116">
        <f>AVERAGE(O86:O87)</f>
        <v>23.5</v>
      </c>
      <c r="P89" s="93"/>
      <c r="Q89" s="267">
        <f>(($C$8-J89)/$C$8)*100</f>
        <v>78.489744055182427</v>
      </c>
      <c r="R89" s="93"/>
    </row>
    <row r="90" spans="6:21" x14ac:dyDescent="0.25">
      <c r="F90" s="455"/>
      <c r="G90" s="113" t="s">
        <v>35</v>
      </c>
      <c r="H90" s="110"/>
      <c r="I90" s="78"/>
      <c r="J90" s="117">
        <f>STDEV(J86:J88)</f>
        <v>4.0414518843273806</v>
      </c>
      <c r="L90" s="113" t="s">
        <v>35</v>
      </c>
      <c r="M90" s="110"/>
      <c r="N90" s="78"/>
      <c r="O90" s="117">
        <f>STDEV(O86:O87)</f>
        <v>4.9497474683058327</v>
      </c>
      <c r="P90" s="93"/>
      <c r="Q90" s="268"/>
      <c r="R90" s="93"/>
    </row>
    <row r="91" spans="6:21" x14ac:dyDescent="0.25">
      <c r="F91" s="455"/>
      <c r="G91" s="450">
        <v>20</v>
      </c>
      <c r="H91" s="109"/>
      <c r="I91" s="109">
        <v>46</v>
      </c>
      <c r="J91" s="115">
        <f>I91</f>
        <v>46</v>
      </c>
      <c r="L91" s="450">
        <v>20</v>
      </c>
      <c r="M91" s="109"/>
      <c r="N91" s="109">
        <v>40</v>
      </c>
      <c r="O91" s="115">
        <f>N91</f>
        <v>40</v>
      </c>
      <c r="P91" s="103"/>
      <c r="Q91" s="266"/>
      <c r="R91" s="103"/>
    </row>
    <row r="92" spans="6:21" x14ac:dyDescent="0.25">
      <c r="F92" s="455"/>
      <c r="G92" s="450"/>
      <c r="H92" s="109"/>
      <c r="I92" s="109">
        <v>37</v>
      </c>
      <c r="J92" s="115">
        <f t="shared" ref="J92:J93" si="32">I92</f>
        <v>37</v>
      </c>
      <c r="L92" s="450"/>
      <c r="M92" s="109"/>
      <c r="N92" s="109">
        <v>33</v>
      </c>
      <c r="O92" s="115">
        <f t="shared" ref="O92:O93" si="33">N92</f>
        <v>33</v>
      </c>
      <c r="P92" s="103"/>
      <c r="Q92" s="266"/>
      <c r="R92" s="103"/>
    </row>
    <row r="93" spans="6:21" x14ac:dyDescent="0.25">
      <c r="F93" s="455"/>
      <c r="G93" s="450"/>
      <c r="H93" s="109"/>
      <c r="I93" s="109">
        <v>47</v>
      </c>
      <c r="J93" s="115">
        <f t="shared" si="32"/>
        <v>47</v>
      </c>
      <c r="L93" s="450"/>
      <c r="M93" s="109"/>
      <c r="N93" s="109"/>
      <c r="O93" s="242">
        <f t="shared" si="33"/>
        <v>0</v>
      </c>
      <c r="P93" s="103"/>
      <c r="Q93" s="266"/>
      <c r="R93" s="103"/>
    </row>
    <row r="94" spans="6:21" x14ac:dyDescent="0.25">
      <c r="F94" s="455"/>
      <c r="G94" s="113" t="s">
        <v>154</v>
      </c>
      <c r="H94" s="110"/>
      <c r="I94" s="78"/>
      <c r="J94" s="116">
        <f>AVERAGE(J91:J93)</f>
        <v>43.333333333333336</v>
      </c>
      <c r="L94" s="113" t="s">
        <v>154</v>
      </c>
      <c r="M94" s="110"/>
      <c r="N94" s="78"/>
      <c r="O94" s="116">
        <f>AVERAGE(O91:O92)</f>
        <v>36.5</v>
      </c>
      <c r="P94" s="93"/>
      <c r="Q94" s="267">
        <f>(($C$8-J94)/$C$8)*100</f>
        <v>82.301688146669079</v>
      </c>
      <c r="R94" s="93"/>
      <c r="T94" s="90" t="s">
        <v>34</v>
      </c>
      <c r="U94" s="90"/>
    </row>
    <row r="95" spans="6:21" ht="15.75" thickBot="1" x14ac:dyDescent="0.3">
      <c r="F95" s="455"/>
      <c r="G95" s="113" t="s">
        <v>35</v>
      </c>
      <c r="H95" s="123"/>
      <c r="I95" s="82"/>
      <c r="J95" s="122">
        <f>STDEV(J91:J93)</f>
        <v>5.5075705472861154</v>
      </c>
      <c r="L95" s="113" t="s">
        <v>35</v>
      </c>
      <c r="M95" s="123"/>
      <c r="N95" s="82"/>
      <c r="O95" s="122">
        <f>STDEV(O91:O92)</f>
        <v>4.9497474683058327</v>
      </c>
      <c r="P95" s="93"/>
      <c r="Q95" s="269"/>
      <c r="R95" s="93"/>
      <c r="T95" s="1"/>
      <c r="U95" s="107"/>
    </row>
    <row r="96" spans="6:21" x14ac:dyDescent="0.25">
      <c r="F96" s="102"/>
      <c r="G96" s="113" t="s">
        <v>154</v>
      </c>
      <c r="H96" s="252"/>
      <c r="I96" s="253"/>
      <c r="J96" s="116">
        <f>AVERAGE(J71:J73,J76:J78,J81:J83,J86:J88,J91:J93)</f>
        <v>53.266666666666666</v>
      </c>
      <c r="K96" s="248"/>
      <c r="L96" s="249"/>
      <c r="M96" s="245"/>
      <c r="N96" s="246"/>
      <c r="O96" s="116">
        <f>AVERAGE(O71:O73,O76:O78,O82:O83,O86:O87,O91:O92)</f>
        <v>21</v>
      </c>
      <c r="P96" s="125"/>
      <c r="Q96" s="270">
        <f>AVERAGE(Q71:Q94)</f>
        <v>78.244690506444002</v>
      </c>
      <c r="R96" s="100"/>
      <c r="T96" s="1"/>
      <c r="U96" s="107"/>
    </row>
    <row r="97" spans="6:21" ht="15.75" thickBot="1" x14ac:dyDescent="0.3">
      <c r="F97" s="102"/>
      <c r="G97" s="244" t="s">
        <v>35</v>
      </c>
      <c r="H97" s="254"/>
      <c r="I97" s="255"/>
      <c r="J97" s="251">
        <f>STDEV(J71:J73,J76:J78,J81:J83,J86:J88,J91:J93)</f>
        <v>7.6388730158565288</v>
      </c>
      <c r="K97" s="248"/>
      <c r="L97" s="249"/>
      <c r="M97" s="245"/>
      <c r="N97" s="246"/>
      <c r="O97" s="251">
        <f>STDEV(O71:O73,O76:O78,O82:O83,O86:O87,O91:O92)</f>
        <v>8.3991341545098894</v>
      </c>
      <c r="P97" s="125"/>
      <c r="Q97" s="270">
        <f>STDEV(Q71:Q94)</f>
        <v>2.6353016719728597</v>
      </c>
      <c r="R97" s="100"/>
      <c r="T97" s="1"/>
      <c r="U97" s="107"/>
    </row>
    <row r="98" spans="6:21" x14ac:dyDescent="0.25">
      <c r="F98" s="457" t="s">
        <v>37</v>
      </c>
      <c r="G98" s="449">
        <v>21</v>
      </c>
      <c r="H98" s="119"/>
      <c r="I98" s="119">
        <v>65</v>
      </c>
      <c r="J98" s="114">
        <f>I98</f>
        <v>65</v>
      </c>
      <c r="L98" s="449">
        <v>21</v>
      </c>
      <c r="M98" s="119"/>
      <c r="N98" s="119">
        <v>27</v>
      </c>
      <c r="O98" s="114">
        <f>N98</f>
        <v>27</v>
      </c>
      <c r="P98" s="103"/>
      <c r="Q98" s="266"/>
      <c r="R98" s="103"/>
      <c r="S98" s="1">
        <v>21</v>
      </c>
      <c r="U98" s="99">
        <v>6.91</v>
      </c>
    </row>
    <row r="99" spans="6:21" x14ac:dyDescent="0.25">
      <c r="F99" s="458"/>
      <c r="G99" s="450"/>
      <c r="H99" s="109"/>
      <c r="I99" s="109">
        <v>68</v>
      </c>
      <c r="J99" s="115">
        <f t="shared" ref="J99:J100" si="34">I99</f>
        <v>68</v>
      </c>
      <c r="L99" s="450"/>
      <c r="M99" s="109"/>
      <c r="N99" s="109">
        <v>24</v>
      </c>
      <c r="O99" s="115">
        <f t="shared" ref="O99:O100" si="35">N99</f>
        <v>24</v>
      </c>
      <c r="P99" s="103"/>
      <c r="Q99" s="266"/>
      <c r="R99" s="103"/>
      <c r="S99" s="1">
        <v>22</v>
      </c>
      <c r="U99" s="99">
        <v>6.83</v>
      </c>
    </row>
    <row r="100" spans="6:21" x14ac:dyDescent="0.25">
      <c r="F100" s="458"/>
      <c r="G100" s="450"/>
      <c r="H100" s="109"/>
      <c r="I100" s="109">
        <v>77</v>
      </c>
      <c r="J100" s="115">
        <f t="shared" si="34"/>
        <v>77</v>
      </c>
      <c r="L100" s="450"/>
      <c r="M100" s="109"/>
      <c r="N100" s="109">
        <v>17</v>
      </c>
      <c r="O100" s="115">
        <f t="shared" si="35"/>
        <v>17</v>
      </c>
      <c r="P100" s="103"/>
      <c r="Q100" s="266"/>
      <c r="R100" s="103"/>
      <c r="T100" s="310" t="s">
        <v>122</v>
      </c>
      <c r="U100" s="105">
        <f>AVERAGE(U98:U99)</f>
        <v>6.87</v>
      </c>
    </row>
    <row r="101" spans="6:21" ht="15.75" thickBot="1" x14ac:dyDescent="0.3">
      <c r="F101" s="458"/>
      <c r="G101" s="113" t="s">
        <v>154</v>
      </c>
      <c r="H101" s="110"/>
      <c r="I101" s="78"/>
      <c r="J101" s="116">
        <f>AVERAGE(J98:J100)</f>
        <v>70</v>
      </c>
      <c r="L101" s="113" t="s">
        <v>154</v>
      </c>
      <c r="M101" s="110"/>
      <c r="N101" s="78"/>
      <c r="O101" s="116">
        <f>AVERAGE(O98:O100)</f>
        <v>22.666666666666668</v>
      </c>
      <c r="P101" s="93"/>
      <c r="Q101" s="267">
        <f>(($C$9-J101)/$C$9)*100</f>
        <v>75.723478864012947</v>
      </c>
      <c r="R101" s="93"/>
      <c r="T101" s="97" t="s">
        <v>156</v>
      </c>
      <c r="U101" s="106">
        <f>STDEV(U98:U99)</f>
        <v>5.6568542494923851E-2</v>
      </c>
    </row>
    <row r="102" spans="6:21" x14ac:dyDescent="0.25">
      <c r="F102" s="458"/>
      <c r="G102" s="113" t="s">
        <v>35</v>
      </c>
      <c r="H102" s="110"/>
      <c r="I102" s="78"/>
      <c r="J102" s="117">
        <f>STDEV(J98:J100)</f>
        <v>6.2449979983983983</v>
      </c>
      <c r="L102" s="113" t="s">
        <v>35</v>
      </c>
      <c r="M102" s="110"/>
      <c r="N102" s="78"/>
      <c r="O102" s="117">
        <f>STDEV(O98:O100)</f>
        <v>5.1316014394468876</v>
      </c>
      <c r="P102" s="93"/>
      <c r="Q102" s="268"/>
      <c r="R102" s="93"/>
    </row>
    <row r="103" spans="6:21" x14ac:dyDescent="0.25">
      <c r="F103" s="458"/>
      <c r="G103" s="450">
        <v>22</v>
      </c>
      <c r="H103" s="109"/>
      <c r="I103" s="109">
        <v>72</v>
      </c>
      <c r="J103" s="115">
        <f>I103</f>
        <v>72</v>
      </c>
      <c r="L103" s="450">
        <v>22</v>
      </c>
      <c r="M103" s="109"/>
      <c r="N103" s="109">
        <v>21</v>
      </c>
      <c r="O103" s="115">
        <f>N103</f>
        <v>21</v>
      </c>
      <c r="P103" s="103"/>
      <c r="Q103" s="266"/>
      <c r="R103" s="103"/>
    </row>
    <row r="104" spans="6:21" x14ac:dyDescent="0.25">
      <c r="F104" s="458"/>
      <c r="G104" s="450"/>
      <c r="H104" s="109"/>
      <c r="I104" s="109">
        <v>59</v>
      </c>
      <c r="J104" s="115">
        <f t="shared" ref="J104:J105" si="36">I104</f>
        <v>59</v>
      </c>
      <c r="L104" s="450"/>
      <c r="M104" s="109"/>
      <c r="N104" s="109">
        <v>11</v>
      </c>
      <c r="O104" s="115">
        <f t="shared" ref="O104:O105" si="37">N104</f>
        <v>11</v>
      </c>
      <c r="P104" s="103"/>
      <c r="Q104" s="266"/>
      <c r="R104" s="103"/>
    </row>
    <row r="105" spans="6:21" x14ac:dyDescent="0.25">
      <c r="F105" s="458"/>
      <c r="G105" s="450"/>
      <c r="H105" s="109"/>
      <c r="I105" s="109">
        <v>63</v>
      </c>
      <c r="J105" s="115">
        <f t="shared" si="36"/>
        <v>63</v>
      </c>
      <c r="L105" s="450"/>
      <c r="M105" s="109"/>
      <c r="N105" s="109">
        <v>20</v>
      </c>
      <c r="O105" s="115">
        <f t="shared" si="37"/>
        <v>20</v>
      </c>
      <c r="P105" s="103"/>
      <c r="Q105" s="266"/>
      <c r="R105" s="103"/>
    </row>
    <row r="106" spans="6:21" x14ac:dyDescent="0.25">
      <c r="F106" s="458"/>
      <c r="G106" s="113" t="s">
        <v>154</v>
      </c>
      <c r="H106" s="110"/>
      <c r="I106" s="78"/>
      <c r="J106" s="116">
        <f>AVERAGE(J103:J105)</f>
        <v>64.666666666666671</v>
      </c>
      <c r="L106" s="113" t="s">
        <v>154</v>
      </c>
      <c r="M106" s="110"/>
      <c r="N106" s="78"/>
      <c r="O106" s="116">
        <f>AVERAGE(O103:O105)</f>
        <v>17.333333333333332</v>
      </c>
      <c r="P106" s="93"/>
      <c r="Q106" s="267">
        <f>(($C$9-J106)/$C$9)*100</f>
        <v>77.57311856961195</v>
      </c>
      <c r="R106" s="93"/>
      <c r="T106" s="418" t="s">
        <v>34</v>
      </c>
      <c r="U106" s="418"/>
    </row>
    <row r="107" spans="6:21" ht="15.75" thickBot="1" x14ac:dyDescent="0.3">
      <c r="F107" s="459"/>
      <c r="G107" s="113" t="s">
        <v>35</v>
      </c>
      <c r="H107" s="121"/>
      <c r="I107" s="81"/>
      <c r="J107" s="122">
        <f>STDEV(J103:J105)</f>
        <v>6.6583281184793934</v>
      </c>
      <c r="L107" s="113" t="s">
        <v>35</v>
      </c>
      <c r="M107" s="121"/>
      <c r="N107" s="81"/>
      <c r="O107" s="122">
        <f>STDEV(O103:O105)</f>
        <v>5.5075705472861003</v>
      </c>
      <c r="P107" s="93"/>
      <c r="Q107" s="269"/>
      <c r="R107" s="93"/>
      <c r="T107" s="1"/>
      <c r="U107" s="107"/>
    </row>
    <row r="108" spans="6:21" x14ac:dyDescent="0.25">
      <c r="F108" s="102"/>
      <c r="G108" s="244" t="s">
        <v>4</v>
      </c>
      <c r="H108" s="252"/>
      <c r="I108" s="253"/>
      <c r="J108" s="116">
        <f>AVERAGE(J98:J100,J103:J105)</f>
        <v>67.333333333333329</v>
      </c>
      <c r="K108" s="248"/>
      <c r="L108" s="249"/>
      <c r="M108" s="245"/>
      <c r="N108" s="246"/>
      <c r="O108" s="116">
        <f>AVERAGE(O98:O100,O103:O105)</f>
        <v>20</v>
      </c>
      <c r="P108" s="125"/>
      <c r="Q108" s="270">
        <f>AVERAGE(Q98:Q106)</f>
        <v>76.648298716812448</v>
      </c>
      <c r="R108" s="100"/>
      <c r="T108" s="1"/>
      <c r="U108" s="107"/>
    </row>
    <row r="109" spans="6:21" ht="15.75" thickBot="1" x14ac:dyDescent="0.3">
      <c r="F109" s="102"/>
      <c r="G109" s="244" t="s">
        <v>35</v>
      </c>
      <c r="H109" s="256"/>
      <c r="I109" s="257"/>
      <c r="J109" s="251">
        <f>STDEV(J98:J100,J103:J105)</f>
        <v>6.4704456312271619</v>
      </c>
      <c r="K109" s="248"/>
      <c r="L109" s="249"/>
      <c r="M109" s="245"/>
      <c r="N109" s="246"/>
      <c r="O109" s="251">
        <f>STDEV(O98:O100,O103:O105)</f>
        <v>5.5856960175075763</v>
      </c>
      <c r="P109" s="125"/>
      <c r="Q109" s="270">
        <f>STDEV(Q98:Q106)</f>
        <v>1.3078927785809444</v>
      </c>
      <c r="R109" s="100"/>
      <c r="T109" s="1"/>
      <c r="U109" s="107"/>
    </row>
    <row r="110" spans="6:21" x14ac:dyDescent="0.25">
      <c r="F110" s="457" t="s">
        <v>149</v>
      </c>
      <c r="G110" s="449">
        <v>26</v>
      </c>
      <c r="H110" s="119"/>
      <c r="I110" s="119">
        <v>63</v>
      </c>
      <c r="J110" s="114">
        <f>I110</f>
        <v>63</v>
      </c>
      <c r="L110" s="449">
        <v>26</v>
      </c>
      <c r="M110" s="119"/>
      <c r="N110" s="119">
        <v>30</v>
      </c>
      <c r="O110" s="114">
        <f>N110</f>
        <v>30</v>
      </c>
      <c r="P110" s="103"/>
      <c r="Q110" s="266"/>
      <c r="R110" s="103"/>
      <c r="S110" s="1">
        <v>26</v>
      </c>
      <c r="U110" s="99">
        <v>6.93</v>
      </c>
    </row>
    <row r="111" spans="6:21" x14ac:dyDescent="0.25">
      <c r="F111" s="458"/>
      <c r="G111" s="450"/>
      <c r="H111" s="109"/>
      <c r="I111" s="109">
        <v>63</v>
      </c>
      <c r="J111" s="115">
        <f t="shared" ref="J111" si="38">I111</f>
        <v>63</v>
      </c>
      <c r="L111" s="450"/>
      <c r="M111" s="109"/>
      <c r="N111" s="109">
        <v>22</v>
      </c>
      <c r="O111" s="115">
        <f t="shared" ref="O111:O112" si="39">N111</f>
        <v>22</v>
      </c>
      <c r="P111" s="103"/>
      <c r="Q111" s="266"/>
      <c r="R111" s="103"/>
      <c r="S111" s="1">
        <v>27</v>
      </c>
      <c r="U111" s="99">
        <v>6.66</v>
      </c>
    </row>
    <row r="112" spans="6:21" x14ac:dyDescent="0.25">
      <c r="F112" s="458"/>
      <c r="G112" s="450"/>
      <c r="H112" s="109"/>
      <c r="I112" s="109">
        <v>58</v>
      </c>
      <c r="J112" s="115">
        <f>I112</f>
        <v>58</v>
      </c>
      <c r="L112" s="450"/>
      <c r="M112" s="109"/>
      <c r="N112" s="109">
        <v>24</v>
      </c>
      <c r="O112" s="115">
        <f t="shared" si="39"/>
        <v>24</v>
      </c>
      <c r="P112" s="103"/>
      <c r="Q112" s="266"/>
      <c r="R112" s="103"/>
      <c r="S112" s="1">
        <v>28</v>
      </c>
      <c r="U112" s="99">
        <v>7.14</v>
      </c>
    </row>
    <row r="113" spans="6:21" x14ac:dyDescent="0.25">
      <c r="F113" s="458"/>
      <c r="G113" s="113" t="s">
        <v>154</v>
      </c>
      <c r="H113" s="110"/>
      <c r="I113" s="78"/>
      <c r="J113" s="116">
        <f>AVERAGE(J110:J112)</f>
        <v>61.333333333333336</v>
      </c>
      <c r="L113" s="113" t="s">
        <v>154</v>
      </c>
      <c r="M113" s="110"/>
      <c r="N113" s="78"/>
      <c r="O113" s="116">
        <f>AVERAGE(O110:O112)</f>
        <v>25.333333333333332</v>
      </c>
      <c r="P113" s="93"/>
      <c r="Q113" s="267">
        <f>(($C$10-J113)/$C$10)*100</f>
        <v>83.727374565178948</v>
      </c>
      <c r="R113" s="93"/>
      <c r="T113" s="310" t="s">
        <v>122</v>
      </c>
      <c r="U113" s="126">
        <f>AVERAGE(U110:U112)</f>
        <v>6.91</v>
      </c>
    </row>
    <row r="114" spans="6:21" ht="15.75" thickBot="1" x14ac:dyDescent="0.3">
      <c r="F114" s="458"/>
      <c r="G114" s="113" t="s">
        <v>35</v>
      </c>
      <c r="H114" s="110"/>
      <c r="I114" s="78"/>
      <c r="J114" s="117">
        <f>STDEV(J110:J112)</f>
        <v>2.8867513459481287</v>
      </c>
      <c r="L114" s="199" t="s">
        <v>35</v>
      </c>
      <c r="M114" s="110"/>
      <c r="N114" s="78"/>
      <c r="O114" s="117">
        <f>STDEV(O110:O112)</f>
        <v>4.1633319989322697</v>
      </c>
      <c r="P114" s="93"/>
      <c r="Q114" s="268"/>
      <c r="R114" s="93"/>
      <c r="T114" s="97" t="s">
        <v>156</v>
      </c>
      <c r="U114" s="106">
        <f>STDEV(U110:U112)</f>
        <v>0.24062418831031904</v>
      </c>
    </row>
    <row r="115" spans="6:21" x14ac:dyDescent="0.25">
      <c r="F115" s="458"/>
      <c r="G115" s="450">
        <v>27</v>
      </c>
      <c r="H115" s="109"/>
      <c r="I115" s="109">
        <v>57</v>
      </c>
      <c r="J115" s="115">
        <f>I115</f>
        <v>57</v>
      </c>
      <c r="L115" s="450">
        <v>27</v>
      </c>
      <c r="M115" s="109"/>
      <c r="N115" s="109">
        <v>25</v>
      </c>
      <c r="O115" s="115">
        <f>N115</f>
        <v>25</v>
      </c>
      <c r="P115" s="103"/>
      <c r="Q115" s="266"/>
      <c r="R115" s="103"/>
    </row>
    <row r="116" spans="6:21" x14ac:dyDescent="0.25">
      <c r="F116" s="458"/>
      <c r="G116" s="450"/>
      <c r="H116" s="109"/>
      <c r="I116" s="109">
        <v>58</v>
      </c>
      <c r="J116" s="115">
        <f t="shared" ref="J116:J117" si="40">I116</f>
        <v>58</v>
      </c>
      <c r="L116" s="450"/>
      <c r="M116" s="109"/>
      <c r="N116" s="109">
        <v>27</v>
      </c>
      <c r="O116" s="115">
        <f t="shared" ref="O116:O117" si="41">N116</f>
        <v>27</v>
      </c>
      <c r="P116" s="103"/>
      <c r="Q116" s="266"/>
      <c r="R116" s="103"/>
    </row>
    <row r="117" spans="6:21" x14ac:dyDescent="0.25">
      <c r="F117" s="458"/>
      <c r="G117" s="450"/>
      <c r="H117" s="109"/>
      <c r="I117" s="109">
        <v>54</v>
      </c>
      <c r="J117" s="115">
        <f t="shared" si="40"/>
        <v>54</v>
      </c>
      <c r="L117" s="450"/>
      <c r="M117" s="109"/>
      <c r="N117" s="109">
        <v>28</v>
      </c>
      <c r="O117" s="115">
        <f t="shared" si="41"/>
        <v>28</v>
      </c>
      <c r="P117" s="103"/>
      <c r="Q117" s="266"/>
      <c r="R117" s="103"/>
    </row>
    <row r="118" spans="6:21" x14ac:dyDescent="0.25">
      <c r="F118" s="458"/>
      <c r="G118" s="113" t="s">
        <v>154</v>
      </c>
      <c r="H118" s="110"/>
      <c r="I118" s="78"/>
      <c r="J118" s="116">
        <f>AVERAGE(J115:J117)</f>
        <v>56.333333333333336</v>
      </c>
      <c r="L118" s="113" t="s">
        <v>154</v>
      </c>
      <c r="M118" s="110"/>
      <c r="N118" s="78"/>
      <c r="O118" s="116">
        <f>AVERAGE(O115:O117)</f>
        <v>26.666666666666668</v>
      </c>
      <c r="P118" s="93"/>
      <c r="Q118" s="267">
        <f>(($C$10-J118)/$C$10)*100</f>
        <v>85.053947290843695</v>
      </c>
      <c r="R118" s="93"/>
    </row>
    <row r="119" spans="6:21" x14ac:dyDescent="0.25">
      <c r="F119" s="458"/>
      <c r="G119" s="113" t="s">
        <v>35</v>
      </c>
      <c r="H119" s="110"/>
      <c r="I119" s="78"/>
      <c r="J119" s="117">
        <f>STDEV(J115:J117)</f>
        <v>2.0816659994661326</v>
      </c>
      <c r="L119" s="113" t="s">
        <v>35</v>
      </c>
      <c r="M119" s="110"/>
      <c r="N119" s="78"/>
      <c r="O119" s="117">
        <f>STDEV(O115:O117)</f>
        <v>1.5275252316519465</v>
      </c>
      <c r="P119" s="93"/>
      <c r="Q119" s="268"/>
      <c r="R119" s="93"/>
    </row>
    <row r="120" spans="6:21" x14ac:dyDescent="0.25">
      <c r="F120" s="458"/>
      <c r="G120" s="450">
        <v>28</v>
      </c>
      <c r="H120" s="111"/>
      <c r="I120" s="111">
        <v>66</v>
      </c>
      <c r="J120" s="114">
        <f>I120</f>
        <v>66</v>
      </c>
      <c r="L120" s="451">
        <v>28</v>
      </c>
      <c r="M120" s="111"/>
      <c r="N120" s="111">
        <v>32</v>
      </c>
      <c r="O120" s="114">
        <f>N120</f>
        <v>32</v>
      </c>
      <c r="P120" s="103"/>
      <c r="Q120" s="266"/>
      <c r="R120" s="103"/>
    </row>
    <row r="121" spans="6:21" x14ac:dyDescent="0.25">
      <c r="F121" s="458"/>
      <c r="G121" s="450"/>
      <c r="H121" s="109"/>
      <c r="I121" s="109">
        <v>69</v>
      </c>
      <c r="J121" s="115">
        <f t="shared" ref="J121:J122" si="42">I121</f>
        <v>69</v>
      </c>
      <c r="L121" s="450"/>
      <c r="M121" s="109"/>
      <c r="N121" s="109">
        <v>27</v>
      </c>
      <c r="O121" s="115">
        <f t="shared" ref="O121:O122" si="43">N121</f>
        <v>27</v>
      </c>
      <c r="P121" s="103"/>
      <c r="Q121" s="266"/>
      <c r="R121" s="103"/>
    </row>
    <row r="122" spans="6:21" x14ac:dyDescent="0.25">
      <c r="F122" s="458"/>
      <c r="G122" s="450"/>
      <c r="H122" s="109"/>
      <c r="I122" s="109">
        <v>60</v>
      </c>
      <c r="J122" s="115">
        <f t="shared" si="42"/>
        <v>60</v>
      </c>
      <c r="L122" s="450"/>
      <c r="M122" s="109"/>
      <c r="N122" s="109">
        <v>29</v>
      </c>
      <c r="O122" s="115">
        <f t="shared" si="43"/>
        <v>29</v>
      </c>
      <c r="P122" s="103"/>
      <c r="Q122" s="266"/>
      <c r="R122" s="103"/>
    </row>
    <row r="123" spans="6:21" x14ac:dyDescent="0.25">
      <c r="F123" s="458"/>
      <c r="G123" s="113" t="s">
        <v>154</v>
      </c>
      <c r="H123" s="110"/>
      <c r="I123" s="78"/>
      <c r="J123" s="116">
        <f>AVERAGE(J120:J122)</f>
        <v>65</v>
      </c>
      <c r="L123" s="113" t="s">
        <v>154</v>
      </c>
      <c r="M123" s="110"/>
      <c r="N123" s="78"/>
      <c r="O123" s="116">
        <f>AVERAGE(O110:O112,O115:O117,O120:O122)</f>
        <v>27.111111111111111</v>
      </c>
      <c r="P123" s="93"/>
      <c r="Q123" s="267">
        <f>(($C$10-J123)/$C$10)*100</f>
        <v>82.754554566358124</v>
      </c>
      <c r="R123" s="93"/>
      <c r="T123" s="90" t="s">
        <v>34</v>
      </c>
      <c r="U123" s="90"/>
    </row>
    <row r="124" spans="6:21" ht="15.75" thickBot="1" x14ac:dyDescent="0.3">
      <c r="F124" s="459"/>
      <c r="G124" s="113" t="s">
        <v>35</v>
      </c>
      <c r="H124" s="121"/>
      <c r="I124" s="81"/>
      <c r="J124" s="122">
        <f>STDEV(J120:J122)</f>
        <v>4.5825756949558398</v>
      </c>
      <c r="L124" s="113" t="s">
        <v>35</v>
      </c>
      <c r="M124" s="121"/>
      <c r="N124" s="81"/>
      <c r="O124" s="122">
        <f>STDEV(O110:O112,O115:O117,O120:O122)</f>
        <v>3.1001792062897082</v>
      </c>
      <c r="P124" s="93"/>
      <c r="Q124" s="269"/>
      <c r="R124" s="93"/>
      <c r="T124" s="1"/>
      <c r="U124" s="107"/>
    </row>
    <row r="125" spans="6:21" x14ac:dyDescent="0.25">
      <c r="F125" s="102"/>
      <c r="G125" s="244" t="s">
        <v>4</v>
      </c>
      <c r="H125" s="252"/>
      <c r="I125" s="253"/>
      <c r="J125" s="116">
        <f>AVERAGE(J110:J112,J115:J117,J120:J122)</f>
        <v>60.888888888888886</v>
      </c>
      <c r="K125" s="248"/>
      <c r="L125" s="249"/>
      <c r="M125" s="245"/>
      <c r="N125" s="246"/>
      <c r="O125" s="116">
        <f>AVERAGE(O110:O112,O115:O117,O120:O122)</f>
        <v>27.111111111111111</v>
      </c>
      <c r="P125" s="125"/>
      <c r="Q125" s="270">
        <f>AVERAGE(Q111:Q123)</f>
        <v>83.845292140793603</v>
      </c>
      <c r="R125" s="100"/>
      <c r="T125" s="1"/>
      <c r="U125" s="107"/>
    </row>
    <row r="126" spans="6:21" ht="15.75" thickBot="1" x14ac:dyDescent="0.3">
      <c r="F126" s="102"/>
      <c r="G126" s="244" t="s">
        <v>35</v>
      </c>
      <c r="H126" s="256"/>
      <c r="I126" s="257"/>
      <c r="J126" s="251">
        <f>STDEV(J110:J112,J115:J117,J120:J122)</f>
        <v>4.7551142058957021</v>
      </c>
      <c r="K126" s="248"/>
      <c r="L126" s="249"/>
      <c r="M126" s="245"/>
      <c r="N126" s="246"/>
      <c r="O126" s="251">
        <f>STDEV(O110:O112,O115:O117,O120:O122)</f>
        <v>3.1001792062897082</v>
      </c>
      <c r="P126" s="125"/>
      <c r="Q126" s="270">
        <f>STDEV(Q111:Q123)</f>
        <v>1.1542227433790329</v>
      </c>
      <c r="R126" s="100"/>
      <c r="T126" s="1"/>
      <c r="U126" s="107"/>
    </row>
    <row r="127" spans="6:21" x14ac:dyDescent="0.25">
      <c r="F127" s="457" t="s">
        <v>38</v>
      </c>
      <c r="G127" s="449">
        <v>31</v>
      </c>
      <c r="H127" s="119"/>
      <c r="I127" s="119">
        <v>82</v>
      </c>
      <c r="J127" s="114">
        <f>I127</f>
        <v>82</v>
      </c>
      <c r="L127" s="449">
        <v>31</v>
      </c>
      <c r="M127" s="119"/>
      <c r="N127" s="119">
        <v>39</v>
      </c>
      <c r="O127" s="114">
        <f>N127</f>
        <v>39</v>
      </c>
      <c r="P127" s="103"/>
      <c r="Q127" s="266"/>
      <c r="R127" s="103"/>
      <c r="S127" s="1">
        <v>31</v>
      </c>
      <c r="U127" s="99">
        <v>7</v>
      </c>
    </row>
    <row r="128" spans="6:21" x14ac:dyDescent="0.25">
      <c r="F128" s="458"/>
      <c r="G128" s="450"/>
      <c r="H128" s="109"/>
      <c r="I128" s="109">
        <v>76</v>
      </c>
      <c r="J128" s="115">
        <f t="shared" ref="J128:J129" si="44">I128</f>
        <v>76</v>
      </c>
      <c r="L128" s="450"/>
      <c r="M128" s="109"/>
      <c r="N128" s="109">
        <v>40</v>
      </c>
      <c r="O128" s="115">
        <f t="shared" ref="O128:O129" si="45">N128</f>
        <v>40</v>
      </c>
      <c r="P128" s="103"/>
      <c r="Q128" s="266"/>
      <c r="R128" s="103"/>
      <c r="S128" s="1">
        <v>32</v>
      </c>
      <c r="U128" s="99">
        <v>7.2</v>
      </c>
    </row>
    <row r="129" spans="6:21" x14ac:dyDescent="0.25">
      <c r="F129" s="458"/>
      <c r="G129" s="450"/>
      <c r="H129" s="109"/>
      <c r="I129" s="109">
        <v>82</v>
      </c>
      <c r="J129" s="115">
        <f t="shared" si="44"/>
        <v>82</v>
      </c>
      <c r="L129" s="450"/>
      <c r="M129" s="109"/>
      <c r="N129" s="109">
        <v>38</v>
      </c>
      <c r="O129" s="115">
        <f t="shared" si="45"/>
        <v>38</v>
      </c>
      <c r="P129" s="103"/>
      <c r="Q129" s="266"/>
      <c r="R129" s="103"/>
      <c r="T129" s="310" t="s">
        <v>122</v>
      </c>
      <c r="U129" s="105">
        <f>AVERAGE(U127:U128)</f>
        <v>7.1</v>
      </c>
    </row>
    <row r="130" spans="6:21" ht="15.75" thickBot="1" x14ac:dyDescent="0.3">
      <c r="F130" s="458"/>
      <c r="G130" s="113" t="s">
        <v>154</v>
      </c>
      <c r="H130" s="110"/>
      <c r="I130" s="78"/>
      <c r="J130" s="116">
        <f>AVERAGE(J127:J129)</f>
        <v>80</v>
      </c>
      <c r="L130" s="113" t="s">
        <v>154</v>
      </c>
      <c r="M130" s="110"/>
      <c r="N130" s="78"/>
      <c r="O130" s="116">
        <f>AVERAGE(O127:O129)</f>
        <v>39</v>
      </c>
      <c r="P130" s="93"/>
      <c r="Q130" s="267">
        <f>(($C$11-J130)/$C$11)*100</f>
        <v>82.755317110557584</v>
      </c>
      <c r="R130" s="93"/>
      <c r="T130" s="97" t="s">
        <v>156</v>
      </c>
      <c r="U130" s="106">
        <f>STDEV(U127:U128)</f>
        <v>0.14142135623730964</v>
      </c>
    </row>
    <row r="131" spans="6:21" x14ac:dyDescent="0.25">
      <c r="F131" s="458"/>
      <c r="G131" s="113" t="s">
        <v>35</v>
      </c>
      <c r="H131" s="110"/>
      <c r="I131" s="78"/>
      <c r="J131" s="117">
        <f>STDEV(J127:J129)</f>
        <v>3.4641016151377544</v>
      </c>
      <c r="L131" s="113" t="s">
        <v>35</v>
      </c>
      <c r="M131" s="110"/>
      <c r="N131" s="78"/>
      <c r="O131" s="117">
        <f>STDEV(O127:O129)</f>
        <v>1</v>
      </c>
      <c r="P131" s="93"/>
      <c r="Q131" s="268"/>
      <c r="R131" s="93"/>
    </row>
    <row r="132" spans="6:21" x14ac:dyDescent="0.25">
      <c r="F132" s="458"/>
      <c r="G132" s="450">
        <v>32</v>
      </c>
      <c r="H132" s="109"/>
      <c r="I132" s="109">
        <v>101</v>
      </c>
      <c r="J132" s="115">
        <f>I132</f>
        <v>101</v>
      </c>
      <c r="L132" s="450">
        <v>32</v>
      </c>
      <c r="M132" s="109"/>
      <c r="N132" s="109">
        <v>45</v>
      </c>
      <c r="O132" s="115">
        <f>N132</f>
        <v>45</v>
      </c>
      <c r="P132" s="103"/>
      <c r="Q132" s="266"/>
      <c r="R132" s="103"/>
    </row>
    <row r="133" spans="6:21" x14ac:dyDescent="0.25">
      <c r="F133" s="458"/>
      <c r="G133" s="450"/>
      <c r="H133" s="109"/>
      <c r="I133" s="109">
        <v>97</v>
      </c>
      <c r="J133" s="115">
        <f t="shared" ref="J133:J134" si="46">I133</f>
        <v>97</v>
      </c>
      <c r="L133" s="450"/>
      <c r="M133" s="109"/>
      <c r="N133" s="109">
        <v>48</v>
      </c>
      <c r="O133" s="115">
        <f t="shared" ref="O133:O134" si="47">N133</f>
        <v>48</v>
      </c>
      <c r="P133" s="103"/>
      <c r="Q133" s="266"/>
      <c r="R133" s="103"/>
    </row>
    <row r="134" spans="6:21" x14ac:dyDescent="0.25">
      <c r="F134" s="458"/>
      <c r="G134" s="450"/>
      <c r="H134" s="109"/>
      <c r="I134" s="109">
        <v>101</v>
      </c>
      <c r="J134" s="115">
        <f t="shared" si="46"/>
        <v>101</v>
      </c>
      <c r="L134" s="450"/>
      <c r="M134" s="109"/>
      <c r="N134" s="109">
        <v>51</v>
      </c>
      <c r="O134" s="115">
        <f t="shared" si="47"/>
        <v>51</v>
      </c>
      <c r="P134" s="103"/>
      <c r="Q134" s="266"/>
      <c r="R134" s="103"/>
    </row>
    <row r="135" spans="6:21" x14ac:dyDescent="0.25">
      <c r="F135" s="458"/>
      <c r="G135" s="113" t="s">
        <v>154</v>
      </c>
      <c r="H135" s="110"/>
      <c r="I135" s="78"/>
      <c r="J135" s="116">
        <f>AVERAGE(J132:J134)</f>
        <v>99.666666666666671</v>
      </c>
      <c r="L135" s="113" t="s">
        <v>154</v>
      </c>
      <c r="M135" s="110"/>
      <c r="N135" s="78"/>
      <c r="O135" s="116">
        <f>AVERAGE(O132:O134)</f>
        <v>48</v>
      </c>
      <c r="P135" s="93"/>
      <c r="Q135" s="267">
        <f>(($C$11-J135)/$C$11)*100</f>
        <v>78.515999233569644</v>
      </c>
      <c r="R135" s="93"/>
      <c r="T135" s="418" t="s">
        <v>34</v>
      </c>
      <c r="U135" s="418"/>
    </row>
    <row r="136" spans="6:21" ht="15.75" thickBot="1" x14ac:dyDescent="0.3">
      <c r="F136" s="459"/>
      <c r="G136" s="113" t="s">
        <v>35</v>
      </c>
      <c r="H136" s="121"/>
      <c r="I136" s="81"/>
      <c r="J136" s="122">
        <f>STDEV(J132:J134)</f>
        <v>2.3094010767585034</v>
      </c>
      <c r="L136" s="113" t="s">
        <v>35</v>
      </c>
      <c r="M136" s="121"/>
      <c r="N136" s="81"/>
      <c r="O136" s="122">
        <f>STDEV(O132:O134)</f>
        <v>3</v>
      </c>
      <c r="P136" s="93"/>
      <c r="Q136" s="269"/>
      <c r="R136" s="93"/>
      <c r="T136" s="1"/>
      <c r="U136" s="107"/>
    </row>
    <row r="137" spans="6:21" x14ac:dyDescent="0.25">
      <c r="F137" s="102"/>
      <c r="G137" s="244" t="s">
        <v>4</v>
      </c>
      <c r="H137" s="252"/>
      <c r="I137" s="253"/>
      <c r="J137" s="116">
        <f>AVERAGE(J127:J129,J132:J134)</f>
        <v>89.833333333333329</v>
      </c>
      <c r="K137" s="248"/>
      <c r="L137" s="249"/>
      <c r="M137" s="245"/>
      <c r="N137" s="246"/>
      <c r="O137" s="116">
        <f>AVERAGE(O127:O129,O132:O134)</f>
        <v>43.5</v>
      </c>
      <c r="P137" s="125"/>
      <c r="Q137" s="270">
        <f>AVERAGE(Q128:Q135)</f>
        <v>80.635658172063614</v>
      </c>
      <c r="R137" s="100"/>
      <c r="T137" s="1"/>
      <c r="U137" s="107"/>
    </row>
    <row r="138" spans="6:21" ht="15.75" thickBot="1" x14ac:dyDescent="0.3">
      <c r="F138" s="102"/>
      <c r="G138" s="244" t="s">
        <v>35</v>
      </c>
      <c r="H138" s="256"/>
      <c r="I138" s="257"/>
      <c r="J138" s="251">
        <f>STDEV(J127:J129,J132:J134)</f>
        <v>11.089033621856647</v>
      </c>
      <c r="K138" s="248"/>
      <c r="L138" s="249"/>
      <c r="M138" s="245"/>
      <c r="N138" s="246"/>
      <c r="O138" s="251">
        <f>STDEV(O127:O129,O132:O134)</f>
        <v>5.3197744313081543</v>
      </c>
      <c r="P138" s="125"/>
      <c r="Q138" s="270">
        <f>STDEV(Q128:Q135)</f>
        <v>2.9976504184235302</v>
      </c>
      <c r="R138" s="100"/>
      <c r="T138" s="1"/>
      <c r="U138" s="107"/>
    </row>
    <row r="139" spans="6:21" x14ac:dyDescent="0.25">
      <c r="F139" s="457" t="s">
        <v>116</v>
      </c>
      <c r="G139" s="449">
        <v>36</v>
      </c>
      <c r="H139" s="119"/>
      <c r="I139" s="119">
        <v>154</v>
      </c>
      <c r="J139" s="258">
        <f>I139</f>
        <v>154</v>
      </c>
      <c r="L139" s="449">
        <v>36</v>
      </c>
      <c r="M139" s="119"/>
      <c r="N139" s="119">
        <v>57</v>
      </c>
      <c r="O139" s="114">
        <f>N139</f>
        <v>57</v>
      </c>
      <c r="P139" s="103"/>
      <c r="Q139" s="266"/>
      <c r="R139" s="103"/>
      <c r="S139" s="1">
        <v>36</v>
      </c>
      <c r="U139" s="99">
        <v>7.5</v>
      </c>
    </row>
    <row r="140" spans="6:21" x14ac:dyDescent="0.25">
      <c r="F140" s="458"/>
      <c r="G140" s="450"/>
      <c r="H140" s="109"/>
      <c r="I140" s="109">
        <v>88</v>
      </c>
      <c r="J140" s="115">
        <f t="shared" ref="J140:J141" si="48">I140</f>
        <v>88</v>
      </c>
      <c r="L140" s="450"/>
      <c r="M140" s="109"/>
      <c r="N140" s="109">
        <v>44</v>
      </c>
      <c r="O140" s="115">
        <f t="shared" ref="O140:O141" si="49">N140</f>
        <v>44</v>
      </c>
      <c r="P140" s="103"/>
      <c r="Q140" s="266"/>
      <c r="R140" s="103"/>
      <c r="S140" s="1">
        <v>37</v>
      </c>
      <c r="U140" s="99">
        <v>7.54</v>
      </c>
    </row>
    <row r="141" spans="6:21" x14ac:dyDescent="0.25">
      <c r="F141" s="458"/>
      <c r="G141" s="450"/>
      <c r="H141" s="109"/>
      <c r="I141" s="109">
        <v>82</v>
      </c>
      <c r="J141" s="115">
        <f t="shared" si="48"/>
        <v>82</v>
      </c>
      <c r="L141" s="450"/>
      <c r="M141" s="109"/>
      <c r="N141" s="109">
        <v>56</v>
      </c>
      <c r="O141" s="115">
        <f t="shared" si="49"/>
        <v>56</v>
      </c>
      <c r="P141" s="103"/>
      <c r="Q141" s="266"/>
      <c r="R141" s="103"/>
      <c r="S141" s="1">
        <v>38</v>
      </c>
      <c r="U141" s="99">
        <v>7.51</v>
      </c>
    </row>
    <row r="142" spans="6:21" x14ac:dyDescent="0.25">
      <c r="F142" s="458"/>
      <c r="G142" s="113" t="s">
        <v>154</v>
      </c>
      <c r="H142" s="110"/>
      <c r="I142" s="78"/>
      <c r="J142" s="116">
        <f>AVERAGE(J140:J141)</f>
        <v>85</v>
      </c>
      <c r="L142" s="113" t="s">
        <v>154</v>
      </c>
      <c r="M142" s="110"/>
      <c r="N142" s="78"/>
      <c r="O142" s="116">
        <f>AVERAGE(O139:O141)</f>
        <v>52.333333333333336</v>
      </c>
      <c r="P142" s="93"/>
      <c r="Q142" s="267"/>
      <c r="R142" s="93"/>
      <c r="T142" s="310" t="s">
        <v>122</v>
      </c>
      <c r="U142" s="126">
        <f>AVERAGE(U139:U141)</f>
        <v>7.5166666666666657</v>
      </c>
    </row>
    <row r="143" spans="6:21" ht="15.75" thickBot="1" x14ac:dyDescent="0.3">
      <c r="F143" s="458"/>
      <c r="G143" s="113" t="s">
        <v>35</v>
      </c>
      <c r="H143" s="110"/>
      <c r="I143" s="78"/>
      <c r="J143" s="117">
        <f>STDEV(J140:J141)</f>
        <v>4.2426406871192848</v>
      </c>
      <c r="L143" s="113" t="s">
        <v>35</v>
      </c>
      <c r="M143" s="110"/>
      <c r="N143" s="78"/>
      <c r="O143" s="117">
        <f>STDEV(O139:O141)</f>
        <v>7.2341781380702139</v>
      </c>
      <c r="P143" s="93"/>
      <c r="Q143" s="268"/>
      <c r="R143" s="93"/>
      <c r="T143" s="97" t="s">
        <v>156</v>
      </c>
      <c r="U143" s="106">
        <f>STDEV(U139:U141)</f>
        <v>2.0816659994661379E-2</v>
      </c>
    </row>
    <row r="144" spans="6:21" x14ac:dyDescent="0.25">
      <c r="F144" s="458"/>
      <c r="G144" s="450">
        <v>37</v>
      </c>
      <c r="H144" s="109"/>
      <c r="I144" s="109">
        <v>126</v>
      </c>
      <c r="J144" s="242">
        <f>I144</f>
        <v>126</v>
      </c>
      <c r="L144" s="450">
        <v>37</v>
      </c>
      <c r="M144" s="109"/>
      <c r="N144" s="109">
        <v>40</v>
      </c>
      <c r="O144" s="115">
        <f>N144</f>
        <v>40</v>
      </c>
      <c r="P144" s="103"/>
      <c r="Q144" s="266"/>
      <c r="R144" s="103"/>
    </row>
    <row r="145" spans="6:21" x14ac:dyDescent="0.25">
      <c r="F145" s="458"/>
      <c r="G145" s="450"/>
      <c r="H145" s="109"/>
      <c r="I145" s="109">
        <v>89</v>
      </c>
      <c r="J145" s="115">
        <f t="shared" ref="J145:J146" si="50">I145</f>
        <v>89</v>
      </c>
      <c r="L145" s="450"/>
      <c r="M145" s="109"/>
      <c r="N145" s="109">
        <v>63</v>
      </c>
      <c r="O145" s="115">
        <f t="shared" ref="O145:O146" si="51">N145</f>
        <v>63</v>
      </c>
      <c r="P145" s="103"/>
      <c r="Q145" s="266"/>
      <c r="R145" s="103"/>
    </row>
    <row r="146" spans="6:21" x14ac:dyDescent="0.25">
      <c r="F146" s="458"/>
      <c r="G146" s="450"/>
      <c r="H146" s="109"/>
      <c r="I146" s="109">
        <v>80</v>
      </c>
      <c r="J146" s="115">
        <f t="shared" si="50"/>
        <v>80</v>
      </c>
      <c r="L146" s="450"/>
      <c r="M146" s="109"/>
      <c r="N146" s="109"/>
      <c r="O146" s="242">
        <f t="shared" si="51"/>
        <v>0</v>
      </c>
      <c r="P146" s="103"/>
      <c r="Q146" s="266"/>
      <c r="R146" s="103"/>
    </row>
    <row r="147" spans="6:21" x14ac:dyDescent="0.25">
      <c r="F147" s="458"/>
      <c r="G147" s="113" t="s">
        <v>154</v>
      </c>
      <c r="H147" s="110"/>
      <c r="I147" s="78"/>
      <c r="J147" s="116">
        <f>AVERAGE(J145:J146)</f>
        <v>84.5</v>
      </c>
      <c r="L147" s="113" t="s">
        <v>154</v>
      </c>
      <c r="M147" s="110"/>
      <c r="N147" s="78"/>
      <c r="O147" s="116">
        <f>AVERAGE(O144:O145)</f>
        <v>51.5</v>
      </c>
      <c r="P147" s="93"/>
      <c r="Q147" s="267"/>
      <c r="R147" s="93"/>
    </row>
    <row r="148" spans="6:21" x14ac:dyDescent="0.25">
      <c r="F148" s="458"/>
      <c r="G148" s="113" t="s">
        <v>35</v>
      </c>
      <c r="H148" s="110"/>
      <c r="I148" s="78"/>
      <c r="J148" s="117">
        <f>STDEV(J145:J146)</f>
        <v>6.3639610306789276</v>
      </c>
      <c r="L148" s="113" t="s">
        <v>35</v>
      </c>
      <c r="M148" s="110"/>
      <c r="N148" s="78"/>
      <c r="O148" s="117">
        <f>STDEV(O144:O145)</f>
        <v>16.263455967290593</v>
      </c>
      <c r="P148" s="93"/>
      <c r="Q148" s="268"/>
      <c r="R148" s="93"/>
    </row>
    <row r="149" spans="6:21" x14ac:dyDescent="0.25">
      <c r="F149" s="458"/>
      <c r="G149" s="450">
        <v>38</v>
      </c>
      <c r="H149" s="111"/>
      <c r="I149" s="111">
        <v>83</v>
      </c>
      <c r="J149" s="114">
        <f>I149</f>
        <v>83</v>
      </c>
      <c r="L149" s="451">
        <v>38</v>
      </c>
      <c r="M149" s="111"/>
      <c r="N149" s="111">
        <v>52</v>
      </c>
      <c r="O149" s="114">
        <f>N149</f>
        <v>52</v>
      </c>
      <c r="P149" s="103"/>
      <c r="Q149" s="266"/>
      <c r="R149" s="103"/>
    </row>
    <row r="150" spans="6:21" x14ac:dyDescent="0.25">
      <c r="F150" s="458"/>
      <c r="G150" s="450"/>
      <c r="H150" s="109"/>
      <c r="I150" s="109">
        <v>88</v>
      </c>
      <c r="J150" s="115">
        <f t="shared" ref="J150:J151" si="52">I150</f>
        <v>88</v>
      </c>
      <c r="L150" s="450"/>
      <c r="M150" s="109"/>
      <c r="N150" s="109">
        <v>57</v>
      </c>
      <c r="O150" s="115">
        <f t="shared" ref="O150:O151" si="53">N150</f>
        <v>57</v>
      </c>
      <c r="P150" s="103"/>
      <c r="Q150" s="266"/>
      <c r="R150" s="103"/>
    </row>
    <row r="151" spans="6:21" x14ac:dyDescent="0.25">
      <c r="F151" s="458"/>
      <c r="G151" s="450"/>
      <c r="H151" s="109"/>
      <c r="I151" s="109">
        <v>91</v>
      </c>
      <c r="J151" s="115">
        <f t="shared" si="52"/>
        <v>91</v>
      </c>
      <c r="L151" s="450"/>
      <c r="M151" s="109"/>
      <c r="N151" s="109">
        <v>69</v>
      </c>
      <c r="O151" s="115">
        <f t="shared" si="53"/>
        <v>69</v>
      </c>
      <c r="P151" s="103"/>
      <c r="Q151" s="266"/>
      <c r="R151" s="103"/>
    </row>
    <row r="152" spans="6:21" x14ac:dyDescent="0.25">
      <c r="F152" s="458"/>
      <c r="G152" s="113" t="s">
        <v>154</v>
      </c>
      <c r="H152" s="110"/>
      <c r="I152" s="78"/>
      <c r="J152" s="116">
        <f>AVERAGE(J149:J151)</f>
        <v>87.333333333333329</v>
      </c>
      <c r="L152" s="113" t="s">
        <v>154</v>
      </c>
      <c r="M152" s="110"/>
      <c r="N152" s="78"/>
      <c r="O152" s="116">
        <f>AVERAGE(O149:O151)</f>
        <v>59.333333333333336</v>
      </c>
      <c r="P152" s="93"/>
      <c r="Q152" s="267"/>
      <c r="R152" s="93"/>
      <c r="T152" s="418" t="s">
        <v>34</v>
      </c>
      <c r="U152" s="418"/>
    </row>
    <row r="153" spans="6:21" ht="15.75" thickBot="1" x14ac:dyDescent="0.3">
      <c r="F153" s="459"/>
      <c r="G153" s="113" t="s">
        <v>35</v>
      </c>
      <c r="H153" s="121"/>
      <c r="I153" s="81"/>
      <c r="J153" s="122">
        <f>STDEV(J149:J151)</f>
        <v>4.0414518843273806</v>
      </c>
      <c r="L153" s="113" t="s">
        <v>35</v>
      </c>
      <c r="M153" s="121"/>
      <c r="N153" s="81"/>
      <c r="O153" s="122">
        <f>STDEV(O149:O151)</f>
        <v>8.7368949480540863</v>
      </c>
      <c r="P153" s="93"/>
      <c r="Q153" s="269"/>
      <c r="R153" s="93"/>
      <c r="T153" s="1"/>
      <c r="U153" s="107"/>
    </row>
    <row r="154" spans="6:21" x14ac:dyDescent="0.25">
      <c r="F154" s="102"/>
      <c r="G154" s="244" t="s">
        <v>4</v>
      </c>
      <c r="H154" s="252"/>
      <c r="I154" s="253"/>
      <c r="J154" s="116">
        <f>AVERAGE(J140:J141,J145:J146,J149:J151)</f>
        <v>85.857142857142861</v>
      </c>
      <c r="K154" s="248"/>
      <c r="L154" s="249"/>
      <c r="M154" s="245"/>
      <c r="N154" s="246"/>
      <c r="O154" s="116">
        <f>AVERAGE(O139:O141,O144:O145,O149:O151)</f>
        <v>54.75</v>
      </c>
      <c r="P154" s="100"/>
      <c r="Q154" s="268"/>
      <c r="R154" s="100"/>
      <c r="T154" s="1"/>
      <c r="U154" s="107"/>
    </row>
    <row r="155" spans="6:21" ht="15.75" thickBot="1" x14ac:dyDescent="0.3">
      <c r="F155" s="102"/>
      <c r="G155" s="244" t="s">
        <v>35</v>
      </c>
      <c r="H155" s="256"/>
      <c r="I155" s="257"/>
      <c r="J155" s="251">
        <f>STDEV(J140:J141,J145:J146,J149:J151)</f>
        <v>4.1403933560541253</v>
      </c>
      <c r="K155" s="248"/>
      <c r="L155" s="249"/>
      <c r="M155" s="245"/>
      <c r="N155" s="246"/>
      <c r="O155" s="251">
        <f>STDEV(O139:O141,O144:O145,O149:O151)</f>
        <v>9.4377660795035911</v>
      </c>
      <c r="P155" s="100"/>
      <c r="Q155" s="268"/>
      <c r="R155" s="100"/>
      <c r="T155" s="1"/>
      <c r="U155" s="107"/>
    </row>
    <row r="156" spans="6:21" x14ac:dyDescent="0.25">
      <c r="F156" s="457" t="s">
        <v>146</v>
      </c>
      <c r="G156" s="449">
        <v>39</v>
      </c>
      <c r="H156" s="119"/>
      <c r="I156" s="119">
        <v>102</v>
      </c>
      <c r="J156" s="114">
        <f>I156</f>
        <v>102</v>
      </c>
      <c r="L156" s="449">
        <v>39</v>
      </c>
      <c r="M156" s="119"/>
      <c r="N156" s="119">
        <v>32</v>
      </c>
      <c r="O156" s="114">
        <f>N156</f>
        <v>32</v>
      </c>
      <c r="P156" s="103"/>
      <c r="Q156" s="266"/>
      <c r="R156" s="103"/>
      <c r="S156" s="1">
        <v>39</v>
      </c>
      <c r="U156" s="99">
        <v>7.52</v>
      </c>
    </row>
    <row r="157" spans="6:21" x14ac:dyDescent="0.25">
      <c r="F157" s="458"/>
      <c r="G157" s="450"/>
      <c r="H157" s="109"/>
      <c r="I157" s="109">
        <v>94</v>
      </c>
      <c r="J157" s="115">
        <f t="shared" ref="J157:J158" si="54">I157</f>
        <v>94</v>
      </c>
      <c r="L157" s="450"/>
      <c r="M157" s="109"/>
      <c r="N157" s="109">
        <v>17</v>
      </c>
      <c r="O157" s="242">
        <f t="shared" ref="O157:O158" si="55">N157</f>
        <v>17</v>
      </c>
      <c r="P157" s="103"/>
      <c r="Q157" s="266"/>
      <c r="R157" s="103"/>
      <c r="S157" s="1">
        <v>40</v>
      </c>
      <c r="U157" s="99">
        <v>7.48</v>
      </c>
    </row>
    <row r="158" spans="6:21" x14ac:dyDescent="0.25">
      <c r="F158" s="458"/>
      <c r="G158" s="450"/>
      <c r="H158" s="109"/>
      <c r="I158" s="109">
        <v>123</v>
      </c>
      <c r="J158" s="115">
        <f t="shared" si="54"/>
        <v>123</v>
      </c>
      <c r="L158" s="450"/>
      <c r="M158" s="109"/>
      <c r="N158" s="109">
        <v>47</v>
      </c>
      <c r="O158" s="115">
        <f t="shared" si="55"/>
        <v>47</v>
      </c>
      <c r="P158" s="103"/>
      <c r="Q158" s="266"/>
      <c r="R158" s="103"/>
      <c r="S158" s="1">
        <v>41</v>
      </c>
      <c r="U158" s="99">
        <v>7.58</v>
      </c>
    </row>
    <row r="159" spans="6:21" x14ac:dyDescent="0.25">
      <c r="F159" s="458"/>
      <c r="G159" s="113" t="s">
        <v>154</v>
      </c>
      <c r="H159" s="110"/>
      <c r="I159" s="78"/>
      <c r="J159" s="116">
        <f>AVERAGE(J156:J158)</f>
        <v>106.33333333333333</v>
      </c>
      <c r="L159" s="113" t="s">
        <v>154</v>
      </c>
      <c r="M159" s="110"/>
      <c r="N159" s="78"/>
      <c r="O159" s="116">
        <f>AVERAGE(O156,O158)</f>
        <v>39.5</v>
      </c>
      <c r="P159" s="93"/>
      <c r="Q159" s="267">
        <f>(($C$13-J159)/$C$13)*100</f>
        <v>21.234567901234573</v>
      </c>
      <c r="R159" s="93"/>
      <c r="T159" s="310" t="s">
        <v>122</v>
      </c>
      <c r="U159" s="126">
        <f>AVERAGE(U156:U158)</f>
        <v>7.5266666666666664</v>
      </c>
    </row>
    <row r="160" spans="6:21" ht="15.75" thickBot="1" x14ac:dyDescent="0.3">
      <c r="F160" s="458"/>
      <c r="G160" s="113" t="s">
        <v>35</v>
      </c>
      <c r="H160" s="110"/>
      <c r="I160" s="78"/>
      <c r="J160" s="117">
        <f>STDEV(J156:J158)</f>
        <v>14.977761292440608</v>
      </c>
      <c r="L160" s="113" t="s">
        <v>35</v>
      </c>
      <c r="M160" s="110"/>
      <c r="N160" s="78"/>
      <c r="O160" s="117">
        <f>STDEV(O156:O158)</f>
        <v>15</v>
      </c>
      <c r="P160" s="93"/>
      <c r="Q160" s="268"/>
      <c r="R160" s="93"/>
      <c r="T160" s="97" t="s">
        <v>156</v>
      </c>
      <c r="U160" s="106">
        <f>STDEV(U156:U158)</f>
        <v>5.0332229568471533E-2</v>
      </c>
    </row>
    <row r="161" spans="6:21" x14ac:dyDescent="0.25">
      <c r="F161" s="458"/>
      <c r="G161" s="450">
        <v>40</v>
      </c>
      <c r="H161" s="109"/>
      <c r="I161" s="109">
        <v>82</v>
      </c>
      <c r="J161" s="115">
        <f>I161</f>
        <v>82</v>
      </c>
      <c r="L161" s="450">
        <v>40</v>
      </c>
      <c r="M161" s="109"/>
      <c r="N161" s="109">
        <v>36</v>
      </c>
      <c r="O161" s="115">
        <f>N161</f>
        <v>36</v>
      </c>
      <c r="P161" s="103"/>
      <c r="Q161" s="266"/>
      <c r="R161" s="103"/>
    </row>
    <row r="162" spans="6:21" x14ac:dyDescent="0.25">
      <c r="F162" s="458"/>
      <c r="G162" s="450"/>
      <c r="H162" s="109"/>
      <c r="I162" s="109">
        <v>81</v>
      </c>
      <c r="J162" s="115">
        <f t="shared" ref="J162:J163" si="56">I162</f>
        <v>81</v>
      </c>
      <c r="L162" s="450"/>
      <c r="M162" s="109"/>
      <c r="N162" s="109">
        <v>45</v>
      </c>
      <c r="O162" s="115">
        <f t="shared" ref="O162:O163" si="57">N162</f>
        <v>45</v>
      </c>
      <c r="P162" s="103"/>
      <c r="Q162" s="266"/>
      <c r="R162" s="103"/>
    </row>
    <row r="163" spans="6:21" x14ac:dyDescent="0.25">
      <c r="F163" s="458"/>
      <c r="G163" s="450"/>
      <c r="H163" s="109"/>
      <c r="I163" s="109">
        <v>96</v>
      </c>
      <c r="J163" s="115">
        <f t="shared" si="56"/>
        <v>96</v>
      </c>
      <c r="L163" s="450"/>
      <c r="M163" s="109"/>
      <c r="N163" s="109">
        <v>49</v>
      </c>
      <c r="O163" s="115">
        <f t="shared" si="57"/>
        <v>49</v>
      </c>
      <c r="P163" s="103"/>
      <c r="Q163" s="266"/>
      <c r="R163" s="103"/>
    </row>
    <row r="164" spans="6:21" x14ac:dyDescent="0.25">
      <c r="F164" s="458"/>
      <c r="G164" s="113" t="s">
        <v>154</v>
      </c>
      <c r="H164" s="110"/>
      <c r="I164" s="78"/>
      <c r="J164" s="116">
        <f>AVERAGE(J161:J163)</f>
        <v>86.333333333333329</v>
      </c>
      <c r="L164" s="113" t="s">
        <v>154</v>
      </c>
      <c r="M164" s="110"/>
      <c r="N164" s="78"/>
      <c r="O164" s="116">
        <f>AVERAGE(O161:O163)</f>
        <v>43.333333333333336</v>
      </c>
      <c r="P164" s="93"/>
      <c r="Q164" s="267">
        <f>(($C$13-J164)/$C$13)*100</f>
        <v>36.049382716049386</v>
      </c>
      <c r="R164" s="93"/>
    </row>
    <row r="165" spans="6:21" x14ac:dyDescent="0.25">
      <c r="F165" s="458"/>
      <c r="G165" s="113" t="s">
        <v>35</v>
      </c>
      <c r="H165" s="110"/>
      <c r="I165" s="78"/>
      <c r="J165" s="117">
        <f>STDEV(J161:J163)</f>
        <v>8.3864970836060841</v>
      </c>
      <c r="L165" s="113" t="s">
        <v>35</v>
      </c>
      <c r="M165" s="110"/>
      <c r="N165" s="78"/>
      <c r="O165" s="117">
        <f>STDEV(O161:O163)</f>
        <v>6.6583281184794041</v>
      </c>
      <c r="P165" s="93"/>
      <c r="Q165" s="268"/>
      <c r="R165" s="93"/>
    </row>
    <row r="166" spans="6:21" x14ac:dyDescent="0.25">
      <c r="F166" s="458"/>
      <c r="G166" s="450">
        <v>41</v>
      </c>
      <c r="H166" s="111"/>
      <c r="I166" s="111">
        <v>96</v>
      </c>
      <c r="J166" s="114">
        <f>I166</f>
        <v>96</v>
      </c>
      <c r="L166" s="451">
        <v>41</v>
      </c>
      <c r="M166" s="111"/>
      <c r="N166" s="111">
        <v>34</v>
      </c>
      <c r="O166" s="114">
        <f>N166</f>
        <v>34</v>
      </c>
      <c r="P166" s="103"/>
      <c r="Q166" s="266"/>
      <c r="R166" s="103"/>
    </row>
    <row r="167" spans="6:21" x14ac:dyDescent="0.25">
      <c r="F167" s="458"/>
      <c r="G167" s="450"/>
      <c r="H167" s="109"/>
      <c r="I167" s="109">
        <v>115</v>
      </c>
      <c r="J167" s="115">
        <f t="shared" ref="J167:J168" si="58">I167</f>
        <v>115</v>
      </c>
      <c r="L167" s="450"/>
      <c r="M167" s="109"/>
      <c r="N167" s="109">
        <v>56</v>
      </c>
      <c r="O167" s="115">
        <f t="shared" ref="O167:O168" si="59">N167</f>
        <v>56</v>
      </c>
      <c r="P167" s="103"/>
      <c r="Q167" s="266"/>
      <c r="R167" s="103"/>
    </row>
    <row r="168" spans="6:21" x14ac:dyDescent="0.25">
      <c r="F168" s="458"/>
      <c r="G168" s="450"/>
      <c r="H168" s="109"/>
      <c r="I168" s="109">
        <v>90</v>
      </c>
      <c r="J168" s="115">
        <f t="shared" si="58"/>
        <v>90</v>
      </c>
      <c r="L168" s="450"/>
      <c r="M168" s="109"/>
      <c r="N168" s="109">
        <v>57</v>
      </c>
      <c r="O168" s="115">
        <f t="shared" si="59"/>
        <v>57</v>
      </c>
      <c r="P168" s="103"/>
      <c r="Q168" s="266"/>
      <c r="R168" s="103"/>
    </row>
    <row r="169" spans="6:21" x14ac:dyDescent="0.25">
      <c r="F169" s="458"/>
      <c r="G169" s="113" t="s">
        <v>154</v>
      </c>
      <c r="H169" s="252"/>
      <c r="I169" s="253"/>
      <c r="J169" s="116">
        <f>AVERAGE(J166:J168)</f>
        <v>100.33333333333333</v>
      </c>
      <c r="K169" s="248"/>
      <c r="L169" s="113" t="s">
        <v>154</v>
      </c>
      <c r="M169" s="252"/>
      <c r="N169" s="253"/>
      <c r="O169" s="116">
        <f>AVERAGE(O156,O158,O161:O163,O166:O168)</f>
        <v>44.5</v>
      </c>
      <c r="P169" s="125"/>
      <c r="Q169" s="270">
        <f>AVERAGE(Q157:Q167)</f>
        <v>28.641975308641982</v>
      </c>
      <c r="R169" s="93"/>
      <c r="T169" s="418" t="s">
        <v>34</v>
      </c>
      <c r="U169" s="418"/>
    </row>
    <row r="170" spans="6:21" ht="15.75" thickBot="1" x14ac:dyDescent="0.3">
      <c r="F170" s="459"/>
      <c r="G170" s="244" t="s">
        <v>35</v>
      </c>
      <c r="H170" s="256"/>
      <c r="I170" s="257"/>
      <c r="J170" s="251">
        <f>STDEV(J166:J168)</f>
        <v>13.051181300301286</v>
      </c>
      <c r="K170" s="248"/>
      <c r="L170" s="244" t="s">
        <v>35</v>
      </c>
      <c r="M170" s="256"/>
      <c r="N170" s="257"/>
      <c r="O170" s="251">
        <f>STDEV(O156,O158,O161:O163,O166:O168)</f>
        <v>9.6658456137355842</v>
      </c>
      <c r="P170" s="125"/>
      <c r="Q170" s="270">
        <f>STDEV(Q157:Q167)</f>
        <v>10.475656017578466</v>
      </c>
      <c r="R170" s="93"/>
      <c r="T170" s="1"/>
      <c r="U170" s="107"/>
    </row>
    <row r="171" spans="6:21" x14ac:dyDescent="0.25">
      <c r="F171" s="102"/>
      <c r="G171" s="113" t="s">
        <v>4</v>
      </c>
      <c r="H171" s="110"/>
      <c r="I171" s="78"/>
      <c r="J171" s="116">
        <f>AVERAGE(J156:J158,J161:J163,J166:J168)</f>
        <v>97.666666666666671</v>
      </c>
      <c r="L171" s="199"/>
      <c r="M171" s="243"/>
      <c r="N171" s="224"/>
      <c r="O171" s="116">
        <f>AVERAGE(O168:O170)</f>
        <v>37.055281871245192</v>
      </c>
      <c r="P171" s="100"/>
      <c r="Q171" s="268"/>
      <c r="R171" s="100"/>
      <c r="T171" s="1"/>
      <c r="U171" s="107"/>
    </row>
    <row r="172" spans="6:21" ht="15.75" thickBot="1" x14ac:dyDescent="0.3">
      <c r="F172" s="102"/>
      <c r="G172" s="113" t="s">
        <v>35</v>
      </c>
      <c r="H172" s="121"/>
      <c r="I172" s="81"/>
      <c r="J172" s="122">
        <f>STDEV(J156:J158,J161:J163,J166:J168)</f>
        <v>13.973188612482121</v>
      </c>
      <c r="L172" s="199"/>
      <c r="M172" s="243"/>
      <c r="N172" s="224"/>
      <c r="O172" s="122">
        <f>STDEV(O168:O170)</f>
        <v>24.529541656503415</v>
      </c>
      <c r="P172" s="100"/>
      <c r="Q172" s="268"/>
      <c r="R172" s="100"/>
      <c r="T172" s="1"/>
      <c r="U172" s="107"/>
    </row>
    <row r="173" spans="6:21" x14ac:dyDescent="0.25">
      <c r="F173" s="457" t="s">
        <v>149</v>
      </c>
      <c r="G173" s="449">
        <v>42</v>
      </c>
      <c r="H173" s="119"/>
      <c r="I173" s="119">
        <v>75</v>
      </c>
      <c r="J173" s="114">
        <f>I173</f>
        <v>75</v>
      </c>
      <c r="L173" s="449">
        <v>42</v>
      </c>
      <c r="M173" s="119"/>
      <c r="N173" s="119">
        <v>26</v>
      </c>
      <c r="O173" s="114">
        <f>N173</f>
        <v>26</v>
      </c>
      <c r="P173" s="103"/>
      <c r="Q173" s="266"/>
      <c r="R173" s="103"/>
      <c r="S173" s="1">
        <v>42</v>
      </c>
      <c r="U173" s="99">
        <v>7.43</v>
      </c>
    </row>
    <row r="174" spans="6:21" x14ac:dyDescent="0.25">
      <c r="F174" s="458"/>
      <c r="G174" s="450"/>
      <c r="H174" s="109"/>
      <c r="I174" s="109">
        <v>90</v>
      </c>
      <c r="J174" s="115">
        <f t="shared" ref="J174:J175" si="60">I174</f>
        <v>90</v>
      </c>
      <c r="L174" s="450"/>
      <c r="M174" s="109"/>
      <c r="N174" s="109">
        <v>34</v>
      </c>
      <c r="O174" s="115">
        <f t="shared" ref="O174:O175" si="61">N174</f>
        <v>34</v>
      </c>
      <c r="P174" s="103"/>
      <c r="Q174" s="266"/>
      <c r="R174" s="103"/>
      <c r="S174" s="1">
        <v>43</v>
      </c>
      <c r="U174" s="99">
        <v>7.47</v>
      </c>
    </row>
    <row r="175" spans="6:21" x14ac:dyDescent="0.25">
      <c r="F175" s="458"/>
      <c r="G175" s="450"/>
      <c r="H175" s="109"/>
      <c r="I175" s="109">
        <v>84</v>
      </c>
      <c r="J175" s="115">
        <f t="shared" si="60"/>
        <v>84</v>
      </c>
      <c r="L175" s="450"/>
      <c r="M175" s="109"/>
      <c r="N175" s="109">
        <v>36</v>
      </c>
      <c r="O175" s="115">
        <f t="shared" si="61"/>
        <v>36</v>
      </c>
      <c r="P175" s="103"/>
      <c r="Q175" s="266"/>
      <c r="R175" s="103"/>
      <c r="S175" s="1">
        <v>44</v>
      </c>
      <c r="U175" s="99">
        <v>7.48</v>
      </c>
    </row>
    <row r="176" spans="6:21" x14ac:dyDescent="0.25">
      <c r="F176" s="458"/>
      <c r="G176" s="113" t="s">
        <v>154</v>
      </c>
      <c r="H176" s="110"/>
      <c r="I176" s="78"/>
      <c r="J176" s="116">
        <f>AVERAGE(J173:J175)</f>
        <v>83</v>
      </c>
      <c r="L176" s="113" t="s">
        <v>154</v>
      </c>
      <c r="M176" s="110"/>
      <c r="N176" s="78"/>
      <c r="O176" s="116">
        <f>AVERAGE(O173:O175)</f>
        <v>32</v>
      </c>
      <c r="P176" s="93"/>
      <c r="Q176" s="267">
        <f>(($C$14-J176)/$C$14)*100</f>
        <v>77.978892753964985</v>
      </c>
      <c r="R176" s="93"/>
      <c r="T176" s="310" t="s">
        <v>122</v>
      </c>
      <c r="U176" s="126">
        <f>AVERAGE(U173:U175)</f>
        <v>7.46</v>
      </c>
    </row>
    <row r="177" spans="6:21" ht="15.75" thickBot="1" x14ac:dyDescent="0.3">
      <c r="F177" s="458"/>
      <c r="G177" s="113" t="s">
        <v>35</v>
      </c>
      <c r="H177" s="110"/>
      <c r="I177" s="78"/>
      <c r="J177" s="117">
        <f>STDEV(J173:J175)</f>
        <v>7.5498344352707498</v>
      </c>
      <c r="L177" s="113" t="s">
        <v>35</v>
      </c>
      <c r="M177" s="110"/>
      <c r="N177" s="78"/>
      <c r="O177" s="117">
        <f>STDEV(O173:O175)</f>
        <v>5.2915026221291814</v>
      </c>
      <c r="P177" s="93"/>
      <c r="Q177" s="268"/>
      <c r="R177" s="93"/>
      <c r="T177" s="97" t="s">
        <v>156</v>
      </c>
      <c r="U177" s="106">
        <f>STDEV(U173:U175)</f>
        <v>2.6457513110646182E-2</v>
      </c>
    </row>
    <row r="178" spans="6:21" x14ac:dyDescent="0.25">
      <c r="F178" s="458"/>
      <c r="G178" s="450">
        <v>43</v>
      </c>
      <c r="H178" s="109"/>
      <c r="I178" s="109">
        <v>103</v>
      </c>
      <c r="J178" s="115">
        <f>I178</f>
        <v>103</v>
      </c>
      <c r="L178" s="450">
        <v>43</v>
      </c>
      <c r="M178" s="109"/>
      <c r="N178" s="109">
        <v>33</v>
      </c>
      <c r="O178" s="115">
        <f>N178</f>
        <v>33</v>
      </c>
      <c r="P178" s="103"/>
      <c r="Q178" s="266"/>
      <c r="R178" s="103"/>
    </row>
    <row r="179" spans="6:21" x14ac:dyDescent="0.25">
      <c r="F179" s="458"/>
      <c r="G179" s="450"/>
      <c r="H179" s="109"/>
      <c r="I179" s="109">
        <v>101</v>
      </c>
      <c r="J179" s="115">
        <f t="shared" ref="J179:J180" si="62">I179</f>
        <v>101</v>
      </c>
      <c r="L179" s="450"/>
      <c r="M179" s="109"/>
      <c r="N179" s="109">
        <v>39</v>
      </c>
      <c r="O179" s="115">
        <f t="shared" ref="O179:O180" si="63">N179</f>
        <v>39</v>
      </c>
      <c r="P179" s="103"/>
      <c r="Q179" s="266"/>
      <c r="R179" s="103"/>
    </row>
    <row r="180" spans="6:21" x14ac:dyDescent="0.25">
      <c r="F180" s="458"/>
      <c r="G180" s="450"/>
      <c r="H180" s="109"/>
      <c r="I180" s="109">
        <v>95</v>
      </c>
      <c r="J180" s="115">
        <f t="shared" si="62"/>
        <v>95</v>
      </c>
      <c r="L180" s="450"/>
      <c r="M180" s="109"/>
      <c r="N180" s="109"/>
      <c r="O180" s="242">
        <f t="shared" si="63"/>
        <v>0</v>
      </c>
      <c r="P180" s="103"/>
      <c r="Q180" s="266"/>
      <c r="R180" s="103"/>
    </row>
    <row r="181" spans="6:21" x14ac:dyDescent="0.25">
      <c r="F181" s="458"/>
      <c r="G181" s="113" t="s">
        <v>154</v>
      </c>
      <c r="H181" s="110"/>
      <c r="I181" s="78"/>
      <c r="J181" s="116">
        <f>AVERAGE(J178:J180)</f>
        <v>99.666666666666671</v>
      </c>
      <c r="L181" s="113" t="s">
        <v>154</v>
      </c>
      <c r="M181" s="110"/>
      <c r="N181" s="78"/>
      <c r="O181" s="116">
        <f>AVERAGE(O178:O179)</f>
        <v>36</v>
      </c>
      <c r="P181" s="93"/>
      <c r="Q181" s="267">
        <f>(($C$14-J181)/$C$14)*100</f>
        <v>73.556983668415782</v>
      </c>
      <c r="R181" s="93"/>
    </row>
    <row r="182" spans="6:21" x14ac:dyDescent="0.25">
      <c r="F182" s="458"/>
      <c r="G182" s="113" t="s">
        <v>35</v>
      </c>
      <c r="H182" s="110"/>
      <c r="I182" s="78"/>
      <c r="J182" s="117">
        <f>STDEV(J178:J180)</f>
        <v>4.1633319989322652</v>
      </c>
      <c r="L182" s="113" t="s">
        <v>35</v>
      </c>
      <c r="M182" s="110"/>
      <c r="N182" s="78"/>
      <c r="O182" s="117">
        <f>STDEV(O178:O179)</f>
        <v>4.2426406871192848</v>
      </c>
      <c r="P182" s="93"/>
      <c r="Q182" s="268"/>
      <c r="R182" s="93"/>
    </row>
    <row r="183" spans="6:21" x14ac:dyDescent="0.25">
      <c r="F183" s="458"/>
      <c r="G183" s="450">
        <v>44</v>
      </c>
      <c r="H183" s="111"/>
      <c r="I183" s="111">
        <v>73</v>
      </c>
      <c r="J183" s="114">
        <f>I183</f>
        <v>73</v>
      </c>
      <c r="L183" s="451">
        <v>44</v>
      </c>
      <c r="M183" s="111"/>
      <c r="N183" s="111">
        <v>16</v>
      </c>
      <c r="O183" s="114">
        <f>N183</f>
        <v>16</v>
      </c>
      <c r="P183" s="103"/>
      <c r="Q183" s="266"/>
      <c r="R183" s="103"/>
    </row>
    <row r="184" spans="6:21" x14ac:dyDescent="0.25">
      <c r="F184" s="458"/>
      <c r="G184" s="450"/>
      <c r="H184" s="109"/>
      <c r="I184" s="109">
        <v>81</v>
      </c>
      <c r="J184" s="115">
        <f t="shared" ref="J184:J185" si="64">I184</f>
        <v>81</v>
      </c>
      <c r="L184" s="450"/>
      <c r="M184" s="109"/>
      <c r="N184" s="109">
        <v>21</v>
      </c>
      <c r="O184" s="115">
        <f t="shared" ref="O184:O185" si="65">N184</f>
        <v>21</v>
      </c>
      <c r="P184" s="103"/>
      <c r="Q184" s="266"/>
      <c r="R184" s="103"/>
    </row>
    <row r="185" spans="6:21" x14ac:dyDescent="0.25">
      <c r="F185" s="458"/>
      <c r="G185" s="450"/>
      <c r="H185" s="109"/>
      <c r="I185" s="109">
        <v>82</v>
      </c>
      <c r="J185" s="115">
        <f t="shared" si="64"/>
        <v>82</v>
      </c>
      <c r="L185" s="450"/>
      <c r="M185" s="109"/>
      <c r="N185" s="109">
        <v>28</v>
      </c>
      <c r="O185" s="115">
        <f t="shared" si="65"/>
        <v>28</v>
      </c>
      <c r="P185" s="103"/>
      <c r="Q185" s="266"/>
      <c r="R185" s="103"/>
    </row>
    <row r="186" spans="6:21" x14ac:dyDescent="0.25">
      <c r="F186" s="458"/>
      <c r="G186" s="113" t="s">
        <v>154</v>
      </c>
      <c r="H186" s="260"/>
      <c r="I186" s="261"/>
      <c r="J186" s="116">
        <f>AVERAGE(J183:J185)</f>
        <v>78.666666666666671</v>
      </c>
      <c r="K186" s="248"/>
      <c r="L186" s="113" t="s">
        <v>154</v>
      </c>
      <c r="M186" s="260"/>
      <c r="N186" s="261"/>
      <c r="O186" s="116">
        <f>AVERAGE(O173:O175,O178:O179,O183:O185)</f>
        <v>29.125</v>
      </c>
      <c r="P186" s="93"/>
      <c r="Q186" s="267">
        <f>(($C$14-J186)/$C$14)*100</f>
        <v>79.128589116207763</v>
      </c>
      <c r="R186" s="93"/>
      <c r="T186" s="418" t="s">
        <v>34</v>
      </c>
      <c r="U186" s="418"/>
    </row>
    <row r="187" spans="6:21" ht="15.75" thickBot="1" x14ac:dyDescent="0.3">
      <c r="F187" s="459"/>
      <c r="G187" s="259" t="s">
        <v>35</v>
      </c>
      <c r="H187" s="262"/>
      <c r="I187" s="263"/>
      <c r="J187" s="264">
        <f>STDEV(J183:J185)</f>
        <v>4.9328828623162471</v>
      </c>
      <c r="K187" s="248"/>
      <c r="L187" s="259" t="s">
        <v>35</v>
      </c>
      <c r="M187" s="262"/>
      <c r="N187" s="263"/>
      <c r="O187" s="264">
        <f>STDEV(O173:O175,O178:O179,O183:O185)</f>
        <v>7.8637958845767173</v>
      </c>
      <c r="P187" s="93"/>
      <c r="Q187" s="269"/>
      <c r="R187" s="93"/>
      <c r="T187" s="1"/>
      <c r="U187" s="107"/>
    </row>
    <row r="188" spans="6:21" x14ac:dyDescent="0.25">
      <c r="F188" s="102"/>
      <c r="G188" s="113" t="s">
        <v>154</v>
      </c>
      <c r="H188" s="252"/>
      <c r="I188" s="253"/>
      <c r="J188" s="116">
        <f>AVERAGE(J173:J175,J178:J180,J183:J185)</f>
        <v>87.111111111111114</v>
      </c>
      <c r="K188" s="248"/>
      <c r="L188" s="113" t="s">
        <v>154</v>
      </c>
      <c r="M188" s="252"/>
      <c r="N188" s="253"/>
      <c r="O188" s="116">
        <f>AVERAGE(O173:O175,O178:O179,O183:O185)</f>
        <v>29.125</v>
      </c>
      <c r="P188" s="125"/>
      <c r="Q188" s="270">
        <f>AVERAGE(Q176:Q186)</f>
        <v>76.888155179529505</v>
      </c>
      <c r="R188" s="100"/>
      <c r="T188" s="1"/>
      <c r="U188" s="107"/>
    </row>
    <row r="189" spans="6:21" ht="15.75" thickBot="1" x14ac:dyDescent="0.3">
      <c r="F189" s="102"/>
      <c r="G189" s="244" t="s">
        <v>35</v>
      </c>
      <c r="H189" s="256"/>
      <c r="I189" s="257"/>
      <c r="J189" s="251">
        <f>STDEV(J173:J175,J178:J180,J183:J185)</f>
        <v>10.810231778787692</v>
      </c>
      <c r="K189" s="248"/>
      <c r="L189" s="244" t="s">
        <v>35</v>
      </c>
      <c r="M189" s="256"/>
      <c r="N189" s="257"/>
      <c r="O189" s="251">
        <f>STDEV(O185:O187)</f>
        <v>11.96363337797567</v>
      </c>
      <c r="P189" s="125"/>
      <c r="Q189" s="270">
        <f>STDEV(Q176:Q186)</f>
        <v>2.9415944925635755</v>
      </c>
      <c r="R189" s="100"/>
      <c r="T189" s="1"/>
      <c r="U189" s="107"/>
    </row>
    <row r="190" spans="6:21" x14ac:dyDescent="0.25">
      <c r="F190" s="457" t="s">
        <v>38</v>
      </c>
      <c r="G190" s="449">
        <v>45</v>
      </c>
      <c r="H190" s="119"/>
      <c r="I190" s="119">
        <v>138</v>
      </c>
      <c r="J190" s="114">
        <f>I190</f>
        <v>138</v>
      </c>
      <c r="L190" s="449">
        <v>45</v>
      </c>
      <c r="M190" s="119"/>
      <c r="N190" s="119">
        <v>37</v>
      </c>
      <c r="O190" s="114">
        <f>N190</f>
        <v>37</v>
      </c>
      <c r="P190" s="103"/>
      <c r="Q190" s="266"/>
      <c r="R190" s="103"/>
      <c r="S190" s="1">
        <v>45</v>
      </c>
      <c r="U190" s="99">
        <v>7.65</v>
      </c>
    </row>
    <row r="191" spans="6:21" x14ac:dyDescent="0.25">
      <c r="F191" s="458"/>
      <c r="G191" s="450"/>
      <c r="H191" s="109"/>
      <c r="I191" s="109">
        <v>153</v>
      </c>
      <c r="J191" s="115">
        <f t="shared" ref="J191:J192" si="66">I191</f>
        <v>153</v>
      </c>
      <c r="L191" s="450"/>
      <c r="M191" s="109"/>
      <c r="N191" s="109">
        <v>36</v>
      </c>
      <c r="O191" s="115">
        <f t="shared" ref="O191:O192" si="67">N191</f>
        <v>36</v>
      </c>
      <c r="P191" s="103"/>
      <c r="Q191" s="266"/>
      <c r="R191" s="103"/>
      <c r="S191" s="1">
        <v>46</v>
      </c>
      <c r="U191" s="99">
        <v>7.66</v>
      </c>
    </row>
    <row r="192" spans="6:21" x14ac:dyDescent="0.25">
      <c r="F192" s="458"/>
      <c r="G192" s="450"/>
      <c r="H192" s="109"/>
      <c r="I192" s="109">
        <v>145</v>
      </c>
      <c r="J192" s="115">
        <f t="shared" si="66"/>
        <v>145</v>
      </c>
      <c r="L192" s="450"/>
      <c r="M192" s="109"/>
      <c r="N192" s="109">
        <v>59</v>
      </c>
      <c r="O192" s="115">
        <f t="shared" si="67"/>
        <v>59</v>
      </c>
      <c r="P192" s="103"/>
      <c r="Q192" s="266"/>
      <c r="R192" s="103"/>
      <c r="S192" s="1">
        <v>47</v>
      </c>
      <c r="U192" s="99">
        <v>7.71</v>
      </c>
    </row>
    <row r="193" spans="6:21" x14ac:dyDescent="0.25">
      <c r="F193" s="458"/>
      <c r="G193" s="113" t="s">
        <v>154</v>
      </c>
      <c r="H193" s="110"/>
      <c r="I193" s="78"/>
      <c r="J193" s="116">
        <f>AVERAGE(J190:J192)</f>
        <v>145.33333333333334</v>
      </c>
      <c r="L193" s="113" t="s">
        <v>154</v>
      </c>
      <c r="M193" s="110"/>
      <c r="N193" s="78"/>
      <c r="O193" s="116">
        <f>AVERAGE(O190:O192)</f>
        <v>44</v>
      </c>
      <c r="P193" s="93"/>
      <c r="Q193" s="267">
        <f>(($C$15-J193)/$C$15)*100</f>
        <v>68.67215941751293</v>
      </c>
      <c r="R193" s="93"/>
      <c r="T193" s="310" t="s">
        <v>122</v>
      </c>
      <c r="U193" s="126">
        <f>AVERAGE(U190:U192)</f>
        <v>7.6733333333333329</v>
      </c>
    </row>
    <row r="194" spans="6:21" ht="15.75" thickBot="1" x14ac:dyDescent="0.3">
      <c r="F194" s="458"/>
      <c r="G194" s="113" t="s">
        <v>35</v>
      </c>
      <c r="H194" s="110"/>
      <c r="I194" s="78"/>
      <c r="J194" s="117">
        <f>STDEV(J190:J192)</f>
        <v>7.5055534994651349</v>
      </c>
      <c r="L194" s="113" t="s">
        <v>35</v>
      </c>
      <c r="M194" s="110"/>
      <c r="N194" s="78"/>
      <c r="O194" s="117">
        <f>STDEV(O190:O192)</f>
        <v>13</v>
      </c>
      <c r="P194" s="93"/>
      <c r="Q194" s="268"/>
      <c r="R194" s="93"/>
      <c r="T194" s="97" t="s">
        <v>156</v>
      </c>
      <c r="U194" s="106">
        <f>STDEV(U190:U192)</f>
        <v>3.2145502536643007E-2</v>
      </c>
    </row>
    <row r="195" spans="6:21" x14ac:dyDescent="0.25">
      <c r="F195" s="458"/>
      <c r="G195" s="450">
        <v>46</v>
      </c>
      <c r="H195" s="109"/>
      <c r="I195" s="109">
        <v>135</v>
      </c>
      <c r="J195" s="115">
        <f>I195</f>
        <v>135</v>
      </c>
      <c r="L195" s="450">
        <v>46</v>
      </c>
      <c r="M195" s="109"/>
      <c r="N195" s="109">
        <v>68</v>
      </c>
      <c r="O195" s="115">
        <f>N195</f>
        <v>68</v>
      </c>
      <c r="P195" s="103"/>
      <c r="Q195" s="266"/>
      <c r="R195" s="103"/>
    </row>
    <row r="196" spans="6:21" x14ac:dyDescent="0.25">
      <c r="F196" s="458"/>
      <c r="G196" s="450"/>
      <c r="H196" s="109"/>
      <c r="I196" s="109">
        <v>139</v>
      </c>
      <c r="J196" s="115">
        <f t="shared" ref="J196:J197" si="68">I196</f>
        <v>139</v>
      </c>
      <c r="L196" s="450"/>
      <c r="M196" s="109"/>
      <c r="N196" s="109">
        <v>68</v>
      </c>
      <c r="O196" s="115">
        <f t="shared" ref="O196:O197" si="69">N196</f>
        <v>68</v>
      </c>
      <c r="P196" s="103"/>
      <c r="Q196" s="266"/>
      <c r="R196" s="103"/>
    </row>
    <row r="197" spans="6:21" x14ac:dyDescent="0.25">
      <c r="F197" s="458"/>
      <c r="G197" s="450"/>
      <c r="H197" s="109"/>
      <c r="I197" s="109">
        <v>138</v>
      </c>
      <c r="J197" s="115">
        <f t="shared" si="68"/>
        <v>138</v>
      </c>
      <c r="L197" s="450"/>
      <c r="M197" s="109"/>
      <c r="N197" s="109">
        <v>58</v>
      </c>
      <c r="O197" s="115">
        <f t="shared" si="69"/>
        <v>58</v>
      </c>
      <c r="P197" s="103"/>
      <c r="Q197" s="266"/>
      <c r="R197" s="103"/>
    </row>
    <row r="198" spans="6:21" x14ac:dyDescent="0.25">
      <c r="F198" s="458"/>
      <c r="G198" s="113" t="s">
        <v>154</v>
      </c>
      <c r="H198" s="110"/>
      <c r="I198" s="78"/>
      <c r="J198" s="116">
        <f>AVERAGE(J195:J197)</f>
        <v>137.33333333333334</v>
      </c>
      <c r="L198" s="113" t="s">
        <v>154</v>
      </c>
      <c r="M198" s="110"/>
      <c r="N198" s="78"/>
      <c r="O198" s="116">
        <f>AVERAGE(O195:O197)</f>
        <v>64.666666666666671</v>
      </c>
      <c r="P198" s="93"/>
      <c r="Q198" s="267">
        <f>(($C$15-J198)/$C$15)*100</f>
        <v>70.396627706457181</v>
      </c>
      <c r="R198" s="93"/>
    </row>
    <row r="199" spans="6:21" x14ac:dyDescent="0.25">
      <c r="F199" s="458"/>
      <c r="G199" s="113" t="s">
        <v>35</v>
      </c>
      <c r="H199" s="110"/>
      <c r="I199" s="78"/>
      <c r="J199" s="117">
        <f>STDEV(J195:J197)</f>
        <v>2.0816659994661331</v>
      </c>
      <c r="L199" s="113" t="s">
        <v>35</v>
      </c>
      <c r="M199" s="110"/>
      <c r="N199" s="78"/>
      <c r="O199" s="117">
        <f>STDEV(O195:O197)</f>
        <v>5.7735026918962573</v>
      </c>
      <c r="P199" s="93"/>
      <c r="Q199" s="268"/>
      <c r="R199" s="93"/>
    </row>
    <row r="200" spans="6:21" x14ac:dyDescent="0.25">
      <c r="F200" s="458"/>
      <c r="G200" s="450">
        <v>47</v>
      </c>
      <c r="H200" s="111"/>
      <c r="I200" s="111">
        <v>146</v>
      </c>
      <c r="J200" s="114">
        <f>I200</f>
        <v>146</v>
      </c>
      <c r="L200" s="451">
        <v>47</v>
      </c>
      <c r="M200" s="111"/>
      <c r="N200" s="111">
        <v>55</v>
      </c>
      <c r="O200" s="114">
        <f>N200</f>
        <v>55</v>
      </c>
      <c r="P200" s="103"/>
      <c r="Q200" s="266"/>
      <c r="R200" s="103"/>
    </row>
    <row r="201" spans="6:21" x14ac:dyDescent="0.25">
      <c r="F201" s="458"/>
      <c r="G201" s="450"/>
      <c r="H201" s="109"/>
      <c r="I201" s="109">
        <v>143</v>
      </c>
      <c r="J201" s="115">
        <f t="shared" ref="J201:J202" si="70">I201</f>
        <v>143</v>
      </c>
      <c r="L201" s="450"/>
      <c r="M201" s="109"/>
      <c r="N201" s="109">
        <v>47</v>
      </c>
      <c r="O201" s="115">
        <f t="shared" ref="O201:O202" si="71">N201</f>
        <v>47</v>
      </c>
      <c r="P201" s="103"/>
      <c r="Q201" s="266"/>
      <c r="R201" s="103"/>
    </row>
    <row r="202" spans="6:21" x14ac:dyDescent="0.25">
      <c r="F202" s="458"/>
      <c r="G202" s="450"/>
      <c r="H202" s="109"/>
      <c r="I202" s="109">
        <v>146</v>
      </c>
      <c r="J202" s="115">
        <f t="shared" si="70"/>
        <v>146</v>
      </c>
      <c r="L202" s="450"/>
      <c r="M202" s="109"/>
      <c r="N202" s="109">
        <v>48</v>
      </c>
      <c r="O202" s="115">
        <f t="shared" si="71"/>
        <v>48</v>
      </c>
      <c r="P202" s="103"/>
      <c r="Q202" s="266"/>
      <c r="R202" s="103"/>
    </row>
    <row r="203" spans="6:21" x14ac:dyDescent="0.25">
      <c r="F203" s="458"/>
      <c r="G203" s="113" t="s">
        <v>154</v>
      </c>
      <c r="H203" s="110"/>
      <c r="I203" s="78"/>
      <c r="J203" s="116">
        <f>AVERAGE(J200:J202)</f>
        <v>145</v>
      </c>
      <c r="L203" s="113" t="s">
        <v>154</v>
      </c>
      <c r="M203" s="110"/>
      <c r="N203" s="78"/>
      <c r="O203" s="116">
        <f>AVERAGE(O200:O202)</f>
        <v>50</v>
      </c>
      <c r="P203" s="93"/>
      <c r="Q203" s="267">
        <f>(($C$15-J203)/$C$15)*100</f>
        <v>68.744012262885619</v>
      </c>
      <c r="R203" s="93"/>
      <c r="T203" s="418" t="s">
        <v>34</v>
      </c>
      <c r="U203" s="418"/>
    </row>
    <row r="204" spans="6:21" ht="15.75" thickBot="1" x14ac:dyDescent="0.3">
      <c r="F204" s="459"/>
      <c r="G204" s="113" t="s">
        <v>35</v>
      </c>
      <c r="H204" s="121"/>
      <c r="I204" s="81"/>
      <c r="J204" s="122">
        <f>STDEV(J200:J202)</f>
        <v>1.7320508075688772</v>
      </c>
      <c r="L204" s="113" t="s">
        <v>35</v>
      </c>
      <c r="M204" s="121"/>
      <c r="N204" s="81"/>
      <c r="O204" s="122">
        <f>STDEV(O200:O202)</f>
        <v>4.358898943540674</v>
      </c>
      <c r="P204" s="93"/>
      <c r="Q204" s="269"/>
      <c r="R204" s="93"/>
      <c r="T204" s="1"/>
      <c r="U204" s="107"/>
    </row>
    <row r="205" spans="6:21" x14ac:dyDescent="0.25">
      <c r="F205" s="102"/>
      <c r="G205" s="113" t="s">
        <v>154</v>
      </c>
      <c r="H205" s="252"/>
      <c r="I205" s="253"/>
      <c r="J205" s="116">
        <f>AVERAGE(J195:J197,J200:J202)</f>
        <v>141.16666666666666</v>
      </c>
      <c r="K205" s="248"/>
      <c r="L205" s="113" t="s">
        <v>154</v>
      </c>
      <c r="M205" s="252"/>
      <c r="N205" s="253"/>
      <c r="O205" s="116">
        <f>AVERAGE(O195:O197,O200:O202)</f>
        <v>57.333333333333336</v>
      </c>
      <c r="P205" s="125"/>
      <c r="Q205" s="270">
        <f>AVERAGE(Q193:Q203)</f>
        <v>69.27093312895191</v>
      </c>
      <c r="R205" s="100"/>
      <c r="T205" s="1"/>
      <c r="U205" s="107"/>
    </row>
    <row r="206" spans="6:21" ht="15.75" thickBot="1" x14ac:dyDescent="0.3">
      <c r="F206" s="102"/>
      <c r="G206" s="244" t="s">
        <v>35</v>
      </c>
      <c r="H206" s="256"/>
      <c r="I206" s="257"/>
      <c r="J206" s="251">
        <f>STDEV(J195:J197,J200:J202)</f>
        <v>4.5350486950711639</v>
      </c>
      <c r="K206" s="248"/>
      <c r="L206" s="244" t="s">
        <v>35</v>
      </c>
      <c r="M206" s="256"/>
      <c r="N206" s="257"/>
      <c r="O206" s="251">
        <f>STDEV(O195:O197,O200:O202)</f>
        <v>9.2448183685060261</v>
      </c>
      <c r="P206" s="125"/>
      <c r="Q206" s="270">
        <f>STDEV(Q193:Q203)</f>
        <v>0.97554185928417048</v>
      </c>
      <c r="R206" s="100"/>
      <c r="T206" s="1"/>
      <c r="U206" s="107"/>
    </row>
    <row r="207" spans="6:21" x14ac:dyDescent="0.25">
      <c r="F207" s="457" t="s">
        <v>150</v>
      </c>
      <c r="G207" s="449">
        <v>48</v>
      </c>
      <c r="H207" s="119"/>
      <c r="I207" s="119">
        <v>135</v>
      </c>
      <c r="J207" s="114">
        <f>I207</f>
        <v>135</v>
      </c>
      <c r="L207" s="449">
        <v>48</v>
      </c>
      <c r="M207" s="119"/>
      <c r="N207" s="119">
        <v>24</v>
      </c>
      <c r="O207" s="114">
        <f>N207</f>
        <v>24</v>
      </c>
      <c r="P207" s="103"/>
      <c r="Q207" s="266"/>
      <c r="R207" s="103"/>
      <c r="S207" s="1">
        <v>48</v>
      </c>
      <c r="U207" s="99">
        <v>7.54</v>
      </c>
    </row>
    <row r="208" spans="6:21" x14ac:dyDescent="0.25">
      <c r="F208" s="458"/>
      <c r="G208" s="450"/>
      <c r="H208" s="109"/>
      <c r="I208" s="109">
        <v>131</v>
      </c>
      <c r="J208" s="115">
        <f t="shared" ref="J208:J209" si="72">I208</f>
        <v>131</v>
      </c>
      <c r="L208" s="450"/>
      <c r="M208" s="109"/>
      <c r="N208" s="109">
        <v>29</v>
      </c>
      <c r="O208" s="115">
        <f t="shared" ref="O208:O209" si="73">N208</f>
        <v>29</v>
      </c>
      <c r="P208" s="103"/>
      <c r="Q208" s="266"/>
      <c r="R208" s="103"/>
      <c r="S208" s="1">
        <v>49</v>
      </c>
      <c r="U208" s="99">
        <v>7.55</v>
      </c>
    </row>
    <row r="209" spans="6:21" x14ac:dyDescent="0.25">
      <c r="F209" s="458"/>
      <c r="G209" s="450"/>
      <c r="H209" s="109"/>
      <c r="I209" s="109">
        <v>132</v>
      </c>
      <c r="J209" s="115">
        <f t="shared" si="72"/>
        <v>132</v>
      </c>
      <c r="L209" s="450"/>
      <c r="M209" s="109"/>
      <c r="N209" s="109">
        <v>30</v>
      </c>
      <c r="O209" s="115">
        <f t="shared" si="73"/>
        <v>30</v>
      </c>
      <c r="P209" s="103"/>
      <c r="Q209" s="266"/>
      <c r="R209" s="103"/>
      <c r="S209" s="1">
        <v>50</v>
      </c>
      <c r="U209" s="99">
        <v>7.67</v>
      </c>
    </row>
    <row r="210" spans="6:21" x14ac:dyDescent="0.25">
      <c r="F210" s="458"/>
      <c r="G210" s="113" t="s">
        <v>154</v>
      </c>
      <c r="H210" s="110"/>
      <c r="I210" s="78"/>
      <c r="J210" s="116">
        <f>AVERAGE(J207:J209)</f>
        <v>132.66666666666666</v>
      </c>
      <c r="L210" s="113" t="s">
        <v>154</v>
      </c>
      <c r="M210" s="110"/>
      <c r="N210" s="78"/>
      <c r="O210" s="116">
        <f>AVERAGE(O207:O209)</f>
        <v>27.666666666666668</v>
      </c>
      <c r="P210" s="93"/>
      <c r="Q210" s="267">
        <f>(($C$16-J210)/$C$16)*100</f>
        <v>82.83989652198909</v>
      </c>
      <c r="R210" s="93"/>
      <c r="T210" s="310" t="s">
        <v>122</v>
      </c>
      <c r="U210" s="126">
        <f>AVERAGE(U207:U209)</f>
        <v>7.586666666666666</v>
      </c>
    </row>
    <row r="211" spans="6:21" ht="15.75" thickBot="1" x14ac:dyDescent="0.3">
      <c r="F211" s="458"/>
      <c r="G211" s="113" t="s">
        <v>35</v>
      </c>
      <c r="H211" s="110"/>
      <c r="I211" s="78"/>
      <c r="J211" s="117">
        <f>STDEV(J207:J209)</f>
        <v>2.0816659994661331</v>
      </c>
      <c r="L211" s="113" t="s">
        <v>35</v>
      </c>
      <c r="M211" s="110"/>
      <c r="N211" s="78"/>
      <c r="O211" s="117">
        <f>STDEV(O207:O209)</f>
        <v>3.2145502536643185</v>
      </c>
      <c r="P211" s="93"/>
      <c r="Q211" s="268"/>
      <c r="R211" s="93"/>
      <c r="T211" s="97" t="s">
        <v>156</v>
      </c>
      <c r="U211" s="106">
        <f>STDEV(U207:U209)</f>
        <v>7.2341781380702339E-2</v>
      </c>
    </row>
    <row r="212" spans="6:21" x14ac:dyDescent="0.25">
      <c r="F212" s="458"/>
      <c r="G212" s="448">
        <v>49</v>
      </c>
      <c r="H212" s="109"/>
      <c r="I212" s="109">
        <v>129</v>
      </c>
      <c r="J212" s="115">
        <f>I212</f>
        <v>129</v>
      </c>
      <c r="L212" s="450">
        <v>49</v>
      </c>
      <c r="M212" s="109"/>
      <c r="N212" s="109">
        <v>59</v>
      </c>
      <c r="O212" s="115">
        <f>N212</f>
        <v>59</v>
      </c>
      <c r="P212" s="103"/>
      <c r="Q212" s="266"/>
      <c r="R212" s="103"/>
    </row>
    <row r="213" spans="6:21" x14ac:dyDescent="0.25">
      <c r="F213" s="458"/>
      <c r="G213" s="448"/>
      <c r="H213" s="109"/>
      <c r="I213" s="109">
        <v>128</v>
      </c>
      <c r="J213" s="115">
        <f t="shared" ref="J213:J214" si="74">I213</f>
        <v>128</v>
      </c>
      <c r="L213" s="450"/>
      <c r="M213" s="109"/>
      <c r="N213" s="109">
        <v>53</v>
      </c>
      <c r="O213" s="115">
        <f t="shared" ref="O213:O214" si="75">N213</f>
        <v>53</v>
      </c>
      <c r="P213" s="103"/>
      <c r="Q213" s="266"/>
      <c r="R213" s="103"/>
    </row>
    <row r="214" spans="6:21" x14ac:dyDescent="0.25">
      <c r="F214" s="458"/>
      <c r="G214" s="448"/>
      <c r="H214" s="109"/>
      <c r="I214" s="109">
        <v>134</v>
      </c>
      <c r="J214" s="115">
        <f t="shared" si="74"/>
        <v>134</v>
      </c>
      <c r="L214" s="450"/>
      <c r="M214" s="109"/>
      <c r="N214" s="109">
        <v>44</v>
      </c>
      <c r="O214" s="115">
        <f t="shared" si="75"/>
        <v>44</v>
      </c>
      <c r="P214" s="103"/>
      <c r="Q214" s="266"/>
      <c r="R214" s="103"/>
    </row>
    <row r="215" spans="6:21" x14ac:dyDescent="0.25">
      <c r="F215" s="458"/>
      <c r="G215" s="113" t="s">
        <v>154</v>
      </c>
      <c r="H215" s="110"/>
      <c r="I215" s="78"/>
      <c r="J215" s="116">
        <f>AVERAGE(J212:J214)</f>
        <v>130.33333333333334</v>
      </c>
      <c r="L215" s="113" t="s">
        <v>154</v>
      </c>
      <c r="M215" s="110"/>
      <c r="N215" s="78"/>
      <c r="O215" s="116">
        <f>AVERAGE(O212:O214)</f>
        <v>52</v>
      </c>
      <c r="P215" s="93"/>
      <c r="Q215" s="267">
        <f>(($C$16-J215)/$C$16)*100</f>
        <v>83.141707387180219</v>
      </c>
      <c r="R215" s="93"/>
    </row>
    <row r="216" spans="6:21" x14ac:dyDescent="0.25">
      <c r="F216" s="458"/>
      <c r="G216" s="113" t="s">
        <v>35</v>
      </c>
      <c r="H216" s="110"/>
      <c r="I216" s="78"/>
      <c r="J216" s="117">
        <f>STDEV(J212:J214)</f>
        <v>3.2145502536643185</v>
      </c>
      <c r="L216" s="113" t="s">
        <v>35</v>
      </c>
      <c r="M216" s="110"/>
      <c r="N216" s="78"/>
      <c r="O216" s="117">
        <f>STDEV(O212:O214)</f>
        <v>7.5498344352707498</v>
      </c>
      <c r="P216" s="93"/>
      <c r="Q216" s="268"/>
      <c r="R216" s="93"/>
    </row>
    <row r="217" spans="6:21" x14ac:dyDescent="0.25">
      <c r="F217" s="458"/>
      <c r="G217" s="451">
        <v>50</v>
      </c>
      <c r="H217" s="111"/>
      <c r="I217" s="111">
        <v>152</v>
      </c>
      <c r="J217" s="114">
        <f>I217</f>
        <v>152</v>
      </c>
      <c r="L217" s="451">
        <v>50</v>
      </c>
      <c r="M217" s="111"/>
      <c r="N217" s="111">
        <v>40</v>
      </c>
      <c r="O217" s="114">
        <f>N217</f>
        <v>40</v>
      </c>
      <c r="P217" s="103"/>
      <c r="Q217" s="266"/>
      <c r="R217" s="103"/>
    </row>
    <row r="218" spans="6:21" x14ac:dyDescent="0.25">
      <c r="F218" s="458"/>
      <c r="G218" s="450"/>
      <c r="H218" s="109"/>
      <c r="I218" s="109">
        <v>166</v>
      </c>
      <c r="J218" s="115">
        <f t="shared" ref="J218:J219" si="76">I218</f>
        <v>166</v>
      </c>
      <c r="L218" s="450"/>
      <c r="M218" s="109"/>
      <c r="N218" s="109">
        <v>39</v>
      </c>
      <c r="O218" s="115">
        <f t="shared" ref="O218:O219" si="77">N218</f>
        <v>39</v>
      </c>
      <c r="P218" s="103"/>
      <c r="Q218" s="266"/>
      <c r="R218" s="103"/>
    </row>
    <row r="219" spans="6:21" x14ac:dyDescent="0.25">
      <c r="F219" s="458"/>
      <c r="G219" s="450"/>
      <c r="H219" s="109"/>
      <c r="I219" s="109">
        <v>158</v>
      </c>
      <c r="J219" s="115">
        <f t="shared" si="76"/>
        <v>158</v>
      </c>
      <c r="L219" s="450"/>
      <c r="M219" s="109"/>
      <c r="N219" s="109">
        <v>44</v>
      </c>
      <c r="O219" s="115">
        <f t="shared" si="77"/>
        <v>44</v>
      </c>
      <c r="P219" s="103"/>
      <c r="Q219" s="266"/>
      <c r="R219" s="103"/>
    </row>
    <row r="220" spans="6:21" x14ac:dyDescent="0.25">
      <c r="F220" s="458"/>
      <c r="G220" s="113" t="s">
        <v>154</v>
      </c>
      <c r="H220" s="110"/>
      <c r="I220" s="78"/>
      <c r="J220" s="116">
        <f>AVERAGE(J217:J219)</f>
        <v>158.66666666666666</v>
      </c>
      <c r="L220" s="113" t="s">
        <v>154</v>
      </c>
      <c r="M220" s="110"/>
      <c r="N220" s="78"/>
      <c r="O220" s="116">
        <f>AVERAGE(O217:O219)</f>
        <v>41</v>
      </c>
      <c r="P220" s="93"/>
      <c r="Q220" s="267">
        <f>(($C$16-J220)/$C$16)*100</f>
        <v>79.476861167002014</v>
      </c>
      <c r="R220" s="93"/>
      <c r="T220" s="418" t="s">
        <v>34</v>
      </c>
      <c r="U220" s="418"/>
    </row>
    <row r="221" spans="6:21" ht="15.75" thickBot="1" x14ac:dyDescent="0.3">
      <c r="F221" s="459"/>
      <c r="G221" s="113" t="s">
        <v>35</v>
      </c>
      <c r="H221" s="121"/>
      <c r="I221" s="81"/>
      <c r="J221" s="122">
        <f>STDEV(J217:J219)</f>
        <v>7.0237691685684922</v>
      </c>
      <c r="L221" s="113" t="s">
        <v>35</v>
      </c>
      <c r="M221" s="121"/>
      <c r="N221" s="81"/>
      <c r="O221" s="122">
        <f>STDEV(O217:O219)</f>
        <v>2.6457513110645907</v>
      </c>
      <c r="P221" s="93"/>
      <c r="Q221" s="269"/>
      <c r="R221" s="93"/>
      <c r="T221" s="1"/>
      <c r="U221" s="107"/>
    </row>
    <row r="222" spans="6:21" x14ac:dyDescent="0.25">
      <c r="F222" s="102"/>
      <c r="G222" s="113" t="s">
        <v>154</v>
      </c>
      <c r="H222" s="252"/>
      <c r="I222" s="253"/>
      <c r="J222" s="116">
        <f>AVERAGE(J207:J209,J212:J214,J217:J219)</f>
        <v>140.55555555555554</v>
      </c>
      <c r="K222" s="248"/>
      <c r="L222" s="113" t="s">
        <v>154</v>
      </c>
      <c r="M222" s="252"/>
      <c r="N222" s="253"/>
      <c r="O222" s="116">
        <f>AVERAGE(O207:O209,O212:O214,O217:O219)</f>
        <v>40.222222222222221</v>
      </c>
      <c r="P222" s="125"/>
      <c r="Q222" s="270">
        <f>AVERAGE(Q210:Q220)</f>
        <v>81.819488358723774</v>
      </c>
      <c r="R222" s="100"/>
      <c r="T222" s="1"/>
      <c r="U222" s="107"/>
    </row>
    <row r="223" spans="6:21" ht="15.75" thickBot="1" x14ac:dyDescent="0.3">
      <c r="F223" s="102"/>
      <c r="G223" s="244" t="s">
        <v>35</v>
      </c>
      <c r="H223" s="256"/>
      <c r="I223" s="257"/>
      <c r="J223" s="251">
        <f>STDEV(J207:J209,J212:J214,J217:J219)</f>
        <v>14.196047963351553</v>
      </c>
      <c r="K223" s="248"/>
      <c r="L223" s="244" t="s">
        <v>35</v>
      </c>
      <c r="M223" s="256"/>
      <c r="N223" s="257"/>
      <c r="O223" s="251">
        <f>STDEV(O207:O209,O212:O214,O217:O219)</f>
        <v>11.399317718374391</v>
      </c>
      <c r="P223" s="125"/>
      <c r="Q223" s="270">
        <f>STDEV(Q210:Q220)</f>
        <v>2.0343792834996357</v>
      </c>
      <c r="R223" s="100"/>
      <c r="T223" s="1"/>
      <c r="U223" s="107"/>
    </row>
    <row r="224" spans="6:21" x14ac:dyDescent="0.25">
      <c r="F224" s="457" t="s">
        <v>39</v>
      </c>
      <c r="G224" s="449">
        <v>51</v>
      </c>
      <c r="H224" s="119"/>
      <c r="I224" s="119">
        <v>205</v>
      </c>
      <c r="J224" s="114">
        <f>I224</f>
        <v>205</v>
      </c>
      <c r="L224" s="449">
        <v>51</v>
      </c>
      <c r="M224" s="119"/>
      <c r="N224" s="119">
        <v>77</v>
      </c>
      <c r="O224" s="114">
        <f>N224</f>
        <v>77</v>
      </c>
      <c r="P224" s="103"/>
      <c r="Q224" s="266"/>
      <c r="R224" s="103"/>
      <c r="S224" s="1">
        <v>51</v>
      </c>
      <c r="U224" s="99">
        <v>7.56</v>
      </c>
    </row>
    <row r="225" spans="6:21" x14ac:dyDescent="0.25">
      <c r="F225" s="458"/>
      <c r="G225" s="450"/>
      <c r="H225" s="109"/>
      <c r="I225" s="109">
        <v>201</v>
      </c>
      <c r="J225" s="115">
        <f t="shared" ref="J225:J226" si="78">I225</f>
        <v>201</v>
      </c>
      <c r="L225" s="450"/>
      <c r="M225" s="109"/>
      <c r="N225" s="109">
        <v>76</v>
      </c>
      <c r="O225" s="115">
        <f t="shared" ref="O225:O226" si="79">N225</f>
        <v>76</v>
      </c>
      <c r="P225" s="103"/>
      <c r="Q225" s="266"/>
      <c r="R225" s="103"/>
      <c r="S225" s="1">
        <v>52</v>
      </c>
      <c r="U225" s="99">
        <v>7.69</v>
      </c>
    </row>
    <row r="226" spans="6:21" x14ac:dyDescent="0.25">
      <c r="F226" s="458"/>
      <c r="G226" s="450"/>
      <c r="H226" s="109"/>
      <c r="I226" s="109">
        <v>199</v>
      </c>
      <c r="J226" s="115">
        <f t="shared" si="78"/>
        <v>199</v>
      </c>
      <c r="L226" s="450"/>
      <c r="M226" s="109"/>
      <c r="N226" s="109">
        <v>78</v>
      </c>
      <c r="O226" s="115">
        <f t="shared" si="79"/>
        <v>78</v>
      </c>
      <c r="P226" s="103"/>
      <c r="Q226" s="266"/>
      <c r="R226" s="103"/>
      <c r="S226" s="1">
        <v>53</v>
      </c>
      <c r="U226" s="99">
        <v>7.72</v>
      </c>
    </row>
    <row r="227" spans="6:21" x14ac:dyDescent="0.25">
      <c r="F227" s="458"/>
      <c r="G227" s="113" t="s">
        <v>154</v>
      </c>
      <c r="H227" s="110"/>
      <c r="I227" s="78"/>
      <c r="J227" s="116">
        <f>AVERAGE(J224:J226)</f>
        <v>201.66666666666666</v>
      </c>
      <c r="L227" s="113" t="s">
        <v>154</v>
      </c>
      <c r="M227" s="110"/>
      <c r="N227" s="78"/>
      <c r="O227" s="116">
        <f>AVERAGE(O224:O226)</f>
        <v>77</v>
      </c>
      <c r="P227" s="93"/>
      <c r="Q227" s="267">
        <f>(($C$17-J227)/$C$17)*100</f>
        <v>79.642196175200496</v>
      </c>
      <c r="R227" s="93"/>
      <c r="T227" s="310" t="s">
        <v>122</v>
      </c>
      <c r="U227" s="126">
        <f>AVERAGE(U224:U226)</f>
        <v>7.6566666666666663</v>
      </c>
    </row>
    <row r="228" spans="6:21" ht="15.75" thickBot="1" x14ac:dyDescent="0.3">
      <c r="F228" s="458"/>
      <c r="G228" s="113" t="s">
        <v>35</v>
      </c>
      <c r="H228" s="110"/>
      <c r="I228" s="78"/>
      <c r="J228" s="117">
        <f>STDEV(J224:J226)</f>
        <v>3.0550504633038935</v>
      </c>
      <c r="L228" s="113" t="s">
        <v>35</v>
      </c>
      <c r="M228" s="110"/>
      <c r="N228" s="78"/>
      <c r="O228" s="117">
        <f>STDEV(O224:O226)</f>
        <v>1</v>
      </c>
      <c r="P228" s="93"/>
      <c r="Q228" s="268"/>
      <c r="R228" s="93"/>
      <c r="T228" s="97" t="s">
        <v>156</v>
      </c>
      <c r="U228" s="106">
        <f>STDEV(U224:U226)</f>
        <v>8.504900548115403E-2</v>
      </c>
    </row>
    <row r="229" spans="6:21" x14ac:dyDescent="0.25">
      <c r="F229" s="458"/>
      <c r="G229" s="448">
        <v>52</v>
      </c>
      <c r="H229" s="109"/>
      <c r="I229" s="109">
        <v>229</v>
      </c>
      <c r="J229" s="115">
        <f>I229</f>
        <v>229</v>
      </c>
      <c r="L229" s="450">
        <v>52</v>
      </c>
      <c r="M229" s="109"/>
      <c r="N229" s="109">
        <v>84</v>
      </c>
      <c r="O229" s="115">
        <f>N229</f>
        <v>84</v>
      </c>
      <c r="P229" s="103"/>
      <c r="Q229" s="266"/>
      <c r="R229" s="103"/>
    </row>
    <row r="230" spans="6:21" x14ac:dyDescent="0.25">
      <c r="F230" s="458"/>
      <c r="G230" s="448"/>
      <c r="H230" s="109"/>
      <c r="I230" s="109">
        <v>224</v>
      </c>
      <c r="J230" s="115">
        <f t="shared" ref="J230:J231" si="80">I230</f>
        <v>224</v>
      </c>
      <c r="L230" s="450"/>
      <c r="M230" s="109"/>
      <c r="N230" s="109">
        <v>74</v>
      </c>
      <c r="O230" s="115">
        <f t="shared" ref="O230:O231" si="81">N230</f>
        <v>74</v>
      </c>
      <c r="P230" s="103"/>
      <c r="Q230" s="266"/>
      <c r="R230" s="103"/>
    </row>
    <row r="231" spans="6:21" x14ac:dyDescent="0.25">
      <c r="F231" s="458"/>
      <c r="G231" s="448"/>
      <c r="H231" s="109"/>
      <c r="I231" s="109">
        <v>228</v>
      </c>
      <c r="J231" s="115">
        <f t="shared" si="80"/>
        <v>228</v>
      </c>
      <c r="L231" s="450"/>
      <c r="M231" s="109"/>
      <c r="N231" s="109">
        <v>82</v>
      </c>
      <c r="O231" s="115">
        <f t="shared" si="81"/>
        <v>82</v>
      </c>
      <c r="P231" s="103"/>
      <c r="Q231" s="266"/>
      <c r="R231" s="103"/>
    </row>
    <row r="232" spans="6:21" x14ac:dyDescent="0.25">
      <c r="F232" s="458"/>
      <c r="G232" s="113" t="s">
        <v>154</v>
      </c>
      <c r="H232" s="110"/>
      <c r="I232" s="78"/>
      <c r="J232" s="116">
        <f>AVERAGE(J229:J231)</f>
        <v>227</v>
      </c>
      <c r="L232" s="113" t="s">
        <v>154</v>
      </c>
      <c r="M232" s="110"/>
      <c r="N232" s="78"/>
      <c r="O232" s="116">
        <f>AVERAGE(O229:O231)</f>
        <v>80</v>
      </c>
      <c r="P232" s="93"/>
      <c r="Q232" s="267">
        <f>(($C$17-J232)/$C$17)*100</f>
        <v>77.084852223655432</v>
      </c>
      <c r="R232" s="93"/>
    </row>
    <row r="233" spans="6:21" x14ac:dyDescent="0.25">
      <c r="F233" s="458"/>
      <c r="G233" s="113" t="s">
        <v>35</v>
      </c>
      <c r="H233" s="110"/>
      <c r="I233" s="78"/>
      <c r="J233" s="117">
        <f>STDEV(J229:J231)</f>
        <v>2.6457513110645907</v>
      </c>
      <c r="L233" s="113" t="s">
        <v>35</v>
      </c>
      <c r="M233" s="110"/>
      <c r="N233" s="78"/>
      <c r="O233" s="117">
        <f>STDEV(O229:O231)</f>
        <v>5.2915026221291814</v>
      </c>
      <c r="P233" s="93"/>
      <c r="Q233" s="268"/>
      <c r="R233" s="93"/>
    </row>
    <row r="234" spans="6:21" x14ac:dyDescent="0.25">
      <c r="F234" s="458"/>
      <c r="G234" s="451">
        <v>53</v>
      </c>
      <c r="H234" s="111"/>
      <c r="I234" s="111">
        <v>261</v>
      </c>
      <c r="J234" s="114">
        <f>I234</f>
        <v>261</v>
      </c>
      <c r="L234" s="451">
        <v>53</v>
      </c>
      <c r="M234" s="111"/>
      <c r="N234" s="111"/>
      <c r="O234" s="258">
        <f>N234</f>
        <v>0</v>
      </c>
      <c r="P234" s="103"/>
      <c r="Q234" s="266"/>
      <c r="R234" s="103"/>
    </row>
    <row r="235" spans="6:21" x14ac:dyDescent="0.25">
      <c r="F235" s="458"/>
      <c r="G235" s="450"/>
      <c r="H235" s="109"/>
      <c r="I235" s="109">
        <v>281</v>
      </c>
      <c r="J235" s="115">
        <f t="shared" ref="J235:J236" si="82">I235</f>
        <v>281</v>
      </c>
      <c r="L235" s="450"/>
      <c r="M235" s="109"/>
      <c r="N235" s="109"/>
      <c r="O235" s="242">
        <f t="shared" ref="O235:O236" si="83">N235</f>
        <v>0</v>
      </c>
      <c r="P235" s="103"/>
      <c r="Q235" s="266"/>
      <c r="R235" s="103"/>
    </row>
    <row r="236" spans="6:21" x14ac:dyDescent="0.25">
      <c r="F236" s="458"/>
      <c r="G236" s="450"/>
      <c r="H236" s="109"/>
      <c r="I236" s="109">
        <v>261</v>
      </c>
      <c r="J236" s="115">
        <f t="shared" si="82"/>
        <v>261</v>
      </c>
      <c r="L236" s="450"/>
      <c r="M236" s="109"/>
      <c r="N236" s="109"/>
      <c r="O236" s="242">
        <f t="shared" si="83"/>
        <v>0</v>
      </c>
      <c r="P236" s="103"/>
      <c r="Q236" s="266"/>
      <c r="R236" s="103"/>
    </row>
    <row r="237" spans="6:21" x14ac:dyDescent="0.25">
      <c r="F237" s="458"/>
      <c r="G237" s="113" t="s">
        <v>154</v>
      </c>
      <c r="H237" s="110"/>
      <c r="I237" s="78"/>
      <c r="J237" s="116">
        <f>AVERAGE(J234:J236)</f>
        <v>267.66666666666669</v>
      </c>
      <c r="L237" s="113" t="s">
        <v>154</v>
      </c>
      <c r="M237" s="110"/>
      <c r="N237" s="78"/>
      <c r="O237" s="116">
        <f>AVERAGE(O234:O236)</f>
        <v>0</v>
      </c>
      <c r="P237" s="93"/>
      <c r="Q237" s="267">
        <f>(($C$17-J237)/$C$17)*100</f>
        <v>72.979642196175192</v>
      </c>
      <c r="R237" s="93"/>
      <c r="T237" s="418" t="s">
        <v>34</v>
      </c>
      <c r="U237" s="418"/>
    </row>
    <row r="238" spans="6:21" ht="15.75" thickBot="1" x14ac:dyDescent="0.3">
      <c r="F238" s="459"/>
      <c r="G238" s="113" t="s">
        <v>35</v>
      </c>
      <c r="H238" s="121"/>
      <c r="I238" s="81"/>
      <c r="J238" s="122">
        <f>STDEV(J234:J236)</f>
        <v>11.547005383792515</v>
      </c>
      <c r="L238" s="113" t="s">
        <v>35</v>
      </c>
      <c r="M238" s="121"/>
      <c r="N238" s="81"/>
      <c r="O238" s="251">
        <f>STDEV(O234:O236)</f>
        <v>0</v>
      </c>
      <c r="P238" s="93"/>
      <c r="Q238" s="269"/>
      <c r="R238" s="93"/>
      <c r="T238" s="1"/>
      <c r="U238" s="107"/>
    </row>
    <row r="239" spans="6:21" x14ac:dyDescent="0.25">
      <c r="F239" s="102"/>
      <c r="G239" s="244" t="s">
        <v>4</v>
      </c>
      <c r="H239" s="252"/>
      <c r="I239" s="253"/>
      <c r="J239" s="116">
        <f>AVERAGE(J224:J226,J229:J231,J234:J236)</f>
        <v>232.11111111111111</v>
      </c>
      <c r="K239" s="248"/>
      <c r="L239" s="244" t="s">
        <v>4</v>
      </c>
      <c r="M239" s="252"/>
      <c r="N239" s="253"/>
      <c r="O239" s="116">
        <f>AVERAGE(O224:O226,O229:O231)</f>
        <v>78.5</v>
      </c>
      <c r="P239" s="125"/>
      <c r="Q239" s="270">
        <f>AVERAGE(Q227:Q237)</f>
        <v>76.568896865010359</v>
      </c>
      <c r="R239" s="100"/>
      <c r="T239" s="1"/>
      <c r="U239" s="107"/>
    </row>
    <row r="240" spans="6:21" ht="15.75" thickBot="1" x14ac:dyDescent="0.3">
      <c r="F240" s="102"/>
      <c r="G240" s="244" t="s">
        <v>35</v>
      </c>
      <c r="H240" s="256"/>
      <c r="I240" s="257"/>
      <c r="J240" s="251">
        <f>STDEV(J224:J226,J229:J231,J234:J236)</f>
        <v>29.476450110403551</v>
      </c>
      <c r="K240" s="248"/>
      <c r="L240" s="244" t="s">
        <v>35</v>
      </c>
      <c r="M240" s="256"/>
      <c r="N240" s="257"/>
      <c r="O240" s="251">
        <f>STDEV(O224:O226,O229:O231)</f>
        <v>3.7815340802378077</v>
      </c>
      <c r="P240" s="125"/>
      <c r="Q240" s="270">
        <f>STDEV(Q227:Q237)</f>
        <v>3.3611105054642865</v>
      </c>
      <c r="R240" s="100"/>
      <c r="T240" s="1"/>
      <c r="U240" s="107"/>
    </row>
    <row r="241" spans="6:21" x14ac:dyDescent="0.25">
      <c r="F241" s="457" t="s">
        <v>151</v>
      </c>
      <c r="G241" s="449">
        <v>54</v>
      </c>
      <c r="H241" s="119"/>
      <c r="I241" s="119">
        <v>294</v>
      </c>
      <c r="J241" s="114">
        <f>I241</f>
        <v>294</v>
      </c>
      <c r="L241" s="449">
        <v>54</v>
      </c>
      <c r="M241" s="119"/>
      <c r="N241" s="119">
        <v>65</v>
      </c>
      <c r="O241" s="114">
        <f>N241</f>
        <v>65</v>
      </c>
      <c r="P241" s="103"/>
      <c r="Q241" s="266"/>
      <c r="R241" s="103"/>
      <c r="S241" s="1">
        <v>54</v>
      </c>
      <c r="U241" s="99">
        <v>7.58</v>
      </c>
    </row>
    <row r="242" spans="6:21" x14ac:dyDescent="0.25">
      <c r="F242" s="458"/>
      <c r="G242" s="450"/>
      <c r="H242" s="109"/>
      <c r="I242" s="109">
        <v>312</v>
      </c>
      <c r="J242" s="115">
        <f t="shared" ref="J242:J243" si="84">I242</f>
        <v>312</v>
      </c>
      <c r="L242" s="450"/>
      <c r="M242" s="109"/>
      <c r="N242" s="109">
        <v>74</v>
      </c>
      <c r="O242" s="115">
        <f t="shared" ref="O242:O243" si="85">N242</f>
        <v>74</v>
      </c>
      <c r="P242" s="103"/>
      <c r="Q242" s="266"/>
      <c r="R242" s="103"/>
      <c r="S242" s="1">
        <v>55</v>
      </c>
      <c r="U242" s="99">
        <v>7.56</v>
      </c>
    </row>
    <row r="243" spans="6:21" x14ac:dyDescent="0.25">
      <c r="F243" s="458"/>
      <c r="G243" s="450"/>
      <c r="H243" s="109"/>
      <c r="I243" s="109">
        <v>299</v>
      </c>
      <c r="J243" s="115">
        <f t="shared" si="84"/>
        <v>299</v>
      </c>
      <c r="L243" s="450"/>
      <c r="M243" s="109"/>
      <c r="N243" s="109">
        <v>68</v>
      </c>
      <c r="O243" s="115">
        <f t="shared" si="85"/>
        <v>68</v>
      </c>
      <c r="P243" s="103"/>
      <c r="Q243" s="266"/>
      <c r="R243" s="103"/>
      <c r="S243" s="1">
        <v>56</v>
      </c>
      <c r="U243" s="99">
        <v>7.51</v>
      </c>
    </row>
    <row r="244" spans="6:21" x14ac:dyDescent="0.25">
      <c r="F244" s="458"/>
      <c r="G244" s="113" t="s">
        <v>154</v>
      </c>
      <c r="H244" s="110"/>
      <c r="I244" s="78"/>
      <c r="J244" s="116">
        <f>AVERAGE(J241:J243)</f>
        <v>301.66666666666669</v>
      </c>
      <c r="L244" s="113" t="s">
        <v>154</v>
      </c>
      <c r="M244" s="110"/>
      <c r="N244" s="78"/>
      <c r="O244" s="116">
        <f>AVERAGE(O241:O243)</f>
        <v>69</v>
      </c>
      <c r="P244" s="93"/>
      <c r="Q244" s="267">
        <f>(($C$18-J244)/$C$18)*100</f>
        <v>78.955119758158276</v>
      </c>
      <c r="R244" s="93"/>
      <c r="T244" s="310" t="s">
        <v>122</v>
      </c>
      <c r="U244" s="126">
        <f>AVERAGE(U241:U243)</f>
        <v>7.55</v>
      </c>
    </row>
    <row r="245" spans="6:21" ht="15.75" thickBot="1" x14ac:dyDescent="0.3">
      <c r="F245" s="458"/>
      <c r="G245" s="113" t="s">
        <v>35</v>
      </c>
      <c r="H245" s="110"/>
      <c r="I245" s="78"/>
      <c r="J245" s="117">
        <f>STDEV(J241:J243)</f>
        <v>9.2915732431775684</v>
      </c>
      <c r="L245" s="113" t="s">
        <v>35</v>
      </c>
      <c r="M245" s="110"/>
      <c r="N245" s="78"/>
      <c r="O245" s="117">
        <f>STDEV(O241:O243)</f>
        <v>4.5825756949558398</v>
      </c>
      <c r="P245" s="93"/>
      <c r="Q245" s="268"/>
      <c r="R245" s="93"/>
      <c r="T245" s="97" t="s">
        <v>156</v>
      </c>
      <c r="U245" s="106">
        <f>STDEV(U241:U243)</f>
        <v>3.6055512754639987E-2</v>
      </c>
    </row>
    <row r="246" spans="6:21" x14ac:dyDescent="0.25">
      <c r="F246" s="458"/>
      <c r="G246" s="448">
        <v>55</v>
      </c>
      <c r="H246" s="109"/>
      <c r="I246" s="109">
        <v>278</v>
      </c>
      <c r="J246" s="115">
        <f>I246</f>
        <v>278</v>
      </c>
      <c r="L246" s="450">
        <v>55</v>
      </c>
      <c r="M246" s="109"/>
      <c r="N246" s="109">
        <v>38</v>
      </c>
      <c r="O246" s="115">
        <f>N246</f>
        <v>38</v>
      </c>
      <c r="P246" s="103"/>
      <c r="Q246" s="266"/>
      <c r="R246" s="103"/>
    </row>
    <row r="247" spans="6:21" x14ac:dyDescent="0.25">
      <c r="F247" s="458"/>
      <c r="G247" s="448"/>
      <c r="H247" s="109"/>
      <c r="I247" s="109">
        <v>268</v>
      </c>
      <c r="J247" s="115">
        <f t="shared" ref="J247:J248" si="86">I247</f>
        <v>268</v>
      </c>
      <c r="L247" s="450"/>
      <c r="M247" s="109"/>
      <c r="N247" s="109">
        <v>39</v>
      </c>
      <c r="O247" s="115">
        <f t="shared" ref="O247:O248" si="87">N247</f>
        <v>39</v>
      </c>
      <c r="P247" s="103"/>
      <c r="Q247" s="266"/>
      <c r="R247" s="103"/>
    </row>
    <row r="248" spans="6:21" x14ac:dyDescent="0.25">
      <c r="F248" s="458"/>
      <c r="G248" s="448"/>
      <c r="H248" s="109"/>
      <c r="I248" s="109">
        <v>257</v>
      </c>
      <c r="J248" s="115">
        <f t="shared" si="86"/>
        <v>257</v>
      </c>
      <c r="L248" s="450"/>
      <c r="M248" s="109"/>
      <c r="N248" s="109">
        <v>41</v>
      </c>
      <c r="O248" s="115">
        <f t="shared" si="87"/>
        <v>41</v>
      </c>
      <c r="P248" s="103"/>
      <c r="Q248" s="266"/>
      <c r="R248" s="103"/>
    </row>
    <row r="249" spans="6:21" x14ac:dyDescent="0.25">
      <c r="F249" s="458"/>
      <c r="G249" s="113" t="s">
        <v>154</v>
      </c>
      <c r="H249" s="110"/>
      <c r="I249" s="78"/>
      <c r="J249" s="116">
        <f>AVERAGE(J246:J248)</f>
        <v>267.66666666666669</v>
      </c>
      <c r="L249" s="113" t="s">
        <v>154</v>
      </c>
      <c r="M249" s="110"/>
      <c r="N249" s="78"/>
      <c r="O249" s="116">
        <f>AVERAGE(O246:O248)</f>
        <v>39.333333333333336</v>
      </c>
      <c r="P249" s="93"/>
      <c r="Q249" s="267">
        <f>(($C$18-J249)/$C$18)*100</f>
        <v>81.327028912487393</v>
      </c>
      <c r="R249" s="93"/>
      <c r="T249" s="461"/>
      <c r="U249" s="461"/>
    </row>
    <row r="250" spans="6:21" x14ac:dyDescent="0.25">
      <c r="F250" s="458"/>
      <c r="G250" s="113" t="s">
        <v>35</v>
      </c>
      <c r="H250" s="110"/>
      <c r="I250" s="78"/>
      <c r="J250" s="117">
        <f>STDEV(J246:J248)</f>
        <v>10.503967504392488</v>
      </c>
      <c r="L250" s="113" t="s">
        <v>35</v>
      </c>
      <c r="M250" s="110"/>
      <c r="N250" s="78"/>
      <c r="O250" s="117">
        <f>STDEV(O246:O248)</f>
        <v>1.5275252316519465</v>
      </c>
      <c r="P250" s="93"/>
      <c r="Q250" s="268"/>
      <c r="R250" s="93"/>
      <c r="T250" s="26"/>
      <c r="U250" s="127"/>
    </row>
    <row r="251" spans="6:21" x14ac:dyDescent="0.25">
      <c r="F251" s="458"/>
      <c r="G251" s="451">
        <v>56</v>
      </c>
      <c r="H251" s="111"/>
      <c r="I251" s="111">
        <v>260</v>
      </c>
      <c r="J251" s="114">
        <f>I251</f>
        <v>260</v>
      </c>
      <c r="L251" s="451">
        <v>56</v>
      </c>
      <c r="M251" s="111"/>
      <c r="N251" s="111">
        <v>64</v>
      </c>
      <c r="O251" s="114">
        <f>N251</f>
        <v>64</v>
      </c>
      <c r="P251" s="103"/>
      <c r="Q251" s="266"/>
      <c r="R251" s="103"/>
      <c r="T251" s="26"/>
      <c r="U251" s="127"/>
    </row>
    <row r="252" spans="6:21" x14ac:dyDescent="0.25">
      <c r="F252" s="458"/>
      <c r="G252" s="450"/>
      <c r="H252" s="109"/>
      <c r="I252" s="109">
        <v>245</v>
      </c>
      <c r="J252" s="115">
        <f t="shared" ref="J252:J253" si="88">I252</f>
        <v>245</v>
      </c>
      <c r="L252" s="450"/>
      <c r="M252" s="109"/>
      <c r="N252" s="109">
        <v>67</v>
      </c>
      <c r="O252" s="115">
        <f t="shared" ref="O252:O253" si="89">N252</f>
        <v>67</v>
      </c>
      <c r="P252" s="103"/>
      <c r="Q252" s="266"/>
      <c r="R252" s="103"/>
      <c r="T252" s="26"/>
      <c r="U252" s="127"/>
    </row>
    <row r="253" spans="6:21" x14ac:dyDescent="0.25">
      <c r="F253" s="458"/>
      <c r="G253" s="450"/>
      <c r="H253" s="109"/>
      <c r="I253" s="109">
        <v>251</v>
      </c>
      <c r="J253" s="115">
        <f t="shared" si="88"/>
        <v>251</v>
      </c>
      <c r="L253" s="450"/>
      <c r="M253" s="109"/>
      <c r="N253" s="109">
        <v>64</v>
      </c>
      <c r="O253" s="115">
        <f t="shared" si="89"/>
        <v>64</v>
      </c>
      <c r="P253" s="103"/>
      <c r="Q253" s="266"/>
      <c r="R253" s="103"/>
      <c r="T253" s="26"/>
      <c r="U253" s="127"/>
    </row>
    <row r="254" spans="6:21" x14ac:dyDescent="0.25">
      <c r="F254" s="458"/>
      <c r="G254" s="113" t="s">
        <v>154</v>
      </c>
      <c r="H254" s="110"/>
      <c r="I254" s="78"/>
      <c r="J254" s="116">
        <f>AVERAGE(J251:J253)</f>
        <v>252</v>
      </c>
      <c r="L254" s="113" t="s">
        <v>154</v>
      </c>
      <c r="M254" s="110"/>
      <c r="N254" s="78"/>
      <c r="O254" s="116">
        <f>AVERAGE(O251:O253)</f>
        <v>65</v>
      </c>
      <c r="P254" s="93"/>
      <c r="Q254" s="267">
        <f>(($C$18-J254)/$C$18)*100</f>
        <v>82.419967444384156</v>
      </c>
      <c r="R254" s="93"/>
      <c r="T254" s="418" t="s">
        <v>34</v>
      </c>
      <c r="U254" s="418"/>
    </row>
    <row r="255" spans="6:21" ht="15.75" thickBot="1" x14ac:dyDescent="0.3">
      <c r="F255" s="459"/>
      <c r="G255" s="113" t="s">
        <v>35</v>
      </c>
      <c r="H255" s="121"/>
      <c r="I255" s="81"/>
      <c r="J255" s="122">
        <f>STDEV(J251:J253)</f>
        <v>7.5498344352707498</v>
      </c>
      <c r="L255" s="113" t="s">
        <v>35</v>
      </c>
      <c r="M255" s="121"/>
      <c r="N255" s="81"/>
      <c r="O255" s="122">
        <f>STDEV(O251:O253)</f>
        <v>1.7320508075688772</v>
      </c>
      <c r="P255" s="93"/>
      <c r="Q255" s="269"/>
      <c r="R255" s="93"/>
      <c r="T255" s="1"/>
      <c r="U255" s="107"/>
    </row>
    <row r="256" spans="6:21" x14ac:dyDescent="0.25">
      <c r="F256" s="102"/>
      <c r="G256" s="113" t="s">
        <v>154</v>
      </c>
      <c r="H256" s="252"/>
      <c r="I256" s="253"/>
      <c r="J256" s="116">
        <f>AVERAGE(J241:J243,J246:J248,J251:J253)</f>
        <v>273.77777777777777</v>
      </c>
      <c r="K256" s="248"/>
      <c r="L256" s="113" t="s">
        <v>154</v>
      </c>
      <c r="M256" s="252"/>
      <c r="N256" s="253"/>
      <c r="O256" s="116">
        <f>AVERAGE(O241:O243,O246:O248,O251:O253)</f>
        <v>57.777777777777779</v>
      </c>
      <c r="P256" s="125"/>
      <c r="Q256" s="270">
        <f>AVERAGE(Q244:Q254)</f>
        <v>80.900705371676608</v>
      </c>
      <c r="R256" s="100"/>
      <c r="T256" s="1"/>
      <c r="U256" s="107"/>
    </row>
    <row r="257" spans="6:21" ht="15.75" thickBot="1" x14ac:dyDescent="0.3">
      <c r="F257" s="102"/>
      <c r="G257" s="244" t="s">
        <v>35</v>
      </c>
      <c r="H257" s="256"/>
      <c r="I257" s="257"/>
      <c r="J257" s="251">
        <f>STDEV(J241:J243,J246:J248,J251:J253)</f>
        <v>23.386843404881397</v>
      </c>
      <c r="K257" s="248"/>
      <c r="L257" s="244" t="s">
        <v>35</v>
      </c>
      <c r="M257" s="256"/>
      <c r="N257" s="257"/>
      <c r="O257" s="251">
        <f>STDEV(O241:O243,O246:O248,O251:O253)</f>
        <v>14.175487449976609</v>
      </c>
      <c r="P257" s="125"/>
      <c r="Q257" s="270">
        <f>STDEV(Q244:Q254)</f>
        <v>1.7713289342392882</v>
      </c>
      <c r="R257" s="100"/>
      <c r="T257" s="1"/>
      <c r="U257" s="107"/>
    </row>
    <row r="258" spans="6:21" x14ac:dyDescent="0.25">
      <c r="F258" s="457" t="s">
        <v>40</v>
      </c>
      <c r="G258" s="449">
        <v>57</v>
      </c>
      <c r="H258" s="119"/>
      <c r="I258" s="119">
        <v>493</v>
      </c>
      <c r="J258" s="114">
        <f>I258</f>
        <v>493</v>
      </c>
      <c r="L258" s="449">
        <v>57</v>
      </c>
      <c r="M258" s="119"/>
      <c r="N258" s="119">
        <v>57</v>
      </c>
      <c r="O258" s="114">
        <f>N258</f>
        <v>57</v>
      </c>
      <c r="P258" s="103"/>
      <c r="Q258" s="266"/>
      <c r="R258" s="103"/>
      <c r="S258" s="1">
        <v>57</v>
      </c>
      <c r="U258" s="99">
        <v>7.56</v>
      </c>
    </row>
    <row r="259" spans="6:21" x14ac:dyDescent="0.25">
      <c r="F259" s="458"/>
      <c r="G259" s="450"/>
      <c r="H259" s="109"/>
      <c r="I259" s="109">
        <v>452</v>
      </c>
      <c r="J259" s="115">
        <f t="shared" ref="J259:J260" si="90">I259</f>
        <v>452</v>
      </c>
      <c r="L259" s="450"/>
      <c r="M259" s="109"/>
      <c r="N259" s="109">
        <v>58</v>
      </c>
      <c r="O259" s="115">
        <f t="shared" ref="O259:O260" si="91">N259</f>
        <v>58</v>
      </c>
      <c r="P259" s="103"/>
      <c r="Q259" s="266"/>
      <c r="R259" s="103"/>
      <c r="S259" s="1">
        <v>58</v>
      </c>
      <c r="U259" s="99">
        <v>7.52</v>
      </c>
    </row>
    <row r="260" spans="6:21" x14ac:dyDescent="0.25">
      <c r="F260" s="458"/>
      <c r="G260" s="450"/>
      <c r="H260" s="109"/>
      <c r="I260" s="109">
        <v>480</v>
      </c>
      <c r="J260" s="115">
        <f t="shared" si="90"/>
        <v>480</v>
      </c>
      <c r="L260" s="450"/>
      <c r="M260" s="109"/>
      <c r="N260" s="109">
        <v>58</v>
      </c>
      <c r="O260" s="115">
        <f t="shared" si="91"/>
        <v>58</v>
      </c>
      <c r="P260" s="103"/>
      <c r="Q260" s="266"/>
      <c r="R260" s="103"/>
      <c r="S260" s="1">
        <v>59</v>
      </c>
      <c r="U260" s="99">
        <v>7.55</v>
      </c>
    </row>
    <row r="261" spans="6:21" x14ac:dyDescent="0.25">
      <c r="F261" s="458"/>
      <c r="G261" s="113" t="s">
        <v>154</v>
      </c>
      <c r="H261" s="110"/>
      <c r="I261" s="78"/>
      <c r="J261" s="116">
        <f>AVERAGE(J258:J260)</f>
        <v>475</v>
      </c>
      <c r="L261" s="113" t="s">
        <v>154</v>
      </c>
      <c r="M261" s="110"/>
      <c r="N261" s="78"/>
      <c r="O261" s="116">
        <f>AVERAGE(O258:O260)</f>
        <v>57.666666666666664</v>
      </c>
      <c r="P261" s="93"/>
      <c r="Q261" s="267">
        <f>(($C$19-J261)/$C$19)*100</f>
        <v>74.577783063748811</v>
      </c>
      <c r="R261" s="93"/>
      <c r="T261" s="310" t="s">
        <v>122</v>
      </c>
      <c r="U261" s="126">
        <f>AVERAGE(U258:U260)</f>
        <v>7.543333333333333</v>
      </c>
    </row>
    <row r="262" spans="6:21" ht="15.75" thickBot="1" x14ac:dyDescent="0.3">
      <c r="F262" s="458"/>
      <c r="G262" s="113" t="s">
        <v>35</v>
      </c>
      <c r="H262" s="110"/>
      <c r="I262" s="78"/>
      <c r="J262" s="117">
        <f>STDEV(J258:J260)</f>
        <v>20.952326839756964</v>
      </c>
      <c r="L262" s="113" t="s">
        <v>35</v>
      </c>
      <c r="M262" s="110"/>
      <c r="N262" s="78"/>
      <c r="O262" s="117">
        <f>STDEV(O258:O260)</f>
        <v>0.57735026918962584</v>
      </c>
      <c r="P262" s="93"/>
      <c r="Q262" s="268"/>
      <c r="R262" s="93"/>
      <c r="T262" s="97" t="s">
        <v>156</v>
      </c>
      <c r="U262" s="106">
        <f>STDEV(U258:U260)</f>
        <v>2.0816659994661379E-2</v>
      </c>
    </row>
    <row r="263" spans="6:21" x14ac:dyDescent="0.25">
      <c r="F263" s="458"/>
      <c r="G263" s="450">
        <v>58</v>
      </c>
      <c r="H263" s="109"/>
      <c r="I263" s="109">
        <v>451</v>
      </c>
      <c r="J263" s="115">
        <f>I263</f>
        <v>451</v>
      </c>
      <c r="L263" s="450">
        <v>58</v>
      </c>
      <c r="M263" s="109"/>
      <c r="N263" s="109">
        <v>55</v>
      </c>
      <c r="O263" s="115">
        <f>N263</f>
        <v>55</v>
      </c>
      <c r="P263" s="103"/>
      <c r="Q263" s="266"/>
      <c r="R263" s="103"/>
    </row>
    <row r="264" spans="6:21" x14ac:dyDescent="0.25">
      <c r="F264" s="458"/>
      <c r="G264" s="450"/>
      <c r="H264" s="109"/>
      <c r="I264" s="109">
        <v>426</v>
      </c>
      <c r="J264" s="115">
        <f t="shared" ref="J264:J265" si="92">I264</f>
        <v>426</v>
      </c>
      <c r="L264" s="450"/>
      <c r="M264" s="109"/>
      <c r="N264" s="109">
        <v>57</v>
      </c>
      <c r="O264" s="115">
        <f t="shared" ref="O264:O265" si="93">N264</f>
        <v>57</v>
      </c>
      <c r="P264" s="103"/>
      <c r="Q264" s="266"/>
      <c r="R264" s="103"/>
    </row>
    <row r="265" spans="6:21" x14ac:dyDescent="0.25">
      <c r="F265" s="458"/>
      <c r="G265" s="450"/>
      <c r="H265" s="109"/>
      <c r="I265" s="109">
        <v>413</v>
      </c>
      <c r="J265" s="115">
        <f t="shared" si="92"/>
        <v>413</v>
      </c>
      <c r="L265" s="450"/>
      <c r="M265" s="109"/>
      <c r="N265" s="109">
        <v>59</v>
      </c>
      <c r="O265" s="115">
        <f t="shared" si="93"/>
        <v>59</v>
      </c>
      <c r="P265" s="103"/>
      <c r="Q265" s="266"/>
      <c r="R265" s="103"/>
    </row>
    <row r="266" spans="6:21" x14ac:dyDescent="0.25">
      <c r="F266" s="458"/>
      <c r="G266" s="113" t="s">
        <v>154</v>
      </c>
      <c r="H266" s="110"/>
      <c r="I266" s="78"/>
      <c r="J266" s="116">
        <f>AVERAGE(J263:J265)</f>
        <v>430</v>
      </c>
      <c r="L266" s="113" t="s">
        <v>154</v>
      </c>
      <c r="M266" s="110"/>
      <c r="N266" s="78"/>
      <c r="O266" s="116">
        <f>AVERAGE(O263:O265)</f>
        <v>57</v>
      </c>
      <c r="P266" s="93"/>
      <c r="Q266" s="267">
        <f>(($C$19-J266)/$C$19)*100</f>
        <v>76.986203615604182</v>
      </c>
      <c r="R266" s="93"/>
    </row>
    <row r="267" spans="6:21" x14ac:dyDescent="0.25">
      <c r="F267" s="458"/>
      <c r="G267" s="113" t="s">
        <v>35</v>
      </c>
      <c r="H267" s="110"/>
      <c r="I267" s="78"/>
      <c r="J267" s="117">
        <f>STDEV(J263:J265)</f>
        <v>19.313207915827967</v>
      </c>
      <c r="L267" s="113" t="s">
        <v>35</v>
      </c>
      <c r="M267" s="110"/>
      <c r="N267" s="78"/>
      <c r="O267" s="117">
        <f>STDEV(O263:O265)</f>
        <v>2</v>
      </c>
      <c r="P267" s="93"/>
      <c r="Q267" s="268"/>
      <c r="R267" s="93"/>
    </row>
    <row r="268" spans="6:21" x14ac:dyDescent="0.25">
      <c r="F268" s="458"/>
      <c r="G268" s="451">
        <v>59</v>
      </c>
      <c r="H268" s="111"/>
      <c r="I268" s="111">
        <v>436</v>
      </c>
      <c r="J268" s="114">
        <f>I268</f>
        <v>436</v>
      </c>
      <c r="L268" s="451">
        <v>59</v>
      </c>
      <c r="M268" s="111"/>
      <c r="N268" s="111">
        <v>50</v>
      </c>
      <c r="O268" s="114">
        <f>N268</f>
        <v>50</v>
      </c>
      <c r="P268" s="103"/>
      <c r="Q268" s="266"/>
      <c r="R268" s="103"/>
    </row>
    <row r="269" spans="6:21" x14ac:dyDescent="0.25">
      <c r="F269" s="458"/>
      <c r="G269" s="450"/>
      <c r="H269" s="109"/>
      <c r="I269" s="109">
        <v>409</v>
      </c>
      <c r="J269" s="115">
        <f t="shared" ref="J269:J270" si="94">I269</f>
        <v>409</v>
      </c>
      <c r="L269" s="450"/>
      <c r="M269" s="109"/>
      <c r="N269" s="109">
        <v>57</v>
      </c>
      <c r="O269" s="115">
        <f t="shared" ref="O269:O270" si="95">N269</f>
        <v>57</v>
      </c>
      <c r="P269" s="103"/>
      <c r="Q269" s="266"/>
      <c r="R269" s="103"/>
    </row>
    <row r="270" spans="6:21" x14ac:dyDescent="0.25">
      <c r="F270" s="458"/>
      <c r="G270" s="450"/>
      <c r="H270" s="109"/>
      <c r="I270" s="109">
        <v>412</v>
      </c>
      <c r="J270" s="115">
        <f t="shared" si="94"/>
        <v>412</v>
      </c>
      <c r="L270" s="450"/>
      <c r="M270" s="109"/>
      <c r="N270" s="109">
        <v>54</v>
      </c>
      <c r="O270" s="115">
        <f t="shared" si="95"/>
        <v>54</v>
      </c>
      <c r="P270" s="103"/>
      <c r="Q270" s="266"/>
      <c r="R270" s="103"/>
    </row>
    <row r="271" spans="6:21" x14ac:dyDescent="0.25">
      <c r="F271" s="458"/>
      <c r="G271" s="113" t="s">
        <v>154</v>
      </c>
      <c r="H271" s="110"/>
      <c r="I271" s="78"/>
      <c r="J271" s="116">
        <f>AVERAGE(J268:J270)</f>
        <v>419</v>
      </c>
      <c r="L271" s="113" t="s">
        <v>154</v>
      </c>
      <c r="M271" s="110"/>
      <c r="N271" s="78"/>
      <c r="O271" s="116">
        <f>AVERAGE(O268:O270)</f>
        <v>53.666666666666664</v>
      </c>
      <c r="P271" s="93"/>
      <c r="Q271" s="267">
        <f>(($C$19-J271)/$C$19)*100</f>
        <v>77.574928639391047</v>
      </c>
      <c r="R271" s="93"/>
      <c r="T271" s="418" t="s">
        <v>34</v>
      </c>
      <c r="U271" s="418"/>
    </row>
    <row r="272" spans="6:21" ht="15.75" thickBot="1" x14ac:dyDescent="0.3">
      <c r="F272" s="459"/>
      <c r="G272" s="113" t="s">
        <v>35</v>
      </c>
      <c r="H272" s="121"/>
      <c r="I272" s="81"/>
      <c r="J272" s="122">
        <f>STDEV(J268:J270)</f>
        <v>14.798648586948742</v>
      </c>
      <c r="L272" s="113" t="s">
        <v>35</v>
      </c>
      <c r="M272" s="121"/>
      <c r="N272" s="81"/>
      <c r="O272" s="122">
        <f>STDEV(O268:O270)</f>
        <v>3.5118845842842465</v>
      </c>
      <c r="P272" s="93"/>
      <c r="Q272" s="269"/>
      <c r="R272" s="93"/>
      <c r="T272" s="1"/>
      <c r="U272" s="107"/>
    </row>
    <row r="273" spans="6:21" x14ac:dyDescent="0.25">
      <c r="F273" s="102"/>
      <c r="G273" s="113" t="s">
        <v>154</v>
      </c>
      <c r="H273" s="252"/>
      <c r="I273" s="253"/>
      <c r="J273" s="116">
        <f>AVERAGE(J258:J260,J263:J265,J268:J270)</f>
        <v>441.33333333333331</v>
      </c>
      <c r="K273" s="248"/>
      <c r="L273" s="113" t="s">
        <v>154</v>
      </c>
      <c r="M273" s="252"/>
      <c r="N273" s="253"/>
      <c r="O273" s="116">
        <f>AVERAGE(O258:O260,O263:O265,O268:O270)</f>
        <v>56.111111111111114</v>
      </c>
      <c r="P273" s="125"/>
      <c r="Q273" s="270">
        <f>AVERAGE(Q261:Q271)</f>
        <v>76.379638439581342</v>
      </c>
      <c r="R273" s="100"/>
      <c r="T273" s="1"/>
      <c r="U273" s="107"/>
    </row>
    <row r="274" spans="6:21" ht="15.75" thickBot="1" x14ac:dyDescent="0.3">
      <c r="F274" s="102"/>
      <c r="G274" s="244" t="s">
        <v>35</v>
      </c>
      <c r="H274" s="256"/>
      <c r="I274" s="257"/>
      <c r="J274" s="251">
        <f>STDEV(J258:J260,J263:J265,J268:J270)</f>
        <v>30.298514815086236</v>
      </c>
      <c r="K274" s="248"/>
      <c r="L274" s="244" t="s">
        <v>35</v>
      </c>
      <c r="M274" s="256"/>
      <c r="N274" s="257"/>
      <c r="O274" s="251">
        <f>STDEV(O258:O260,O263:O265,O268:O270)</f>
        <v>2.7588242262078082</v>
      </c>
      <c r="P274" s="125"/>
      <c r="Q274" s="270">
        <f>STDEV(Q261:Q271)</f>
        <v>1.5879739874981162</v>
      </c>
      <c r="R274" s="100"/>
      <c r="T274" s="1"/>
      <c r="U274" s="107"/>
    </row>
    <row r="275" spans="6:21" x14ac:dyDescent="0.25">
      <c r="F275" s="457" t="s">
        <v>152</v>
      </c>
      <c r="G275" s="449">
        <v>60</v>
      </c>
      <c r="H275" s="131">
        <v>10</v>
      </c>
      <c r="I275" s="119">
        <v>32</v>
      </c>
      <c r="J275" s="114">
        <f>I275*H275</f>
        <v>320</v>
      </c>
      <c r="L275" s="449">
        <v>60</v>
      </c>
      <c r="M275" s="119"/>
      <c r="N275" s="119">
        <v>28</v>
      </c>
      <c r="O275" s="258">
        <f>N275</f>
        <v>28</v>
      </c>
      <c r="P275" s="103"/>
      <c r="Q275" s="266"/>
      <c r="R275" s="103"/>
      <c r="S275" s="1">
        <v>60</v>
      </c>
      <c r="U275" s="99">
        <v>7.59</v>
      </c>
    </row>
    <row r="276" spans="6:21" x14ac:dyDescent="0.25">
      <c r="F276" s="458"/>
      <c r="G276" s="450"/>
      <c r="H276" s="109">
        <v>10</v>
      </c>
      <c r="I276" s="109">
        <v>25</v>
      </c>
      <c r="J276" s="114">
        <f t="shared" ref="J276:J277" si="96">I276*H276</f>
        <v>250</v>
      </c>
      <c r="L276" s="450"/>
      <c r="M276" s="109"/>
      <c r="N276" s="109">
        <v>79</v>
      </c>
      <c r="O276" s="115">
        <f t="shared" ref="O276:O277" si="97">N276</f>
        <v>79</v>
      </c>
      <c r="P276" s="103"/>
      <c r="Q276" s="266"/>
      <c r="R276" s="103"/>
      <c r="S276" s="1">
        <v>61</v>
      </c>
      <c r="U276" s="99">
        <v>7.45</v>
      </c>
    </row>
    <row r="277" spans="6:21" x14ac:dyDescent="0.25">
      <c r="F277" s="458"/>
      <c r="G277" s="450"/>
      <c r="H277" s="109">
        <v>10</v>
      </c>
      <c r="I277" s="109">
        <v>63</v>
      </c>
      <c r="J277" s="258">
        <f t="shared" si="96"/>
        <v>630</v>
      </c>
      <c r="L277" s="450"/>
      <c r="M277" s="109"/>
      <c r="N277" s="109">
        <v>65</v>
      </c>
      <c r="O277" s="115">
        <f t="shared" si="97"/>
        <v>65</v>
      </c>
      <c r="P277" s="103"/>
      <c r="Q277" s="266"/>
      <c r="R277" s="103"/>
      <c r="S277" s="1">
        <v>62</v>
      </c>
      <c r="U277" s="99">
        <v>7.61</v>
      </c>
    </row>
    <row r="278" spans="6:21" x14ac:dyDescent="0.25">
      <c r="F278" s="458"/>
      <c r="G278" s="113" t="s">
        <v>154</v>
      </c>
      <c r="H278" s="110"/>
      <c r="I278" s="78"/>
      <c r="J278" s="116">
        <f>AVERAGE(J275:J276)</f>
        <v>285</v>
      </c>
      <c r="L278" s="113" t="s">
        <v>154</v>
      </c>
      <c r="M278" s="110"/>
      <c r="N278" s="78"/>
      <c r="O278" s="116">
        <f>AVERAGE(O276:O277)</f>
        <v>72</v>
      </c>
      <c r="P278" s="93"/>
      <c r="Q278" s="267">
        <f>(($C$20-J278)/$C$20)*100</f>
        <v>86.388240288686063</v>
      </c>
      <c r="R278" s="93"/>
      <c r="T278" s="310" t="s">
        <v>122</v>
      </c>
      <c r="U278" s="126">
        <f>AVERAGE(U275:U277)</f>
        <v>7.55</v>
      </c>
    </row>
    <row r="279" spans="6:21" ht="15.75" thickBot="1" x14ac:dyDescent="0.3">
      <c r="F279" s="458"/>
      <c r="G279" s="113" t="s">
        <v>35</v>
      </c>
      <c r="H279" s="110"/>
      <c r="I279" s="78"/>
      <c r="J279" s="117">
        <f>STDEV(J275:J276)</f>
        <v>49.497474683058329</v>
      </c>
      <c r="L279" s="113" t="s">
        <v>35</v>
      </c>
      <c r="M279" s="110"/>
      <c r="N279" s="78"/>
      <c r="O279" s="117">
        <f>STDEV(O276:O277)</f>
        <v>9.8994949366116654</v>
      </c>
      <c r="P279" s="93"/>
      <c r="Q279" s="268"/>
      <c r="R279" s="93"/>
      <c r="T279" s="97" t="s">
        <v>156</v>
      </c>
      <c r="U279" s="106">
        <f>STDEV(U275:U277)</f>
        <v>8.7177978870813452E-2</v>
      </c>
    </row>
    <row r="280" spans="6:21" x14ac:dyDescent="0.25">
      <c r="F280" s="458"/>
      <c r="G280" s="448">
        <v>61</v>
      </c>
      <c r="H280" s="109">
        <v>10</v>
      </c>
      <c r="I280" s="109">
        <v>30</v>
      </c>
      <c r="J280" s="114">
        <f>I280*H280</f>
        <v>300</v>
      </c>
      <c r="L280" s="450">
        <v>61</v>
      </c>
      <c r="M280" s="109"/>
      <c r="N280" s="109">
        <v>97</v>
      </c>
      <c r="O280" s="115">
        <f>N280</f>
        <v>97</v>
      </c>
      <c r="P280" s="103"/>
      <c r="Q280" s="266"/>
      <c r="R280" s="103"/>
    </row>
    <row r="281" spans="6:21" x14ac:dyDescent="0.25">
      <c r="F281" s="458"/>
      <c r="G281" s="448"/>
      <c r="H281" s="109">
        <v>10</v>
      </c>
      <c r="I281" s="109">
        <v>19</v>
      </c>
      <c r="J281" s="114">
        <f t="shared" ref="J281:J282" si="98">I281*H281</f>
        <v>190</v>
      </c>
      <c r="L281" s="450"/>
      <c r="M281" s="109"/>
      <c r="N281" s="109">
        <v>87</v>
      </c>
      <c r="O281" s="115">
        <f t="shared" ref="O281:O282" si="99">N281</f>
        <v>87</v>
      </c>
      <c r="P281" s="103"/>
      <c r="Q281" s="266"/>
      <c r="R281" s="103"/>
    </row>
    <row r="282" spans="6:21" x14ac:dyDescent="0.25">
      <c r="F282" s="458"/>
      <c r="G282" s="448"/>
      <c r="H282" s="109">
        <v>10</v>
      </c>
      <c r="I282" s="109">
        <v>25</v>
      </c>
      <c r="J282" s="114">
        <f t="shared" si="98"/>
        <v>250</v>
      </c>
      <c r="L282" s="450"/>
      <c r="M282" s="109"/>
      <c r="N282" s="109">
        <v>123</v>
      </c>
      <c r="O282" s="115">
        <f t="shared" si="99"/>
        <v>123</v>
      </c>
      <c r="P282" s="103"/>
      <c r="Q282" s="266"/>
      <c r="R282" s="103"/>
    </row>
    <row r="283" spans="6:21" x14ac:dyDescent="0.25">
      <c r="F283" s="458"/>
      <c r="G283" s="113" t="s">
        <v>154</v>
      </c>
      <c r="H283" s="110"/>
      <c r="I283" s="78"/>
      <c r="J283" s="116">
        <f>AVERAGE(J280:J282)</f>
        <v>246.66666666666666</v>
      </c>
      <c r="L283" s="113" t="s">
        <v>154</v>
      </c>
      <c r="M283" s="110"/>
      <c r="N283" s="78"/>
      <c r="O283" s="116">
        <f>AVERAGE(O280:O282)</f>
        <v>102.33333333333333</v>
      </c>
      <c r="P283" s="93"/>
      <c r="Q283" s="267">
        <f>(($C$20-J283)/$C$20)*100</f>
        <v>88.219061770324771</v>
      </c>
      <c r="R283" s="93"/>
    </row>
    <row r="284" spans="6:21" x14ac:dyDescent="0.25">
      <c r="F284" s="458"/>
      <c r="G284" s="113" t="s">
        <v>35</v>
      </c>
      <c r="H284" s="110"/>
      <c r="I284" s="78"/>
      <c r="J284" s="117">
        <f>STDEV(J280:J282)</f>
        <v>55.075705472860975</v>
      </c>
      <c r="L284" s="113" t="s">
        <v>35</v>
      </c>
      <c r="M284" s="110"/>
      <c r="N284" s="78"/>
      <c r="O284" s="117">
        <f>STDEV(O280:O282)</f>
        <v>18.583146486355155</v>
      </c>
      <c r="P284" s="93"/>
      <c r="Q284" s="268"/>
      <c r="R284" s="93"/>
    </row>
    <row r="285" spans="6:21" x14ac:dyDescent="0.25">
      <c r="F285" s="458"/>
      <c r="G285" s="451">
        <v>62</v>
      </c>
      <c r="H285" s="111">
        <v>10</v>
      </c>
      <c r="I285" s="111">
        <v>11</v>
      </c>
      <c r="J285" s="114">
        <f>I285*H285</f>
        <v>110</v>
      </c>
      <c r="L285" s="451">
        <v>62</v>
      </c>
      <c r="M285" s="111"/>
      <c r="N285" s="111">
        <v>72</v>
      </c>
      <c r="O285" s="114">
        <f>N285</f>
        <v>72</v>
      </c>
      <c r="P285" s="103"/>
      <c r="Q285" s="266"/>
      <c r="R285" s="103"/>
    </row>
    <row r="286" spans="6:21" x14ac:dyDescent="0.25">
      <c r="F286" s="458"/>
      <c r="G286" s="450"/>
      <c r="H286" s="109">
        <v>10</v>
      </c>
      <c r="I286" s="109">
        <v>17</v>
      </c>
      <c r="J286" s="114">
        <f t="shared" ref="J286:J287" si="100">I286*H286</f>
        <v>170</v>
      </c>
      <c r="L286" s="450"/>
      <c r="M286" s="109"/>
      <c r="N286" s="109">
        <v>80</v>
      </c>
      <c r="O286" s="115">
        <f t="shared" ref="O286:O287" si="101">N286</f>
        <v>80</v>
      </c>
      <c r="P286" s="103"/>
      <c r="Q286" s="266"/>
      <c r="R286" s="103"/>
    </row>
    <row r="287" spans="6:21" x14ac:dyDescent="0.25">
      <c r="F287" s="458"/>
      <c r="G287" s="450"/>
      <c r="H287" s="109">
        <v>10</v>
      </c>
      <c r="I287" s="109">
        <v>25</v>
      </c>
      <c r="J287" s="114">
        <f t="shared" si="100"/>
        <v>250</v>
      </c>
      <c r="L287" s="450"/>
      <c r="M287" s="109"/>
      <c r="N287" s="109">
        <v>58</v>
      </c>
      <c r="O287" s="115">
        <f t="shared" si="101"/>
        <v>58</v>
      </c>
      <c r="P287" s="103"/>
      <c r="Q287" s="266"/>
      <c r="R287" s="103"/>
    </row>
    <row r="288" spans="6:21" x14ac:dyDescent="0.25">
      <c r="F288" s="458"/>
      <c r="G288" s="113" t="s">
        <v>154</v>
      </c>
      <c r="H288" s="110"/>
      <c r="I288" s="78"/>
      <c r="J288" s="116">
        <f>AVERAGE(J285:J287)</f>
        <v>176.66666666666666</v>
      </c>
      <c r="L288" s="113" t="s">
        <v>154</v>
      </c>
      <c r="M288" s="110"/>
      <c r="N288" s="78"/>
      <c r="O288" s="116">
        <f>AVERAGE(O285:O287)</f>
        <v>70</v>
      </c>
      <c r="P288" s="93"/>
      <c r="Q288" s="267">
        <f>(($C$20-J288)/$C$20)*100</f>
        <v>91.562300997665034</v>
      </c>
      <c r="R288" s="93"/>
      <c r="T288" s="418" t="s">
        <v>34</v>
      </c>
      <c r="U288" s="418"/>
    </row>
    <row r="289" spans="6:21" ht="15.75" thickBot="1" x14ac:dyDescent="0.3">
      <c r="F289" s="459"/>
      <c r="G289" s="113" t="s">
        <v>35</v>
      </c>
      <c r="H289" s="121"/>
      <c r="I289" s="81"/>
      <c r="J289" s="122">
        <f>STDEV(J285:J287)</f>
        <v>70.237691685684936</v>
      </c>
      <c r="L289" s="113" t="s">
        <v>35</v>
      </c>
      <c r="M289" s="121"/>
      <c r="N289" s="81"/>
      <c r="O289" s="122">
        <f>STDEV(O285:O287)</f>
        <v>11.135528725660043</v>
      </c>
      <c r="P289" s="93"/>
      <c r="Q289" s="269"/>
      <c r="R289" s="93"/>
      <c r="T289" s="1"/>
      <c r="U289" s="107"/>
    </row>
    <row r="290" spans="6:21" x14ac:dyDescent="0.25">
      <c r="F290" s="102"/>
      <c r="G290" s="113" t="s">
        <v>154</v>
      </c>
      <c r="H290" s="252"/>
      <c r="I290" s="253"/>
      <c r="J290" s="116">
        <f>AVERAGE(J275:J276,J280:J282,J285:J287)</f>
        <v>230</v>
      </c>
      <c r="K290" s="248"/>
      <c r="L290" s="113" t="s">
        <v>154</v>
      </c>
      <c r="M290" s="252"/>
      <c r="N290" s="253"/>
      <c r="O290" s="116">
        <f>AVERAGE(O276:O277,O280:O282,O285:O287)</f>
        <v>82.625</v>
      </c>
      <c r="P290" s="125"/>
      <c r="Q290" s="270">
        <f>AVERAGE(Q278:Q288)</f>
        <v>88.72320101889197</v>
      </c>
      <c r="R290" s="100"/>
      <c r="T290" s="1"/>
      <c r="U290" s="107"/>
    </row>
    <row r="291" spans="6:21" ht="15.75" thickBot="1" x14ac:dyDescent="0.3">
      <c r="F291" s="102"/>
      <c r="G291" s="244" t="s">
        <v>35</v>
      </c>
      <c r="H291" s="256"/>
      <c r="I291" s="257"/>
      <c r="J291" s="251">
        <f>STDEV(J275:J276,J280:J282,J285:J287)</f>
        <v>69.487922897230334</v>
      </c>
      <c r="K291" s="248"/>
      <c r="L291" s="244" t="s">
        <v>35</v>
      </c>
      <c r="M291" s="256"/>
      <c r="N291" s="257"/>
      <c r="O291" s="251">
        <f>STDEV(O276:O277,O280:O282,O285:O287)</f>
        <v>20.374616560809187</v>
      </c>
      <c r="P291" s="125"/>
      <c r="Q291" s="270">
        <f>STDEV(Q278:Q288)</f>
        <v>2.6236126508136457</v>
      </c>
      <c r="R291" s="100"/>
      <c r="T291" s="1"/>
      <c r="U291" s="107"/>
    </row>
    <row r="292" spans="6:21" x14ac:dyDescent="0.25">
      <c r="F292" s="457" t="s">
        <v>41</v>
      </c>
      <c r="G292" s="449">
        <v>63</v>
      </c>
      <c r="H292" s="131">
        <v>10</v>
      </c>
      <c r="I292" s="119">
        <v>73</v>
      </c>
      <c r="J292" s="114">
        <f>I292*H292</f>
        <v>730</v>
      </c>
      <c r="L292" s="449">
        <v>63</v>
      </c>
      <c r="M292" s="119"/>
      <c r="N292" s="119">
        <v>188</v>
      </c>
      <c r="O292" s="114">
        <f>N292</f>
        <v>188</v>
      </c>
      <c r="P292" s="103"/>
      <c r="Q292" s="266"/>
      <c r="R292" s="103"/>
      <c r="S292" s="1">
        <v>63</v>
      </c>
      <c r="U292" s="99">
        <v>7.51</v>
      </c>
    </row>
    <row r="293" spans="6:21" x14ac:dyDescent="0.25">
      <c r="F293" s="458"/>
      <c r="G293" s="450"/>
      <c r="H293" s="109">
        <v>10</v>
      </c>
      <c r="I293" s="109">
        <v>46</v>
      </c>
      <c r="J293" s="114">
        <f t="shared" ref="J293:J294" si="102">I293*H293</f>
        <v>460</v>
      </c>
      <c r="L293" s="450"/>
      <c r="M293" s="109"/>
      <c r="N293" s="109">
        <v>186</v>
      </c>
      <c r="O293" s="115">
        <f t="shared" ref="O293:O294" si="103">N293</f>
        <v>186</v>
      </c>
      <c r="P293" s="103"/>
      <c r="Q293" s="266"/>
      <c r="R293" s="103"/>
      <c r="S293" s="1">
        <v>64</v>
      </c>
      <c r="U293" s="99">
        <v>7.43</v>
      </c>
    </row>
    <row r="294" spans="6:21" x14ac:dyDescent="0.25">
      <c r="F294" s="458"/>
      <c r="G294" s="450"/>
      <c r="H294" s="109">
        <v>10</v>
      </c>
      <c r="I294" s="109">
        <v>177</v>
      </c>
      <c r="J294" s="258">
        <f t="shared" si="102"/>
        <v>1770</v>
      </c>
      <c r="L294" s="450"/>
      <c r="M294" s="109"/>
      <c r="N294" s="109">
        <v>205</v>
      </c>
      <c r="O294" s="115">
        <f t="shared" si="103"/>
        <v>205</v>
      </c>
      <c r="P294" s="103"/>
      <c r="Q294" s="266"/>
      <c r="R294" s="103"/>
      <c r="S294" s="1">
        <v>65</v>
      </c>
      <c r="U294" s="99">
        <v>7.52</v>
      </c>
    </row>
    <row r="295" spans="6:21" x14ac:dyDescent="0.25">
      <c r="F295" s="458"/>
      <c r="G295" s="113" t="s">
        <v>154</v>
      </c>
      <c r="H295" s="110"/>
      <c r="I295" s="78"/>
      <c r="J295" s="116">
        <f>AVERAGE(J292:J293)</f>
        <v>595</v>
      </c>
      <c r="L295" s="113" t="s">
        <v>154</v>
      </c>
      <c r="M295" s="110"/>
      <c r="N295" s="78"/>
      <c r="O295" s="116">
        <f>AVERAGE(O292:O294)</f>
        <v>193</v>
      </c>
      <c r="P295" s="93"/>
      <c r="Q295" s="267">
        <f>(($C$21-J295)/$C$21)*100</f>
        <v>78.334311087734903</v>
      </c>
      <c r="R295" s="93"/>
      <c r="T295" s="310" t="s">
        <v>122</v>
      </c>
      <c r="U295" s="126">
        <f>AVERAGE(U292:U294)</f>
        <v>7.4866666666666672</v>
      </c>
    </row>
    <row r="296" spans="6:21" ht="15.75" thickBot="1" x14ac:dyDescent="0.3">
      <c r="F296" s="458"/>
      <c r="G296" s="113" t="s">
        <v>35</v>
      </c>
      <c r="H296" s="110"/>
      <c r="I296" s="78"/>
      <c r="J296" s="117">
        <f>STDEV(J292:J293)</f>
        <v>190.91883092036784</v>
      </c>
      <c r="L296" s="113" t="s">
        <v>35</v>
      </c>
      <c r="M296" s="110"/>
      <c r="N296" s="78"/>
      <c r="O296" s="117">
        <f>STDEV(O292:O294)</f>
        <v>10.440306508910551</v>
      </c>
      <c r="P296" s="93"/>
      <c r="Q296" s="268"/>
      <c r="R296" s="93"/>
      <c r="T296" s="97" t="s">
        <v>156</v>
      </c>
      <c r="U296" s="106">
        <f>STDEV(U292:U294)</f>
        <v>4.9328828623162443E-2</v>
      </c>
    </row>
    <row r="297" spans="6:21" x14ac:dyDescent="0.25">
      <c r="F297" s="458"/>
      <c r="G297" s="448">
        <v>64</v>
      </c>
      <c r="H297" s="109">
        <v>10</v>
      </c>
      <c r="I297" s="109">
        <v>54</v>
      </c>
      <c r="J297" s="114">
        <f>I297*H297</f>
        <v>540</v>
      </c>
      <c r="L297" s="450">
        <v>64</v>
      </c>
      <c r="M297" s="109"/>
      <c r="N297" s="109">
        <v>203</v>
      </c>
      <c r="O297" s="115">
        <f>N297</f>
        <v>203</v>
      </c>
      <c r="P297" s="103"/>
      <c r="Q297" s="266"/>
      <c r="R297" s="103"/>
    </row>
    <row r="298" spans="6:21" x14ac:dyDescent="0.25">
      <c r="F298" s="458"/>
      <c r="G298" s="448"/>
      <c r="H298" s="109">
        <v>10</v>
      </c>
      <c r="I298" s="109">
        <v>60</v>
      </c>
      <c r="J298" s="114">
        <f t="shared" ref="J298:J299" si="104">I298*H298</f>
        <v>600</v>
      </c>
      <c r="L298" s="450"/>
      <c r="M298" s="109"/>
      <c r="N298" s="109">
        <v>215</v>
      </c>
      <c r="O298" s="115">
        <f t="shared" ref="O298:O299" si="105">N298</f>
        <v>215</v>
      </c>
      <c r="P298" s="103"/>
      <c r="Q298" s="266"/>
      <c r="R298" s="103"/>
    </row>
    <row r="299" spans="6:21" x14ac:dyDescent="0.25">
      <c r="F299" s="458"/>
      <c r="G299" s="448"/>
      <c r="H299" s="109">
        <v>10</v>
      </c>
      <c r="I299" s="109">
        <v>72</v>
      </c>
      <c r="J299" s="114">
        <f t="shared" si="104"/>
        <v>720</v>
      </c>
      <c r="L299" s="450"/>
      <c r="M299" s="109"/>
      <c r="N299" s="109">
        <v>198</v>
      </c>
      <c r="O299" s="115">
        <f t="shared" si="105"/>
        <v>198</v>
      </c>
      <c r="P299" s="103"/>
      <c r="Q299" s="266"/>
      <c r="R299" s="103"/>
    </row>
    <row r="300" spans="6:21" x14ac:dyDescent="0.25">
      <c r="F300" s="458"/>
      <c r="G300" s="113" t="s">
        <v>154</v>
      </c>
      <c r="H300" s="110"/>
      <c r="I300" s="78"/>
      <c r="J300" s="116">
        <f>AVERAGE(J297:J299)</f>
        <v>620</v>
      </c>
      <c r="L300" s="113" t="s">
        <v>154</v>
      </c>
      <c r="M300" s="110"/>
      <c r="N300" s="78"/>
      <c r="O300" s="116">
        <f>AVERAGE(O297:O299)</f>
        <v>205.33333333333334</v>
      </c>
      <c r="P300" s="93"/>
      <c r="Q300" s="267">
        <f>(($C$21-J300)/$C$21)*100</f>
        <v>77.423988024194372</v>
      </c>
      <c r="R300" s="93"/>
    </row>
    <row r="301" spans="6:21" x14ac:dyDescent="0.25">
      <c r="F301" s="458"/>
      <c r="G301" s="113" t="s">
        <v>35</v>
      </c>
      <c r="H301" s="110"/>
      <c r="I301" s="78"/>
      <c r="J301" s="117">
        <f>STDEV(J297:J299)</f>
        <v>91.651513899116793</v>
      </c>
      <c r="L301" s="113" t="s">
        <v>35</v>
      </c>
      <c r="M301" s="110"/>
      <c r="N301" s="78"/>
      <c r="O301" s="117">
        <f>STDEV(O297:O299)</f>
        <v>8.736894948054104</v>
      </c>
      <c r="P301" s="93"/>
      <c r="Q301" s="268"/>
      <c r="R301" s="93"/>
    </row>
    <row r="302" spans="6:21" x14ac:dyDescent="0.25">
      <c r="F302" s="458"/>
      <c r="G302" s="451">
        <v>65</v>
      </c>
      <c r="H302" s="111">
        <v>10</v>
      </c>
      <c r="I302" s="111">
        <v>55</v>
      </c>
      <c r="J302" s="114">
        <f>I302*H302</f>
        <v>550</v>
      </c>
      <c r="L302" s="451">
        <v>65</v>
      </c>
      <c r="M302" s="111"/>
      <c r="N302" s="111">
        <v>167</v>
      </c>
      <c r="O302" s="114">
        <f>N302</f>
        <v>167</v>
      </c>
      <c r="P302" s="103"/>
      <c r="Q302" s="266"/>
      <c r="R302" s="103"/>
    </row>
    <row r="303" spans="6:21" x14ac:dyDescent="0.25">
      <c r="F303" s="458"/>
      <c r="G303" s="450"/>
      <c r="H303" s="109">
        <v>10</v>
      </c>
      <c r="I303" s="109">
        <v>67</v>
      </c>
      <c r="J303" s="114">
        <f t="shared" ref="J303:J304" si="106">I303*H303</f>
        <v>670</v>
      </c>
      <c r="L303" s="450"/>
      <c r="M303" s="109"/>
      <c r="N303" s="109">
        <v>165</v>
      </c>
      <c r="O303" s="115">
        <f t="shared" ref="O303:O304" si="107">N303</f>
        <v>165</v>
      </c>
      <c r="P303" s="103"/>
      <c r="Q303" s="266"/>
      <c r="R303" s="103"/>
    </row>
    <row r="304" spans="6:21" x14ac:dyDescent="0.25">
      <c r="F304" s="458"/>
      <c r="G304" s="450"/>
      <c r="H304" s="109">
        <v>10</v>
      </c>
      <c r="I304" s="109">
        <v>58</v>
      </c>
      <c r="J304" s="114">
        <f t="shared" si="106"/>
        <v>580</v>
      </c>
      <c r="L304" s="450"/>
      <c r="M304" s="109"/>
      <c r="N304" s="109">
        <v>165</v>
      </c>
      <c r="O304" s="115">
        <f t="shared" si="107"/>
        <v>165</v>
      </c>
      <c r="P304" s="103"/>
      <c r="Q304" s="266"/>
      <c r="R304" s="103"/>
    </row>
    <row r="305" spans="6:21" x14ac:dyDescent="0.25">
      <c r="F305" s="458"/>
      <c r="G305" s="113" t="s">
        <v>154</v>
      </c>
      <c r="H305" s="110"/>
      <c r="I305" s="78"/>
      <c r="J305" s="116">
        <f>AVERAGE(J302:J304)</f>
        <v>600</v>
      </c>
      <c r="L305" s="113" t="s">
        <v>154</v>
      </c>
      <c r="M305" s="110"/>
      <c r="N305" s="78"/>
      <c r="O305" s="116">
        <f>AVERAGE(O302:O304)</f>
        <v>165.66666666666666</v>
      </c>
      <c r="P305" s="93"/>
      <c r="Q305" s="267">
        <f>(($C$21-J305)/$C$21)*100</f>
        <v>78.152246475026814</v>
      </c>
      <c r="R305" s="93"/>
      <c r="T305" s="418" t="s">
        <v>34</v>
      </c>
      <c r="U305" s="418"/>
    </row>
    <row r="306" spans="6:21" ht="15.75" thickBot="1" x14ac:dyDescent="0.3">
      <c r="F306" s="459"/>
      <c r="G306" s="113" t="s">
        <v>35</v>
      </c>
      <c r="H306" s="121"/>
      <c r="I306" s="81"/>
      <c r="J306" s="122">
        <f>STDEV(J302:J304)</f>
        <v>62.44997998398398</v>
      </c>
      <c r="L306" s="113" t="s">
        <v>35</v>
      </c>
      <c r="M306" s="121"/>
      <c r="N306" s="81"/>
      <c r="O306" s="122">
        <f>STDEV(O302:O304)</f>
        <v>1.1547005383792515</v>
      </c>
      <c r="P306" s="93"/>
      <c r="Q306" s="269"/>
      <c r="R306" s="93"/>
      <c r="T306" s="1"/>
      <c r="U306" s="107"/>
    </row>
    <row r="307" spans="6:21" x14ac:dyDescent="0.25">
      <c r="F307" s="102"/>
      <c r="G307" s="113" t="s">
        <v>154</v>
      </c>
      <c r="H307" s="252"/>
      <c r="I307" s="253"/>
      <c r="J307" s="116">
        <f>AVERAGE(J292:J293,J297:J299,J302:J304)</f>
        <v>606.25</v>
      </c>
      <c r="K307" s="248"/>
      <c r="L307" s="113" t="s">
        <v>154</v>
      </c>
      <c r="M307" s="252"/>
      <c r="N307" s="253"/>
      <c r="O307" s="116">
        <f>AVERAGE(O292:O294,O297:O299,O302:O304)</f>
        <v>188</v>
      </c>
      <c r="P307" s="125"/>
      <c r="Q307" s="270">
        <f>AVERAGE(Q295:Q305)</f>
        <v>77.970181862318682</v>
      </c>
      <c r="R307" s="100"/>
      <c r="T307" s="1"/>
      <c r="U307" s="107"/>
    </row>
    <row r="308" spans="6:21" ht="15.75" thickBot="1" x14ac:dyDescent="0.3">
      <c r="F308" s="102"/>
      <c r="G308" s="244" t="s">
        <v>35</v>
      </c>
      <c r="H308" s="256"/>
      <c r="I308" s="257"/>
      <c r="J308" s="251">
        <f>STDEV(J292:J293,J297:J299,J302:J304)</f>
        <v>94.102907196627797</v>
      </c>
      <c r="K308" s="248"/>
      <c r="L308" s="244" t="s">
        <v>35</v>
      </c>
      <c r="M308" s="256"/>
      <c r="N308" s="257"/>
      <c r="O308" s="251">
        <f>STDEV(O292:O294,O297:O299,O302:O304)</f>
        <v>18.861336113860016</v>
      </c>
      <c r="P308" s="125"/>
      <c r="Q308" s="270">
        <f>STDEV(Q295:Q305)</f>
        <v>0.48169768777094213</v>
      </c>
      <c r="R308" s="100"/>
      <c r="T308" s="1"/>
      <c r="U308" s="107"/>
    </row>
    <row r="309" spans="6:21" x14ac:dyDescent="0.25">
      <c r="F309" s="457" t="s">
        <v>153</v>
      </c>
      <c r="G309" s="449">
        <v>66</v>
      </c>
      <c r="H309" s="131">
        <v>10</v>
      </c>
      <c r="I309" s="119">
        <v>41</v>
      </c>
      <c r="J309" s="114">
        <f>I309*H309</f>
        <v>410</v>
      </c>
      <c r="L309" s="449">
        <v>66</v>
      </c>
      <c r="M309" s="119"/>
      <c r="N309" s="119">
        <v>56</v>
      </c>
      <c r="O309" s="114">
        <f>N309</f>
        <v>56</v>
      </c>
      <c r="P309" s="103"/>
      <c r="Q309" s="266"/>
      <c r="R309" s="103"/>
      <c r="S309" s="1">
        <v>66</v>
      </c>
      <c r="U309" s="99">
        <v>7.53</v>
      </c>
    </row>
    <row r="310" spans="6:21" x14ac:dyDescent="0.25">
      <c r="F310" s="458"/>
      <c r="G310" s="450"/>
      <c r="H310" s="109">
        <v>10</v>
      </c>
      <c r="I310" s="109">
        <v>19</v>
      </c>
      <c r="J310" s="258">
        <f t="shared" ref="J310:J311" si="108">I310*H310</f>
        <v>190</v>
      </c>
      <c r="L310" s="450"/>
      <c r="M310" s="109"/>
      <c r="N310" s="109">
        <v>67</v>
      </c>
      <c r="O310" s="115">
        <f t="shared" ref="O310:O311" si="109">N310</f>
        <v>67</v>
      </c>
      <c r="P310" s="103"/>
      <c r="Q310" s="266"/>
      <c r="R310" s="103"/>
      <c r="S310" s="1">
        <v>67</v>
      </c>
      <c r="U310" s="99">
        <v>7.35</v>
      </c>
    </row>
    <row r="311" spans="6:21" x14ac:dyDescent="0.25">
      <c r="F311" s="458"/>
      <c r="G311" s="450"/>
      <c r="H311" s="109">
        <v>10</v>
      </c>
      <c r="I311" s="109">
        <v>16</v>
      </c>
      <c r="J311" s="258">
        <f t="shared" si="108"/>
        <v>160</v>
      </c>
      <c r="L311" s="450"/>
      <c r="M311" s="109"/>
      <c r="N311" s="109">
        <v>60</v>
      </c>
      <c r="O311" s="115">
        <f t="shared" si="109"/>
        <v>60</v>
      </c>
      <c r="P311" s="103"/>
      <c r="Q311" s="266"/>
      <c r="R311" s="103"/>
      <c r="S311" s="1">
        <v>68</v>
      </c>
      <c r="U311" s="99">
        <v>7.44</v>
      </c>
    </row>
    <row r="312" spans="6:21" x14ac:dyDescent="0.25">
      <c r="F312" s="458"/>
      <c r="G312" s="113" t="s">
        <v>154</v>
      </c>
      <c r="H312" s="110"/>
      <c r="I312" s="78"/>
      <c r="J312" s="116">
        <v>410</v>
      </c>
      <c r="L312" s="113" t="s">
        <v>154</v>
      </c>
      <c r="M312" s="110"/>
      <c r="N312" s="78"/>
      <c r="O312" s="116">
        <f>AVERAGE(O309:O311)</f>
        <v>61</v>
      </c>
      <c r="P312" s="93"/>
      <c r="Q312" s="267">
        <f>(($C$22-J312)/$C$22)*100</f>
        <v>82.280912364945976</v>
      </c>
      <c r="R312" s="93"/>
      <c r="T312" s="310" t="s">
        <v>122</v>
      </c>
      <c r="U312" s="126">
        <f>AVERAGE(U309:U311)</f>
        <v>7.44</v>
      </c>
    </row>
    <row r="313" spans="6:21" ht="15.75" thickBot="1" x14ac:dyDescent="0.3">
      <c r="F313" s="458"/>
      <c r="G313" s="113" t="s">
        <v>35</v>
      </c>
      <c r="H313" s="110"/>
      <c r="I313" s="78"/>
      <c r="J313" s="117">
        <v>0</v>
      </c>
      <c r="L313" s="113" t="s">
        <v>35</v>
      </c>
      <c r="M313" s="110"/>
      <c r="N313" s="78"/>
      <c r="O313" s="117">
        <f>STDEV(O309:O311)</f>
        <v>5.5677643628300215</v>
      </c>
      <c r="P313" s="93"/>
      <c r="Q313" s="268"/>
      <c r="R313" s="93"/>
      <c r="T313" s="97" t="s">
        <v>156</v>
      </c>
      <c r="U313" s="106">
        <f>STDEV(U309:U311)</f>
        <v>9.0000000000000302E-2</v>
      </c>
    </row>
    <row r="314" spans="6:21" x14ac:dyDescent="0.25">
      <c r="F314" s="458"/>
      <c r="G314" s="450">
        <v>67</v>
      </c>
      <c r="H314" s="109"/>
      <c r="I314" s="109">
        <v>402</v>
      </c>
      <c r="J314" s="115">
        <f>I314</f>
        <v>402</v>
      </c>
      <c r="L314" s="450">
        <v>67</v>
      </c>
      <c r="M314" s="109"/>
      <c r="N314" s="109">
        <v>55</v>
      </c>
      <c r="O314" s="115">
        <f>N314</f>
        <v>55</v>
      </c>
      <c r="P314" s="103"/>
      <c r="Q314" s="266"/>
      <c r="R314" s="103"/>
    </row>
    <row r="315" spans="6:21" x14ac:dyDescent="0.25">
      <c r="F315" s="458"/>
      <c r="G315" s="450"/>
      <c r="H315" s="109"/>
      <c r="I315" s="109">
        <v>428</v>
      </c>
      <c r="J315" s="115">
        <f t="shared" ref="J315:J316" si="110">I315</f>
        <v>428</v>
      </c>
      <c r="L315" s="450"/>
      <c r="M315" s="109"/>
      <c r="N315" s="109">
        <v>56</v>
      </c>
      <c r="O315" s="115">
        <f t="shared" ref="O315:O316" si="111">N315</f>
        <v>56</v>
      </c>
      <c r="P315" s="103"/>
      <c r="Q315" s="266"/>
      <c r="R315" s="103"/>
    </row>
    <row r="316" spans="6:21" x14ac:dyDescent="0.25">
      <c r="F316" s="458"/>
      <c r="G316" s="450"/>
      <c r="H316" s="109"/>
      <c r="I316" s="109">
        <v>409</v>
      </c>
      <c r="J316" s="115">
        <f t="shared" si="110"/>
        <v>409</v>
      </c>
      <c r="L316" s="450"/>
      <c r="M316" s="109"/>
      <c r="N316" s="109">
        <v>56</v>
      </c>
      <c r="O316" s="115">
        <f t="shared" si="111"/>
        <v>56</v>
      </c>
      <c r="P316" s="103"/>
      <c r="Q316" s="266"/>
      <c r="R316" s="103"/>
    </row>
    <row r="317" spans="6:21" x14ac:dyDescent="0.25">
      <c r="F317" s="458"/>
      <c r="G317" s="113" t="s">
        <v>154</v>
      </c>
      <c r="H317" s="110"/>
      <c r="I317" s="78"/>
      <c r="J317" s="116">
        <f>AVERAGE(J314:J316)</f>
        <v>413</v>
      </c>
      <c r="L317" s="113" t="s">
        <v>154</v>
      </c>
      <c r="M317" s="110"/>
      <c r="N317" s="78"/>
      <c r="O317" s="116">
        <f>AVERAGE(O314:O316)</f>
        <v>55.666666666666664</v>
      </c>
      <c r="P317" s="93"/>
      <c r="Q317" s="267">
        <f>(($C$22-J317)/$C$22)*100</f>
        <v>82.151260504201687</v>
      </c>
      <c r="R317" s="93"/>
      <c r="T317" s="129"/>
      <c r="U317" s="129"/>
    </row>
    <row r="318" spans="6:21" x14ac:dyDescent="0.25">
      <c r="F318" s="458"/>
      <c r="G318" s="113" t="s">
        <v>35</v>
      </c>
      <c r="H318" s="110"/>
      <c r="I318" s="78"/>
      <c r="J318" s="117">
        <f>STDEV(J314:J316)</f>
        <v>13.45362404707371</v>
      </c>
      <c r="L318" s="113" t="s">
        <v>35</v>
      </c>
      <c r="M318" s="110"/>
      <c r="N318" s="78"/>
      <c r="O318" s="117">
        <f>STDEV(O314:O316)</f>
        <v>0.57735026918962584</v>
      </c>
      <c r="P318" s="93"/>
      <c r="Q318" s="268"/>
      <c r="R318" s="93"/>
      <c r="T318" s="129"/>
      <c r="U318" s="129"/>
    </row>
    <row r="319" spans="6:21" x14ac:dyDescent="0.25">
      <c r="F319" s="458"/>
      <c r="G319" s="451">
        <v>68</v>
      </c>
      <c r="H319" s="111">
        <v>10</v>
      </c>
      <c r="I319" s="111">
        <v>38</v>
      </c>
      <c r="J319" s="114">
        <f>I319*H319</f>
        <v>380</v>
      </c>
      <c r="L319" s="451">
        <v>68</v>
      </c>
      <c r="M319" s="111"/>
      <c r="N319" s="111">
        <v>111</v>
      </c>
      <c r="O319" s="114">
        <f>N319</f>
        <v>111</v>
      </c>
      <c r="P319" s="103"/>
      <c r="Q319" s="266"/>
      <c r="R319" s="103"/>
      <c r="T319" s="129"/>
      <c r="U319" s="129"/>
    </row>
    <row r="320" spans="6:21" x14ac:dyDescent="0.25">
      <c r="F320" s="458"/>
      <c r="G320" s="450"/>
      <c r="H320" s="109">
        <v>10</v>
      </c>
      <c r="I320" s="109">
        <v>37</v>
      </c>
      <c r="J320" s="114">
        <f t="shared" ref="J320:J321" si="112">I320*H320</f>
        <v>370</v>
      </c>
      <c r="L320" s="450"/>
      <c r="M320" s="109"/>
      <c r="N320" s="109">
        <v>97</v>
      </c>
      <c r="O320" s="115">
        <f t="shared" ref="O320:O321" si="113">N320</f>
        <v>97</v>
      </c>
      <c r="P320" s="103"/>
      <c r="Q320" s="266"/>
      <c r="R320" s="103"/>
      <c r="T320" s="129"/>
      <c r="U320" s="129"/>
    </row>
    <row r="321" spans="6:22" x14ac:dyDescent="0.25">
      <c r="F321" s="458"/>
      <c r="G321" s="450"/>
      <c r="H321" s="109">
        <v>10</v>
      </c>
      <c r="I321" s="109">
        <v>33</v>
      </c>
      <c r="J321" s="114">
        <f t="shared" si="112"/>
        <v>330</v>
      </c>
      <c r="L321" s="450"/>
      <c r="M321" s="109"/>
      <c r="N321" s="109">
        <v>120</v>
      </c>
      <c r="O321" s="115">
        <f t="shared" si="113"/>
        <v>120</v>
      </c>
      <c r="P321" s="103"/>
      <c r="Q321" s="266"/>
      <c r="R321" s="103"/>
      <c r="T321" s="129"/>
      <c r="U321" s="129"/>
    </row>
    <row r="322" spans="6:22" x14ac:dyDescent="0.25">
      <c r="F322" s="458"/>
      <c r="G322" s="113" t="s">
        <v>154</v>
      </c>
      <c r="H322" s="110"/>
      <c r="I322" s="78"/>
      <c r="J322" s="116">
        <f>AVERAGE(J319:J321)</f>
        <v>360</v>
      </c>
      <c r="L322" s="113" t="s">
        <v>154</v>
      </c>
      <c r="M322" s="110"/>
      <c r="N322" s="78"/>
      <c r="O322" s="116">
        <f>AVERAGE(O319:O321)</f>
        <v>109.33333333333333</v>
      </c>
      <c r="P322" s="93"/>
      <c r="Q322" s="267">
        <f>(($C$22-J322)/$C$22)*100</f>
        <v>84.441776710684266</v>
      </c>
      <c r="R322" s="93"/>
      <c r="T322" s="418" t="s">
        <v>34</v>
      </c>
      <c r="U322" s="418"/>
      <c r="V322" s="1"/>
    </row>
    <row r="323" spans="6:22" ht="15.75" thickBot="1" x14ac:dyDescent="0.3">
      <c r="F323" s="460"/>
      <c r="G323" s="113" t="s">
        <v>35</v>
      </c>
      <c r="H323" s="123"/>
      <c r="I323" s="82"/>
      <c r="J323" s="122">
        <f>STDEV(J319:J321)</f>
        <v>26.457513110645905</v>
      </c>
      <c r="L323" s="113" t="s">
        <v>35</v>
      </c>
      <c r="M323" s="123"/>
      <c r="N323" s="82"/>
      <c r="O323" s="124">
        <f>STDEV(O319:O321)</f>
        <v>11.590225767142474</v>
      </c>
      <c r="P323" s="93"/>
      <c r="Q323" s="269"/>
      <c r="R323" s="93"/>
      <c r="T323" s="1"/>
      <c r="U323" s="107"/>
      <c r="V323" s="1"/>
    </row>
    <row r="324" spans="6:22" x14ac:dyDescent="0.25">
      <c r="F324" s="102"/>
      <c r="G324" s="113" t="s">
        <v>154</v>
      </c>
      <c r="H324" s="252"/>
      <c r="I324" s="253"/>
      <c r="J324" s="116">
        <f>AVERAGE(J309,J314:J316,J319:J321)</f>
        <v>389.85714285714283</v>
      </c>
      <c r="K324" s="248"/>
      <c r="L324" s="113" t="s">
        <v>154</v>
      </c>
      <c r="M324" s="252"/>
      <c r="N324" s="253"/>
      <c r="O324" s="116">
        <f>AVERAGE(O309:O311,O314:O316,O319:O321)</f>
        <v>75.333333333333329</v>
      </c>
      <c r="P324" s="125"/>
      <c r="Q324" s="270">
        <f>AVERAGE(Q312:Q322)</f>
        <v>82.957983193277315</v>
      </c>
      <c r="R324" s="100"/>
      <c r="T324" s="1"/>
      <c r="U324" s="107"/>
      <c r="V324" s="1"/>
    </row>
    <row r="325" spans="6:22" ht="15.75" thickBot="1" x14ac:dyDescent="0.3">
      <c r="F325" s="102"/>
      <c r="G325" s="244" t="s">
        <v>35</v>
      </c>
      <c r="H325" s="254"/>
      <c r="I325" s="255"/>
      <c r="J325" s="251">
        <f>STDEV(J309,J314:J316,J319:J321)</f>
        <v>32.78428775815518</v>
      </c>
      <c r="K325" s="248"/>
      <c r="L325" s="244" t="s">
        <v>35</v>
      </c>
      <c r="M325" s="254"/>
      <c r="N325" s="255"/>
      <c r="O325" s="265">
        <f>STDEV(O309:O311,O314:O316,O319:O321)</f>
        <v>26.40075756488817</v>
      </c>
      <c r="P325" s="125"/>
      <c r="Q325" s="270">
        <f>STDEV(Q312:Q322)</f>
        <v>1.2866370129033264</v>
      </c>
      <c r="R325" s="100"/>
      <c r="T325" s="1"/>
      <c r="U325" s="107"/>
      <c r="V325" s="1"/>
    </row>
    <row r="326" spans="6:22" x14ac:dyDescent="0.25">
      <c r="F326" s="454" t="s">
        <v>42</v>
      </c>
      <c r="G326" s="449">
        <v>69</v>
      </c>
      <c r="H326" s="131">
        <v>10</v>
      </c>
      <c r="I326" s="119">
        <v>72</v>
      </c>
      <c r="J326" s="114">
        <f>I326*H326</f>
        <v>720</v>
      </c>
      <c r="L326" s="449">
        <v>69</v>
      </c>
      <c r="M326" s="119"/>
      <c r="N326" s="119">
        <v>171</v>
      </c>
      <c r="O326" s="120">
        <f>N326</f>
        <v>171</v>
      </c>
      <c r="P326" s="103"/>
      <c r="Q326" s="266"/>
      <c r="R326" s="103"/>
      <c r="S326" s="1">
        <v>69</v>
      </c>
      <c r="U326" s="99">
        <v>7.56</v>
      </c>
      <c r="V326" s="1"/>
    </row>
    <row r="327" spans="6:22" x14ac:dyDescent="0.25">
      <c r="F327" s="455"/>
      <c r="G327" s="450"/>
      <c r="H327" s="109">
        <v>10</v>
      </c>
      <c r="I327" s="109">
        <v>54</v>
      </c>
      <c r="J327" s="114">
        <f t="shared" ref="J327:J328" si="114">I327*H327</f>
        <v>540</v>
      </c>
      <c r="L327" s="450"/>
      <c r="M327" s="109"/>
      <c r="N327" s="109">
        <v>175</v>
      </c>
      <c r="O327" s="115">
        <f t="shared" ref="O327:O328" si="115">N327</f>
        <v>175</v>
      </c>
      <c r="P327" s="103"/>
      <c r="Q327" s="266"/>
      <c r="R327" s="103"/>
      <c r="S327" s="1">
        <v>70</v>
      </c>
      <c r="U327" s="99">
        <v>7.49</v>
      </c>
      <c r="V327" s="1"/>
    </row>
    <row r="328" spans="6:22" x14ac:dyDescent="0.25">
      <c r="F328" s="455"/>
      <c r="G328" s="450"/>
      <c r="H328" s="109">
        <v>10</v>
      </c>
      <c r="I328" s="109">
        <v>70</v>
      </c>
      <c r="J328" s="114">
        <f t="shared" si="114"/>
        <v>700</v>
      </c>
      <c r="L328" s="450"/>
      <c r="M328" s="109"/>
      <c r="N328" s="109">
        <v>208</v>
      </c>
      <c r="O328" s="115">
        <f t="shared" si="115"/>
        <v>208</v>
      </c>
      <c r="P328" s="103"/>
      <c r="Q328" s="266"/>
      <c r="R328" s="103"/>
      <c r="T328" s="310" t="s">
        <v>122</v>
      </c>
      <c r="U328" s="126">
        <f>AVERAGE(U326:U327)</f>
        <v>7.5250000000000004</v>
      </c>
      <c r="V328" s="1"/>
    </row>
    <row r="329" spans="6:22" ht="15.75" thickBot="1" x14ac:dyDescent="0.3">
      <c r="F329" s="455"/>
      <c r="G329" s="113" t="s">
        <v>154</v>
      </c>
      <c r="H329" s="110"/>
      <c r="I329" s="78"/>
      <c r="J329" s="116">
        <f>AVERAGE(J326:J328)</f>
        <v>653.33333333333337</v>
      </c>
      <c r="L329" s="113" t="s">
        <v>154</v>
      </c>
      <c r="M329" s="110"/>
      <c r="N329" s="78"/>
      <c r="O329" s="116">
        <f>AVERAGE(O326:O328)</f>
        <v>184.66666666666666</v>
      </c>
      <c r="P329" s="93"/>
      <c r="Q329" s="267">
        <f>(($C$23-J329)/$C$23)*100</f>
        <v>78.50091407678245</v>
      </c>
      <c r="R329" s="93"/>
      <c r="T329" s="97" t="s">
        <v>156</v>
      </c>
      <c r="U329" s="106">
        <f>STDEV(U326:U327)</f>
        <v>4.9497474683057895E-2</v>
      </c>
      <c r="V329" s="1"/>
    </row>
    <row r="330" spans="6:22" x14ac:dyDescent="0.25">
      <c r="F330" s="455"/>
      <c r="G330" s="113" t="s">
        <v>35</v>
      </c>
      <c r="H330" s="110"/>
      <c r="I330" s="78"/>
      <c r="J330" s="117">
        <f>STDEV(J326:J328)</f>
        <v>98.657657246325144</v>
      </c>
      <c r="L330" s="113" t="s">
        <v>35</v>
      </c>
      <c r="M330" s="110"/>
      <c r="N330" s="78"/>
      <c r="O330" s="117">
        <f>STDEV(O326:O328)</f>
        <v>20.305992547357377</v>
      </c>
      <c r="P330" s="93"/>
      <c r="Q330" s="268"/>
      <c r="R330" s="93"/>
    </row>
    <row r="331" spans="6:22" x14ac:dyDescent="0.25">
      <c r="F331" s="455"/>
      <c r="G331" s="450">
        <v>70</v>
      </c>
      <c r="H331" s="109">
        <v>10</v>
      </c>
      <c r="I331" s="109">
        <v>85</v>
      </c>
      <c r="J331" s="114">
        <f>I331*H331</f>
        <v>850</v>
      </c>
      <c r="L331" s="450">
        <v>70</v>
      </c>
      <c r="M331" s="109"/>
      <c r="N331" s="109">
        <v>241</v>
      </c>
      <c r="O331" s="115">
        <f>N331</f>
        <v>241</v>
      </c>
      <c r="P331" s="103"/>
      <c r="Q331" s="266"/>
      <c r="R331" s="103"/>
      <c r="S331" s="26"/>
      <c r="T331" s="26"/>
    </row>
    <row r="332" spans="6:22" x14ac:dyDescent="0.25">
      <c r="F332" s="455"/>
      <c r="G332" s="450"/>
      <c r="H332" s="109">
        <v>10</v>
      </c>
      <c r="I332" s="109">
        <v>86</v>
      </c>
      <c r="J332" s="114">
        <f t="shared" ref="J332:J333" si="116">I332*H332</f>
        <v>860</v>
      </c>
      <c r="L332" s="450"/>
      <c r="M332" s="109"/>
      <c r="N332" s="109">
        <v>240</v>
      </c>
      <c r="O332" s="115">
        <f t="shared" ref="O332:O333" si="117">N332</f>
        <v>240</v>
      </c>
      <c r="P332" s="103"/>
      <c r="Q332" s="266"/>
      <c r="R332" s="103"/>
      <c r="S332" s="26"/>
      <c r="T332" s="26"/>
    </row>
    <row r="333" spans="6:22" x14ac:dyDescent="0.25">
      <c r="F333" s="455"/>
      <c r="G333" s="450"/>
      <c r="H333" s="109">
        <v>10</v>
      </c>
      <c r="I333" s="109">
        <v>82</v>
      </c>
      <c r="J333" s="114">
        <f t="shared" si="116"/>
        <v>820</v>
      </c>
      <c r="L333" s="450"/>
      <c r="M333" s="109"/>
      <c r="N333" s="109">
        <v>262</v>
      </c>
      <c r="O333" s="115">
        <f t="shared" si="117"/>
        <v>262</v>
      </c>
      <c r="P333" s="103"/>
      <c r="Q333" s="266"/>
      <c r="R333" s="103"/>
      <c r="S333" s="26"/>
      <c r="T333" s="26"/>
    </row>
    <row r="334" spans="6:22" x14ac:dyDescent="0.25">
      <c r="F334" s="455"/>
      <c r="G334" s="113" t="s">
        <v>154</v>
      </c>
      <c r="H334" s="110"/>
      <c r="I334" s="78"/>
      <c r="J334" s="116">
        <f>AVERAGE(J331:J333)</f>
        <v>843.33333333333337</v>
      </c>
      <c r="L334" s="113" t="s">
        <v>154</v>
      </c>
      <c r="M334" s="110"/>
      <c r="N334" s="78"/>
      <c r="O334" s="116">
        <f>AVERAGE(O331:O333)</f>
        <v>247.66666666666666</v>
      </c>
      <c r="P334" s="93"/>
      <c r="Q334" s="267">
        <f>(($C$23-J334)/$C$23)*100</f>
        <v>72.248628884826317</v>
      </c>
      <c r="R334" s="93"/>
    </row>
    <row r="335" spans="6:22" ht="15.75" thickBot="1" x14ac:dyDescent="0.3">
      <c r="F335" s="456"/>
      <c r="G335" s="113" t="s">
        <v>35</v>
      </c>
      <c r="H335" s="121"/>
      <c r="I335" s="81"/>
      <c r="J335" s="122">
        <f>STDEV(J331:J333)</f>
        <v>20.816659994661325</v>
      </c>
      <c r="L335" s="113" t="s">
        <v>35</v>
      </c>
      <c r="M335" s="121"/>
      <c r="N335" s="81"/>
      <c r="O335" s="122">
        <f>STDEV(O331:O333)</f>
        <v>12.423096769056148</v>
      </c>
      <c r="P335" s="93"/>
      <c r="Q335" s="269"/>
      <c r="R335" s="93"/>
    </row>
    <row r="336" spans="6:22" x14ac:dyDescent="0.25">
      <c r="G336" s="113" t="s">
        <v>154</v>
      </c>
      <c r="H336" s="252"/>
      <c r="I336" s="253"/>
      <c r="J336" s="116">
        <f>AVERAGE(J326:J328,J331:J333)</f>
        <v>748.33333333333337</v>
      </c>
      <c r="K336" s="248"/>
      <c r="L336" s="113" t="s">
        <v>154</v>
      </c>
      <c r="M336" s="252"/>
      <c r="N336" s="253"/>
      <c r="O336" s="116">
        <f>AVERAGE(O326:O328,O331:O333)</f>
        <v>216.16666666666666</v>
      </c>
      <c r="P336" s="125"/>
      <c r="Q336" s="270">
        <f>AVERAGE(Q327:Q334)</f>
        <v>75.374771480804384</v>
      </c>
    </row>
    <row r="337" spans="7:17" ht="15.75" thickBot="1" x14ac:dyDescent="0.3">
      <c r="G337" s="244" t="s">
        <v>35</v>
      </c>
      <c r="H337" s="256"/>
      <c r="I337" s="257"/>
      <c r="J337" s="251">
        <f>STDEV(J326:J328,J331:J333)</f>
        <v>122.05190152827073</v>
      </c>
      <c r="K337" s="248"/>
      <c r="L337" s="244" t="s">
        <v>35</v>
      </c>
      <c r="M337" s="256"/>
      <c r="N337" s="257"/>
      <c r="O337" s="251">
        <f>STDEV(O326:O328,O331:O333)</f>
        <v>37.647930443341274</v>
      </c>
      <c r="P337" s="125"/>
      <c r="Q337" s="270">
        <f>STDEV(Q327:Q334)</f>
        <v>4.4210332571444164</v>
      </c>
    </row>
  </sheetData>
  <mergeCells count="162">
    <mergeCell ref="AF51:AG51"/>
    <mergeCell ref="AF68:AG68"/>
    <mergeCell ref="W3:AE3"/>
    <mergeCell ref="B3:B4"/>
    <mergeCell ref="C3:D3"/>
    <mergeCell ref="G326:G328"/>
    <mergeCell ref="L326:L328"/>
    <mergeCell ref="G331:G333"/>
    <mergeCell ref="L331:L333"/>
    <mergeCell ref="T203:U203"/>
    <mergeCell ref="T220:U220"/>
    <mergeCell ref="T237:U237"/>
    <mergeCell ref="T249:U249"/>
    <mergeCell ref="T254:U254"/>
    <mergeCell ref="T271:U271"/>
    <mergeCell ref="T305:U305"/>
    <mergeCell ref="F326:F335"/>
    <mergeCell ref="T288:U288"/>
    <mergeCell ref="T322:U322"/>
    <mergeCell ref="F292:F306"/>
    <mergeCell ref="G292:G294"/>
    <mergeCell ref="L292:L294"/>
    <mergeCell ref="G297:G299"/>
    <mergeCell ref="L297:L299"/>
    <mergeCell ref="G302:G304"/>
    <mergeCell ref="L302:L304"/>
    <mergeCell ref="F309:F323"/>
    <mergeCell ref="G309:G311"/>
    <mergeCell ref="L309:L311"/>
    <mergeCell ref="G314:G316"/>
    <mergeCell ref="L314:L316"/>
    <mergeCell ref="G319:G321"/>
    <mergeCell ref="L319:L321"/>
    <mergeCell ref="F258:F272"/>
    <mergeCell ref="G258:G260"/>
    <mergeCell ref="L258:L260"/>
    <mergeCell ref="G263:G265"/>
    <mergeCell ref="L263:L265"/>
    <mergeCell ref="G268:G270"/>
    <mergeCell ref="L268:L270"/>
    <mergeCell ref="F275:F289"/>
    <mergeCell ref="G275:G277"/>
    <mergeCell ref="L275:L277"/>
    <mergeCell ref="G280:G282"/>
    <mergeCell ref="L280:L282"/>
    <mergeCell ref="G285:G287"/>
    <mergeCell ref="L285:L287"/>
    <mergeCell ref="F173:F187"/>
    <mergeCell ref="T169:U169"/>
    <mergeCell ref="F190:F204"/>
    <mergeCell ref="T186:U186"/>
    <mergeCell ref="F207:F221"/>
    <mergeCell ref="F224:F238"/>
    <mergeCell ref="G234:G236"/>
    <mergeCell ref="L234:L236"/>
    <mergeCell ref="F241:F255"/>
    <mergeCell ref="G241:G243"/>
    <mergeCell ref="L241:L243"/>
    <mergeCell ref="G246:G248"/>
    <mergeCell ref="L246:L248"/>
    <mergeCell ref="G251:G253"/>
    <mergeCell ref="L251:L253"/>
    <mergeCell ref="G207:G209"/>
    <mergeCell ref="L207:L209"/>
    <mergeCell ref="G190:G192"/>
    <mergeCell ref="L190:L192"/>
    <mergeCell ref="G195:G197"/>
    <mergeCell ref="L195:L197"/>
    <mergeCell ref="F110:F124"/>
    <mergeCell ref="G115:G117"/>
    <mergeCell ref="L115:L117"/>
    <mergeCell ref="T106:U106"/>
    <mergeCell ref="F127:F136"/>
    <mergeCell ref="F139:F153"/>
    <mergeCell ref="T135:U135"/>
    <mergeCell ref="F156:F170"/>
    <mergeCell ref="T152:U152"/>
    <mergeCell ref="G132:G134"/>
    <mergeCell ref="L132:L134"/>
    <mergeCell ref="G139:G141"/>
    <mergeCell ref="L139:L141"/>
    <mergeCell ref="G120:G122"/>
    <mergeCell ref="L120:L122"/>
    <mergeCell ref="G127:G129"/>
    <mergeCell ref="L127:L129"/>
    <mergeCell ref="G156:G158"/>
    <mergeCell ref="L156:L158"/>
    <mergeCell ref="G161:G163"/>
    <mergeCell ref="L161:L163"/>
    <mergeCell ref="G144:G146"/>
    <mergeCell ref="L144:L146"/>
    <mergeCell ref="G149:G151"/>
    <mergeCell ref="F5:F29"/>
    <mergeCell ref="F4:G4"/>
    <mergeCell ref="F32:F56"/>
    <mergeCell ref="T28:U28"/>
    <mergeCell ref="F59:F68"/>
    <mergeCell ref="F71:F95"/>
    <mergeCell ref="T67:U67"/>
    <mergeCell ref="F98:F107"/>
    <mergeCell ref="G15:G17"/>
    <mergeCell ref="L15:L17"/>
    <mergeCell ref="G20:G22"/>
    <mergeCell ref="L20:L22"/>
    <mergeCell ref="G5:G7"/>
    <mergeCell ref="L5:L7"/>
    <mergeCell ref="G10:G12"/>
    <mergeCell ref="L10:L12"/>
    <mergeCell ref="G81:G83"/>
    <mergeCell ref="L81:L83"/>
    <mergeCell ref="G86:G88"/>
    <mergeCell ref="L86:L88"/>
    <mergeCell ref="G71:G73"/>
    <mergeCell ref="L71:L73"/>
    <mergeCell ref="G76:G78"/>
    <mergeCell ref="L76:L78"/>
    <mergeCell ref="G103:G105"/>
    <mergeCell ref="L103:L105"/>
    <mergeCell ref="G110:G112"/>
    <mergeCell ref="L110:L112"/>
    <mergeCell ref="G91:G93"/>
    <mergeCell ref="L91:L93"/>
    <mergeCell ref="G98:G100"/>
    <mergeCell ref="L98:L100"/>
    <mergeCell ref="L3:O3"/>
    <mergeCell ref="G47:G49"/>
    <mergeCell ref="L47:L49"/>
    <mergeCell ref="G52:G54"/>
    <mergeCell ref="L52:L54"/>
    <mergeCell ref="G37:G39"/>
    <mergeCell ref="L37:L39"/>
    <mergeCell ref="G42:G44"/>
    <mergeCell ref="L42:L44"/>
    <mergeCell ref="G25:G27"/>
    <mergeCell ref="L25:L27"/>
    <mergeCell ref="G32:G34"/>
    <mergeCell ref="L32:L34"/>
    <mergeCell ref="H3:J3"/>
    <mergeCell ref="T3:U3"/>
    <mergeCell ref="G229:G231"/>
    <mergeCell ref="G224:G226"/>
    <mergeCell ref="L224:L226"/>
    <mergeCell ref="L229:L231"/>
    <mergeCell ref="G212:G214"/>
    <mergeCell ref="L212:L214"/>
    <mergeCell ref="G217:G219"/>
    <mergeCell ref="L217:L219"/>
    <mergeCell ref="G200:G202"/>
    <mergeCell ref="L200:L202"/>
    <mergeCell ref="L149:L151"/>
    <mergeCell ref="G178:G180"/>
    <mergeCell ref="L178:L180"/>
    <mergeCell ref="G183:G185"/>
    <mergeCell ref="L183:L185"/>
    <mergeCell ref="G166:G168"/>
    <mergeCell ref="L166:L168"/>
    <mergeCell ref="G173:G175"/>
    <mergeCell ref="L173:L175"/>
    <mergeCell ref="G59:G61"/>
    <mergeCell ref="L59:L61"/>
    <mergeCell ref="G64:G66"/>
    <mergeCell ref="L64:L66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AC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6"/>
  <sheetViews>
    <sheetView topLeftCell="A17" workbookViewId="0">
      <selection activeCell="N22" sqref="N22"/>
    </sheetView>
  </sheetViews>
  <sheetFormatPr defaultRowHeight="15" x14ac:dyDescent="0.25"/>
  <cols>
    <col min="1" max="1" width="4.140625" style="1" customWidth="1"/>
    <col min="2" max="2" width="14.140625" style="230" bestFit="1" customWidth="1"/>
    <col min="3" max="3" width="12.5703125" style="348" bestFit="1" customWidth="1"/>
    <col min="4" max="4" width="12.5703125" bestFit="1" customWidth="1"/>
    <col min="5" max="5" width="8" customWidth="1"/>
    <col min="6" max="6" width="8.140625" customWidth="1"/>
    <col min="7" max="7" width="6.7109375" customWidth="1"/>
    <col min="8" max="8" width="7.7109375" customWidth="1"/>
    <col min="9" max="9" width="7.42578125" customWidth="1"/>
    <col min="10" max="10" width="7.7109375" style="231" bestFit="1" customWidth="1"/>
    <col min="11" max="11" width="8.28515625" style="231" customWidth="1"/>
    <col min="12" max="12" width="7" style="235" customWidth="1"/>
    <col min="13" max="13" width="3.140625" style="1" customWidth="1"/>
    <col min="14" max="14" width="16.28515625" bestFit="1" customWidth="1"/>
    <col min="15" max="15" width="9.7109375" bestFit="1" customWidth="1"/>
    <col min="16" max="16" width="12" bestFit="1" customWidth="1"/>
    <col min="17" max="17" width="10.7109375" customWidth="1"/>
    <col min="18" max="18" width="9.140625" style="1"/>
    <col min="25" max="25" width="4.28515625" customWidth="1"/>
  </cols>
  <sheetData>
    <row r="1" spans="2:34" ht="15.75" thickBot="1" x14ac:dyDescent="0.3">
      <c r="B1" s="228"/>
      <c r="C1" s="350"/>
      <c r="D1" s="340"/>
      <c r="E1" s="340"/>
      <c r="F1" s="340"/>
      <c r="G1" s="340"/>
      <c r="H1" s="340"/>
      <c r="I1" s="340"/>
      <c r="J1" s="340"/>
      <c r="K1" s="340"/>
      <c r="L1" s="340"/>
      <c r="N1" s="312"/>
      <c r="O1" s="57"/>
      <c r="P1" s="57"/>
      <c r="Q1" s="57"/>
      <c r="R1" s="57"/>
      <c r="S1" s="57"/>
      <c r="T1" s="57"/>
      <c r="U1" s="57"/>
      <c r="V1" s="57"/>
      <c r="W1" s="57"/>
      <c r="X1" s="1"/>
    </row>
    <row r="2" spans="2:34" x14ac:dyDescent="0.25">
      <c r="B2" s="479" t="s">
        <v>142</v>
      </c>
      <c r="C2" s="454"/>
      <c r="D2" s="475" t="s">
        <v>159</v>
      </c>
      <c r="E2" s="476"/>
      <c r="F2" s="476"/>
      <c r="G2" s="476"/>
      <c r="H2" s="476"/>
      <c r="I2" s="476"/>
      <c r="J2" s="476"/>
      <c r="K2" s="476"/>
      <c r="L2" s="476"/>
      <c r="M2" s="50"/>
      <c r="N2" s="319"/>
      <c r="O2" s="291"/>
      <c r="P2" s="177"/>
      <c r="Q2" s="177"/>
      <c r="R2" s="177"/>
      <c r="S2" s="177"/>
      <c r="T2" s="177"/>
      <c r="U2" s="177"/>
      <c r="V2" s="177"/>
      <c r="W2" s="177"/>
      <c r="X2" s="177"/>
      <c r="Z2" s="1"/>
      <c r="AA2" s="1"/>
      <c r="AB2" s="1"/>
      <c r="AC2" s="1"/>
      <c r="AD2" s="1"/>
      <c r="AE2" s="1"/>
      <c r="AF2" s="1"/>
      <c r="AG2" s="1"/>
      <c r="AH2" s="1"/>
    </row>
    <row r="3" spans="2:34" ht="15.75" thickBot="1" x14ac:dyDescent="0.3">
      <c r="B3" s="480"/>
      <c r="C3" s="455"/>
      <c r="D3" s="477" t="s">
        <v>158</v>
      </c>
      <c r="E3" s="478"/>
      <c r="F3" s="478"/>
      <c r="G3" s="478"/>
      <c r="H3" s="478"/>
      <c r="I3" s="478"/>
      <c r="J3" s="478"/>
      <c r="K3" s="478"/>
      <c r="L3" s="478"/>
      <c r="M3" s="50"/>
      <c r="N3" s="319"/>
      <c r="O3" s="291"/>
      <c r="P3" s="177"/>
      <c r="Q3" s="177"/>
      <c r="R3" s="177"/>
      <c r="S3" s="177"/>
      <c r="T3" s="177"/>
      <c r="U3" s="177"/>
      <c r="V3" s="177"/>
      <c r="W3" s="177"/>
      <c r="X3" s="177"/>
      <c r="Z3" s="335"/>
      <c r="AA3" s="335"/>
      <c r="AB3" s="335"/>
      <c r="AC3" s="335"/>
      <c r="AD3" s="335"/>
      <c r="AE3" s="335"/>
      <c r="AF3" s="335"/>
      <c r="AG3" s="335"/>
      <c r="AH3" s="335"/>
    </row>
    <row r="4" spans="2:34" ht="15.75" thickBot="1" x14ac:dyDescent="0.3">
      <c r="B4" s="481"/>
      <c r="C4" s="456"/>
      <c r="D4" s="309">
        <v>1</v>
      </c>
      <c r="E4" s="380">
        <v>2</v>
      </c>
      <c r="F4" s="380">
        <v>3</v>
      </c>
      <c r="G4" s="309">
        <v>4</v>
      </c>
      <c r="H4" s="309">
        <v>5</v>
      </c>
      <c r="I4" s="287">
        <v>6</v>
      </c>
      <c r="J4" s="380">
        <v>7</v>
      </c>
      <c r="K4" s="380">
        <v>8</v>
      </c>
      <c r="L4" s="77">
        <v>9</v>
      </c>
      <c r="M4" s="286"/>
      <c r="N4" s="282" t="s">
        <v>142</v>
      </c>
      <c r="O4" s="225" t="s">
        <v>88</v>
      </c>
      <c r="P4" s="225" t="s">
        <v>90</v>
      </c>
      <c r="Q4" s="227" t="s">
        <v>198</v>
      </c>
      <c r="R4" s="287"/>
      <c r="S4" s="286"/>
      <c r="T4" s="286"/>
      <c r="U4" s="287"/>
      <c r="V4" s="287"/>
      <c r="W4" s="287"/>
      <c r="X4" s="287"/>
      <c r="Z4" s="1"/>
      <c r="AA4" s="1"/>
      <c r="AB4" s="1"/>
      <c r="AC4" s="1"/>
      <c r="AD4" s="1"/>
      <c r="AE4" s="1"/>
      <c r="AF4" s="1"/>
      <c r="AG4" s="1"/>
      <c r="AH4" s="1"/>
    </row>
    <row r="5" spans="2:34" x14ac:dyDescent="0.25">
      <c r="B5" s="482" t="s">
        <v>111</v>
      </c>
      <c r="C5" s="301">
        <v>1</v>
      </c>
      <c r="D5" s="337">
        <v>1</v>
      </c>
      <c r="E5" s="337">
        <v>1</v>
      </c>
      <c r="F5" s="337">
        <v>3</v>
      </c>
      <c r="G5" s="337">
        <v>3</v>
      </c>
      <c r="H5" s="337">
        <v>3</v>
      </c>
      <c r="I5" s="337">
        <v>7</v>
      </c>
      <c r="J5" s="337">
        <v>7</v>
      </c>
      <c r="K5" s="337">
        <v>8</v>
      </c>
      <c r="L5" s="339">
        <v>8</v>
      </c>
      <c r="M5" s="7"/>
      <c r="N5" s="381" t="s">
        <v>111</v>
      </c>
      <c r="O5" s="271">
        <v>4.43</v>
      </c>
      <c r="P5" s="78">
        <v>3.5</v>
      </c>
      <c r="Q5" s="84">
        <v>8</v>
      </c>
      <c r="R5" s="189"/>
      <c r="S5" s="189"/>
      <c r="T5" s="189"/>
      <c r="U5" s="189"/>
      <c r="V5" s="189"/>
      <c r="W5" s="189"/>
      <c r="X5" s="184"/>
      <c r="Z5" s="188"/>
      <c r="AA5" s="188"/>
      <c r="AB5" s="188"/>
      <c r="AC5" s="188"/>
      <c r="AD5" s="188"/>
      <c r="AE5" s="188"/>
      <c r="AF5" s="188"/>
      <c r="AG5" s="188"/>
      <c r="AH5" s="188"/>
    </row>
    <row r="6" spans="2:34" x14ac:dyDescent="0.25">
      <c r="B6" s="468"/>
      <c r="C6" s="225">
        <v>3</v>
      </c>
      <c r="D6" s="278">
        <v>0</v>
      </c>
      <c r="E6" s="278">
        <v>0</v>
      </c>
      <c r="F6" s="278">
        <v>1</v>
      </c>
      <c r="G6" s="278">
        <v>1</v>
      </c>
      <c r="H6" s="278">
        <v>1</v>
      </c>
      <c r="I6" s="278">
        <v>4</v>
      </c>
      <c r="J6" s="278">
        <v>4</v>
      </c>
      <c r="K6" s="278">
        <v>5</v>
      </c>
      <c r="L6" s="281">
        <v>5</v>
      </c>
      <c r="M6" s="88"/>
      <c r="N6" s="382" t="s">
        <v>124</v>
      </c>
      <c r="O6" s="271">
        <v>3.17</v>
      </c>
      <c r="P6" s="78">
        <v>4.75</v>
      </c>
      <c r="Q6" s="84">
        <v>6</v>
      </c>
      <c r="R6" s="189"/>
      <c r="S6" s="56"/>
      <c r="T6" s="56"/>
      <c r="U6" s="56"/>
      <c r="V6" s="56"/>
      <c r="W6" s="56"/>
      <c r="X6" s="184"/>
      <c r="Y6" s="1"/>
      <c r="Z6" s="188"/>
      <c r="AA6" s="188"/>
      <c r="AB6" s="188"/>
      <c r="AC6" s="188"/>
      <c r="AD6" s="188"/>
      <c r="AE6" s="188"/>
      <c r="AF6" s="188"/>
      <c r="AG6" s="188"/>
      <c r="AH6" s="188"/>
    </row>
    <row r="7" spans="2:34" x14ac:dyDescent="0.25">
      <c r="B7" s="468"/>
      <c r="C7" s="233" t="s">
        <v>154</v>
      </c>
      <c r="D7" s="361">
        <f>AVERAGE(D5:D6)</f>
        <v>0.5</v>
      </c>
      <c r="E7" s="361">
        <f t="shared" ref="E7:L7" si="0">AVERAGE(E5:E6)</f>
        <v>0.5</v>
      </c>
      <c r="F7" s="361">
        <f t="shared" si="0"/>
        <v>2</v>
      </c>
      <c r="G7" s="361">
        <f t="shared" si="0"/>
        <v>2</v>
      </c>
      <c r="H7" s="361">
        <f t="shared" si="0"/>
        <v>2</v>
      </c>
      <c r="I7" s="361">
        <f t="shared" si="0"/>
        <v>5.5</v>
      </c>
      <c r="J7" s="361">
        <f t="shared" si="0"/>
        <v>5.5</v>
      </c>
      <c r="K7" s="361">
        <f t="shared" si="0"/>
        <v>6.5</v>
      </c>
      <c r="L7" s="365">
        <f t="shared" si="0"/>
        <v>6.5</v>
      </c>
      <c r="M7" s="88"/>
      <c r="N7" s="308" t="s">
        <v>125</v>
      </c>
      <c r="O7" s="271">
        <v>4.83</v>
      </c>
      <c r="P7" s="78">
        <v>3</v>
      </c>
      <c r="Q7" s="84">
        <v>6</v>
      </c>
      <c r="R7" s="189"/>
      <c r="S7" s="56"/>
      <c r="U7" s="56"/>
      <c r="V7" s="56"/>
      <c r="X7" s="184"/>
      <c r="Y7" s="1"/>
      <c r="Z7" s="188"/>
      <c r="AA7" s="188"/>
      <c r="AB7" s="188"/>
      <c r="AC7" s="188"/>
      <c r="AD7" s="188"/>
      <c r="AE7" s="188"/>
      <c r="AF7" s="188"/>
      <c r="AG7" s="188"/>
      <c r="AH7" s="188"/>
    </row>
    <row r="8" spans="2:34" ht="15.75" thickBot="1" x14ac:dyDescent="0.3">
      <c r="B8" s="469"/>
      <c r="C8" s="302" t="s">
        <v>156</v>
      </c>
      <c r="D8" s="307">
        <f>STDEV(D5:D6)</f>
        <v>0.70710678118654757</v>
      </c>
      <c r="E8" s="307">
        <f t="shared" ref="E8:L8" si="1">STDEV(E5:E6)</f>
        <v>0.70710678118654757</v>
      </c>
      <c r="F8" s="307">
        <f t="shared" si="1"/>
        <v>1.4142135623730951</v>
      </c>
      <c r="G8" s="307">
        <f t="shared" si="1"/>
        <v>1.4142135623730951</v>
      </c>
      <c r="H8" s="307">
        <f t="shared" si="1"/>
        <v>1.4142135623730951</v>
      </c>
      <c r="I8" s="307">
        <f t="shared" si="1"/>
        <v>2.1213203435596424</v>
      </c>
      <c r="J8" s="307">
        <f t="shared" si="1"/>
        <v>2.1213203435596424</v>
      </c>
      <c r="K8" s="307">
        <f t="shared" si="1"/>
        <v>2.1213203435596424</v>
      </c>
      <c r="L8" s="366">
        <f t="shared" si="1"/>
        <v>2.1213203435596424</v>
      </c>
      <c r="M8" s="88"/>
      <c r="N8" s="382" t="s">
        <v>126</v>
      </c>
      <c r="O8" s="271">
        <v>4.3</v>
      </c>
      <c r="P8" s="278">
        <v>5</v>
      </c>
      <c r="Q8" s="281">
        <v>6</v>
      </c>
      <c r="R8" s="342"/>
      <c r="S8" s="56"/>
      <c r="T8" s="332"/>
      <c r="U8" s="56"/>
      <c r="V8" s="56"/>
      <c r="X8" s="184"/>
      <c r="Y8" s="1"/>
      <c r="Z8" s="334"/>
      <c r="AA8" s="334"/>
      <c r="AB8" s="334"/>
      <c r="AC8" s="334"/>
      <c r="AD8" s="334"/>
      <c r="AE8" s="334"/>
      <c r="AF8" s="334"/>
      <c r="AG8" s="334"/>
      <c r="AH8" s="334"/>
    </row>
    <row r="9" spans="2:34" ht="15.75" customHeight="1" x14ac:dyDescent="0.25">
      <c r="B9" s="470" t="s">
        <v>124</v>
      </c>
      <c r="C9" s="232">
        <v>6</v>
      </c>
      <c r="D9" s="83">
        <v>0</v>
      </c>
      <c r="E9" s="83">
        <v>0</v>
      </c>
      <c r="F9" s="83">
        <v>1</v>
      </c>
      <c r="G9" s="83">
        <v>1</v>
      </c>
      <c r="H9" s="83">
        <v>1</v>
      </c>
      <c r="I9" s="83">
        <v>4</v>
      </c>
      <c r="J9" s="83">
        <v>4</v>
      </c>
      <c r="K9" s="83">
        <v>4</v>
      </c>
      <c r="L9" s="86">
        <v>4</v>
      </c>
      <c r="M9" s="88"/>
      <c r="N9" s="308" t="s">
        <v>132</v>
      </c>
      <c r="O9" s="271">
        <v>4.29</v>
      </c>
      <c r="P9" s="278">
        <v>7</v>
      </c>
      <c r="Q9" s="281">
        <v>6</v>
      </c>
      <c r="R9" s="342"/>
      <c r="S9" s="56"/>
      <c r="T9" s="332"/>
      <c r="U9" s="56"/>
      <c r="V9" s="56"/>
      <c r="X9" s="184"/>
      <c r="Y9" s="1"/>
      <c r="Z9" s="334"/>
      <c r="AA9" s="334"/>
      <c r="AB9" s="334"/>
      <c r="AC9" s="334"/>
      <c r="AD9" s="334"/>
      <c r="AE9" s="334"/>
      <c r="AF9" s="334"/>
      <c r="AG9" s="334"/>
      <c r="AH9" s="334"/>
    </row>
    <row r="10" spans="2:34" x14ac:dyDescent="0.25">
      <c r="B10" s="471"/>
      <c r="C10" s="225">
        <v>7</v>
      </c>
      <c r="D10" s="78">
        <v>0</v>
      </c>
      <c r="E10" s="78">
        <v>0</v>
      </c>
      <c r="F10" s="78">
        <v>1</v>
      </c>
      <c r="G10" s="78">
        <v>1</v>
      </c>
      <c r="H10" s="78">
        <v>1</v>
      </c>
      <c r="I10" s="78">
        <v>6</v>
      </c>
      <c r="J10" s="78">
        <v>6</v>
      </c>
      <c r="K10" s="78">
        <v>6</v>
      </c>
      <c r="L10" s="84">
        <v>6</v>
      </c>
      <c r="M10" s="88"/>
      <c r="N10" s="382" t="s">
        <v>127</v>
      </c>
      <c r="O10" s="271">
        <v>4.4000000000000004</v>
      </c>
      <c r="P10" s="278">
        <v>10</v>
      </c>
      <c r="Q10" s="281">
        <v>8</v>
      </c>
      <c r="R10" s="342"/>
      <c r="S10" s="56"/>
      <c r="T10" s="332"/>
      <c r="U10" s="56"/>
      <c r="V10" s="56"/>
      <c r="X10" s="184"/>
      <c r="Y10" s="1"/>
      <c r="Z10" s="334"/>
      <c r="AA10" s="334"/>
      <c r="AB10" s="334"/>
      <c r="AC10" s="334"/>
      <c r="AD10" s="334"/>
      <c r="AE10" s="334"/>
      <c r="AF10" s="334"/>
      <c r="AG10" s="334"/>
      <c r="AH10" s="334"/>
    </row>
    <row r="11" spans="2:34" x14ac:dyDescent="0.25">
      <c r="B11" s="471"/>
      <c r="C11" s="225">
        <v>8</v>
      </c>
      <c r="D11" s="336">
        <v>0</v>
      </c>
      <c r="E11" s="336">
        <v>0</v>
      </c>
      <c r="F11" s="336">
        <v>1</v>
      </c>
      <c r="G11" s="336">
        <v>1</v>
      </c>
      <c r="H11" s="336">
        <v>1</v>
      </c>
      <c r="I11" s="336">
        <v>5</v>
      </c>
      <c r="J11" s="336">
        <v>5</v>
      </c>
      <c r="K11" s="336">
        <v>5</v>
      </c>
      <c r="L11" s="367">
        <v>5</v>
      </c>
      <c r="M11" s="88"/>
      <c r="N11" s="308" t="s">
        <v>133</v>
      </c>
      <c r="O11" s="271">
        <v>4.12</v>
      </c>
      <c r="P11" s="78">
        <v>8.5</v>
      </c>
      <c r="Q11" s="84">
        <v>8</v>
      </c>
      <c r="R11" s="189"/>
      <c r="S11" s="56"/>
      <c r="T11" s="332"/>
      <c r="U11" s="58"/>
      <c r="V11" s="58"/>
      <c r="X11" s="184"/>
      <c r="Y11" s="1"/>
      <c r="Z11" s="188"/>
      <c r="AA11" s="188"/>
      <c r="AB11" s="188"/>
      <c r="AC11" s="188"/>
      <c r="AD11" s="188"/>
      <c r="AE11" s="188"/>
      <c r="AF11" s="188"/>
      <c r="AG11" s="188"/>
      <c r="AH11" s="188"/>
    </row>
    <row r="12" spans="2:34" x14ac:dyDescent="0.25">
      <c r="B12" s="471"/>
      <c r="C12" s="225">
        <v>10</v>
      </c>
      <c r="D12" s="278">
        <v>0</v>
      </c>
      <c r="E12" s="278">
        <v>0</v>
      </c>
      <c r="F12" s="278">
        <v>2</v>
      </c>
      <c r="G12" s="278">
        <v>2</v>
      </c>
      <c r="H12" s="278">
        <v>2</v>
      </c>
      <c r="I12" s="278">
        <v>7</v>
      </c>
      <c r="J12" s="278">
        <v>7</v>
      </c>
      <c r="K12" s="336">
        <v>7</v>
      </c>
      <c r="L12" s="367">
        <v>7</v>
      </c>
      <c r="M12" s="7"/>
      <c r="N12" s="382" t="s">
        <v>128</v>
      </c>
      <c r="O12" s="279">
        <v>3.67</v>
      </c>
      <c r="P12" s="279">
        <v>3</v>
      </c>
      <c r="Q12" s="84">
        <v>6</v>
      </c>
      <c r="R12" s="342"/>
      <c r="S12" s="56"/>
      <c r="T12" s="332"/>
      <c r="U12" s="58"/>
      <c r="V12" s="58"/>
      <c r="X12" s="184"/>
      <c r="Y12" s="26"/>
      <c r="Z12" s="334"/>
      <c r="AA12" s="334"/>
      <c r="AB12" s="334"/>
      <c r="AC12" s="334"/>
      <c r="AD12" s="334"/>
      <c r="AE12" s="334"/>
      <c r="AF12" s="334"/>
      <c r="AG12" s="334"/>
      <c r="AH12" s="334"/>
    </row>
    <row r="13" spans="2:34" x14ac:dyDescent="0.25">
      <c r="B13" s="471"/>
      <c r="C13" s="233" t="s">
        <v>154</v>
      </c>
      <c r="D13" s="361">
        <f>AVERAGE(D9:D11,19)</f>
        <v>4.75</v>
      </c>
      <c r="E13" s="361">
        <f t="shared" ref="E13:K13" si="2">AVERAGE(E9:E11,19)</f>
        <v>4.75</v>
      </c>
      <c r="F13" s="361">
        <f t="shared" si="2"/>
        <v>5.5</v>
      </c>
      <c r="G13" s="361">
        <f t="shared" si="2"/>
        <v>5.5</v>
      </c>
      <c r="H13" s="361">
        <f t="shared" si="2"/>
        <v>5.5</v>
      </c>
      <c r="I13" s="361">
        <f t="shared" si="2"/>
        <v>8.5</v>
      </c>
      <c r="J13" s="361">
        <f t="shared" si="2"/>
        <v>8.5</v>
      </c>
      <c r="K13" s="361">
        <f t="shared" si="2"/>
        <v>8.5</v>
      </c>
      <c r="L13" s="365">
        <f>AVERAGE(L9:L11,19)</f>
        <v>8.5</v>
      </c>
      <c r="M13" s="87"/>
      <c r="N13" s="308" t="s">
        <v>134</v>
      </c>
      <c r="O13" s="279">
        <v>3.25</v>
      </c>
      <c r="P13" s="279">
        <v>4</v>
      </c>
      <c r="Q13" s="84">
        <v>6</v>
      </c>
      <c r="R13" s="189"/>
      <c r="S13" s="56"/>
      <c r="T13" s="332"/>
      <c r="U13" s="58"/>
      <c r="V13" s="58"/>
      <c r="W13" s="58"/>
      <c r="X13" s="184"/>
      <c r="Y13" s="26"/>
      <c r="Z13" s="188"/>
      <c r="AA13" s="188"/>
      <c r="AB13" s="188"/>
      <c r="AC13" s="188"/>
      <c r="AD13" s="188"/>
      <c r="AE13" s="188"/>
      <c r="AF13" s="188"/>
      <c r="AG13" s="188"/>
      <c r="AH13" s="188"/>
    </row>
    <row r="14" spans="2:34" ht="15.75" thickBot="1" x14ac:dyDescent="0.3">
      <c r="B14" s="472"/>
      <c r="C14" s="302" t="s">
        <v>156</v>
      </c>
      <c r="D14" s="307">
        <f t="shared" ref="D14:L14" si="3">STDEV(D9:D12)</f>
        <v>0</v>
      </c>
      <c r="E14" s="307">
        <f t="shared" si="3"/>
        <v>0</v>
      </c>
      <c r="F14" s="307">
        <f t="shared" si="3"/>
        <v>0.5</v>
      </c>
      <c r="G14" s="307">
        <f t="shared" si="3"/>
        <v>0.5</v>
      </c>
      <c r="H14" s="307">
        <f t="shared" si="3"/>
        <v>0.5</v>
      </c>
      <c r="I14" s="307">
        <f t="shared" si="3"/>
        <v>1.2909944487358056</v>
      </c>
      <c r="J14" s="307">
        <f t="shared" si="3"/>
        <v>1.2909944487358056</v>
      </c>
      <c r="K14" s="307">
        <f t="shared" si="3"/>
        <v>1.2909944487358056</v>
      </c>
      <c r="L14" s="366">
        <f t="shared" si="3"/>
        <v>1.2909944487358056</v>
      </c>
      <c r="M14" s="88"/>
      <c r="N14" s="382" t="s">
        <v>129</v>
      </c>
      <c r="O14" s="279">
        <v>4.25</v>
      </c>
      <c r="P14" s="280">
        <v>4</v>
      </c>
      <c r="Q14" s="281">
        <v>7</v>
      </c>
      <c r="S14" s="56"/>
      <c r="T14" s="332"/>
      <c r="U14" s="56"/>
      <c r="V14" s="56"/>
      <c r="W14" s="56"/>
      <c r="Z14" s="1"/>
      <c r="AA14" s="1"/>
      <c r="AB14" s="1"/>
      <c r="AC14" s="1"/>
      <c r="AD14" s="1"/>
      <c r="AE14" s="1"/>
      <c r="AF14" s="1"/>
      <c r="AG14" s="1"/>
      <c r="AH14" s="1"/>
    </row>
    <row r="15" spans="2:34" ht="15.75" customHeight="1" x14ac:dyDescent="0.25">
      <c r="B15" s="467" t="s">
        <v>125</v>
      </c>
      <c r="C15" s="360">
        <v>11</v>
      </c>
      <c r="D15" s="299">
        <v>1</v>
      </c>
      <c r="E15" s="299">
        <v>1</v>
      </c>
      <c r="F15" s="299">
        <v>1</v>
      </c>
      <c r="G15" s="299">
        <v>1</v>
      </c>
      <c r="H15" s="299">
        <v>1</v>
      </c>
      <c r="I15" s="299">
        <v>3</v>
      </c>
      <c r="J15" s="299">
        <v>3</v>
      </c>
      <c r="K15" s="299">
        <v>3</v>
      </c>
      <c r="L15" s="300">
        <v>3</v>
      </c>
      <c r="M15" s="88"/>
      <c r="N15" s="308" t="s">
        <v>135</v>
      </c>
      <c r="O15" s="279">
        <v>3</v>
      </c>
      <c r="P15" s="280">
        <v>6</v>
      </c>
      <c r="Q15" s="281">
        <v>7</v>
      </c>
      <c r="S15" s="287"/>
      <c r="T15" s="287"/>
      <c r="U15" s="287"/>
      <c r="V15" s="287"/>
      <c r="W15" s="287"/>
    </row>
    <row r="16" spans="2:34" ht="15.75" customHeight="1" x14ac:dyDescent="0.25">
      <c r="B16" s="468"/>
      <c r="C16" s="349">
        <v>12</v>
      </c>
      <c r="D16" s="278">
        <v>0</v>
      </c>
      <c r="E16" s="278">
        <v>0</v>
      </c>
      <c r="F16" s="278">
        <v>0</v>
      </c>
      <c r="G16" s="278">
        <v>0</v>
      </c>
      <c r="H16" s="278">
        <v>0</v>
      </c>
      <c r="I16" s="278">
        <v>4</v>
      </c>
      <c r="J16" s="278">
        <v>4</v>
      </c>
      <c r="K16" s="278">
        <v>4</v>
      </c>
      <c r="L16" s="281">
        <v>4</v>
      </c>
      <c r="M16" s="88"/>
      <c r="N16" s="382" t="s">
        <v>130</v>
      </c>
      <c r="O16" s="279">
        <v>3.25</v>
      </c>
      <c r="P16" s="280">
        <v>4</v>
      </c>
      <c r="Q16" s="281" t="s">
        <v>89</v>
      </c>
    </row>
    <row r="17" spans="2:25" ht="15.75" customHeight="1" x14ac:dyDescent="0.25">
      <c r="B17" s="468"/>
      <c r="C17" s="233" t="s">
        <v>154</v>
      </c>
      <c r="D17" s="356">
        <f>AVERAGE(D15:D16)</f>
        <v>0.5</v>
      </c>
      <c r="E17" s="356">
        <f t="shared" ref="E17:L17" si="4">AVERAGE(E15:E16)</f>
        <v>0.5</v>
      </c>
      <c r="F17" s="356">
        <f t="shared" si="4"/>
        <v>0.5</v>
      </c>
      <c r="G17" s="356">
        <f t="shared" si="4"/>
        <v>0.5</v>
      </c>
      <c r="H17" s="356">
        <f t="shared" si="4"/>
        <v>0.5</v>
      </c>
      <c r="I17" s="356">
        <f t="shared" si="4"/>
        <v>3.5</v>
      </c>
      <c r="J17" s="356">
        <f t="shared" si="4"/>
        <v>3.5</v>
      </c>
      <c r="K17" s="356">
        <f t="shared" si="4"/>
        <v>3.5</v>
      </c>
      <c r="L17" s="368">
        <f t="shared" si="4"/>
        <v>3.5</v>
      </c>
      <c r="M17" s="88"/>
      <c r="N17" s="308" t="s">
        <v>136</v>
      </c>
      <c r="O17" s="279">
        <v>3.18</v>
      </c>
      <c r="P17" s="279">
        <v>3.67</v>
      </c>
      <c r="Q17" s="84" t="s">
        <v>89</v>
      </c>
    </row>
    <row r="18" spans="2:25" ht="15.75" thickBot="1" x14ac:dyDescent="0.3">
      <c r="B18" s="469"/>
      <c r="C18" s="302" t="s">
        <v>156</v>
      </c>
      <c r="D18" s="303">
        <f>STDEV(D15:D16)</f>
        <v>0.70710678118654757</v>
      </c>
      <c r="E18" s="303">
        <f t="shared" ref="E18:K18" si="5">STDEV(E15:E16)</f>
        <v>0.70710678118654757</v>
      </c>
      <c r="F18" s="303">
        <f t="shared" si="5"/>
        <v>0.70710678118654757</v>
      </c>
      <c r="G18" s="303">
        <f t="shared" si="5"/>
        <v>0.70710678118654757</v>
      </c>
      <c r="H18" s="303">
        <f t="shared" si="5"/>
        <v>0.70710678118654757</v>
      </c>
      <c r="I18" s="303">
        <f t="shared" si="5"/>
        <v>0.70710678118654757</v>
      </c>
      <c r="J18" s="303">
        <f t="shared" si="5"/>
        <v>0.70710678118654757</v>
      </c>
      <c r="K18" s="303">
        <f t="shared" si="5"/>
        <v>0.70710678118654757</v>
      </c>
      <c r="L18" s="369">
        <f>STDEV(L15:L16)</f>
        <v>0.70710678118654757</v>
      </c>
      <c r="M18" s="88"/>
      <c r="N18" s="382" t="s">
        <v>131</v>
      </c>
      <c r="O18" s="280">
        <v>4.5</v>
      </c>
      <c r="P18" s="280">
        <v>2</v>
      </c>
      <c r="Q18" s="281" t="s">
        <v>89</v>
      </c>
    </row>
    <row r="19" spans="2:25" ht="15" customHeight="1" x14ac:dyDescent="0.25">
      <c r="B19" s="470" t="s">
        <v>126</v>
      </c>
      <c r="C19" s="232">
        <v>16</v>
      </c>
      <c r="D19" s="299">
        <v>0</v>
      </c>
      <c r="E19" s="299">
        <v>0</v>
      </c>
      <c r="F19" s="299">
        <v>3</v>
      </c>
      <c r="G19" s="299">
        <v>3</v>
      </c>
      <c r="H19" s="299">
        <v>3</v>
      </c>
      <c r="I19" s="299">
        <v>9</v>
      </c>
      <c r="J19" s="299">
        <v>9</v>
      </c>
      <c r="K19" s="299">
        <v>9</v>
      </c>
      <c r="L19" s="300">
        <v>9</v>
      </c>
      <c r="M19" s="88"/>
      <c r="N19" s="308" t="s">
        <v>137</v>
      </c>
      <c r="O19" s="280">
        <v>2.17</v>
      </c>
      <c r="P19" s="280">
        <v>6</v>
      </c>
      <c r="Q19" s="84" t="s">
        <v>89</v>
      </c>
      <c r="Y19" s="26"/>
    </row>
    <row r="20" spans="2:25" x14ac:dyDescent="0.25">
      <c r="B20" s="471"/>
      <c r="C20" s="225">
        <v>17</v>
      </c>
      <c r="D20" s="78">
        <v>0</v>
      </c>
      <c r="E20" s="78">
        <v>0</v>
      </c>
      <c r="F20" s="78">
        <v>4</v>
      </c>
      <c r="G20" s="78">
        <v>4</v>
      </c>
      <c r="H20" s="78">
        <v>4</v>
      </c>
      <c r="I20" s="78">
        <v>9</v>
      </c>
      <c r="J20" s="78">
        <v>10</v>
      </c>
      <c r="K20" s="78">
        <v>10</v>
      </c>
      <c r="L20" s="84">
        <v>10</v>
      </c>
      <c r="M20" s="88"/>
    </row>
    <row r="21" spans="2:25" ht="15.75" thickBot="1" x14ac:dyDescent="0.3">
      <c r="B21" s="471"/>
      <c r="C21" s="225">
        <v>18</v>
      </c>
      <c r="D21" s="78">
        <v>1</v>
      </c>
      <c r="E21" s="78">
        <v>1</v>
      </c>
      <c r="F21" s="78">
        <v>4</v>
      </c>
      <c r="G21" s="78">
        <v>4</v>
      </c>
      <c r="H21" s="78">
        <v>4</v>
      </c>
      <c r="I21" s="78">
        <v>7</v>
      </c>
      <c r="J21" s="78">
        <v>7</v>
      </c>
      <c r="K21" s="78">
        <v>7</v>
      </c>
      <c r="L21" s="84">
        <v>7</v>
      </c>
      <c r="M21" s="88"/>
      <c r="N21" s="282" t="s">
        <v>199</v>
      </c>
      <c r="O21" s="225" t="s">
        <v>88</v>
      </c>
      <c r="P21" s="225" t="s">
        <v>90</v>
      </c>
      <c r="Q21" s="227" t="s">
        <v>198</v>
      </c>
    </row>
    <row r="22" spans="2:25" ht="15.75" thickBot="1" x14ac:dyDescent="0.3">
      <c r="B22" s="471"/>
      <c r="C22" s="225">
        <v>19</v>
      </c>
      <c r="D22" s="336">
        <v>0</v>
      </c>
      <c r="E22" s="336">
        <v>0</v>
      </c>
      <c r="F22" s="336">
        <v>3</v>
      </c>
      <c r="G22" s="336">
        <v>3</v>
      </c>
      <c r="H22" s="336">
        <v>3</v>
      </c>
      <c r="I22" s="278">
        <v>9</v>
      </c>
      <c r="J22" s="336">
        <v>9</v>
      </c>
      <c r="K22" s="336">
        <v>9</v>
      </c>
      <c r="L22" s="367">
        <v>9</v>
      </c>
      <c r="M22" s="88"/>
      <c r="N22" s="181" t="s">
        <v>111</v>
      </c>
      <c r="O22" s="271">
        <v>4.43</v>
      </c>
      <c r="P22" s="78">
        <v>3.5</v>
      </c>
      <c r="Q22" s="84">
        <v>8</v>
      </c>
    </row>
    <row r="23" spans="2:25" x14ac:dyDescent="0.25">
      <c r="B23" s="471"/>
      <c r="C23" s="233" t="s">
        <v>154</v>
      </c>
      <c r="D23" s="356">
        <f>AVERAGE(D19:D22)</f>
        <v>0.25</v>
      </c>
      <c r="E23" s="356">
        <f t="shared" ref="E23:L23" si="6">AVERAGE(E19:E22)</f>
        <v>0.25</v>
      </c>
      <c r="F23" s="356">
        <f t="shared" si="6"/>
        <v>3.5</v>
      </c>
      <c r="G23" s="356">
        <f t="shared" si="6"/>
        <v>3.5</v>
      </c>
      <c r="H23" s="356">
        <f t="shared" si="6"/>
        <v>3.5</v>
      </c>
      <c r="I23" s="356">
        <f t="shared" si="6"/>
        <v>8.5</v>
      </c>
      <c r="J23" s="356">
        <f t="shared" si="6"/>
        <v>8.75</v>
      </c>
      <c r="K23" s="356">
        <f t="shared" si="6"/>
        <v>8.75</v>
      </c>
      <c r="L23" s="368">
        <f t="shared" si="6"/>
        <v>8.75</v>
      </c>
      <c r="M23" s="88"/>
      <c r="N23" s="212" t="s">
        <v>131</v>
      </c>
      <c r="O23" s="280">
        <v>4.5</v>
      </c>
      <c r="P23" s="280">
        <v>2</v>
      </c>
      <c r="Q23" s="281" t="s">
        <v>89</v>
      </c>
    </row>
    <row r="24" spans="2:25" ht="15.75" thickBot="1" x14ac:dyDescent="0.3">
      <c r="B24" s="472"/>
      <c r="C24" s="302" t="s">
        <v>156</v>
      </c>
      <c r="D24" s="303">
        <f>STDEV(D19:D22)</f>
        <v>0.5</v>
      </c>
      <c r="E24" s="303">
        <f t="shared" ref="E24:K24" si="7">STDEV(E19:E22)</f>
        <v>0.5</v>
      </c>
      <c r="F24" s="303">
        <f t="shared" si="7"/>
        <v>0.57735026918962573</v>
      </c>
      <c r="G24" s="303">
        <f t="shared" si="7"/>
        <v>0.57735026918962573</v>
      </c>
      <c r="H24" s="303">
        <f t="shared" si="7"/>
        <v>0.57735026918962573</v>
      </c>
      <c r="I24" s="303">
        <f t="shared" si="7"/>
        <v>1</v>
      </c>
      <c r="J24" s="303">
        <f t="shared" si="7"/>
        <v>1.2583057392117916</v>
      </c>
      <c r="K24" s="303">
        <f t="shared" si="7"/>
        <v>1.2583057392117916</v>
      </c>
      <c r="L24" s="369">
        <f>STDEV(L19:L22)</f>
        <v>1.2583057392117916</v>
      </c>
      <c r="M24" s="88"/>
      <c r="N24" s="290" t="s">
        <v>137</v>
      </c>
      <c r="O24" s="280">
        <v>2.17</v>
      </c>
      <c r="P24" s="280">
        <v>6</v>
      </c>
      <c r="Q24" s="84" t="s">
        <v>89</v>
      </c>
    </row>
    <row r="25" spans="2:25" x14ac:dyDescent="0.25">
      <c r="B25" s="467" t="s">
        <v>132</v>
      </c>
      <c r="C25" s="360">
        <v>21</v>
      </c>
      <c r="D25" s="357">
        <v>1</v>
      </c>
      <c r="E25" s="357">
        <v>2</v>
      </c>
      <c r="F25" s="357">
        <v>5</v>
      </c>
      <c r="G25" s="357">
        <v>5</v>
      </c>
      <c r="H25" s="357">
        <v>5</v>
      </c>
      <c r="I25" s="357">
        <v>12</v>
      </c>
      <c r="J25" s="357">
        <v>12</v>
      </c>
      <c r="K25" s="357">
        <v>12</v>
      </c>
      <c r="L25" s="370">
        <v>12</v>
      </c>
      <c r="M25" s="88"/>
    </row>
    <row r="26" spans="2:25" x14ac:dyDescent="0.25">
      <c r="B26" s="468"/>
      <c r="C26" s="349">
        <v>22</v>
      </c>
      <c r="D26" s="359">
        <v>0</v>
      </c>
      <c r="E26" s="359">
        <v>0</v>
      </c>
      <c r="F26" s="359">
        <v>5</v>
      </c>
      <c r="G26" s="359">
        <v>5</v>
      </c>
      <c r="H26" s="359">
        <v>5</v>
      </c>
      <c r="I26" s="359">
        <v>12</v>
      </c>
      <c r="J26" s="359">
        <v>12</v>
      </c>
      <c r="K26" s="359">
        <v>13</v>
      </c>
      <c r="L26" s="371">
        <v>13</v>
      </c>
      <c r="M26" s="88"/>
    </row>
    <row r="27" spans="2:25" x14ac:dyDescent="0.25">
      <c r="B27" s="468"/>
      <c r="C27" s="233" t="s">
        <v>154</v>
      </c>
      <c r="D27" s="356">
        <f>AVERAGE(D25:D26)</f>
        <v>0.5</v>
      </c>
      <c r="E27" s="356">
        <f t="shared" ref="E27:K27" si="8">AVERAGE(E25:E26)</f>
        <v>1</v>
      </c>
      <c r="F27" s="356">
        <f t="shared" si="8"/>
        <v>5</v>
      </c>
      <c r="G27" s="356">
        <f t="shared" si="8"/>
        <v>5</v>
      </c>
      <c r="H27" s="356">
        <f>AVERAGE(H25:H26)</f>
        <v>5</v>
      </c>
      <c r="I27" s="356">
        <f t="shared" si="8"/>
        <v>12</v>
      </c>
      <c r="J27" s="356">
        <f t="shared" si="8"/>
        <v>12</v>
      </c>
      <c r="K27" s="356">
        <f t="shared" si="8"/>
        <v>12.5</v>
      </c>
      <c r="L27" s="368">
        <f>AVERAGE(L25:L26)</f>
        <v>12.5</v>
      </c>
      <c r="M27" s="88"/>
    </row>
    <row r="28" spans="2:25" ht="15.75" thickBot="1" x14ac:dyDescent="0.3">
      <c r="B28" s="469"/>
      <c r="C28" s="302" t="s">
        <v>156</v>
      </c>
      <c r="D28" s="303">
        <f>STDEV(D25:D26)</f>
        <v>0.70710678118654757</v>
      </c>
      <c r="E28" s="303">
        <f t="shared" ref="E28:L28" si="9">STDEV(E25:E26)</f>
        <v>1.4142135623730951</v>
      </c>
      <c r="F28" s="303">
        <f t="shared" si="9"/>
        <v>0</v>
      </c>
      <c r="G28" s="303">
        <f t="shared" si="9"/>
        <v>0</v>
      </c>
      <c r="H28" s="303">
        <f t="shared" si="9"/>
        <v>0</v>
      </c>
      <c r="I28" s="303">
        <f t="shared" si="9"/>
        <v>0</v>
      </c>
      <c r="J28" s="303">
        <f t="shared" si="9"/>
        <v>0</v>
      </c>
      <c r="K28" s="303">
        <f t="shared" si="9"/>
        <v>0.70710678118654757</v>
      </c>
      <c r="L28" s="369">
        <f t="shared" si="9"/>
        <v>0.70710678118654757</v>
      </c>
      <c r="M28" s="88"/>
    </row>
    <row r="29" spans="2:25" ht="15" customHeight="1" x14ac:dyDescent="0.25">
      <c r="B29" s="470" t="s">
        <v>127</v>
      </c>
      <c r="C29" s="232">
        <v>26</v>
      </c>
      <c r="D29" s="357">
        <v>1</v>
      </c>
      <c r="E29" s="357">
        <v>1</v>
      </c>
      <c r="F29" s="357">
        <v>6</v>
      </c>
      <c r="G29" s="357">
        <v>6</v>
      </c>
      <c r="H29" s="357">
        <v>6</v>
      </c>
      <c r="I29" s="357">
        <v>16</v>
      </c>
      <c r="J29" s="357">
        <v>17</v>
      </c>
      <c r="K29" s="358">
        <v>18</v>
      </c>
      <c r="L29" s="372">
        <v>18</v>
      </c>
      <c r="M29" s="286"/>
    </row>
    <row r="30" spans="2:25" x14ac:dyDescent="0.25">
      <c r="B30" s="471"/>
      <c r="C30" s="225">
        <v>27</v>
      </c>
      <c r="D30" s="278">
        <v>0</v>
      </c>
      <c r="E30" s="278">
        <v>1</v>
      </c>
      <c r="F30" s="278">
        <v>6</v>
      </c>
      <c r="G30" s="278">
        <v>6</v>
      </c>
      <c r="H30" s="278">
        <v>6</v>
      </c>
      <c r="I30" s="278">
        <v>16</v>
      </c>
      <c r="J30" s="278">
        <v>16</v>
      </c>
      <c r="K30" s="278">
        <v>17</v>
      </c>
      <c r="L30" s="281">
        <v>17</v>
      </c>
      <c r="M30" s="286"/>
    </row>
    <row r="31" spans="2:25" x14ac:dyDescent="0.25">
      <c r="B31" s="471"/>
      <c r="C31" s="225">
        <v>28</v>
      </c>
      <c r="D31" s="278">
        <v>1</v>
      </c>
      <c r="E31" s="278">
        <v>2</v>
      </c>
      <c r="F31" s="278">
        <v>7</v>
      </c>
      <c r="G31" s="278">
        <v>7</v>
      </c>
      <c r="H31" s="278">
        <v>7</v>
      </c>
      <c r="I31" s="278">
        <v>17</v>
      </c>
      <c r="J31" s="278">
        <v>17</v>
      </c>
      <c r="K31" s="278">
        <v>18</v>
      </c>
      <c r="L31" s="281">
        <v>18</v>
      </c>
      <c r="M31" s="286"/>
    </row>
    <row r="32" spans="2:25" x14ac:dyDescent="0.25">
      <c r="B32" s="471"/>
      <c r="C32" s="233" t="s">
        <v>154</v>
      </c>
      <c r="D32" s="356">
        <f>AVERAGE(D29:D31)</f>
        <v>0.66666666666666663</v>
      </c>
      <c r="E32" s="356">
        <f t="shared" ref="E32:L32" si="10">AVERAGE(E29:E31)</f>
        <v>1.3333333333333333</v>
      </c>
      <c r="F32" s="356">
        <f t="shared" si="10"/>
        <v>6.333333333333333</v>
      </c>
      <c r="G32" s="356">
        <f t="shared" si="10"/>
        <v>6.333333333333333</v>
      </c>
      <c r="H32" s="356">
        <f t="shared" si="10"/>
        <v>6.333333333333333</v>
      </c>
      <c r="I32" s="356">
        <f t="shared" si="10"/>
        <v>16.333333333333332</v>
      </c>
      <c r="J32" s="356">
        <f t="shared" si="10"/>
        <v>16.666666666666668</v>
      </c>
      <c r="K32" s="356">
        <f t="shared" si="10"/>
        <v>17.666666666666668</v>
      </c>
      <c r="L32" s="368">
        <f t="shared" si="10"/>
        <v>17.666666666666668</v>
      </c>
      <c r="M32" s="286"/>
    </row>
    <row r="33" spans="2:16" ht="15.75" thickBot="1" x14ac:dyDescent="0.3">
      <c r="B33" s="472"/>
      <c r="C33" s="302" t="s">
        <v>156</v>
      </c>
      <c r="D33" s="303">
        <f>STDEV(D29:D31)</f>
        <v>0.57735026918962584</v>
      </c>
      <c r="E33" s="303">
        <f t="shared" ref="E33:L33" si="11">STDEV(E29:E31)</f>
        <v>0.57735026918962584</v>
      </c>
      <c r="F33" s="303">
        <f t="shared" si="11"/>
        <v>0.57735026918962584</v>
      </c>
      <c r="G33" s="303">
        <f t="shared" si="11"/>
        <v>0.57735026918962584</v>
      </c>
      <c r="H33" s="303">
        <f t="shared" si="11"/>
        <v>0.57735026918962584</v>
      </c>
      <c r="I33" s="303">
        <f t="shared" si="11"/>
        <v>0.57735026918962584</v>
      </c>
      <c r="J33" s="303">
        <f t="shared" si="11"/>
        <v>0.57735026918962584</v>
      </c>
      <c r="K33" s="303">
        <f t="shared" si="11"/>
        <v>0.57735026918962584</v>
      </c>
      <c r="L33" s="369">
        <f t="shared" si="11"/>
        <v>0.57735026918962584</v>
      </c>
      <c r="M33" s="286"/>
    </row>
    <row r="34" spans="2:16" ht="15" customHeight="1" x14ac:dyDescent="0.25">
      <c r="B34" s="473" t="s">
        <v>133</v>
      </c>
      <c r="C34" s="232">
        <v>31</v>
      </c>
      <c r="D34" s="67">
        <v>1</v>
      </c>
      <c r="E34" s="297">
        <v>3</v>
      </c>
      <c r="F34" s="297">
        <v>9</v>
      </c>
      <c r="G34" s="297">
        <v>9</v>
      </c>
      <c r="H34" s="297">
        <v>9</v>
      </c>
      <c r="I34" s="297">
        <v>18</v>
      </c>
      <c r="J34" s="297">
        <v>18</v>
      </c>
      <c r="K34" s="297">
        <v>19</v>
      </c>
      <c r="L34" s="373">
        <v>19</v>
      </c>
      <c r="M34" s="286"/>
    </row>
    <row r="35" spans="2:16" ht="15.75" thickBot="1" x14ac:dyDescent="0.3">
      <c r="B35" s="473"/>
      <c r="C35" s="225">
        <v>32</v>
      </c>
      <c r="D35" s="330">
        <v>0</v>
      </c>
      <c r="E35" s="55">
        <v>2</v>
      </c>
      <c r="F35" s="55">
        <v>6</v>
      </c>
      <c r="G35" s="55">
        <v>6</v>
      </c>
      <c r="H35" s="55">
        <v>6</v>
      </c>
      <c r="I35" s="55">
        <v>14</v>
      </c>
      <c r="J35" s="55">
        <v>15</v>
      </c>
      <c r="K35" s="55">
        <v>15</v>
      </c>
      <c r="L35" s="374">
        <v>15</v>
      </c>
      <c r="M35" s="286"/>
    </row>
    <row r="36" spans="2:16" x14ac:dyDescent="0.25">
      <c r="B36" s="473"/>
      <c r="C36" s="233" t="s">
        <v>154</v>
      </c>
      <c r="D36" s="345">
        <f>AVERAGE(D34:D35)</f>
        <v>0.5</v>
      </c>
      <c r="E36" s="343">
        <f t="shared" ref="E36:L36" si="12">AVERAGE(E34:E35)</f>
        <v>2.5</v>
      </c>
      <c r="F36" s="343">
        <f t="shared" si="12"/>
        <v>7.5</v>
      </c>
      <c r="G36" s="343">
        <f t="shared" si="12"/>
        <v>7.5</v>
      </c>
      <c r="H36" s="343">
        <f t="shared" si="12"/>
        <v>7.5</v>
      </c>
      <c r="I36" s="343">
        <f t="shared" si="12"/>
        <v>16</v>
      </c>
      <c r="J36" s="343">
        <f t="shared" si="12"/>
        <v>16.5</v>
      </c>
      <c r="K36" s="343">
        <f t="shared" si="12"/>
        <v>17</v>
      </c>
      <c r="L36" s="375">
        <f t="shared" si="12"/>
        <v>17</v>
      </c>
      <c r="M36" s="286"/>
    </row>
    <row r="37" spans="2:16" ht="15.75" thickBot="1" x14ac:dyDescent="0.3">
      <c r="B37" s="474"/>
      <c r="C37" s="302" t="s">
        <v>156</v>
      </c>
      <c r="D37" s="346">
        <f>STDEV(D34:D35)</f>
        <v>0.70710678118654757</v>
      </c>
      <c r="E37" s="344">
        <f t="shared" ref="E37:L37" si="13">STDEV(E34:E35)</f>
        <v>0.70710678118654757</v>
      </c>
      <c r="F37" s="344">
        <f t="shared" si="13"/>
        <v>2.1213203435596424</v>
      </c>
      <c r="G37" s="344">
        <f t="shared" si="13"/>
        <v>2.1213203435596424</v>
      </c>
      <c r="H37" s="344">
        <f t="shared" si="13"/>
        <v>2.1213203435596424</v>
      </c>
      <c r="I37" s="344">
        <f t="shared" si="13"/>
        <v>2.8284271247461903</v>
      </c>
      <c r="J37" s="344">
        <f t="shared" si="13"/>
        <v>2.1213203435596424</v>
      </c>
      <c r="K37" s="344">
        <f t="shared" si="13"/>
        <v>2.8284271247461903</v>
      </c>
      <c r="L37" s="376">
        <f t="shared" si="13"/>
        <v>2.8284271247461903</v>
      </c>
      <c r="M37" s="286"/>
    </row>
    <row r="38" spans="2:16" ht="15" customHeight="1" x14ac:dyDescent="0.25">
      <c r="B38" s="486" t="s">
        <v>128</v>
      </c>
      <c r="C38" s="301">
        <v>50</v>
      </c>
      <c r="D38" s="304">
        <v>0</v>
      </c>
      <c r="E38" s="305">
        <v>1</v>
      </c>
      <c r="F38" s="305">
        <v>2</v>
      </c>
      <c r="G38" s="305">
        <v>2</v>
      </c>
      <c r="H38" s="305">
        <v>4</v>
      </c>
      <c r="I38" s="306">
        <v>5</v>
      </c>
      <c r="J38" s="305">
        <v>5</v>
      </c>
      <c r="K38" s="305">
        <v>5</v>
      </c>
      <c r="L38" s="339"/>
      <c r="M38" s="286"/>
      <c r="N38" s="54"/>
      <c r="O38" s="58"/>
      <c r="P38" s="57"/>
    </row>
    <row r="39" spans="2:16" x14ac:dyDescent="0.25">
      <c r="B39" s="473"/>
      <c r="C39" s="233" t="s">
        <v>154</v>
      </c>
      <c r="D39" s="347">
        <v>0</v>
      </c>
      <c r="E39" s="253">
        <v>1</v>
      </c>
      <c r="F39" s="253">
        <v>2</v>
      </c>
      <c r="G39" s="253">
        <v>2</v>
      </c>
      <c r="H39" s="253">
        <v>4</v>
      </c>
      <c r="I39" s="253">
        <v>5</v>
      </c>
      <c r="J39" s="253">
        <v>5</v>
      </c>
      <c r="K39" s="253">
        <v>5</v>
      </c>
      <c r="L39" s="281"/>
      <c r="M39" s="59"/>
      <c r="N39" s="26"/>
      <c r="O39" s="56"/>
      <c r="P39" s="57"/>
    </row>
    <row r="40" spans="2:16" ht="15" customHeight="1" thickBot="1" x14ac:dyDescent="0.3">
      <c r="B40" s="474"/>
      <c r="C40" s="333" t="s">
        <v>156</v>
      </c>
      <c r="D40" s="353">
        <v>0</v>
      </c>
      <c r="E40" s="354">
        <v>0</v>
      </c>
      <c r="F40" s="354">
        <v>0</v>
      </c>
      <c r="G40" s="354">
        <v>0</v>
      </c>
      <c r="H40" s="354">
        <v>0</v>
      </c>
      <c r="I40" s="354">
        <v>0</v>
      </c>
      <c r="J40" s="354">
        <v>0</v>
      </c>
      <c r="K40" s="354">
        <v>0</v>
      </c>
      <c r="L40" s="298"/>
      <c r="M40" s="59"/>
      <c r="N40" s="26"/>
      <c r="O40" s="1"/>
    </row>
    <row r="41" spans="2:16" ht="15" customHeight="1" x14ac:dyDescent="0.25">
      <c r="B41" s="486" t="s">
        <v>30</v>
      </c>
      <c r="C41" s="288">
        <v>52</v>
      </c>
      <c r="D41" s="292">
        <v>2</v>
      </c>
      <c r="E41" s="292">
        <v>2</v>
      </c>
      <c r="F41" s="292">
        <v>3</v>
      </c>
      <c r="G41" s="292">
        <v>3</v>
      </c>
      <c r="H41" s="292">
        <v>7</v>
      </c>
      <c r="I41" s="292">
        <v>9</v>
      </c>
      <c r="J41" s="292">
        <v>9</v>
      </c>
      <c r="K41" s="292">
        <v>9</v>
      </c>
      <c r="L41" s="339"/>
      <c r="M41" s="26"/>
      <c r="N41" s="26"/>
      <c r="O41" s="1"/>
    </row>
    <row r="42" spans="2:16" x14ac:dyDescent="0.25">
      <c r="B42" s="473"/>
      <c r="C42" s="338">
        <v>53</v>
      </c>
      <c r="D42" s="78">
        <v>1</v>
      </c>
      <c r="E42" s="78">
        <v>2</v>
      </c>
      <c r="F42" s="78">
        <v>3</v>
      </c>
      <c r="G42" s="78">
        <v>3</v>
      </c>
      <c r="H42" s="78">
        <v>9</v>
      </c>
      <c r="I42" s="78">
        <v>10</v>
      </c>
      <c r="J42" s="78">
        <v>10</v>
      </c>
      <c r="K42" s="78">
        <v>10</v>
      </c>
      <c r="L42" s="281"/>
      <c r="M42" s="26"/>
      <c r="N42" s="26"/>
      <c r="O42" s="1"/>
    </row>
    <row r="43" spans="2:16" ht="15" customHeight="1" x14ac:dyDescent="0.25">
      <c r="B43" s="473"/>
      <c r="C43" s="362" t="s">
        <v>154</v>
      </c>
      <c r="D43" s="356">
        <f>AVERAGE(D41:D42)</f>
        <v>1.5</v>
      </c>
      <c r="E43" s="356">
        <f t="shared" ref="E43" si="14">AVERAGE(E41:E42)</f>
        <v>2</v>
      </c>
      <c r="F43" s="356">
        <f t="shared" ref="F43" si="15">AVERAGE(F41:F42)</f>
        <v>3</v>
      </c>
      <c r="G43" s="356">
        <f t="shared" ref="G43" si="16">AVERAGE(G41:G42)</f>
        <v>3</v>
      </c>
      <c r="H43" s="356">
        <f t="shared" ref="H43" si="17">AVERAGE(H41:H42)</f>
        <v>8</v>
      </c>
      <c r="I43" s="356">
        <f t="shared" ref="I43" si="18">AVERAGE(I41:I42)</f>
        <v>9.5</v>
      </c>
      <c r="J43" s="356">
        <f t="shared" ref="J43" si="19">AVERAGE(J41:J42)</f>
        <v>9.5</v>
      </c>
      <c r="K43" s="356">
        <f>AVERAGE(K41:K42)</f>
        <v>9.5</v>
      </c>
      <c r="L43" s="377"/>
      <c r="M43" s="26"/>
      <c r="N43" s="26"/>
      <c r="O43" s="1"/>
    </row>
    <row r="44" spans="2:16" ht="15.75" thickBot="1" x14ac:dyDescent="0.3">
      <c r="B44" s="474"/>
      <c r="C44" s="363" t="s">
        <v>156</v>
      </c>
      <c r="D44" s="303">
        <f>STDEV(D41:D42)</f>
        <v>0.70710678118654757</v>
      </c>
      <c r="E44" s="303">
        <f t="shared" ref="E44:J44" si="20">STDEV(E41:E42)</f>
        <v>0</v>
      </c>
      <c r="F44" s="303">
        <f t="shared" si="20"/>
        <v>0</v>
      </c>
      <c r="G44" s="303">
        <f t="shared" si="20"/>
        <v>0</v>
      </c>
      <c r="H44" s="303">
        <f t="shared" si="20"/>
        <v>1.4142135623730951</v>
      </c>
      <c r="I44" s="303">
        <f t="shared" si="20"/>
        <v>0.70710678118654757</v>
      </c>
      <c r="J44" s="303">
        <f t="shared" si="20"/>
        <v>0.70710678118654757</v>
      </c>
      <c r="K44" s="303">
        <f>STDEV(K41:K42)</f>
        <v>0.70710678118654757</v>
      </c>
      <c r="L44" s="378"/>
      <c r="M44" s="26"/>
      <c r="N44" s="26"/>
      <c r="O44" s="1"/>
    </row>
    <row r="45" spans="2:16" x14ac:dyDescent="0.25">
      <c r="B45" s="483" t="s">
        <v>129</v>
      </c>
      <c r="C45" s="364">
        <v>54</v>
      </c>
      <c r="D45" s="234">
        <v>0</v>
      </c>
      <c r="E45" s="234">
        <v>0</v>
      </c>
      <c r="F45" s="234">
        <v>1</v>
      </c>
      <c r="G45" s="234">
        <v>1</v>
      </c>
      <c r="H45" s="234">
        <v>3</v>
      </c>
      <c r="I45" s="234">
        <v>6</v>
      </c>
      <c r="J45" s="234">
        <v>7</v>
      </c>
      <c r="K45" s="234">
        <v>7</v>
      </c>
      <c r="L45" s="300"/>
      <c r="N45" s="1"/>
      <c r="O45" s="1"/>
    </row>
    <row r="46" spans="2:16" ht="15" customHeight="1" x14ac:dyDescent="0.25">
      <c r="B46" s="484"/>
      <c r="C46" s="338">
        <v>55</v>
      </c>
      <c r="D46" s="226">
        <v>0</v>
      </c>
      <c r="E46" s="226">
        <v>1</v>
      </c>
      <c r="F46" s="226">
        <v>2</v>
      </c>
      <c r="G46" s="226">
        <v>2</v>
      </c>
      <c r="H46" s="226">
        <v>4</v>
      </c>
      <c r="I46" s="226">
        <v>8</v>
      </c>
      <c r="J46" s="226">
        <v>8</v>
      </c>
      <c r="K46" s="226">
        <v>8</v>
      </c>
      <c r="L46" s="281"/>
      <c r="N46" s="1"/>
      <c r="O46" s="1"/>
    </row>
    <row r="47" spans="2:16" x14ac:dyDescent="0.25">
      <c r="B47" s="484"/>
      <c r="C47" s="362" t="s">
        <v>154</v>
      </c>
      <c r="D47" s="356">
        <f>AVERAGE(D45:D46)</f>
        <v>0</v>
      </c>
      <c r="E47" s="356">
        <f t="shared" ref="E47" si="21">AVERAGE(E45:E46)</f>
        <v>0.5</v>
      </c>
      <c r="F47" s="356">
        <f t="shared" ref="F47" si="22">AVERAGE(F45:F46)</f>
        <v>1.5</v>
      </c>
      <c r="G47" s="356">
        <f t="shared" ref="G47" si="23">AVERAGE(G45:G46)</f>
        <v>1.5</v>
      </c>
      <c r="H47" s="356">
        <f t="shared" ref="H47" si="24">AVERAGE(H45:H46)</f>
        <v>3.5</v>
      </c>
      <c r="I47" s="356">
        <f t="shared" ref="I47" si="25">AVERAGE(I45:I46)</f>
        <v>7</v>
      </c>
      <c r="J47" s="356">
        <f t="shared" ref="J47" si="26">AVERAGE(J45:J46)</f>
        <v>7.5</v>
      </c>
      <c r="K47" s="356">
        <f>AVERAGE(K45:K46)</f>
        <v>7.5</v>
      </c>
      <c r="L47" s="281"/>
      <c r="N47" s="1"/>
      <c r="O47" s="1"/>
    </row>
    <row r="48" spans="2:16" ht="15" customHeight="1" thickBot="1" x14ac:dyDescent="0.3">
      <c r="B48" s="485"/>
      <c r="C48" s="363" t="s">
        <v>156</v>
      </c>
      <c r="D48" s="303">
        <f>STDEV(D45:D46)</f>
        <v>0</v>
      </c>
      <c r="E48" s="303">
        <f t="shared" ref="E48:J48" si="27">STDEV(E45:E46)</f>
        <v>0.70710678118654757</v>
      </c>
      <c r="F48" s="303">
        <f t="shared" si="27"/>
        <v>0.70710678118654757</v>
      </c>
      <c r="G48" s="303">
        <f t="shared" si="27"/>
        <v>0.70710678118654757</v>
      </c>
      <c r="H48" s="303">
        <f t="shared" si="27"/>
        <v>0.70710678118654757</v>
      </c>
      <c r="I48" s="303">
        <f t="shared" si="27"/>
        <v>1.4142135623730951</v>
      </c>
      <c r="J48" s="303">
        <f t="shared" si="27"/>
        <v>0.70710678118654757</v>
      </c>
      <c r="K48" s="303">
        <f>STDEV(K45:K46)</f>
        <v>0.70710678118654757</v>
      </c>
      <c r="L48" s="379"/>
      <c r="N48" s="1"/>
      <c r="O48" s="1"/>
    </row>
    <row r="49" spans="2:15" x14ac:dyDescent="0.25">
      <c r="B49" s="486" t="s">
        <v>31</v>
      </c>
      <c r="C49" s="364">
        <v>57</v>
      </c>
      <c r="D49" s="83">
        <v>1</v>
      </c>
      <c r="E49" s="83">
        <v>1</v>
      </c>
      <c r="F49" s="83">
        <v>4</v>
      </c>
      <c r="G49" s="83">
        <v>4</v>
      </c>
      <c r="H49" s="83">
        <v>10</v>
      </c>
      <c r="I49" s="83">
        <v>14</v>
      </c>
      <c r="J49" s="83">
        <v>15</v>
      </c>
      <c r="K49" s="83">
        <v>15</v>
      </c>
      <c r="L49" s="300"/>
      <c r="N49" s="1"/>
      <c r="O49" s="1"/>
    </row>
    <row r="50" spans="2:15" x14ac:dyDescent="0.25">
      <c r="B50" s="473"/>
      <c r="C50" s="338">
        <v>58</v>
      </c>
      <c r="D50" s="78">
        <v>1</v>
      </c>
      <c r="E50" s="78">
        <v>2</v>
      </c>
      <c r="F50" s="78">
        <v>5</v>
      </c>
      <c r="G50" s="78">
        <v>5</v>
      </c>
      <c r="H50" s="78">
        <v>12</v>
      </c>
      <c r="I50" s="78">
        <v>16</v>
      </c>
      <c r="J50" s="78">
        <v>17</v>
      </c>
      <c r="K50" s="78">
        <v>17</v>
      </c>
      <c r="L50" s="281"/>
      <c r="N50" s="1"/>
      <c r="O50" s="1"/>
    </row>
    <row r="51" spans="2:15" ht="15" customHeight="1" x14ac:dyDescent="0.25">
      <c r="B51" s="473"/>
      <c r="C51" s="338">
        <v>59</v>
      </c>
      <c r="D51" s="78">
        <v>1</v>
      </c>
      <c r="E51" s="78">
        <v>5</v>
      </c>
      <c r="F51" s="78">
        <v>8</v>
      </c>
      <c r="G51" s="78">
        <v>8</v>
      </c>
      <c r="H51" s="78">
        <v>15</v>
      </c>
      <c r="I51" s="78">
        <v>19</v>
      </c>
      <c r="J51" s="78">
        <v>20</v>
      </c>
      <c r="K51" s="78">
        <v>20</v>
      </c>
      <c r="L51" s="84"/>
      <c r="N51" s="1"/>
      <c r="O51" s="1"/>
    </row>
    <row r="52" spans="2:15" x14ac:dyDescent="0.25">
      <c r="B52" s="473"/>
      <c r="C52" s="362" t="s">
        <v>154</v>
      </c>
      <c r="D52" s="356">
        <f>AVERAGE(D49:D51)</f>
        <v>1</v>
      </c>
      <c r="E52" s="356">
        <f t="shared" ref="E52:I52" si="28">AVERAGE(E49:E51)</f>
        <v>2.6666666666666665</v>
      </c>
      <c r="F52" s="356">
        <f t="shared" si="28"/>
        <v>5.666666666666667</v>
      </c>
      <c r="G52" s="356">
        <f t="shared" si="28"/>
        <v>5.666666666666667</v>
      </c>
      <c r="H52" s="356">
        <f t="shared" si="28"/>
        <v>12.333333333333334</v>
      </c>
      <c r="I52" s="356">
        <f t="shared" si="28"/>
        <v>16.333333333333332</v>
      </c>
      <c r="J52" s="356">
        <f>AVERAGE(J49:J51)</f>
        <v>17.333333333333332</v>
      </c>
      <c r="K52" s="356">
        <f>AVERAGE(K49:K51)</f>
        <v>17.333333333333332</v>
      </c>
      <c r="L52" s="84"/>
      <c r="N52" s="1"/>
      <c r="O52" s="1"/>
    </row>
    <row r="53" spans="2:15" ht="15" customHeight="1" thickBot="1" x14ac:dyDescent="0.3">
      <c r="B53" s="474"/>
      <c r="C53" s="363" t="s">
        <v>156</v>
      </c>
      <c r="D53" s="303">
        <f>STDEV(D49:D51)</f>
        <v>0</v>
      </c>
      <c r="E53" s="303">
        <f t="shared" ref="E53:J53" si="29">STDEV(E49:E51)</f>
        <v>2.0816659994661331</v>
      </c>
      <c r="F53" s="303">
        <f t="shared" si="29"/>
        <v>2.0816659994661335</v>
      </c>
      <c r="G53" s="303">
        <f t="shared" si="29"/>
        <v>2.0816659994661335</v>
      </c>
      <c r="H53" s="303">
        <f t="shared" si="29"/>
        <v>2.5166114784235849</v>
      </c>
      <c r="I53" s="303">
        <f t="shared" si="29"/>
        <v>2.5166114784235796</v>
      </c>
      <c r="J53" s="303">
        <f t="shared" si="29"/>
        <v>2.5166114784235796</v>
      </c>
      <c r="K53" s="303">
        <f>STDEV(K49:K51)</f>
        <v>2.5166114784235796</v>
      </c>
      <c r="L53" s="85"/>
      <c r="N53" s="1"/>
      <c r="O53" s="1"/>
    </row>
    <row r="54" spans="2:15" x14ac:dyDescent="0.25">
      <c r="B54" s="483" t="s">
        <v>130</v>
      </c>
      <c r="C54" s="364">
        <v>60</v>
      </c>
      <c r="D54" s="83">
        <v>1</v>
      </c>
      <c r="E54" s="83">
        <v>1</v>
      </c>
      <c r="F54" s="83">
        <v>3</v>
      </c>
      <c r="G54" s="83">
        <v>3</v>
      </c>
      <c r="H54" s="83">
        <v>7</v>
      </c>
      <c r="I54" s="83">
        <v>9</v>
      </c>
      <c r="J54" s="83">
        <v>12</v>
      </c>
      <c r="K54" s="83">
        <v>15</v>
      </c>
      <c r="L54" s="86">
        <v>15</v>
      </c>
      <c r="N54" s="1"/>
      <c r="O54" s="1"/>
    </row>
    <row r="55" spans="2:15" x14ac:dyDescent="0.25">
      <c r="B55" s="484"/>
      <c r="C55" s="338">
        <v>62</v>
      </c>
      <c r="D55" s="78">
        <v>1</v>
      </c>
      <c r="E55" s="78">
        <v>1</v>
      </c>
      <c r="F55" s="78">
        <v>1</v>
      </c>
      <c r="G55" s="78">
        <v>1</v>
      </c>
      <c r="H55" s="78">
        <v>2</v>
      </c>
      <c r="I55" s="78">
        <v>2</v>
      </c>
      <c r="J55" s="78">
        <v>6</v>
      </c>
      <c r="K55" s="78">
        <v>8</v>
      </c>
      <c r="L55" s="84">
        <v>10</v>
      </c>
      <c r="N55" s="1"/>
      <c r="O55" s="1"/>
    </row>
    <row r="56" spans="2:15" x14ac:dyDescent="0.25">
      <c r="B56" s="484"/>
      <c r="C56" s="362" t="s">
        <v>154</v>
      </c>
      <c r="D56" s="356">
        <f>AVERAGE(D54:D55)</f>
        <v>1</v>
      </c>
      <c r="E56" s="356">
        <f>AVERAGE(E54:E55)</f>
        <v>1</v>
      </c>
      <c r="F56" s="356">
        <f t="shared" ref="F56" si="30">AVERAGE(F54:F55)</f>
        <v>2</v>
      </c>
      <c r="G56" s="356">
        <f t="shared" ref="G56" si="31">AVERAGE(G54:G55)</f>
        <v>2</v>
      </c>
      <c r="H56" s="356">
        <f t="shared" ref="H56" si="32">AVERAGE(H54:H55)</f>
        <v>4.5</v>
      </c>
      <c r="I56" s="356">
        <f t="shared" ref="I56" si="33">AVERAGE(I54:I55)</f>
        <v>5.5</v>
      </c>
      <c r="J56" s="356">
        <f t="shared" ref="J56" si="34">AVERAGE(J54:J55)</f>
        <v>9</v>
      </c>
      <c r="K56" s="356">
        <f>AVERAGE(K54:K55)</f>
        <v>11.5</v>
      </c>
      <c r="L56" s="368">
        <f>AVERAGE(L54:L55)</f>
        <v>12.5</v>
      </c>
      <c r="N56" s="1"/>
      <c r="O56" s="1"/>
    </row>
    <row r="57" spans="2:15" ht="15.75" thickBot="1" x14ac:dyDescent="0.3">
      <c r="B57" s="485"/>
      <c r="C57" s="363" t="s">
        <v>156</v>
      </c>
      <c r="D57" s="303">
        <f>STDEV(D54:D55)</f>
        <v>0</v>
      </c>
      <c r="E57" s="303">
        <f t="shared" ref="E57:J57" si="35">STDEV(E54:E55)</f>
        <v>0</v>
      </c>
      <c r="F57" s="303">
        <f t="shared" si="35"/>
        <v>1.4142135623730951</v>
      </c>
      <c r="G57" s="303">
        <f t="shared" si="35"/>
        <v>1.4142135623730951</v>
      </c>
      <c r="H57" s="303">
        <f t="shared" si="35"/>
        <v>3.5355339059327378</v>
      </c>
      <c r="I57" s="303">
        <f t="shared" si="35"/>
        <v>4.9497474683058327</v>
      </c>
      <c r="J57" s="303">
        <f t="shared" si="35"/>
        <v>4.2426406871192848</v>
      </c>
      <c r="K57" s="303">
        <f>STDEV(K54:K55)</f>
        <v>4.9497474683058327</v>
      </c>
      <c r="L57" s="369">
        <f>STDEV(L54:L55)</f>
        <v>3.5355339059327378</v>
      </c>
      <c r="N57" s="1"/>
      <c r="O57" s="1"/>
    </row>
    <row r="58" spans="2:15" ht="15" customHeight="1" x14ac:dyDescent="0.25">
      <c r="B58" s="483" t="s">
        <v>32</v>
      </c>
      <c r="C58" s="364">
        <v>63</v>
      </c>
      <c r="D58" s="83">
        <v>1</v>
      </c>
      <c r="E58" s="83">
        <v>2</v>
      </c>
      <c r="F58" s="83">
        <v>3</v>
      </c>
      <c r="G58" s="83">
        <v>3</v>
      </c>
      <c r="H58" s="83">
        <v>7</v>
      </c>
      <c r="I58" s="83">
        <v>10</v>
      </c>
      <c r="J58" s="83">
        <v>13</v>
      </c>
      <c r="K58" s="83">
        <v>15</v>
      </c>
      <c r="L58" s="86">
        <v>17</v>
      </c>
      <c r="N58" s="1"/>
      <c r="O58" s="1"/>
    </row>
    <row r="59" spans="2:15" x14ac:dyDescent="0.25">
      <c r="B59" s="484"/>
      <c r="C59" s="338">
        <v>65</v>
      </c>
      <c r="D59" s="78">
        <v>2</v>
      </c>
      <c r="E59" s="78">
        <v>3</v>
      </c>
      <c r="F59" s="78">
        <v>5</v>
      </c>
      <c r="G59" s="78">
        <v>5</v>
      </c>
      <c r="H59" s="78">
        <v>11</v>
      </c>
      <c r="I59" s="78">
        <v>15</v>
      </c>
      <c r="J59" s="78">
        <v>19</v>
      </c>
      <c r="K59" s="78">
        <v>22</v>
      </c>
      <c r="L59" s="84">
        <v>23</v>
      </c>
      <c r="N59" s="1"/>
      <c r="O59" s="1"/>
    </row>
    <row r="60" spans="2:15" x14ac:dyDescent="0.25">
      <c r="B60" s="484"/>
      <c r="C60" s="362" t="s">
        <v>154</v>
      </c>
      <c r="D60" s="356">
        <f>AVERAGE(D58:D59)</f>
        <v>1.5</v>
      </c>
      <c r="E60" s="356">
        <f>AVERAGE(E58:E59)</f>
        <v>2.5</v>
      </c>
      <c r="F60" s="356">
        <f t="shared" ref="F60" si="36">AVERAGE(F58:F59)</f>
        <v>4</v>
      </c>
      <c r="G60" s="356">
        <f t="shared" ref="G60" si="37">AVERAGE(G58:G59)</f>
        <v>4</v>
      </c>
      <c r="H60" s="356">
        <f t="shared" ref="H60" si="38">AVERAGE(H58:H59)</f>
        <v>9</v>
      </c>
      <c r="I60" s="356">
        <f t="shared" ref="I60" si="39">AVERAGE(I58:I59)</f>
        <v>12.5</v>
      </c>
      <c r="J60" s="356">
        <f t="shared" ref="J60" si="40">AVERAGE(J58:J59)</f>
        <v>16</v>
      </c>
      <c r="K60" s="356">
        <f>AVERAGE(K58:K59)</f>
        <v>18.5</v>
      </c>
      <c r="L60" s="368">
        <f>AVERAGE(L58:L59)</f>
        <v>20</v>
      </c>
      <c r="N60" s="1"/>
      <c r="O60" s="1"/>
    </row>
    <row r="61" spans="2:15" ht="15.75" thickBot="1" x14ac:dyDescent="0.3">
      <c r="B61" s="485"/>
      <c r="C61" s="363" t="s">
        <v>156</v>
      </c>
      <c r="D61" s="303">
        <f>STDEV(D58:D59)</f>
        <v>0.70710678118654757</v>
      </c>
      <c r="E61" s="303">
        <f t="shared" ref="E61:J61" si="41">STDEV(E58:E59)</f>
        <v>0.70710678118654757</v>
      </c>
      <c r="F61" s="303">
        <f t="shared" si="41"/>
        <v>1.4142135623730951</v>
      </c>
      <c r="G61" s="303">
        <f t="shared" si="41"/>
        <v>1.4142135623730951</v>
      </c>
      <c r="H61" s="303">
        <f t="shared" si="41"/>
        <v>2.8284271247461903</v>
      </c>
      <c r="I61" s="303">
        <f t="shared" si="41"/>
        <v>3.5355339059327378</v>
      </c>
      <c r="J61" s="303">
        <f t="shared" si="41"/>
        <v>4.2426406871192848</v>
      </c>
      <c r="K61" s="303">
        <f>STDEV(K58:K59)</f>
        <v>4.9497474683058327</v>
      </c>
      <c r="L61" s="369">
        <f>STDEV(L58:L59)</f>
        <v>4.2426406871192848</v>
      </c>
      <c r="N61" s="1"/>
      <c r="O61" s="1"/>
    </row>
    <row r="62" spans="2:15" x14ac:dyDescent="0.25">
      <c r="B62" s="483" t="s">
        <v>131</v>
      </c>
      <c r="C62" s="364">
        <v>66</v>
      </c>
      <c r="D62" s="83">
        <v>0</v>
      </c>
      <c r="E62" s="83">
        <v>1</v>
      </c>
      <c r="F62" s="83">
        <v>1</v>
      </c>
      <c r="G62" s="83">
        <v>1</v>
      </c>
      <c r="H62" s="83">
        <v>1</v>
      </c>
      <c r="I62" s="83">
        <v>2</v>
      </c>
      <c r="J62" s="83">
        <v>4</v>
      </c>
      <c r="K62" s="83">
        <v>5</v>
      </c>
      <c r="L62" s="86">
        <v>6</v>
      </c>
      <c r="N62" s="1"/>
      <c r="O62" s="1"/>
    </row>
    <row r="63" spans="2:15" ht="15" customHeight="1" x14ac:dyDescent="0.25">
      <c r="B63" s="484"/>
      <c r="C63" s="338">
        <v>68</v>
      </c>
      <c r="D63" s="78">
        <v>0</v>
      </c>
      <c r="E63" s="78">
        <v>0</v>
      </c>
      <c r="F63" s="78">
        <v>0</v>
      </c>
      <c r="G63" s="78">
        <v>1</v>
      </c>
      <c r="H63" s="78">
        <v>2</v>
      </c>
      <c r="I63" s="78">
        <v>4</v>
      </c>
      <c r="J63" s="78">
        <v>6</v>
      </c>
      <c r="K63" s="78">
        <v>8</v>
      </c>
      <c r="L63" s="84">
        <v>11</v>
      </c>
      <c r="N63" s="1"/>
      <c r="O63" s="1"/>
    </row>
    <row r="64" spans="2:15" x14ac:dyDescent="0.25">
      <c r="B64" s="484"/>
      <c r="C64" s="362" t="s">
        <v>154</v>
      </c>
      <c r="D64" s="356">
        <f>AVERAGE(D62:D63)</f>
        <v>0</v>
      </c>
      <c r="E64" s="356">
        <f>AVERAGE(E62:E63)</f>
        <v>0.5</v>
      </c>
      <c r="F64" s="356">
        <f t="shared" ref="F64" si="42">AVERAGE(F62:F63)</f>
        <v>0.5</v>
      </c>
      <c r="G64" s="356">
        <f t="shared" ref="G64" si="43">AVERAGE(G62:G63)</f>
        <v>1</v>
      </c>
      <c r="H64" s="356">
        <f t="shared" ref="H64" si="44">AVERAGE(H62:H63)</f>
        <v>1.5</v>
      </c>
      <c r="I64" s="356">
        <f t="shared" ref="I64" si="45">AVERAGE(I62:I63)</f>
        <v>3</v>
      </c>
      <c r="J64" s="356">
        <f t="shared" ref="J64" si="46">AVERAGE(J62:J63)</f>
        <v>5</v>
      </c>
      <c r="K64" s="356">
        <f>AVERAGE(K62:K63)</f>
        <v>6.5</v>
      </c>
      <c r="L64" s="368">
        <f>AVERAGE(L62:L63)</f>
        <v>8.5</v>
      </c>
    </row>
    <row r="65" spans="2:12" ht="15.75" thickBot="1" x14ac:dyDescent="0.3">
      <c r="B65" s="485"/>
      <c r="C65" s="363" t="s">
        <v>156</v>
      </c>
      <c r="D65" s="303">
        <f>STDEV(D62:D63)</f>
        <v>0</v>
      </c>
      <c r="E65" s="303">
        <f t="shared" ref="E65:J65" si="47">STDEV(E62:E63)</f>
        <v>0.70710678118654757</v>
      </c>
      <c r="F65" s="303">
        <f t="shared" si="47"/>
        <v>0.70710678118654757</v>
      </c>
      <c r="G65" s="303">
        <f t="shared" si="47"/>
        <v>0</v>
      </c>
      <c r="H65" s="303">
        <f t="shared" si="47"/>
        <v>0.70710678118654757</v>
      </c>
      <c r="I65" s="303">
        <f t="shared" si="47"/>
        <v>1.4142135623730951</v>
      </c>
      <c r="J65" s="303">
        <f t="shared" si="47"/>
        <v>1.4142135623730951</v>
      </c>
      <c r="K65" s="303">
        <f>STDEV(K62:K63)</f>
        <v>2.1213203435596424</v>
      </c>
      <c r="L65" s="369">
        <f>STDEV(L62:L63)</f>
        <v>3.5355339059327378</v>
      </c>
    </row>
    <row r="66" spans="2:12" x14ac:dyDescent="0.25">
      <c r="B66" s="483" t="s">
        <v>33</v>
      </c>
      <c r="C66" s="364">
        <v>69</v>
      </c>
      <c r="D66" s="83">
        <v>1</v>
      </c>
      <c r="E66" s="83">
        <v>5</v>
      </c>
      <c r="F66" s="83">
        <v>10</v>
      </c>
      <c r="G66" s="83">
        <v>11</v>
      </c>
      <c r="H66" s="83">
        <v>17</v>
      </c>
      <c r="I66" s="83">
        <v>21</v>
      </c>
      <c r="J66" s="83">
        <v>25</v>
      </c>
      <c r="K66" s="83">
        <v>27</v>
      </c>
      <c r="L66" s="86">
        <v>28</v>
      </c>
    </row>
    <row r="67" spans="2:12" x14ac:dyDescent="0.25">
      <c r="B67" s="484"/>
      <c r="C67" s="362" t="s">
        <v>154</v>
      </c>
      <c r="D67" s="356">
        <f>AVERAGE(D66)</f>
        <v>1</v>
      </c>
      <c r="E67" s="356">
        <f t="shared" ref="E67:J67" si="48">AVERAGE(E66)</f>
        <v>5</v>
      </c>
      <c r="F67" s="356">
        <f t="shared" si="48"/>
        <v>10</v>
      </c>
      <c r="G67" s="356">
        <f t="shared" si="48"/>
        <v>11</v>
      </c>
      <c r="H67" s="356">
        <f t="shared" si="48"/>
        <v>17</v>
      </c>
      <c r="I67" s="356">
        <f t="shared" si="48"/>
        <v>21</v>
      </c>
      <c r="J67" s="356">
        <f t="shared" si="48"/>
        <v>25</v>
      </c>
      <c r="K67" s="356">
        <f>AVERAGE(K66)</f>
        <v>27</v>
      </c>
      <c r="L67" s="368">
        <f>AVERAGE(L66)</f>
        <v>28</v>
      </c>
    </row>
    <row r="68" spans="2:12" ht="15" customHeight="1" thickBot="1" x14ac:dyDescent="0.3">
      <c r="B68" s="485"/>
      <c r="C68" s="363" t="s">
        <v>156</v>
      </c>
      <c r="D68" s="303"/>
      <c r="E68" s="303"/>
      <c r="F68" s="303"/>
      <c r="G68" s="303"/>
      <c r="H68" s="303"/>
      <c r="I68" s="303"/>
      <c r="J68" s="303"/>
      <c r="K68" s="303"/>
      <c r="L68" s="369"/>
    </row>
    <row r="69" spans="2:12" x14ac:dyDescent="0.25">
      <c r="B69" s="228"/>
      <c r="C69" s="53"/>
      <c r="D69" s="1"/>
      <c r="J69" s="1"/>
      <c r="K69" s="1"/>
      <c r="L69" s="1"/>
    </row>
    <row r="70" spans="2:12" x14ac:dyDescent="0.25">
      <c r="B70" s="228"/>
      <c r="C70" s="53"/>
      <c r="D70" s="1"/>
      <c r="E70" s="1"/>
      <c r="F70" s="1"/>
      <c r="G70" s="1"/>
      <c r="H70" s="1"/>
      <c r="I70" s="1"/>
      <c r="J70" s="1"/>
      <c r="K70" s="1"/>
      <c r="L70" s="1"/>
    </row>
    <row r="71" spans="2:12" x14ac:dyDescent="0.25">
      <c r="B71" s="228"/>
      <c r="C71" s="53"/>
      <c r="D71" s="1"/>
      <c r="E71" s="1"/>
      <c r="F71" s="1"/>
      <c r="G71" s="1"/>
      <c r="H71" s="1"/>
      <c r="I71" s="1"/>
      <c r="J71" s="1"/>
      <c r="K71" s="1"/>
      <c r="L71" s="1"/>
    </row>
    <row r="72" spans="2:12" x14ac:dyDescent="0.25">
      <c r="B72" s="229"/>
      <c r="C72" s="53"/>
      <c r="D72" s="1"/>
      <c r="E72" s="1"/>
      <c r="F72" s="1"/>
      <c r="G72" s="1"/>
      <c r="H72" s="1"/>
      <c r="I72" s="1"/>
      <c r="J72" s="1"/>
      <c r="K72" s="1"/>
      <c r="L72" s="1"/>
    </row>
    <row r="73" spans="2:12" ht="15.75" customHeight="1" x14ac:dyDescent="0.25">
      <c r="B73" s="228"/>
      <c r="C73" s="53"/>
      <c r="D73" s="1"/>
      <c r="E73" s="1"/>
      <c r="F73" s="1"/>
      <c r="G73" s="1"/>
      <c r="H73" s="1"/>
      <c r="I73" s="1"/>
      <c r="J73" s="1"/>
      <c r="K73" s="1"/>
      <c r="L73" s="1"/>
    </row>
    <row r="74" spans="2:12" x14ac:dyDescent="0.25">
      <c r="B74" s="228"/>
      <c r="C74" s="53"/>
      <c r="D74" s="1"/>
      <c r="E74" s="1"/>
      <c r="F74" s="1"/>
      <c r="G74" s="1"/>
      <c r="H74" s="1"/>
      <c r="I74" s="1"/>
      <c r="J74" s="1"/>
      <c r="K74" s="1"/>
      <c r="L74" s="1"/>
    </row>
    <row r="75" spans="2:12" x14ac:dyDescent="0.25">
      <c r="B75" s="228"/>
      <c r="C75" s="53"/>
      <c r="D75" s="1"/>
      <c r="E75" s="1"/>
      <c r="F75" s="1"/>
      <c r="G75" s="1"/>
      <c r="H75" s="1"/>
      <c r="I75" s="1"/>
      <c r="J75" s="1"/>
      <c r="K75" s="1"/>
      <c r="L75" s="1"/>
    </row>
    <row r="76" spans="2:12" x14ac:dyDescent="0.25">
      <c r="B76" s="229"/>
      <c r="C76" s="53"/>
      <c r="D76" s="1"/>
      <c r="E76" s="1"/>
      <c r="F76" s="1"/>
      <c r="G76" s="1"/>
      <c r="H76" s="1"/>
      <c r="I76" s="1"/>
      <c r="J76" s="1"/>
      <c r="K76" s="1"/>
      <c r="L76" s="1"/>
    </row>
    <row r="77" spans="2:12" x14ac:dyDescent="0.25">
      <c r="B77" s="228"/>
      <c r="C77" s="53"/>
      <c r="D77" s="1"/>
      <c r="E77" s="1"/>
      <c r="F77" s="1"/>
      <c r="G77" s="1"/>
      <c r="H77" s="1"/>
      <c r="I77" s="1"/>
      <c r="J77" s="1"/>
      <c r="K77" s="1"/>
      <c r="L77" s="1"/>
    </row>
    <row r="78" spans="2:12" x14ac:dyDescent="0.25">
      <c r="B78" s="228"/>
      <c r="C78" s="53"/>
      <c r="D78" s="1"/>
      <c r="E78" s="1"/>
      <c r="F78" s="1"/>
      <c r="G78" s="1"/>
      <c r="H78" s="1"/>
      <c r="I78" s="1"/>
      <c r="J78" s="1"/>
      <c r="K78" s="1"/>
      <c r="L78" s="1"/>
    </row>
    <row r="79" spans="2:12" x14ac:dyDescent="0.25">
      <c r="B79" s="228"/>
      <c r="C79" s="53"/>
      <c r="D79" s="1"/>
      <c r="E79" s="1"/>
      <c r="F79" s="1"/>
      <c r="I79" s="1"/>
      <c r="J79" s="1"/>
      <c r="K79" s="1"/>
      <c r="L79" s="1"/>
    </row>
    <row r="80" spans="2:12" x14ac:dyDescent="0.25">
      <c r="B80" s="228"/>
      <c r="C80" s="53"/>
      <c r="D80" s="1"/>
      <c r="E80" s="1"/>
      <c r="F80" s="1"/>
      <c r="I80" s="1"/>
      <c r="J80" s="1"/>
      <c r="K80" s="1"/>
      <c r="L80" s="1"/>
    </row>
    <row r="81" spans="2:12" x14ac:dyDescent="0.25">
      <c r="B81" s="228"/>
      <c r="C81" s="53"/>
      <c r="D81" s="1"/>
      <c r="E81" s="1"/>
      <c r="F81" s="1"/>
      <c r="I81" s="1"/>
      <c r="J81" s="1"/>
      <c r="K81" s="1"/>
      <c r="L81" s="1"/>
    </row>
    <row r="82" spans="2:12" x14ac:dyDescent="0.25">
      <c r="B82" s="228"/>
      <c r="C82" s="53"/>
      <c r="D82" s="1"/>
      <c r="E82" s="1"/>
      <c r="F82" s="1"/>
      <c r="I82" s="1"/>
      <c r="J82" s="1"/>
      <c r="K82" s="1"/>
      <c r="L82" s="1"/>
    </row>
    <row r="83" spans="2:12" x14ac:dyDescent="0.25">
      <c r="B83" s="228"/>
      <c r="C83" s="53"/>
      <c r="D83" s="1"/>
      <c r="E83" s="1"/>
      <c r="F83" s="1"/>
      <c r="I83" s="1"/>
      <c r="J83" s="1"/>
      <c r="K83" s="1"/>
      <c r="L83" s="1"/>
    </row>
    <row r="84" spans="2:12" x14ac:dyDescent="0.25">
      <c r="B84" s="228"/>
      <c r="C84" s="53"/>
      <c r="D84" s="1"/>
      <c r="E84" s="1"/>
      <c r="F84" s="1"/>
      <c r="I84" s="1"/>
      <c r="J84" s="1"/>
      <c r="K84" s="1"/>
      <c r="L84" s="1"/>
    </row>
    <row r="85" spans="2:12" x14ac:dyDescent="0.25">
      <c r="B85" s="228"/>
      <c r="C85" s="53"/>
      <c r="D85" s="1"/>
      <c r="E85" s="1"/>
      <c r="F85" s="1"/>
      <c r="I85" s="1"/>
      <c r="J85" s="1"/>
      <c r="K85" s="1"/>
      <c r="L85" s="1"/>
    </row>
    <row r="86" spans="2:12" x14ac:dyDescent="0.25">
      <c r="B86" s="228"/>
      <c r="C86" s="53"/>
      <c r="D86" s="1"/>
      <c r="E86" s="1"/>
      <c r="F86" s="1"/>
      <c r="I86" s="1"/>
      <c r="J86" s="1"/>
      <c r="K86" s="1"/>
      <c r="L86" s="1"/>
    </row>
    <row r="87" spans="2:12" x14ac:dyDescent="0.25">
      <c r="B87" s="228"/>
      <c r="C87" s="53"/>
      <c r="D87" s="1"/>
      <c r="E87" s="1"/>
      <c r="F87" s="1"/>
      <c r="I87" s="1"/>
      <c r="J87" s="1"/>
      <c r="K87" s="1"/>
      <c r="L87" s="1"/>
    </row>
    <row r="88" spans="2:12" x14ac:dyDescent="0.25">
      <c r="B88" s="228"/>
      <c r="C88" s="53"/>
      <c r="D88" s="1"/>
      <c r="E88" s="1"/>
      <c r="F88" s="1"/>
      <c r="I88" s="1"/>
      <c r="J88" s="1"/>
      <c r="K88" s="1"/>
      <c r="L88" s="1"/>
    </row>
    <row r="89" spans="2:12" x14ac:dyDescent="0.25">
      <c r="B89" s="228"/>
      <c r="C89" s="53"/>
      <c r="D89" s="1"/>
      <c r="E89" s="1"/>
      <c r="F89" s="1"/>
      <c r="I89" s="1"/>
      <c r="J89" s="1"/>
      <c r="K89" s="1"/>
      <c r="L89" s="1"/>
    </row>
    <row r="90" spans="2:12" x14ac:dyDescent="0.25">
      <c r="B90" s="228"/>
      <c r="C90" s="53"/>
      <c r="D90" s="1"/>
      <c r="E90" s="1"/>
      <c r="F90" s="1"/>
      <c r="I90" s="1"/>
      <c r="J90" s="1"/>
      <c r="K90" s="1"/>
      <c r="L90" s="1"/>
    </row>
    <row r="91" spans="2:12" x14ac:dyDescent="0.25">
      <c r="B91" s="228"/>
      <c r="C91" s="53"/>
      <c r="D91" s="1"/>
      <c r="E91" s="1"/>
      <c r="F91" s="1"/>
      <c r="I91" s="1"/>
      <c r="J91" s="1"/>
      <c r="K91" s="1"/>
      <c r="L91" s="1"/>
    </row>
    <row r="92" spans="2:12" x14ac:dyDescent="0.25">
      <c r="B92" s="228"/>
      <c r="C92" s="53"/>
      <c r="D92" s="1"/>
      <c r="E92" s="1"/>
      <c r="F92" s="1"/>
      <c r="I92" s="1"/>
      <c r="J92" s="1"/>
      <c r="K92" s="1"/>
      <c r="L92" s="1"/>
    </row>
    <row r="93" spans="2:12" x14ac:dyDescent="0.25">
      <c r="B93" s="228"/>
      <c r="C93" s="53"/>
      <c r="D93" s="1"/>
      <c r="E93" s="1"/>
      <c r="F93" s="1"/>
      <c r="I93" s="1"/>
      <c r="J93" s="1"/>
      <c r="K93" s="1"/>
      <c r="L93" s="1"/>
    </row>
    <row r="94" spans="2:12" x14ac:dyDescent="0.25">
      <c r="B94" s="228"/>
      <c r="C94" s="53"/>
      <c r="D94" s="1"/>
      <c r="E94" s="1"/>
      <c r="F94" s="1"/>
      <c r="I94" s="1"/>
      <c r="J94" s="1"/>
      <c r="K94" s="1"/>
      <c r="L94" s="1"/>
    </row>
    <row r="95" spans="2:12" x14ac:dyDescent="0.25">
      <c r="B95" s="228"/>
      <c r="C95" s="53"/>
      <c r="D95" s="1"/>
      <c r="E95" s="1"/>
      <c r="F95" s="1"/>
      <c r="I95" s="1"/>
      <c r="J95" s="1"/>
      <c r="K95" s="1"/>
      <c r="L95" s="1"/>
    </row>
    <row r="96" spans="2:12" x14ac:dyDescent="0.25">
      <c r="B96" s="228"/>
      <c r="C96" s="53"/>
      <c r="D96" s="1"/>
      <c r="E96" s="1"/>
      <c r="F96" s="1"/>
      <c r="I96" s="1"/>
      <c r="J96" s="1"/>
      <c r="K96" s="1"/>
      <c r="L96" s="1"/>
    </row>
    <row r="97" spans="2:12" x14ac:dyDescent="0.25">
      <c r="B97" s="228"/>
      <c r="C97" s="53"/>
      <c r="D97" s="1"/>
      <c r="E97" s="1"/>
      <c r="F97" s="1"/>
      <c r="I97" s="1"/>
      <c r="J97" s="1"/>
      <c r="K97" s="1"/>
      <c r="L97" s="1"/>
    </row>
    <row r="98" spans="2:12" x14ac:dyDescent="0.25">
      <c r="B98" s="228"/>
      <c r="C98" s="53"/>
      <c r="D98" s="1"/>
      <c r="E98" s="1"/>
      <c r="F98" s="1"/>
      <c r="I98" s="1"/>
      <c r="J98" s="1"/>
      <c r="K98" s="1"/>
      <c r="L98" s="1"/>
    </row>
    <row r="99" spans="2:12" x14ac:dyDescent="0.25">
      <c r="B99" s="228"/>
      <c r="C99" s="53"/>
      <c r="D99" s="1"/>
      <c r="E99" s="1"/>
      <c r="F99" s="1"/>
      <c r="I99" s="1"/>
      <c r="J99" s="1"/>
      <c r="K99" s="1"/>
      <c r="L99" s="1"/>
    </row>
    <row r="100" spans="2:12" x14ac:dyDescent="0.25">
      <c r="B100" s="228"/>
      <c r="C100" s="53"/>
      <c r="D100" s="1"/>
      <c r="E100" s="1"/>
      <c r="F100" s="1"/>
      <c r="I100" s="1"/>
      <c r="J100" s="1"/>
      <c r="K100" s="1"/>
      <c r="L100" s="1"/>
    </row>
    <row r="101" spans="2:12" x14ac:dyDescent="0.25">
      <c r="B101" s="228"/>
      <c r="C101" s="53"/>
      <c r="D101" s="1"/>
      <c r="E101" s="1"/>
      <c r="F101" s="1"/>
      <c r="I101" s="1"/>
      <c r="J101" s="1"/>
      <c r="K101" s="1"/>
      <c r="L101" s="1"/>
    </row>
    <row r="102" spans="2:12" x14ac:dyDescent="0.25">
      <c r="B102" s="228"/>
      <c r="C102" s="53"/>
      <c r="D102" s="1"/>
      <c r="E102" s="1"/>
      <c r="F102" s="1"/>
      <c r="I102" s="1"/>
      <c r="J102" s="1"/>
      <c r="K102" s="1"/>
      <c r="L102" s="1"/>
    </row>
    <row r="103" spans="2:12" x14ac:dyDescent="0.25">
      <c r="B103" s="228"/>
      <c r="C103" s="53"/>
      <c r="D103" s="1"/>
      <c r="E103" s="1"/>
      <c r="F103" s="1"/>
      <c r="I103" s="1"/>
      <c r="J103" s="1"/>
      <c r="K103" s="1"/>
      <c r="L103" s="1"/>
    </row>
    <row r="104" spans="2:12" x14ac:dyDescent="0.25">
      <c r="B104" s="228"/>
      <c r="C104" s="53"/>
      <c r="D104" s="1"/>
      <c r="E104" s="1"/>
      <c r="F104" s="1"/>
      <c r="I104" s="1"/>
      <c r="J104" s="1"/>
      <c r="K104" s="1"/>
      <c r="L104" s="1"/>
    </row>
    <row r="105" spans="2:12" x14ac:dyDescent="0.25">
      <c r="B105" s="228"/>
      <c r="C105" s="53"/>
      <c r="D105" s="1"/>
      <c r="E105" s="1"/>
      <c r="F105" s="1"/>
      <c r="I105" s="1"/>
      <c r="J105" s="1"/>
      <c r="K105" s="1"/>
      <c r="L105" s="1"/>
    </row>
    <row r="106" spans="2:12" x14ac:dyDescent="0.25">
      <c r="B106" s="228"/>
      <c r="C106" s="53"/>
      <c r="D106" s="1"/>
      <c r="E106" s="1"/>
      <c r="F106" s="1"/>
      <c r="I106" s="1"/>
      <c r="J106" s="1"/>
      <c r="K106" s="1"/>
      <c r="L106" s="1"/>
    </row>
    <row r="107" spans="2:12" x14ac:dyDescent="0.25">
      <c r="C107" s="351"/>
      <c r="I107" s="1"/>
      <c r="J107" s="1"/>
      <c r="K107" s="1"/>
      <c r="L107" s="1"/>
    </row>
    <row r="108" spans="2:12" x14ac:dyDescent="0.25">
      <c r="I108" s="1"/>
      <c r="J108" s="1"/>
      <c r="K108" s="1"/>
      <c r="L108" s="1"/>
    </row>
    <row r="109" spans="2:12" x14ac:dyDescent="0.25">
      <c r="I109" s="1"/>
      <c r="J109" s="1"/>
      <c r="K109" s="1"/>
      <c r="L109" s="1"/>
    </row>
    <row r="110" spans="2:12" x14ac:dyDescent="0.25">
      <c r="I110" s="1"/>
      <c r="J110" s="1"/>
      <c r="K110" s="1"/>
      <c r="L110" s="1"/>
    </row>
    <row r="111" spans="2:12" x14ac:dyDescent="0.25">
      <c r="I111" s="1"/>
      <c r="J111" s="1"/>
      <c r="K111" s="1"/>
      <c r="L111" s="1"/>
    </row>
    <row r="112" spans="2:12" x14ac:dyDescent="0.25">
      <c r="I112" s="1"/>
      <c r="J112" s="1"/>
      <c r="K112" s="1"/>
      <c r="L112" s="1"/>
    </row>
    <row r="113" spans="9:12" x14ac:dyDescent="0.25">
      <c r="I113" s="1"/>
      <c r="J113" s="1"/>
      <c r="K113" s="1"/>
      <c r="L113" s="1"/>
    </row>
    <row r="114" spans="9:12" x14ac:dyDescent="0.25">
      <c r="I114" s="1"/>
      <c r="J114" s="1"/>
      <c r="K114" s="1"/>
      <c r="L114" s="1"/>
    </row>
    <row r="115" spans="9:12" x14ac:dyDescent="0.25">
      <c r="I115" s="1"/>
      <c r="J115" s="1"/>
      <c r="K115" s="1"/>
      <c r="L115" s="1"/>
    </row>
    <row r="116" spans="9:12" x14ac:dyDescent="0.25">
      <c r="I116" s="1"/>
      <c r="J116" s="1"/>
      <c r="K116" s="1"/>
      <c r="L116" s="1"/>
    </row>
    <row r="117" spans="9:12" x14ac:dyDescent="0.25">
      <c r="I117" s="1"/>
      <c r="J117" s="1"/>
      <c r="K117" s="1"/>
      <c r="L117" s="1"/>
    </row>
    <row r="118" spans="9:12" x14ac:dyDescent="0.25">
      <c r="I118" s="1"/>
      <c r="J118" s="1"/>
      <c r="K118" s="1"/>
      <c r="L118" s="1"/>
    </row>
    <row r="119" spans="9:12" x14ac:dyDescent="0.25">
      <c r="I119" s="1"/>
      <c r="J119" s="1"/>
      <c r="K119" s="1"/>
      <c r="L119" s="1"/>
    </row>
    <row r="120" spans="9:12" x14ac:dyDescent="0.25">
      <c r="I120" s="1"/>
      <c r="J120" s="1"/>
      <c r="K120" s="1"/>
      <c r="L120" s="1"/>
    </row>
    <row r="121" spans="9:12" x14ac:dyDescent="0.25">
      <c r="I121" s="1"/>
      <c r="J121" s="1"/>
      <c r="K121" s="1"/>
      <c r="L121" s="1"/>
    </row>
    <row r="122" spans="9:12" x14ac:dyDescent="0.25">
      <c r="I122" s="1"/>
      <c r="J122" s="1"/>
      <c r="K122" s="1"/>
      <c r="L122" s="1"/>
    </row>
    <row r="123" spans="9:12" x14ac:dyDescent="0.25">
      <c r="I123" s="1"/>
      <c r="J123" s="1"/>
      <c r="K123" s="1"/>
      <c r="L123" s="1"/>
    </row>
    <row r="124" spans="9:12" x14ac:dyDescent="0.25">
      <c r="I124" s="1"/>
      <c r="J124" s="1"/>
      <c r="K124" s="1"/>
      <c r="L124" s="1"/>
    </row>
    <row r="125" spans="9:12" x14ac:dyDescent="0.25">
      <c r="I125" s="1"/>
      <c r="J125" s="1"/>
      <c r="K125" s="1"/>
      <c r="L125" s="1"/>
    </row>
    <row r="126" spans="9:12" x14ac:dyDescent="0.25">
      <c r="I126" s="1"/>
      <c r="J126" s="1"/>
      <c r="K126" s="1"/>
      <c r="L126" s="1"/>
    </row>
    <row r="127" spans="9:12" x14ac:dyDescent="0.25">
      <c r="I127" s="1"/>
      <c r="J127" s="1"/>
      <c r="K127" s="1"/>
      <c r="L127" s="1"/>
    </row>
    <row r="128" spans="9:12" x14ac:dyDescent="0.25">
      <c r="I128" s="1"/>
      <c r="J128" s="1"/>
      <c r="K128" s="1"/>
      <c r="L128" s="1"/>
    </row>
    <row r="129" spans="9:12" x14ac:dyDescent="0.25">
      <c r="I129" s="1"/>
      <c r="J129" s="1"/>
      <c r="K129" s="1"/>
      <c r="L129" s="1"/>
    </row>
    <row r="130" spans="9:12" x14ac:dyDescent="0.25">
      <c r="I130" s="1"/>
      <c r="J130" s="1"/>
      <c r="K130" s="1"/>
      <c r="L130" s="1"/>
    </row>
    <row r="131" spans="9:12" x14ac:dyDescent="0.25">
      <c r="I131" s="1"/>
      <c r="J131" s="1"/>
      <c r="K131" s="1"/>
      <c r="L131" s="1"/>
    </row>
    <row r="132" spans="9:12" x14ac:dyDescent="0.25">
      <c r="I132" s="1"/>
      <c r="J132" s="1"/>
      <c r="K132" s="1"/>
      <c r="L132" s="1"/>
    </row>
    <row r="133" spans="9:12" x14ac:dyDescent="0.25">
      <c r="I133" s="1"/>
      <c r="J133" s="1"/>
      <c r="K133" s="1"/>
      <c r="L133" s="1"/>
    </row>
    <row r="134" spans="9:12" x14ac:dyDescent="0.25">
      <c r="I134" s="1"/>
      <c r="J134" s="1"/>
      <c r="K134" s="1"/>
      <c r="L134" s="1"/>
    </row>
    <row r="135" spans="9:12" x14ac:dyDescent="0.25">
      <c r="I135" s="1"/>
      <c r="J135" s="1"/>
      <c r="K135" s="1"/>
      <c r="L135" s="1"/>
    </row>
    <row r="136" spans="9:12" x14ac:dyDescent="0.25">
      <c r="I136" s="1"/>
      <c r="J136" s="1"/>
      <c r="K136" s="1"/>
      <c r="L136" s="1"/>
    </row>
    <row r="137" spans="9:12" x14ac:dyDescent="0.25">
      <c r="I137" s="1"/>
      <c r="J137" s="1"/>
      <c r="K137" s="1"/>
      <c r="L137" s="1"/>
    </row>
    <row r="138" spans="9:12" x14ac:dyDescent="0.25">
      <c r="I138" s="1"/>
      <c r="J138" s="1"/>
      <c r="K138" s="1"/>
      <c r="L138" s="1"/>
    </row>
    <row r="139" spans="9:12" x14ac:dyDescent="0.25">
      <c r="I139" s="1"/>
      <c r="J139" s="1"/>
      <c r="K139" s="1"/>
      <c r="L139" s="1"/>
    </row>
    <row r="140" spans="9:12" x14ac:dyDescent="0.25">
      <c r="I140" s="1"/>
      <c r="J140" s="1"/>
      <c r="K140" s="1"/>
      <c r="L140" s="1"/>
    </row>
    <row r="141" spans="9:12" x14ac:dyDescent="0.25">
      <c r="I141" s="1"/>
      <c r="J141" s="1"/>
      <c r="K141" s="1"/>
      <c r="L141" s="1"/>
    </row>
    <row r="142" spans="9:12" x14ac:dyDescent="0.25">
      <c r="I142" s="1"/>
      <c r="J142" s="1"/>
      <c r="K142" s="1"/>
      <c r="L142" s="1"/>
    </row>
    <row r="143" spans="9:12" x14ac:dyDescent="0.25">
      <c r="I143" s="1"/>
      <c r="J143" s="1"/>
      <c r="K143" s="1"/>
      <c r="L143" s="1"/>
    </row>
    <row r="144" spans="9:12" x14ac:dyDescent="0.25">
      <c r="I144" s="1"/>
      <c r="J144" s="1"/>
      <c r="K144" s="1"/>
      <c r="L144" s="1"/>
    </row>
    <row r="145" spans="9:12" x14ac:dyDescent="0.25">
      <c r="I145" s="1"/>
      <c r="J145" s="1"/>
      <c r="K145" s="1"/>
      <c r="L145" s="1"/>
    </row>
    <row r="146" spans="9:12" x14ac:dyDescent="0.25">
      <c r="I146" s="1"/>
      <c r="J146" s="1"/>
      <c r="K146" s="1"/>
      <c r="L146" s="1"/>
    </row>
    <row r="147" spans="9:12" x14ac:dyDescent="0.25">
      <c r="I147" s="1"/>
      <c r="J147" s="1"/>
      <c r="K147" s="1"/>
      <c r="L147" s="1"/>
    </row>
    <row r="148" spans="9:12" x14ac:dyDescent="0.25">
      <c r="I148" s="1"/>
      <c r="J148" s="1"/>
      <c r="K148" s="1"/>
      <c r="L148" s="1"/>
    </row>
    <row r="149" spans="9:12" x14ac:dyDescent="0.25">
      <c r="I149" s="1"/>
      <c r="J149" s="1"/>
      <c r="K149" s="1"/>
      <c r="L149" s="1"/>
    </row>
    <row r="150" spans="9:12" x14ac:dyDescent="0.25">
      <c r="I150" s="1"/>
      <c r="J150" s="1"/>
      <c r="K150" s="1"/>
      <c r="L150" s="1"/>
    </row>
    <row r="151" spans="9:12" x14ac:dyDescent="0.25">
      <c r="I151" s="1"/>
      <c r="J151" s="1"/>
      <c r="K151" s="1"/>
      <c r="L151" s="1"/>
    </row>
    <row r="152" spans="9:12" x14ac:dyDescent="0.25">
      <c r="I152" s="1"/>
      <c r="J152" s="1"/>
      <c r="K152" s="1"/>
      <c r="L152" s="1"/>
    </row>
    <row r="153" spans="9:12" x14ac:dyDescent="0.25">
      <c r="I153" s="1"/>
      <c r="J153" s="1"/>
      <c r="K153" s="1"/>
      <c r="L153" s="1"/>
    </row>
    <row r="154" spans="9:12" x14ac:dyDescent="0.25">
      <c r="I154" s="1"/>
      <c r="J154" s="1"/>
      <c r="K154" s="1"/>
      <c r="L154" s="1"/>
    </row>
    <row r="155" spans="9:12" x14ac:dyDescent="0.25">
      <c r="I155" s="1"/>
      <c r="J155" s="1"/>
      <c r="K155" s="1"/>
      <c r="L155" s="1"/>
    </row>
    <row r="156" spans="9:12" x14ac:dyDescent="0.25">
      <c r="I156" s="1"/>
      <c r="J156" s="1"/>
      <c r="K156" s="1"/>
      <c r="L156" s="1"/>
    </row>
  </sheetData>
  <mergeCells count="18">
    <mergeCell ref="B58:B61"/>
    <mergeCell ref="B62:B65"/>
    <mergeCell ref="B66:B68"/>
    <mergeCell ref="B38:B40"/>
    <mergeCell ref="B41:B44"/>
    <mergeCell ref="B45:B48"/>
    <mergeCell ref="B49:B53"/>
    <mergeCell ref="B54:B57"/>
    <mergeCell ref="D2:L2"/>
    <mergeCell ref="D3:L3"/>
    <mergeCell ref="B2:C4"/>
    <mergeCell ref="B5:B8"/>
    <mergeCell ref="B9:B14"/>
    <mergeCell ref="B15:B18"/>
    <mergeCell ref="B25:B28"/>
    <mergeCell ref="B29:B33"/>
    <mergeCell ref="B19:B24"/>
    <mergeCell ref="B34:B37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D13:F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0"/>
  <sheetViews>
    <sheetView topLeftCell="A46" zoomScale="80" zoomScaleNormal="80" workbookViewId="0">
      <selection activeCell="B60" sqref="B60:B63"/>
    </sheetView>
  </sheetViews>
  <sheetFormatPr defaultColWidth="15.7109375" defaultRowHeight="18" customHeight="1" x14ac:dyDescent="0.25"/>
  <cols>
    <col min="1" max="1" width="9.28515625" style="60" customWidth="1"/>
    <col min="2" max="2" width="17.42578125" style="60" bestFit="1" customWidth="1"/>
    <col min="3" max="4" width="15.7109375" style="60"/>
    <col min="5" max="5" width="15.7109375" style="174"/>
    <col min="6" max="6" width="15.7109375" style="60"/>
    <col min="7" max="7" width="15.7109375" style="174"/>
    <col min="8" max="8" width="15.7109375" style="60"/>
    <col min="9" max="9" width="15.7109375" style="174"/>
    <col min="10" max="12" width="15.7109375" style="175"/>
    <col min="13" max="15" width="15.7109375" style="176"/>
    <col min="16" max="16" width="15.7109375" style="60"/>
    <col min="17" max="17" width="17.28515625" style="60" bestFit="1" customWidth="1"/>
    <col min="18" max="21" width="15.7109375" style="60"/>
    <col min="22" max="22" width="15.7109375" style="95"/>
    <col min="23" max="16384" width="15.7109375" style="60"/>
  </cols>
  <sheetData>
    <row r="1" spans="2:22" ht="18" customHeight="1" x14ac:dyDescent="0.25">
      <c r="V1" s="293"/>
    </row>
    <row r="2" spans="2:22" ht="18" customHeight="1" x14ac:dyDescent="0.25">
      <c r="C2" s="132"/>
      <c r="D2" s="487" t="s">
        <v>164</v>
      </c>
      <c r="E2" s="487"/>
      <c r="F2" s="487"/>
      <c r="G2" s="487"/>
      <c r="H2" s="487"/>
      <c r="I2" s="487"/>
      <c r="J2" s="133"/>
      <c r="K2" s="133"/>
      <c r="L2" s="133"/>
      <c r="M2" s="487" t="s">
        <v>163</v>
      </c>
      <c r="N2" s="487"/>
      <c r="O2" s="487"/>
    </row>
    <row r="3" spans="2:22" ht="18" customHeight="1" thickBot="1" x14ac:dyDescent="0.3">
      <c r="B3" s="96"/>
      <c r="C3" s="134"/>
      <c r="D3" s="135" t="s">
        <v>5</v>
      </c>
      <c r="E3" s="136" t="s">
        <v>160</v>
      </c>
      <c r="F3" s="135" t="s">
        <v>6</v>
      </c>
      <c r="G3" s="136" t="s">
        <v>161</v>
      </c>
      <c r="H3" s="135" t="s">
        <v>7</v>
      </c>
      <c r="I3" s="136" t="s">
        <v>162</v>
      </c>
      <c r="J3" s="137" t="s">
        <v>5</v>
      </c>
      <c r="K3" s="137" t="s">
        <v>6</v>
      </c>
      <c r="L3" s="137" t="s">
        <v>7</v>
      </c>
      <c r="M3" s="138" t="s">
        <v>5</v>
      </c>
      <c r="N3" s="138" t="s">
        <v>6</v>
      </c>
      <c r="O3" s="138" t="s">
        <v>7</v>
      </c>
      <c r="P3" s="139"/>
      <c r="Q3" s="140"/>
      <c r="R3" s="140"/>
      <c r="S3" s="140"/>
      <c r="T3" s="140"/>
      <c r="U3" s="140"/>
    </row>
    <row r="4" spans="2:22" ht="18" customHeight="1" x14ac:dyDescent="0.25">
      <c r="B4" s="488" t="s">
        <v>111</v>
      </c>
      <c r="C4" s="141">
        <v>2</v>
      </c>
      <c r="D4" s="296">
        <v>1445185</v>
      </c>
      <c r="E4" s="142">
        <f>(0.45*D4)/16</f>
        <v>40645.828125</v>
      </c>
      <c r="F4" s="143">
        <v>615682</v>
      </c>
      <c r="G4" s="142">
        <f t="shared" ref="G4:G5" si="0">(0.915*F4)/44</f>
        <v>12803.387045454547</v>
      </c>
      <c r="H4" s="143">
        <v>1647104</v>
      </c>
      <c r="I4" s="142">
        <f t="shared" ref="I4:I5" si="1">(0.55*H4)/18</f>
        <v>50328.177777777782</v>
      </c>
      <c r="J4" s="144">
        <f>E4/(E4+G4+I4)</f>
        <v>0.39166360775005704</v>
      </c>
      <c r="K4" s="144">
        <f t="shared" ref="K4:K5" si="2">G4/(E4+G4+I4)</f>
        <v>0.12337356606984055</v>
      </c>
      <c r="L4" s="144">
        <f t="shared" ref="L4:L5" si="3">I4/(E4+G4+I4)</f>
        <v>0.48496282618010245</v>
      </c>
      <c r="M4" s="145">
        <f t="shared" ref="M4:O5" si="4">J4*100</f>
        <v>39.166360775005707</v>
      </c>
      <c r="N4" s="145">
        <f t="shared" si="4"/>
        <v>12.337356606984056</v>
      </c>
      <c r="O4" s="145">
        <f t="shared" si="4"/>
        <v>48.496282618010241</v>
      </c>
      <c r="P4" s="295"/>
      <c r="Q4" s="140"/>
      <c r="R4" s="140"/>
      <c r="S4" s="140"/>
      <c r="T4" s="140"/>
      <c r="U4" s="140"/>
      <c r="V4" s="293"/>
    </row>
    <row r="5" spans="2:22" ht="18" customHeight="1" x14ac:dyDescent="0.25">
      <c r="B5" s="488"/>
      <c r="C5" s="147">
        <v>3</v>
      </c>
      <c r="D5" s="293">
        <v>191806</v>
      </c>
      <c r="E5" s="148">
        <f>(0.45*D5)/16</f>
        <v>5394.5437499999998</v>
      </c>
      <c r="F5" s="295">
        <v>388428</v>
      </c>
      <c r="G5" s="148">
        <f t="shared" si="0"/>
        <v>8077.5368181818185</v>
      </c>
      <c r="H5" s="295">
        <v>1842510</v>
      </c>
      <c r="I5" s="148">
        <f t="shared" si="1"/>
        <v>56298.916666666672</v>
      </c>
      <c r="J5" s="149">
        <f>E5/(E5+G5+I5)</f>
        <v>7.7317853603869516E-2</v>
      </c>
      <c r="K5" s="149">
        <f t="shared" si="2"/>
        <v>0.11577212793724173</v>
      </c>
      <c r="L5" s="149">
        <f t="shared" si="3"/>
        <v>0.80691001845888877</v>
      </c>
      <c r="M5" s="386">
        <f t="shared" si="4"/>
        <v>7.7317853603869517</v>
      </c>
      <c r="N5" s="386">
        <f t="shared" si="4"/>
        <v>11.577212793724174</v>
      </c>
      <c r="O5" s="386">
        <f t="shared" si="4"/>
        <v>80.691001845888877</v>
      </c>
      <c r="P5" s="295"/>
      <c r="Q5" s="140"/>
      <c r="R5" s="140"/>
      <c r="S5" s="140"/>
      <c r="T5" s="140"/>
      <c r="U5" s="140"/>
      <c r="V5" s="293"/>
    </row>
    <row r="6" spans="2:22" ht="18" customHeight="1" x14ac:dyDescent="0.25">
      <c r="B6" s="488"/>
      <c r="C6" s="147"/>
      <c r="D6" s="151"/>
      <c r="E6" s="151"/>
      <c r="F6" s="151"/>
      <c r="G6" s="151"/>
      <c r="H6" s="151"/>
      <c r="I6" s="151"/>
      <c r="J6" s="151"/>
      <c r="K6" s="151"/>
      <c r="L6" s="152" t="s">
        <v>154</v>
      </c>
      <c r="M6" s="62">
        <f>AVERAGE(M4:M5)</f>
        <v>23.449073067696329</v>
      </c>
      <c r="N6" s="62">
        <f t="shared" ref="N6:O6" si="5">AVERAGE(N4:N5)</f>
        <v>11.957284700354116</v>
      </c>
      <c r="O6" s="62">
        <f t="shared" si="5"/>
        <v>64.593642231949559</v>
      </c>
      <c r="P6" s="295"/>
      <c r="Q6" s="140"/>
      <c r="R6" s="140"/>
      <c r="S6" s="140"/>
      <c r="T6" s="140"/>
      <c r="U6" s="140"/>
      <c r="V6" s="293"/>
    </row>
    <row r="7" spans="2:22" ht="18" customHeight="1" thickBot="1" x14ac:dyDescent="0.3">
      <c r="B7" s="489"/>
      <c r="C7" s="153"/>
      <c r="D7" s="154"/>
      <c r="E7" s="154"/>
      <c r="F7" s="154"/>
      <c r="G7" s="154"/>
      <c r="H7" s="154"/>
      <c r="I7" s="154"/>
      <c r="J7" s="154"/>
      <c r="K7" s="154"/>
      <c r="L7" s="155" t="s">
        <v>156</v>
      </c>
      <c r="M7" s="63">
        <f>STDEV(M4:M5)</f>
        <v>22.22760143939685</v>
      </c>
      <c r="N7" s="63">
        <f t="shared" ref="N7:O7" si="6">STDEV(N4:N5)</f>
        <v>0.53750284503306311</v>
      </c>
      <c r="O7" s="63">
        <f t="shared" si="6"/>
        <v>22.765104284429899</v>
      </c>
      <c r="P7" s="295"/>
      <c r="Q7" s="140"/>
      <c r="R7" s="140"/>
      <c r="S7" s="140"/>
      <c r="T7" s="140"/>
      <c r="U7" s="140"/>
      <c r="V7" s="293"/>
    </row>
    <row r="8" spans="2:22" ht="18" customHeight="1" x14ac:dyDescent="0.25">
      <c r="B8" s="490" t="s">
        <v>124</v>
      </c>
      <c r="C8" s="147">
        <v>6</v>
      </c>
      <c r="D8" s="146">
        <v>769019</v>
      </c>
      <c r="E8" s="148">
        <f t="shared" ref="E8:E10" si="7">(0.45*D8)/16</f>
        <v>21628.659374999999</v>
      </c>
      <c r="F8" s="146">
        <v>767235</v>
      </c>
      <c r="G8" s="148">
        <f t="shared" ref="G8:G10" si="8">(0.915*F8)/44</f>
        <v>15955.000568181818</v>
      </c>
      <c r="H8" s="146">
        <v>932913</v>
      </c>
      <c r="I8" s="148">
        <f t="shared" ref="I8:I10" si="9">(0.55*H8)/18</f>
        <v>28505.675000000003</v>
      </c>
      <c r="J8" s="149">
        <f t="shared" ref="J8:J10" si="10">E8/(E8+G8+I8)</f>
        <v>0.32726398886589708</v>
      </c>
      <c r="K8" s="149">
        <f t="shared" ref="K8:K10" si="11">G8/(E8+G8+I8)</f>
        <v>0.24141566232885558</v>
      </c>
      <c r="L8" s="149">
        <f t="shared" ref="L8:L10" si="12">I8/(E8+G8+I8)</f>
        <v>0.43132034880524733</v>
      </c>
      <c r="M8" s="150">
        <f t="shared" ref="M8:O10" si="13">J8*100</f>
        <v>32.726398886589706</v>
      </c>
      <c r="N8" s="150">
        <f t="shared" si="13"/>
        <v>24.141566232885559</v>
      </c>
      <c r="O8" s="150">
        <f t="shared" si="13"/>
        <v>43.132034880524735</v>
      </c>
      <c r="P8" s="295"/>
      <c r="Q8" s="140"/>
      <c r="R8" s="140"/>
      <c r="S8" s="140"/>
      <c r="T8" s="140"/>
      <c r="U8" s="140"/>
      <c r="V8" s="293"/>
    </row>
    <row r="9" spans="2:22" ht="18" customHeight="1" x14ac:dyDescent="0.25">
      <c r="B9" s="490"/>
      <c r="C9" s="147">
        <v>8</v>
      </c>
      <c r="D9" s="293">
        <v>849815</v>
      </c>
      <c r="E9" s="148">
        <f t="shared" si="7"/>
        <v>23901.046875</v>
      </c>
      <c r="F9" s="295">
        <v>516954</v>
      </c>
      <c r="G9" s="148">
        <f t="shared" si="8"/>
        <v>10750.293409090909</v>
      </c>
      <c r="H9" s="295">
        <v>1225289</v>
      </c>
      <c r="I9" s="148">
        <f t="shared" si="9"/>
        <v>37439.386111111118</v>
      </c>
      <c r="J9" s="149">
        <f t="shared" si="10"/>
        <v>0.3315412129983854</v>
      </c>
      <c r="K9" s="149">
        <f t="shared" si="11"/>
        <v>0.14912172406417021</v>
      </c>
      <c r="L9" s="149">
        <f t="shared" si="12"/>
        <v>0.51933706293744442</v>
      </c>
      <c r="M9" s="150">
        <f t="shared" si="13"/>
        <v>33.154121299838543</v>
      </c>
      <c r="N9" s="150">
        <f t="shared" si="13"/>
        <v>14.912172406417021</v>
      </c>
      <c r="O9" s="150">
        <f t="shared" si="13"/>
        <v>51.933706293744443</v>
      </c>
      <c r="P9" s="295"/>
      <c r="Q9" s="140"/>
      <c r="R9" s="140"/>
      <c r="S9" s="140"/>
      <c r="T9" s="140"/>
      <c r="U9" s="140"/>
      <c r="V9" s="293"/>
    </row>
    <row r="10" spans="2:22" ht="18" customHeight="1" x14ac:dyDescent="0.25">
      <c r="B10" s="490"/>
      <c r="C10" s="147">
        <v>10</v>
      </c>
      <c r="D10" s="293">
        <v>331368</v>
      </c>
      <c r="E10" s="148">
        <f t="shared" si="7"/>
        <v>9319.7250000000004</v>
      </c>
      <c r="F10" s="295">
        <v>493104</v>
      </c>
      <c r="G10" s="148">
        <f t="shared" si="8"/>
        <v>10254.321818181819</v>
      </c>
      <c r="H10" s="295">
        <v>1073500</v>
      </c>
      <c r="I10" s="148">
        <f t="shared" si="9"/>
        <v>32801.388888888891</v>
      </c>
      <c r="J10" s="149">
        <f t="shared" si="10"/>
        <v>0.17794076314942869</v>
      </c>
      <c r="K10" s="149">
        <f t="shared" si="11"/>
        <v>0.19578494536127516</v>
      </c>
      <c r="L10" s="149">
        <f t="shared" si="12"/>
        <v>0.62627429148929614</v>
      </c>
      <c r="M10" s="150">
        <f t="shared" si="13"/>
        <v>17.79407631494287</v>
      </c>
      <c r="N10" s="150">
        <f t="shared" si="13"/>
        <v>19.578494536127515</v>
      </c>
      <c r="O10" s="150">
        <f t="shared" si="13"/>
        <v>62.627429148929615</v>
      </c>
      <c r="P10" s="295"/>
      <c r="Q10" s="140"/>
      <c r="R10" s="140"/>
      <c r="S10" s="140"/>
      <c r="T10" s="140"/>
      <c r="U10" s="140"/>
      <c r="V10" s="293"/>
    </row>
    <row r="11" spans="2:22" ht="18" customHeight="1" x14ac:dyDescent="0.25">
      <c r="B11" s="490"/>
      <c r="C11" s="147"/>
      <c r="D11" s="151"/>
      <c r="E11" s="151"/>
      <c r="F11" s="151"/>
      <c r="G11" s="151"/>
      <c r="H11" s="151"/>
      <c r="I11" s="151"/>
      <c r="J11" s="151"/>
      <c r="K11" s="151"/>
      <c r="L11" s="152" t="s">
        <v>154</v>
      </c>
      <c r="M11" s="62">
        <f>AVERAGE(M8,M9:M10)</f>
        <v>27.891532167123703</v>
      </c>
      <c r="N11" s="62">
        <f>AVERAGE(N8,N9:N10)</f>
        <v>19.544077725143364</v>
      </c>
      <c r="O11" s="62">
        <f>AVERAGE(O8,O9:O10)</f>
        <v>52.564390107732926</v>
      </c>
      <c r="P11" s="295"/>
      <c r="Q11" s="140"/>
      <c r="R11" s="140"/>
      <c r="S11" s="140"/>
      <c r="T11" s="140"/>
      <c r="U11" s="140"/>
      <c r="V11" s="293"/>
    </row>
    <row r="12" spans="2:22" ht="18" customHeight="1" thickBot="1" x14ac:dyDescent="0.3">
      <c r="B12" s="491"/>
      <c r="C12" s="153"/>
      <c r="D12" s="154"/>
      <c r="E12" s="154"/>
      <c r="F12" s="154"/>
      <c r="G12" s="154"/>
      <c r="H12" s="154"/>
      <c r="I12" s="154"/>
      <c r="J12" s="154"/>
      <c r="K12" s="154"/>
      <c r="L12" s="155" t="s">
        <v>156</v>
      </c>
      <c r="M12" s="63">
        <f>STDEV(M8,M9:M10)</f>
        <v>8.7472680095418873</v>
      </c>
      <c r="N12" s="63">
        <f>STDEV(N8,N9:N10)</f>
        <v>4.614793168569177</v>
      </c>
      <c r="O12" s="63">
        <f>STDEV(O8,O9:O10)</f>
        <v>9.7629872977003487</v>
      </c>
      <c r="P12" s="295"/>
      <c r="Q12" s="140"/>
      <c r="R12" s="140"/>
      <c r="S12" s="140"/>
      <c r="T12" s="140"/>
      <c r="U12" s="140"/>
      <c r="V12" s="293"/>
    </row>
    <row r="13" spans="2:22" ht="18" customHeight="1" x14ac:dyDescent="0.25">
      <c r="B13" s="492" t="s">
        <v>125</v>
      </c>
      <c r="C13" s="159">
        <v>11</v>
      </c>
      <c r="D13" s="296">
        <v>1053572</v>
      </c>
      <c r="E13" s="142">
        <f t="shared" ref="E13:E14" si="14">(0.45*D13)/16</f>
        <v>29631.712500000001</v>
      </c>
      <c r="F13" s="143">
        <v>569887</v>
      </c>
      <c r="G13" s="142">
        <f t="shared" ref="G13:G14" si="15">(0.915*F13)/44</f>
        <v>11851.059204545456</v>
      </c>
      <c r="H13" s="143">
        <v>1694855</v>
      </c>
      <c r="I13" s="142">
        <f t="shared" ref="I13:I14" si="16">(0.55*H13)/18</f>
        <v>51787.236111111117</v>
      </c>
      <c r="J13" s="144">
        <f t="shared" ref="J13:J14" si="17">E13/(E13+G13+I13)</f>
        <v>0.31769818823823381</v>
      </c>
      <c r="K13" s="144">
        <f t="shared" ref="K13:K14" si="18">G13/(E13+G13+I13)</f>
        <v>0.12706184423151837</v>
      </c>
      <c r="L13" s="144">
        <f t="shared" ref="L13:L14" si="19">I13/(E13+G13+I13)</f>
        <v>0.55523996753024785</v>
      </c>
      <c r="M13" s="145">
        <f t="shared" ref="M13:O14" si="20">J13*100</f>
        <v>31.769818823823382</v>
      </c>
      <c r="N13" s="145">
        <f t="shared" si="20"/>
        <v>12.706184423151837</v>
      </c>
      <c r="O13" s="145">
        <f t="shared" si="20"/>
        <v>55.523996753024782</v>
      </c>
      <c r="P13" s="295"/>
      <c r="Q13" s="140"/>
      <c r="R13" s="140"/>
      <c r="S13" s="140"/>
      <c r="T13" s="140"/>
      <c r="U13" s="140"/>
      <c r="V13" s="293"/>
    </row>
    <row r="14" spans="2:22" ht="18" customHeight="1" x14ac:dyDescent="0.25">
      <c r="B14" s="488"/>
      <c r="C14" s="160">
        <v>12</v>
      </c>
      <c r="D14" s="293">
        <v>599019</v>
      </c>
      <c r="E14" s="148">
        <f t="shared" si="14"/>
        <v>16847.409374999999</v>
      </c>
      <c r="F14" s="295">
        <v>503495</v>
      </c>
      <c r="G14" s="148">
        <f t="shared" si="15"/>
        <v>10470.407386363637</v>
      </c>
      <c r="H14" s="295">
        <v>1520302</v>
      </c>
      <c r="I14" s="148">
        <f t="shared" si="16"/>
        <v>46453.672222222231</v>
      </c>
      <c r="J14" s="149">
        <f t="shared" si="17"/>
        <v>0.22837290675735911</v>
      </c>
      <c r="K14" s="149">
        <f t="shared" si="18"/>
        <v>0.14193027049641493</v>
      </c>
      <c r="L14" s="149">
        <f t="shared" si="19"/>
        <v>0.62969682274622596</v>
      </c>
      <c r="M14" s="150">
        <f t="shared" si="20"/>
        <v>22.837290675735911</v>
      </c>
      <c r="N14" s="150">
        <f t="shared" si="20"/>
        <v>14.193027049641493</v>
      </c>
      <c r="O14" s="150">
        <f t="shared" si="20"/>
        <v>62.969682274622599</v>
      </c>
      <c r="P14" s="295"/>
      <c r="Q14" s="140"/>
      <c r="R14" s="140"/>
      <c r="S14" s="140"/>
      <c r="T14" s="140"/>
      <c r="U14" s="140"/>
      <c r="V14" s="293"/>
    </row>
    <row r="15" spans="2:22" ht="18" customHeight="1" x14ac:dyDescent="0.25">
      <c r="B15" s="488"/>
      <c r="C15" s="160"/>
      <c r="D15" s="151"/>
      <c r="E15" s="151"/>
      <c r="F15" s="151"/>
      <c r="G15" s="151"/>
      <c r="H15" s="151"/>
      <c r="I15" s="151"/>
      <c r="J15" s="151"/>
      <c r="K15" s="151"/>
      <c r="L15" s="152" t="s">
        <v>154</v>
      </c>
      <c r="M15" s="62">
        <f>AVERAGE(M13:M14)</f>
        <v>27.303554749779646</v>
      </c>
      <c r="N15" s="62">
        <f>AVERAGE(N13:N14)</f>
        <v>13.449605736396666</v>
      </c>
      <c r="O15" s="62">
        <f>AVERAGE(O13:O14)</f>
        <v>59.246839513823687</v>
      </c>
      <c r="P15" s="295"/>
      <c r="Q15" s="140"/>
      <c r="R15" s="140"/>
      <c r="S15" s="140"/>
      <c r="T15" s="140"/>
      <c r="U15" s="140"/>
      <c r="V15" s="293"/>
    </row>
    <row r="16" spans="2:22" ht="18" customHeight="1" thickBot="1" x14ac:dyDescent="0.3">
      <c r="B16" s="489"/>
      <c r="C16" s="162"/>
      <c r="D16" s="154"/>
      <c r="E16" s="154"/>
      <c r="F16" s="154"/>
      <c r="G16" s="154"/>
      <c r="H16" s="154"/>
      <c r="I16" s="154"/>
      <c r="J16" s="154"/>
      <c r="K16" s="154"/>
      <c r="L16" s="155" t="s">
        <v>156</v>
      </c>
      <c r="M16" s="63">
        <f>STDEV(M13:M14)</f>
        <v>6.3162512266523558</v>
      </c>
      <c r="N16" s="63">
        <f>STDEV(N13:N14)</f>
        <v>1.0513565037480528</v>
      </c>
      <c r="O16" s="63">
        <f>STDEV(O13:O14)</f>
        <v>5.2648947229043124</v>
      </c>
      <c r="P16" s="295"/>
      <c r="Q16" s="140"/>
      <c r="R16" s="140"/>
      <c r="S16" s="140"/>
      <c r="T16" s="140"/>
      <c r="U16" s="140"/>
      <c r="V16" s="293"/>
    </row>
    <row r="17" spans="2:22" ht="18" customHeight="1" x14ac:dyDescent="0.25">
      <c r="B17" s="488" t="s">
        <v>126</v>
      </c>
      <c r="C17" s="147">
        <v>16</v>
      </c>
      <c r="D17" s="293">
        <v>28095926</v>
      </c>
      <c r="E17" s="148">
        <f t="shared" ref="E17:E19" si="21">(0.45*D17)/16</f>
        <v>790197.91875000007</v>
      </c>
      <c r="F17" s="295">
        <v>3978172</v>
      </c>
      <c r="G17" s="148">
        <f t="shared" ref="G17:G19" si="22">(0.915*F17)/44</f>
        <v>82727.895000000004</v>
      </c>
      <c r="H17" s="295"/>
      <c r="I17" s="148">
        <f t="shared" ref="I17:I19" si="23">(0.55*H17)/18</f>
        <v>0</v>
      </c>
      <c r="J17" s="149">
        <f t="shared" ref="J17:J19" si="24">E17/(E17+G17+I17)</f>
        <v>0.90522918019274812</v>
      </c>
      <c r="K17" s="149">
        <f t="shared" ref="K17:K19" si="25">G17/(E17+G17+I17)</f>
        <v>9.477081980725191E-2</v>
      </c>
      <c r="L17" s="149">
        <f t="shared" ref="L17:L19" si="26">I17/(E17+G17+I17)</f>
        <v>0</v>
      </c>
      <c r="M17" s="150">
        <f t="shared" ref="M17:O19" si="27">J17*100</f>
        <v>90.522918019274812</v>
      </c>
      <c r="N17" s="150">
        <f t="shared" si="27"/>
        <v>9.4770819807251918</v>
      </c>
      <c r="O17" s="150">
        <f t="shared" si="27"/>
        <v>0</v>
      </c>
      <c r="P17" s="295"/>
      <c r="Q17" s="140"/>
      <c r="R17" s="140"/>
      <c r="S17" s="140"/>
      <c r="T17" s="140"/>
      <c r="U17" s="140"/>
      <c r="V17" s="293"/>
    </row>
    <row r="18" spans="2:22" ht="18" customHeight="1" x14ac:dyDescent="0.25">
      <c r="B18" s="488"/>
      <c r="C18" s="147">
        <v>17</v>
      </c>
      <c r="D18" s="293">
        <v>2705966</v>
      </c>
      <c r="E18" s="148">
        <f t="shared" si="21"/>
        <v>76105.293749999997</v>
      </c>
      <c r="F18" s="295">
        <v>1056212</v>
      </c>
      <c r="G18" s="148">
        <f t="shared" si="22"/>
        <v>21964.408636363634</v>
      </c>
      <c r="H18" s="295">
        <v>1129847</v>
      </c>
      <c r="I18" s="148">
        <f t="shared" si="23"/>
        <v>34523.102777777785</v>
      </c>
      <c r="J18" s="149">
        <f t="shared" si="24"/>
        <v>0.5739775522192665</v>
      </c>
      <c r="K18" s="149">
        <f t="shared" si="25"/>
        <v>0.16565309565004754</v>
      </c>
      <c r="L18" s="149">
        <f t="shared" si="26"/>
        <v>0.26036935213068607</v>
      </c>
      <c r="M18" s="150">
        <f t="shared" si="27"/>
        <v>57.397755221926651</v>
      </c>
      <c r="N18" s="150">
        <f t="shared" si="27"/>
        <v>16.565309565004753</v>
      </c>
      <c r="O18" s="150">
        <f t="shared" si="27"/>
        <v>26.036935213068606</v>
      </c>
      <c r="P18" s="295"/>
      <c r="Q18" s="140"/>
      <c r="R18" s="140"/>
      <c r="S18" s="140"/>
      <c r="T18" s="140"/>
      <c r="U18" s="140"/>
      <c r="V18" s="293"/>
    </row>
    <row r="19" spans="2:22" ht="18" customHeight="1" x14ac:dyDescent="0.25">
      <c r="B19" s="488"/>
      <c r="C19" s="147">
        <v>20</v>
      </c>
      <c r="D19" s="293">
        <v>9898656</v>
      </c>
      <c r="E19" s="148">
        <f t="shared" si="21"/>
        <v>278399.7</v>
      </c>
      <c r="F19" s="295">
        <v>2005362</v>
      </c>
      <c r="G19" s="148">
        <f t="shared" si="22"/>
        <v>41702.414318181814</v>
      </c>
      <c r="H19" s="295">
        <v>948360</v>
      </c>
      <c r="I19" s="148">
        <f t="shared" si="23"/>
        <v>28977.666666666672</v>
      </c>
      <c r="J19" s="149">
        <f t="shared" si="24"/>
        <v>0.79752456362427848</v>
      </c>
      <c r="K19" s="149">
        <f t="shared" si="25"/>
        <v>0.11946384921099704</v>
      </c>
      <c r="L19" s="149">
        <f t="shared" si="26"/>
        <v>8.3011587164724454E-2</v>
      </c>
      <c r="M19" s="150">
        <f t="shared" si="27"/>
        <v>79.75245636242785</v>
      </c>
      <c r="N19" s="150">
        <f t="shared" si="27"/>
        <v>11.946384921099703</v>
      </c>
      <c r="O19" s="150">
        <f t="shared" si="27"/>
        <v>8.301158716472445</v>
      </c>
      <c r="P19" s="295"/>
      <c r="Q19" s="140"/>
      <c r="R19" s="140"/>
      <c r="S19" s="140"/>
      <c r="T19" s="140"/>
      <c r="U19" s="140"/>
      <c r="V19" s="293"/>
    </row>
    <row r="20" spans="2:22" ht="18" customHeight="1" x14ac:dyDescent="0.25">
      <c r="B20" s="488"/>
      <c r="C20" s="147"/>
      <c r="D20" s="151"/>
      <c r="E20" s="151"/>
      <c r="F20" s="151"/>
      <c r="G20" s="151"/>
      <c r="H20" s="151"/>
      <c r="I20" s="151"/>
      <c r="J20" s="151"/>
      <c r="K20" s="151"/>
      <c r="L20" s="152" t="s">
        <v>154</v>
      </c>
      <c r="M20" s="62">
        <f>AVERAGE(M17:M18,M19)</f>
        <v>75.891043201209769</v>
      </c>
      <c r="N20" s="62">
        <f>AVERAGE(N17:N18,N19)</f>
        <v>12.662925488943216</v>
      </c>
      <c r="O20" s="62">
        <f>AVERAGE(O17:O18,O19)</f>
        <v>11.446031309847017</v>
      </c>
      <c r="P20" s="295"/>
      <c r="Q20" s="140"/>
      <c r="R20" s="140"/>
      <c r="S20" s="140"/>
      <c r="T20" s="140"/>
      <c r="U20" s="140"/>
      <c r="V20" s="293"/>
    </row>
    <row r="21" spans="2:22" ht="18" customHeight="1" thickBot="1" x14ac:dyDescent="0.3">
      <c r="B21" s="489"/>
      <c r="C21" s="153"/>
      <c r="D21" s="154"/>
      <c r="E21" s="154"/>
      <c r="F21" s="154"/>
      <c r="G21" s="154"/>
      <c r="H21" s="154"/>
      <c r="I21" s="154"/>
      <c r="J21" s="154"/>
      <c r="K21" s="154"/>
      <c r="L21" s="155" t="s">
        <v>156</v>
      </c>
      <c r="M21" s="63">
        <f>STDEV(M17,M18,M19)</f>
        <v>16.896804025877909</v>
      </c>
      <c r="N21" s="63">
        <f>STDEV(N17,N18,N19)</f>
        <v>3.5980293718450254</v>
      </c>
      <c r="O21" s="63">
        <f>STDEV(O17,O18,O19)</f>
        <v>13.30030700938147</v>
      </c>
      <c r="P21" s="295"/>
      <c r="Q21" s="140"/>
      <c r="R21" s="140"/>
      <c r="S21" s="140"/>
      <c r="T21" s="140"/>
      <c r="U21" s="140"/>
      <c r="V21" s="293"/>
    </row>
    <row r="22" spans="2:22" ht="18" customHeight="1" x14ac:dyDescent="0.25">
      <c r="B22" s="488" t="s">
        <v>132</v>
      </c>
      <c r="C22" s="159">
        <v>21</v>
      </c>
      <c r="D22" s="296">
        <v>12433297</v>
      </c>
      <c r="E22" s="142">
        <f t="shared" ref="E22:E23" si="28">(0.45*D22)/16</f>
        <v>349686.47812500002</v>
      </c>
      <c r="F22" s="143">
        <v>2579250</v>
      </c>
      <c r="G22" s="142">
        <f t="shared" ref="G22:G23" si="29">(0.915*F22)/44</f>
        <v>53636.67613636364</v>
      </c>
      <c r="H22" s="143">
        <v>931976</v>
      </c>
      <c r="I22" s="142">
        <f t="shared" ref="I22:I23" si="30">(0.55*H22)/18</f>
        <v>28477.044444444447</v>
      </c>
      <c r="J22" s="144">
        <f t="shared" ref="J22:J23" si="31">E22/(E22+G22+I22)</f>
        <v>0.80983399075100149</v>
      </c>
      <c r="K22" s="144">
        <f t="shared" ref="K22:K23" si="32">G22/(E22+G22+I22)</f>
        <v>0.12421642300564827</v>
      </c>
      <c r="L22" s="144">
        <f t="shared" ref="L22:L23" si="33">I22/(E22+G22+I22)</f>
        <v>6.5949586243350206E-2</v>
      </c>
      <c r="M22" s="145">
        <f t="shared" ref="M22:O23" si="34">J22*100</f>
        <v>80.983399075100152</v>
      </c>
      <c r="N22" s="145">
        <f t="shared" si="34"/>
        <v>12.421642300564827</v>
      </c>
      <c r="O22" s="145">
        <f t="shared" si="34"/>
        <v>6.5949586243350202</v>
      </c>
      <c r="P22" s="295"/>
      <c r="Q22" s="140"/>
      <c r="R22" s="140"/>
      <c r="S22" s="140"/>
      <c r="T22" s="140"/>
      <c r="U22" s="140"/>
      <c r="V22" s="293"/>
    </row>
    <row r="23" spans="2:22" ht="18" customHeight="1" x14ac:dyDescent="0.25">
      <c r="B23" s="488"/>
      <c r="C23" s="160">
        <v>22</v>
      </c>
      <c r="D23" s="293">
        <v>1090823</v>
      </c>
      <c r="E23" s="148">
        <f t="shared" si="28"/>
        <v>30679.396875000002</v>
      </c>
      <c r="F23" s="295">
        <v>659943</v>
      </c>
      <c r="G23" s="148">
        <f t="shared" si="29"/>
        <v>13723.814659090909</v>
      </c>
      <c r="H23" s="295">
        <v>757770</v>
      </c>
      <c r="I23" s="148">
        <f t="shared" si="30"/>
        <v>23154.083333333336</v>
      </c>
      <c r="J23" s="149">
        <f t="shared" si="31"/>
        <v>0.45412411694704258</v>
      </c>
      <c r="K23" s="149">
        <f t="shared" si="32"/>
        <v>0.20314334204800227</v>
      </c>
      <c r="L23" s="149">
        <f t="shared" si="33"/>
        <v>0.34273254100495532</v>
      </c>
      <c r="M23" s="150">
        <f t="shared" si="34"/>
        <v>45.412411694704261</v>
      </c>
      <c r="N23" s="150">
        <f t="shared" si="34"/>
        <v>20.314334204800229</v>
      </c>
      <c r="O23" s="150">
        <f t="shared" si="34"/>
        <v>34.273254100495535</v>
      </c>
      <c r="P23" s="295"/>
      <c r="Q23" s="140"/>
      <c r="R23" s="140"/>
      <c r="S23" s="140"/>
      <c r="T23" s="140"/>
      <c r="U23" s="140"/>
      <c r="V23" s="293"/>
    </row>
    <row r="24" spans="2:22" ht="18" customHeight="1" x14ac:dyDescent="0.25">
      <c r="B24" s="488"/>
      <c r="C24" s="160"/>
      <c r="D24" s="151"/>
      <c r="E24" s="151"/>
      <c r="F24" s="151"/>
      <c r="G24" s="151"/>
      <c r="H24" s="151"/>
      <c r="I24" s="151"/>
      <c r="J24" s="151"/>
      <c r="K24" s="151"/>
      <c r="L24" s="152" t="s">
        <v>154</v>
      </c>
      <c r="M24" s="62">
        <f>AVERAGE(M22:M23)</f>
        <v>63.197905384902207</v>
      </c>
      <c r="N24" s="62">
        <f>AVERAGE(N22:N23)</f>
        <v>16.36798825268253</v>
      </c>
      <c r="O24" s="62">
        <f>AVERAGE(O22:O23)</f>
        <v>20.434106362415278</v>
      </c>
      <c r="P24" s="295"/>
      <c r="Q24" s="140"/>
      <c r="R24" s="140"/>
      <c r="S24" s="140"/>
      <c r="T24" s="140"/>
      <c r="U24" s="140"/>
      <c r="V24" s="293"/>
    </row>
    <row r="25" spans="2:22" ht="18" customHeight="1" thickBot="1" x14ac:dyDescent="0.3">
      <c r="B25" s="489"/>
      <c r="C25" s="163"/>
      <c r="D25" s="164"/>
      <c r="E25" s="164"/>
      <c r="F25" s="164"/>
      <c r="G25" s="164"/>
      <c r="H25" s="164"/>
      <c r="I25" s="164"/>
      <c r="J25" s="164"/>
      <c r="K25" s="164"/>
      <c r="L25" s="155" t="s">
        <v>156</v>
      </c>
      <c r="M25" s="165">
        <f>STDEV(M22:M23)</f>
        <v>25.152486390179011</v>
      </c>
      <c r="N25" s="165">
        <f>STDEV(N22:N23)</f>
        <v>5.5809759673010007</v>
      </c>
      <c r="O25" s="165">
        <f>STDEV(O22:O23)</f>
        <v>19.571510422878038</v>
      </c>
      <c r="P25" s="295"/>
      <c r="Q25" s="140"/>
      <c r="R25" s="140"/>
      <c r="S25" s="140"/>
      <c r="T25" s="140"/>
      <c r="U25" s="140"/>
      <c r="V25" s="293"/>
    </row>
    <row r="26" spans="2:22" ht="18" customHeight="1" x14ac:dyDescent="0.25">
      <c r="B26" s="492" t="s">
        <v>127</v>
      </c>
      <c r="C26" s="141">
        <v>26</v>
      </c>
      <c r="D26" s="296">
        <v>30445618</v>
      </c>
      <c r="E26" s="142">
        <f t="shared" ref="E26:E28" si="35">(0.45*D26)/16</f>
        <v>856283.00624999998</v>
      </c>
      <c r="F26" s="296">
        <v>3800014</v>
      </c>
      <c r="G26" s="142">
        <f>(0.915*F26)/44</f>
        <v>79023.018409090917</v>
      </c>
      <c r="H26" s="143">
        <v>530195</v>
      </c>
      <c r="I26" s="142">
        <f t="shared" ref="I26:I28" si="36">(0.55*H26)/18</f>
        <v>16200.402777777777</v>
      </c>
      <c r="J26" s="144">
        <f t="shared" ref="J26:J28" si="37">E26/(E26+G26+I26)</f>
        <v>0.89992351239982915</v>
      </c>
      <c r="K26" s="144">
        <f t="shared" ref="K26:K28" si="38">G26/(E26+G26+I26)</f>
        <v>8.3050430486276458E-2</v>
      </c>
      <c r="L26" s="144">
        <f t="shared" ref="L26:L28" si="39">I26/(E26+G26+I26)</f>
        <v>1.7026057113894436E-2</v>
      </c>
      <c r="M26" s="145">
        <f t="shared" ref="M26:O28" si="40">J26*100</f>
        <v>89.992351239982909</v>
      </c>
      <c r="N26" s="145">
        <f t="shared" si="40"/>
        <v>8.3050430486276454</v>
      </c>
      <c r="O26" s="145">
        <f t="shared" si="40"/>
        <v>1.7026057113894437</v>
      </c>
      <c r="P26" s="295"/>
      <c r="Q26" s="140"/>
      <c r="R26" s="140"/>
      <c r="S26" s="140"/>
      <c r="T26" s="140"/>
      <c r="U26" s="140"/>
      <c r="V26" s="293"/>
    </row>
    <row r="27" spans="2:22" ht="18" customHeight="1" x14ac:dyDescent="0.25">
      <c r="B27" s="488"/>
      <c r="C27" s="147">
        <v>27</v>
      </c>
      <c r="D27" s="293">
        <v>30003294</v>
      </c>
      <c r="E27" s="148">
        <f>(0.45*D27)/16</f>
        <v>843842.64375000005</v>
      </c>
      <c r="F27" s="295">
        <v>4243734</v>
      </c>
      <c r="G27" s="148">
        <f t="shared" ref="G27:G28" si="41">(0.915*F27)/44</f>
        <v>88250.377500000002</v>
      </c>
      <c r="H27" s="295">
        <v>325423</v>
      </c>
      <c r="I27" s="148">
        <f t="shared" si="36"/>
        <v>9943.4805555555577</v>
      </c>
      <c r="J27" s="149">
        <f t="shared" si="37"/>
        <v>0.89576427466732755</v>
      </c>
      <c r="K27" s="149">
        <f t="shared" si="38"/>
        <v>9.3680422500460228E-2</v>
      </c>
      <c r="L27" s="149">
        <f t="shared" si="39"/>
        <v>1.055530283221231E-2</v>
      </c>
      <c r="M27" s="150">
        <f t="shared" si="40"/>
        <v>89.576427466732753</v>
      </c>
      <c r="N27" s="150">
        <f t="shared" si="40"/>
        <v>9.3680422500460221</v>
      </c>
      <c r="O27" s="150">
        <f t="shared" si="40"/>
        <v>1.055530283221231</v>
      </c>
      <c r="P27" s="295"/>
      <c r="Q27" s="140"/>
      <c r="R27" s="140"/>
      <c r="S27" s="140"/>
      <c r="T27" s="140"/>
      <c r="U27" s="140"/>
      <c r="V27" s="293"/>
    </row>
    <row r="28" spans="2:22" ht="18" customHeight="1" x14ac:dyDescent="0.25">
      <c r="B28" s="488"/>
      <c r="C28" s="147">
        <v>28</v>
      </c>
      <c r="D28" s="293">
        <v>11504680</v>
      </c>
      <c r="E28" s="148">
        <f t="shared" si="35"/>
        <v>323569.125</v>
      </c>
      <c r="F28" s="295">
        <v>3078707</v>
      </c>
      <c r="G28" s="148">
        <f t="shared" si="41"/>
        <v>64023.111477272731</v>
      </c>
      <c r="H28" s="295">
        <v>821336</v>
      </c>
      <c r="I28" s="148">
        <f t="shared" si="36"/>
        <v>25096.37777777778</v>
      </c>
      <c r="J28" s="149">
        <f t="shared" si="37"/>
        <v>0.78405149505779015</v>
      </c>
      <c r="K28" s="149">
        <f t="shared" si="38"/>
        <v>0.15513660727675191</v>
      </c>
      <c r="L28" s="149">
        <f t="shared" si="39"/>
        <v>6.0811897665457949E-2</v>
      </c>
      <c r="M28" s="150">
        <f t="shared" si="40"/>
        <v>78.405149505779008</v>
      </c>
      <c r="N28" s="150">
        <f t="shared" si="40"/>
        <v>15.513660727675191</v>
      </c>
      <c r="O28" s="150">
        <f t="shared" si="40"/>
        <v>6.081189766545795</v>
      </c>
      <c r="P28" s="295"/>
      <c r="Q28" s="140"/>
      <c r="R28" s="140"/>
      <c r="S28" s="140"/>
      <c r="T28" s="140"/>
      <c r="U28" s="140"/>
      <c r="V28" s="293"/>
    </row>
    <row r="29" spans="2:22" ht="18" customHeight="1" x14ac:dyDescent="0.25">
      <c r="B29" s="488"/>
      <c r="C29" s="147"/>
      <c r="D29" s="151"/>
      <c r="E29" s="151"/>
      <c r="F29" s="151"/>
      <c r="G29" s="151"/>
      <c r="H29" s="151"/>
      <c r="I29" s="151"/>
      <c r="J29" s="151"/>
      <c r="K29" s="151"/>
      <c r="L29" s="152" t="s">
        <v>154</v>
      </c>
      <c r="M29" s="387">
        <f>AVERAGE(M26:M28)</f>
        <v>85.991309404164895</v>
      </c>
      <c r="N29" s="387">
        <f>AVERAGE(N26:N28)</f>
        <v>11.062248675449618</v>
      </c>
      <c r="O29" s="387">
        <f>AVERAGE(O26:O28)</f>
        <v>2.9464419203854901</v>
      </c>
      <c r="P29" s="295"/>
      <c r="Q29" s="140"/>
      <c r="R29" s="140"/>
      <c r="S29" s="140"/>
      <c r="T29" s="140"/>
      <c r="U29" s="140"/>
      <c r="V29" s="293"/>
    </row>
    <row r="30" spans="2:22" ht="18" customHeight="1" thickBot="1" x14ac:dyDescent="0.3">
      <c r="B30" s="489"/>
      <c r="C30" s="153"/>
      <c r="D30" s="154"/>
      <c r="E30" s="154"/>
      <c r="F30" s="154"/>
      <c r="G30" s="154"/>
      <c r="H30" s="154"/>
      <c r="I30" s="154"/>
      <c r="J30" s="154"/>
      <c r="K30" s="154"/>
      <c r="L30" s="155" t="s">
        <v>156</v>
      </c>
      <c r="M30" s="388">
        <f>STDEV(M26:M28)</f>
        <v>6.5730977970206128</v>
      </c>
      <c r="N30" s="388">
        <f>STDEV(N26:N28)</f>
        <v>3.891502764945479</v>
      </c>
      <c r="O30" s="388">
        <f>STDEV(O26:O28)</f>
        <v>2.7339823877797333</v>
      </c>
      <c r="P30" s="295"/>
      <c r="Q30" s="140"/>
      <c r="R30" s="140"/>
      <c r="S30" s="140"/>
      <c r="T30" s="140"/>
      <c r="U30" s="140"/>
      <c r="V30" s="293"/>
    </row>
    <row r="31" spans="2:22" ht="18" customHeight="1" x14ac:dyDescent="0.25">
      <c r="B31" s="492" t="s">
        <v>133</v>
      </c>
      <c r="C31" s="141">
        <v>31</v>
      </c>
      <c r="D31" s="296">
        <v>18254404</v>
      </c>
      <c r="E31" s="142">
        <f t="shared" ref="E31:E32" si="42">(0.45*D31)/16</f>
        <v>513405.11249999999</v>
      </c>
      <c r="F31" s="166">
        <v>2736181</v>
      </c>
      <c r="G31" s="142">
        <f t="shared" ref="G31:G32" si="43">(0.915*F31)/44</f>
        <v>56900.127613636367</v>
      </c>
      <c r="H31" s="143">
        <v>750237</v>
      </c>
      <c r="I31" s="142">
        <f t="shared" ref="I31:I32" si="44">(0.55*H31)/18</f>
        <v>22923.908333333336</v>
      </c>
      <c r="J31" s="144">
        <f t="shared" ref="J31:J32" si="45">E31/(E31+G31+I31)</f>
        <v>0.86544148048702063</v>
      </c>
      <c r="K31" s="144">
        <f t="shared" ref="K31:K32" si="46">G31/(E31+G31+I31)</f>
        <v>9.5915933602717801E-2</v>
      </c>
      <c r="L31" s="144">
        <f t="shared" ref="L31:L32" si="47">I31/(E31+G31+I31)</f>
        <v>3.8642585910261561E-2</v>
      </c>
      <c r="M31" s="145">
        <f t="shared" ref="M31:O32" si="48">J31*100</f>
        <v>86.54414804870207</v>
      </c>
      <c r="N31" s="145">
        <f t="shared" si="48"/>
        <v>9.59159336027178</v>
      </c>
      <c r="O31" s="145">
        <f t="shared" si="48"/>
        <v>3.864258591026156</v>
      </c>
      <c r="P31" s="295"/>
      <c r="Q31" s="140"/>
      <c r="R31" s="140"/>
      <c r="S31" s="140"/>
      <c r="T31" s="140"/>
      <c r="U31" s="140"/>
      <c r="V31" s="293"/>
    </row>
    <row r="32" spans="2:22" ht="18" customHeight="1" x14ac:dyDescent="0.25">
      <c r="B32" s="488"/>
      <c r="C32" s="147">
        <v>32</v>
      </c>
      <c r="D32" s="293">
        <v>10010555</v>
      </c>
      <c r="E32" s="148">
        <f t="shared" si="42"/>
        <v>281546.859375</v>
      </c>
      <c r="F32" s="167">
        <v>2133223</v>
      </c>
      <c r="G32" s="148">
        <f t="shared" si="43"/>
        <v>44361.341931818184</v>
      </c>
      <c r="H32" s="295">
        <v>652826</v>
      </c>
      <c r="I32" s="148">
        <f t="shared" si="44"/>
        <v>19947.461111111115</v>
      </c>
      <c r="J32" s="149">
        <f t="shared" si="45"/>
        <v>0.81405884005675466</v>
      </c>
      <c r="K32" s="149">
        <f t="shared" si="46"/>
        <v>0.12826547821042261</v>
      </c>
      <c r="L32" s="149">
        <f t="shared" si="47"/>
        <v>5.7675681732822864E-2</v>
      </c>
      <c r="M32" s="150">
        <f t="shared" si="48"/>
        <v>81.40588400567546</v>
      </c>
      <c r="N32" s="150">
        <f t="shared" si="48"/>
        <v>12.826547821042261</v>
      </c>
      <c r="O32" s="150">
        <f t="shared" si="48"/>
        <v>5.7675681732822861</v>
      </c>
      <c r="P32" s="295"/>
      <c r="Q32" s="140"/>
      <c r="R32" s="140"/>
      <c r="S32" s="140"/>
      <c r="T32" s="140"/>
      <c r="U32" s="140"/>
      <c r="V32" s="293"/>
    </row>
    <row r="33" spans="1:24" ht="18" customHeight="1" x14ac:dyDescent="0.25">
      <c r="B33" s="488"/>
      <c r="C33" s="147"/>
      <c r="D33" s="152"/>
      <c r="E33" s="168"/>
      <c r="F33" s="152"/>
      <c r="G33" s="168"/>
      <c r="H33" s="152"/>
      <c r="I33" s="168"/>
      <c r="J33" s="152"/>
      <c r="K33" s="152"/>
      <c r="L33" s="152" t="s">
        <v>154</v>
      </c>
      <c r="M33" s="387">
        <f>AVERAGE(M31:M32)</f>
        <v>83.975016027188758</v>
      </c>
      <c r="N33" s="387">
        <f>AVERAGE(N31:N32)</f>
        <v>11.209070590657021</v>
      </c>
      <c r="O33" s="387">
        <f>AVERAGE(O31:O32)</f>
        <v>4.8159133821542213</v>
      </c>
      <c r="P33" s="295"/>
      <c r="Q33" s="140"/>
      <c r="R33" s="140"/>
      <c r="S33" s="140"/>
      <c r="T33" s="140"/>
      <c r="U33" s="140"/>
      <c r="V33" s="293"/>
    </row>
    <row r="34" spans="1:24" ht="18" customHeight="1" thickBot="1" x14ac:dyDescent="0.3">
      <c r="B34" s="489"/>
      <c r="C34" s="153"/>
      <c r="D34" s="155"/>
      <c r="E34" s="169"/>
      <c r="F34" s="155"/>
      <c r="G34" s="169"/>
      <c r="H34" s="155"/>
      <c r="I34" s="169"/>
      <c r="J34" s="155"/>
      <c r="K34" s="155"/>
      <c r="L34" s="155" t="s">
        <v>156</v>
      </c>
      <c r="M34" s="388">
        <f>STDEV(M31:M32)</f>
        <v>3.6333013483511216</v>
      </c>
      <c r="N34" s="388">
        <f>STDEV(N31:N32)</f>
        <v>2.2874582360404765</v>
      </c>
      <c r="O34" s="388">
        <f>STDEV(O31:O32)</f>
        <v>1.3458431123106445</v>
      </c>
      <c r="P34" s="295"/>
      <c r="Q34" s="140"/>
      <c r="R34" s="140"/>
      <c r="S34" s="140"/>
      <c r="T34" s="140"/>
      <c r="U34" s="140"/>
      <c r="V34" s="293"/>
    </row>
    <row r="35" spans="1:24" s="156" customFormat="1" ht="18" customHeight="1" x14ac:dyDescent="0.25">
      <c r="B35" s="490" t="s">
        <v>128</v>
      </c>
      <c r="C35" s="147">
        <v>50</v>
      </c>
      <c r="D35" s="146">
        <v>16556682</v>
      </c>
      <c r="E35" s="148">
        <f t="shared" ref="E35" si="49">(0.45*D35)/16</f>
        <v>465656.68125000002</v>
      </c>
      <c r="F35" s="146">
        <v>6799019</v>
      </c>
      <c r="G35" s="148">
        <f>(0.915*F35)/44</f>
        <v>141388.6905681818</v>
      </c>
      <c r="H35" s="146">
        <v>1804307</v>
      </c>
      <c r="I35" s="148">
        <f t="shared" ref="I35" si="50">(0.55*H35)/18</f>
        <v>55131.602777777785</v>
      </c>
      <c r="J35" s="149">
        <f t="shared" ref="J35" si="51">E35/(E35+G35+I35)</f>
        <v>0.7032208897540263</v>
      </c>
      <c r="K35" s="149">
        <f t="shared" ref="K35" si="52">G35/(E35+G35+I35)</f>
        <v>0.2135210011711037</v>
      </c>
      <c r="L35" s="149">
        <f t="shared" ref="L35" si="53">I35/(E35+G35+I35)</f>
        <v>8.325810907486994E-2</v>
      </c>
      <c r="M35" s="150">
        <f t="shared" ref="M35:O35" si="54">J35*100</f>
        <v>70.322088975402636</v>
      </c>
      <c r="N35" s="150">
        <f t="shared" si="54"/>
        <v>21.352100117110371</v>
      </c>
      <c r="O35" s="150">
        <f t="shared" si="54"/>
        <v>8.3258109074869946</v>
      </c>
      <c r="P35" s="139"/>
      <c r="Q35" s="316"/>
      <c r="R35" s="148"/>
      <c r="S35" s="148"/>
      <c r="T35" s="148"/>
      <c r="U35" s="148"/>
      <c r="V35" s="148"/>
      <c r="W35" s="385"/>
      <c r="X35" s="139"/>
    </row>
    <row r="36" spans="1:24" ht="18" customHeight="1" x14ac:dyDescent="0.25">
      <c r="B36" s="490"/>
      <c r="C36" s="147"/>
      <c r="D36" s="151"/>
      <c r="E36" s="151"/>
      <c r="F36" s="151"/>
      <c r="G36" s="151"/>
      <c r="H36" s="151"/>
      <c r="I36" s="151"/>
      <c r="J36" s="151"/>
      <c r="K36" s="151"/>
      <c r="L36" s="152" t="s">
        <v>154</v>
      </c>
      <c r="M36" s="62"/>
      <c r="N36" s="62"/>
      <c r="O36" s="62"/>
      <c r="P36" s="146"/>
      <c r="Q36" s="289"/>
      <c r="R36" s="148"/>
      <c r="S36" s="148"/>
      <c r="T36" s="148"/>
      <c r="U36" s="148"/>
      <c r="V36" s="383"/>
      <c r="W36" s="384"/>
      <c r="X36" s="95"/>
    </row>
    <row r="37" spans="1:24" ht="18" customHeight="1" thickBot="1" x14ac:dyDescent="0.3">
      <c r="B37" s="491"/>
      <c r="C37" s="153"/>
      <c r="D37" s="154"/>
      <c r="E37" s="154"/>
      <c r="F37" s="154"/>
      <c r="G37" s="154"/>
      <c r="H37" s="154"/>
      <c r="I37" s="154"/>
      <c r="J37" s="154"/>
      <c r="K37" s="154"/>
      <c r="L37" s="155" t="s">
        <v>156</v>
      </c>
      <c r="M37" s="63"/>
      <c r="N37" s="63"/>
      <c r="O37" s="63"/>
      <c r="P37" s="146"/>
      <c r="Q37" s="289"/>
      <c r="R37" s="148"/>
      <c r="S37" s="61"/>
      <c r="T37" s="148"/>
      <c r="U37" s="61"/>
      <c r="V37" s="383"/>
      <c r="W37" s="385"/>
      <c r="X37" s="95"/>
    </row>
    <row r="38" spans="1:24" ht="18" customHeight="1" x14ac:dyDescent="0.25">
      <c r="B38" s="492" t="s">
        <v>134</v>
      </c>
      <c r="C38" s="159">
        <v>51</v>
      </c>
      <c r="D38" s="94">
        <v>19997078</v>
      </c>
      <c r="E38" s="142">
        <f t="shared" ref="E38:E39" si="55">(0.45*D38)/16</f>
        <v>562417.81874999998</v>
      </c>
      <c r="F38" s="143">
        <v>4600229</v>
      </c>
      <c r="G38" s="142">
        <f t="shared" ref="G38:G39" si="56">(0.915*F38)/44</f>
        <v>95663.853068181823</v>
      </c>
      <c r="H38" s="143">
        <v>1619218</v>
      </c>
      <c r="I38" s="142">
        <f t="shared" ref="I38:I39" si="57">(0.55*H38)/18</f>
        <v>49476.105555555558</v>
      </c>
      <c r="J38" s="144">
        <f t="shared" ref="J38:J39" si="58">E38/(E38+G38+I38)</f>
        <v>0.79487193376284049</v>
      </c>
      <c r="K38" s="144">
        <f t="shared" ref="K38:K39" si="59">G38/(E38+G38+I38)</f>
        <v>0.1352028853717927</v>
      </c>
      <c r="L38" s="144">
        <f t="shared" ref="L38:L39" si="60">I38/(E38+G38+I38)</f>
        <v>6.9925180865366851E-2</v>
      </c>
      <c r="M38" s="145">
        <f t="shared" ref="M38:O39" si="61">J38*100</f>
        <v>79.487193376284054</v>
      </c>
      <c r="N38" s="145">
        <f t="shared" si="61"/>
        <v>13.520288537179271</v>
      </c>
      <c r="O38" s="145">
        <f t="shared" si="61"/>
        <v>6.9925180865366849</v>
      </c>
      <c r="P38" s="146"/>
      <c r="Q38" s="61"/>
      <c r="R38" s="61"/>
      <c r="S38" s="61"/>
      <c r="T38" s="61"/>
      <c r="U38" s="61"/>
      <c r="V38" s="293"/>
      <c r="W38" s="293"/>
      <c r="X38" s="95"/>
    </row>
    <row r="39" spans="1:24" ht="18" customHeight="1" x14ac:dyDescent="0.25">
      <c r="B39" s="488"/>
      <c r="C39" s="160">
        <v>52</v>
      </c>
      <c r="D39" s="95">
        <v>28734238</v>
      </c>
      <c r="E39" s="148">
        <f t="shared" si="55"/>
        <v>808150.44374999998</v>
      </c>
      <c r="F39" s="139">
        <v>8879308</v>
      </c>
      <c r="G39" s="148">
        <f t="shared" si="56"/>
        <v>184649.24590909091</v>
      </c>
      <c r="H39" s="139">
        <v>1619040</v>
      </c>
      <c r="I39" s="148">
        <f t="shared" si="57"/>
        <v>49470.666666666672</v>
      </c>
      <c r="J39" s="149">
        <f t="shared" si="58"/>
        <v>0.77537506352854157</v>
      </c>
      <c r="K39" s="149">
        <f t="shared" si="59"/>
        <v>0.17716060404905107</v>
      </c>
      <c r="L39" s="149">
        <f t="shared" si="60"/>
        <v>4.7464332422407308E-2</v>
      </c>
      <c r="M39" s="150">
        <f t="shared" si="61"/>
        <v>77.537506352854152</v>
      </c>
      <c r="N39" s="150">
        <f t="shared" si="61"/>
        <v>17.716060404905107</v>
      </c>
      <c r="O39" s="150">
        <f t="shared" si="61"/>
        <v>4.7464332422407312</v>
      </c>
      <c r="P39" s="146"/>
      <c r="Q39" s="61"/>
      <c r="R39" s="61"/>
      <c r="S39" s="61"/>
      <c r="T39" s="61"/>
      <c r="U39" s="61"/>
      <c r="V39" s="293"/>
      <c r="W39" s="293"/>
      <c r="X39" s="95"/>
    </row>
    <row r="40" spans="1:24" ht="18" customHeight="1" x14ac:dyDescent="0.25">
      <c r="B40" s="488"/>
      <c r="C40" s="160"/>
      <c r="D40" s="151"/>
      <c r="E40" s="151"/>
      <c r="F40" s="151"/>
      <c r="G40" s="151"/>
      <c r="H40" s="151"/>
      <c r="I40" s="151"/>
      <c r="J40" s="151"/>
      <c r="K40" s="151"/>
      <c r="L40" s="152" t="s">
        <v>154</v>
      </c>
      <c r="M40" s="62">
        <f>AVERAGE(M38:M39)</f>
        <v>78.512349864569103</v>
      </c>
      <c r="N40" s="62">
        <f>AVERAGE(N38:N39)</f>
        <v>15.618174471042188</v>
      </c>
      <c r="O40" s="62">
        <f>AVERAGE(O38:O39)</f>
        <v>5.869475664388708</v>
      </c>
      <c r="P40" s="146"/>
      <c r="Q40" s="146"/>
      <c r="R40" s="61"/>
      <c r="S40" s="61"/>
      <c r="T40" s="61"/>
      <c r="U40" s="294"/>
      <c r="V40" s="293"/>
      <c r="W40" s="293"/>
      <c r="X40" s="95"/>
    </row>
    <row r="41" spans="1:24" ht="18" customHeight="1" thickBot="1" x14ac:dyDescent="0.3">
      <c r="B41" s="489"/>
      <c r="C41" s="162"/>
      <c r="D41" s="154"/>
      <c r="E41" s="154"/>
      <c r="F41" s="154"/>
      <c r="G41" s="154"/>
      <c r="H41" s="154"/>
      <c r="I41" s="154"/>
      <c r="J41" s="154"/>
      <c r="K41" s="154"/>
      <c r="L41" s="155" t="s">
        <v>156</v>
      </c>
      <c r="M41" s="63">
        <f>STDEV(M38:M39)</f>
        <v>1.378636915458699</v>
      </c>
      <c r="N41" s="63">
        <f>STDEV(N38:N39)</f>
        <v>2.9668587399806898</v>
      </c>
      <c r="O41" s="63">
        <f>STDEV(O38:O39)</f>
        <v>1.5882218245220001</v>
      </c>
      <c r="Q41" s="293"/>
      <c r="R41" s="293"/>
      <c r="S41" s="293"/>
      <c r="T41" s="61"/>
      <c r="U41" s="61"/>
      <c r="V41" s="293"/>
      <c r="W41" s="293"/>
    </row>
    <row r="42" spans="1:24" s="95" customFormat="1" ht="18" customHeight="1" x14ac:dyDescent="0.25">
      <c r="A42" s="293"/>
      <c r="B42" s="488" t="s">
        <v>129</v>
      </c>
      <c r="C42" s="147">
        <v>54</v>
      </c>
      <c r="D42" s="95">
        <v>17109860</v>
      </c>
      <c r="E42" s="148">
        <f t="shared" ref="E42:E43" si="62">(0.45*D42)/16</f>
        <v>481214.8125</v>
      </c>
      <c r="F42" s="139">
        <v>8574693</v>
      </c>
      <c r="G42" s="148">
        <f t="shared" ref="G42:G43" si="63">(0.915*F42)/44</f>
        <v>178314.6385227273</v>
      </c>
      <c r="H42" s="139">
        <v>928554</v>
      </c>
      <c r="I42" s="148">
        <f t="shared" ref="I42:I43" si="64">(0.55*H42)/18</f>
        <v>28372.483333333337</v>
      </c>
      <c r="J42" s="149">
        <f t="shared" ref="J42:J43" si="65">E42/(E42+G42+I42)</f>
        <v>0.69953984494964572</v>
      </c>
      <c r="K42" s="149">
        <f t="shared" ref="K42:K43" si="66">G42/(E42+G42+I42)</f>
        <v>0.25921520149473948</v>
      </c>
      <c r="L42" s="149">
        <f t="shared" ref="L42:L43" si="67">I42/(E42+G42+I42)</f>
        <v>4.1244953555614854E-2</v>
      </c>
      <c r="M42" s="150">
        <f t="shared" ref="M42:O43" si="68">J42*100</f>
        <v>69.953984494964573</v>
      </c>
      <c r="N42" s="150">
        <f t="shared" si="68"/>
        <v>25.921520149473949</v>
      </c>
      <c r="O42" s="150">
        <f t="shared" si="68"/>
        <v>4.1244953555614856</v>
      </c>
      <c r="P42" s="146"/>
      <c r="Q42" s="61"/>
      <c r="R42" s="61"/>
      <c r="S42" s="61"/>
      <c r="T42" s="61"/>
      <c r="U42" s="61"/>
      <c r="V42" s="293"/>
      <c r="W42" s="293"/>
      <c r="X42" s="60"/>
    </row>
    <row r="43" spans="1:24" s="95" customFormat="1" ht="18" customHeight="1" x14ac:dyDescent="0.25">
      <c r="A43" s="293"/>
      <c r="B43" s="488"/>
      <c r="C43" s="147">
        <v>55</v>
      </c>
      <c r="D43" s="95">
        <v>19482624</v>
      </c>
      <c r="E43" s="148">
        <f t="shared" si="62"/>
        <v>547948.80000000005</v>
      </c>
      <c r="F43" s="139">
        <v>9846520</v>
      </c>
      <c r="G43" s="148">
        <f t="shared" si="63"/>
        <v>204762.8590909091</v>
      </c>
      <c r="H43" s="139">
        <v>1915408</v>
      </c>
      <c r="I43" s="148">
        <f t="shared" si="64"/>
        <v>58526.355555555565</v>
      </c>
      <c r="J43" s="149">
        <f t="shared" si="65"/>
        <v>0.67544763695374233</v>
      </c>
      <c r="K43" s="149">
        <f t="shared" si="66"/>
        <v>0.25240786969301998</v>
      </c>
      <c r="L43" s="149">
        <f t="shared" si="67"/>
        <v>7.2144493353237624E-2</v>
      </c>
      <c r="M43" s="150">
        <f t="shared" si="68"/>
        <v>67.544763695374229</v>
      </c>
      <c r="N43" s="150">
        <f t="shared" si="68"/>
        <v>25.240786969301997</v>
      </c>
      <c r="O43" s="150">
        <f t="shared" si="68"/>
        <v>7.2144493353237626</v>
      </c>
      <c r="P43" s="146"/>
      <c r="Q43" s="61"/>
      <c r="R43" s="60"/>
      <c r="S43" s="60"/>
      <c r="T43" s="60"/>
      <c r="U43" s="61"/>
      <c r="W43" s="60"/>
      <c r="X43" s="60"/>
    </row>
    <row r="44" spans="1:24" s="95" customFormat="1" ht="18" customHeight="1" x14ac:dyDescent="0.25">
      <c r="A44" s="293"/>
      <c r="B44" s="488"/>
      <c r="C44" s="147"/>
      <c r="D44" s="151"/>
      <c r="E44" s="151"/>
      <c r="F44" s="151"/>
      <c r="G44" s="151"/>
      <c r="H44" s="151"/>
      <c r="I44" s="151"/>
      <c r="J44" s="151"/>
      <c r="K44" s="151"/>
      <c r="L44" s="152" t="s">
        <v>154</v>
      </c>
      <c r="M44" s="62">
        <f>AVERAGE(M42:M43)</f>
        <v>68.749374095169401</v>
      </c>
      <c r="N44" s="62">
        <f>AVERAGE(N42:N43)</f>
        <v>25.581153559387971</v>
      </c>
      <c r="O44" s="62">
        <f>AVERAGE(O42:O43)</f>
        <v>5.6694723454426246</v>
      </c>
      <c r="P44" s="146"/>
      <c r="Q44" s="161"/>
      <c r="R44" s="161"/>
      <c r="S44" s="161"/>
      <c r="T44" s="161"/>
      <c r="U44" s="161"/>
      <c r="W44" s="60"/>
      <c r="X44" s="60"/>
    </row>
    <row r="45" spans="1:24" s="95" customFormat="1" ht="18" customHeight="1" thickBot="1" x14ac:dyDescent="0.3">
      <c r="A45" s="293"/>
      <c r="B45" s="489"/>
      <c r="C45" s="153"/>
      <c r="D45" s="154"/>
      <c r="E45" s="154"/>
      <c r="F45" s="154"/>
      <c r="G45" s="154"/>
      <c r="H45" s="154"/>
      <c r="I45" s="154"/>
      <c r="J45" s="154"/>
      <c r="K45" s="154"/>
      <c r="L45" s="155" t="s">
        <v>156</v>
      </c>
      <c r="M45" s="63">
        <f>STDEV(M42:M43)</f>
        <v>1.7035763647660083</v>
      </c>
      <c r="N45" s="63">
        <f>STDEV(N42:N43)</f>
        <v>0.4813510478782711</v>
      </c>
      <c r="O45" s="63">
        <f>STDEV(O42:O43)</f>
        <v>2.1849274126442619</v>
      </c>
      <c r="P45" s="146"/>
      <c r="Q45" s="61"/>
      <c r="R45" s="61"/>
      <c r="S45" s="61"/>
      <c r="T45" s="61"/>
      <c r="U45" s="61"/>
      <c r="W45" s="60"/>
      <c r="X45" s="60"/>
    </row>
    <row r="46" spans="1:24" s="95" customFormat="1" ht="18" customHeight="1" x14ac:dyDescent="0.25">
      <c r="A46" s="293"/>
      <c r="B46" s="488" t="s">
        <v>135</v>
      </c>
      <c r="C46" s="159">
        <v>57</v>
      </c>
      <c r="D46" s="94">
        <v>21991346</v>
      </c>
      <c r="E46" s="142">
        <f t="shared" ref="E46:E49" si="69">(0.45*D46)/16</f>
        <v>618506.60625000007</v>
      </c>
      <c r="F46" s="143">
        <v>8702214</v>
      </c>
      <c r="G46" s="142">
        <f t="shared" ref="G46:G49" si="70">(0.915*F46)/44</f>
        <v>180966.4956818182</v>
      </c>
      <c r="H46" s="143">
        <v>1303426</v>
      </c>
      <c r="I46" s="142">
        <f t="shared" ref="I46:I49" si="71">(0.55*H46)/18</f>
        <v>39826.905555555561</v>
      </c>
      <c r="J46" s="144">
        <f t="shared" ref="J46:J49" si="72">E46/(E46+G46+I46)</f>
        <v>0.73693149140035563</v>
      </c>
      <c r="K46" s="144">
        <f t="shared" ref="K46:K49" si="73">G46/(E46+G46+I46)</f>
        <v>0.21561598244658731</v>
      </c>
      <c r="L46" s="144">
        <f t="shared" ref="L46:L49" si="74">I46/(E46+G46+I46)</f>
        <v>4.745252615305702E-2</v>
      </c>
      <c r="M46" s="145">
        <f t="shared" ref="M46:O49" si="75">J46*100</f>
        <v>73.693149140035558</v>
      </c>
      <c r="N46" s="145">
        <f t="shared" si="75"/>
        <v>21.561598244658732</v>
      </c>
      <c r="O46" s="145">
        <f t="shared" si="75"/>
        <v>4.7452526153057022</v>
      </c>
      <c r="P46" s="146"/>
      <c r="Q46" s="61"/>
      <c r="R46" s="61"/>
      <c r="S46" s="61"/>
      <c r="T46" s="61"/>
      <c r="U46" s="61"/>
      <c r="W46" s="60"/>
      <c r="X46" s="60"/>
    </row>
    <row r="47" spans="1:24" s="95" customFormat="1" ht="18" customHeight="1" x14ac:dyDescent="0.25">
      <c r="A47" s="293"/>
      <c r="B47" s="488"/>
      <c r="C47" s="160">
        <v>57</v>
      </c>
      <c r="D47" s="95">
        <v>21989300</v>
      </c>
      <c r="E47" s="148">
        <f t="shared" si="69"/>
        <v>618449.0625</v>
      </c>
      <c r="F47" s="139">
        <v>8617056</v>
      </c>
      <c r="G47" s="148">
        <f t="shared" si="70"/>
        <v>179195.59636363637</v>
      </c>
      <c r="H47" s="139">
        <v>1599680</v>
      </c>
      <c r="I47" s="148">
        <f t="shared" si="71"/>
        <v>48879.111111111117</v>
      </c>
      <c r="J47" s="149">
        <f t="shared" si="72"/>
        <v>0.73057495186277976</v>
      </c>
      <c r="K47" s="149">
        <f t="shared" si="73"/>
        <v>0.21168406927189051</v>
      </c>
      <c r="L47" s="149">
        <f t="shared" si="74"/>
        <v>5.7740978865329695E-2</v>
      </c>
      <c r="M47" s="150">
        <f t="shared" si="75"/>
        <v>73.057495186277976</v>
      </c>
      <c r="N47" s="150">
        <f t="shared" si="75"/>
        <v>21.16840692718905</v>
      </c>
      <c r="O47" s="150">
        <f t="shared" si="75"/>
        <v>5.7740978865329691</v>
      </c>
      <c r="P47" s="146"/>
      <c r="Q47" s="61"/>
      <c r="R47" s="61"/>
      <c r="S47" s="61"/>
      <c r="T47" s="61"/>
      <c r="U47" s="61"/>
      <c r="W47" s="60"/>
      <c r="X47" s="60"/>
    </row>
    <row r="48" spans="1:24" s="95" customFormat="1" ht="18" customHeight="1" x14ac:dyDescent="0.25">
      <c r="A48" s="293"/>
      <c r="B48" s="488"/>
      <c r="C48" s="160">
        <v>58</v>
      </c>
      <c r="D48" s="95">
        <v>24610928</v>
      </c>
      <c r="E48" s="148">
        <f t="shared" si="69"/>
        <v>692182.35</v>
      </c>
      <c r="F48" s="139">
        <v>8670849</v>
      </c>
      <c r="G48" s="148">
        <f t="shared" si="70"/>
        <v>180314.24625</v>
      </c>
      <c r="H48" s="139">
        <v>1317448</v>
      </c>
      <c r="I48" s="148">
        <f t="shared" si="71"/>
        <v>40255.355555555558</v>
      </c>
      <c r="J48" s="149">
        <f t="shared" si="72"/>
        <v>0.75834661172815143</v>
      </c>
      <c r="K48" s="149">
        <f t="shared" si="73"/>
        <v>0.19755010755475494</v>
      </c>
      <c r="L48" s="149">
        <f t="shared" si="74"/>
        <v>4.4103280717093657E-2</v>
      </c>
      <c r="M48" s="150">
        <f t="shared" si="75"/>
        <v>75.834661172815146</v>
      </c>
      <c r="N48" s="150">
        <f t="shared" si="75"/>
        <v>19.755010755475492</v>
      </c>
      <c r="O48" s="150">
        <f t="shared" si="75"/>
        <v>4.4103280717093654</v>
      </c>
      <c r="P48" s="146"/>
      <c r="Q48" s="61"/>
      <c r="R48" s="61"/>
      <c r="S48" s="61"/>
      <c r="T48" s="61"/>
      <c r="U48" s="61"/>
      <c r="W48" s="60"/>
      <c r="X48" s="60"/>
    </row>
    <row r="49" spans="1:24" s="95" customFormat="1" ht="18" customHeight="1" x14ac:dyDescent="0.25">
      <c r="A49" s="293"/>
      <c r="B49" s="488"/>
      <c r="C49" s="160">
        <v>58</v>
      </c>
      <c r="D49" s="95">
        <v>24708332</v>
      </c>
      <c r="E49" s="148">
        <f t="shared" si="69"/>
        <v>694921.83750000002</v>
      </c>
      <c r="F49" s="139">
        <v>8673761</v>
      </c>
      <c r="G49" s="148">
        <f t="shared" si="70"/>
        <v>180374.80261363636</v>
      </c>
      <c r="H49" s="139">
        <v>516589</v>
      </c>
      <c r="I49" s="148">
        <f t="shared" si="71"/>
        <v>15784.66388888889</v>
      </c>
      <c r="J49" s="149">
        <f t="shared" si="72"/>
        <v>0.77986355945139507</v>
      </c>
      <c r="K49" s="149">
        <f t="shared" si="73"/>
        <v>0.20242238480757666</v>
      </c>
      <c r="L49" s="149">
        <f t="shared" si="74"/>
        <v>1.7714055741028269E-2</v>
      </c>
      <c r="M49" s="150">
        <f t="shared" si="75"/>
        <v>77.986355945139508</v>
      </c>
      <c r="N49" s="150">
        <f t="shared" si="75"/>
        <v>20.242238480757667</v>
      </c>
      <c r="O49" s="150">
        <f t="shared" si="75"/>
        <v>1.771405574102827</v>
      </c>
      <c r="P49" s="146"/>
      <c r="Q49" s="61"/>
      <c r="R49" s="61"/>
      <c r="S49" s="61"/>
      <c r="T49" s="61"/>
      <c r="U49" s="61"/>
      <c r="W49" s="60"/>
      <c r="X49" s="60"/>
    </row>
    <row r="50" spans="1:24" s="95" customFormat="1" ht="18" customHeight="1" x14ac:dyDescent="0.25">
      <c r="A50" s="293"/>
      <c r="B50" s="488"/>
      <c r="C50" s="160"/>
      <c r="D50" s="151"/>
      <c r="E50" s="151"/>
      <c r="F50" s="151"/>
      <c r="G50" s="151"/>
      <c r="H50" s="151"/>
      <c r="I50" s="151"/>
      <c r="J50" s="151"/>
      <c r="K50" s="151"/>
      <c r="L50" s="152" t="s">
        <v>154</v>
      </c>
      <c r="M50" s="62">
        <f>AVERAGE(M46:M49)</f>
        <v>75.142915361067054</v>
      </c>
      <c r="N50" s="62">
        <f>AVERAGE(N46:N49)</f>
        <v>20.681813602020235</v>
      </c>
      <c r="O50" s="62">
        <f>AVERAGE(O46:O49)</f>
        <v>4.1752710369127159</v>
      </c>
      <c r="P50" s="146"/>
      <c r="Q50" s="161"/>
      <c r="R50" s="161"/>
      <c r="S50" s="161"/>
      <c r="T50" s="161"/>
      <c r="U50" s="161"/>
      <c r="W50" s="60"/>
      <c r="X50" s="60"/>
    </row>
    <row r="51" spans="1:24" s="95" customFormat="1" ht="18" customHeight="1" thickBot="1" x14ac:dyDescent="0.3">
      <c r="A51" s="293"/>
      <c r="B51" s="489"/>
      <c r="C51" s="163"/>
      <c r="D51" s="164"/>
      <c r="E51" s="164"/>
      <c r="F51" s="164"/>
      <c r="G51" s="164"/>
      <c r="H51" s="164"/>
      <c r="I51" s="164"/>
      <c r="J51" s="164"/>
      <c r="K51" s="164"/>
      <c r="L51" s="155" t="s">
        <v>156</v>
      </c>
      <c r="M51" s="165">
        <f>STDEV(M46:M49)</f>
        <v>2.2371459514511325</v>
      </c>
      <c r="N51" s="165">
        <f>STDEV(N46:N49)</f>
        <v>0.82925345645301796</v>
      </c>
      <c r="O51" s="165">
        <f>STDEV(O46:O49)</f>
        <v>1.7044008984265386</v>
      </c>
      <c r="P51" s="146"/>
      <c r="Q51" s="161"/>
      <c r="R51" s="161"/>
      <c r="S51" s="161"/>
      <c r="T51" s="161"/>
      <c r="U51" s="161"/>
      <c r="W51" s="60"/>
      <c r="X51" s="60"/>
    </row>
    <row r="52" spans="1:24" s="95" customFormat="1" ht="18" customHeight="1" x14ac:dyDescent="0.25">
      <c r="A52" s="293"/>
      <c r="B52" s="488" t="s">
        <v>130</v>
      </c>
      <c r="C52" s="147">
        <v>62</v>
      </c>
      <c r="D52" s="95">
        <v>26547028</v>
      </c>
      <c r="E52" s="148">
        <f t="shared" ref="E52" si="76">(0.45*D52)/16</f>
        <v>746635.16249999998</v>
      </c>
      <c r="F52" s="139">
        <v>3445389</v>
      </c>
      <c r="G52" s="148">
        <f t="shared" ref="G52" si="77">(0.915*F52)/44</f>
        <v>71648.430340909094</v>
      </c>
      <c r="H52" s="139">
        <v>1684519</v>
      </c>
      <c r="I52" s="148">
        <f t="shared" ref="I52" si="78">(0.55*H52)/18</f>
        <v>51471.413888888892</v>
      </c>
      <c r="J52" s="149">
        <f t="shared" ref="J52" si="79">E52/(E52+G52+I52)</f>
        <v>0.85844307503015393</v>
      </c>
      <c r="K52" s="149">
        <f t="shared" ref="K52" si="80">G52/(E52+G52+I52)</f>
        <v>8.2377715318134093E-2</v>
      </c>
      <c r="L52" s="149">
        <f t="shared" ref="L52" si="81">I52/(E52+G52+I52)</f>
        <v>5.9179209651712E-2</v>
      </c>
      <c r="M52" s="150">
        <f t="shared" ref="M52:O52" si="82">J52*100</f>
        <v>85.844307503015386</v>
      </c>
      <c r="N52" s="150">
        <f t="shared" si="82"/>
        <v>8.2377715318134097</v>
      </c>
      <c r="O52" s="150">
        <f t="shared" si="82"/>
        <v>5.9179209651712004</v>
      </c>
      <c r="P52" s="60"/>
      <c r="Q52" s="60"/>
      <c r="R52" s="60"/>
      <c r="S52" s="60"/>
      <c r="T52" s="60"/>
      <c r="U52" s="60"/>
      <c r="W52" s="60"/>
      <c r="X52" s="60"/>
    </row>
    <row r="53" spans="1:24" s="95" customFormat="1" ht="18" customHeight="1" thickBot="1" x14ac:dyDescent="0.3">
      <c r="A53" s="293"/>
      <c r="B53" s="488"/>
      <c r="C53" s="147"/>
      <c r="D53" s="151"/>
      <c r="E53" s="151"/>
      <c r="F53" s="151"/>
      <c r="G53" s="151"/>
      <c r="H53" s="151"/>
      <c r="I53" s="151"/>
      <c r="J53" s="151"/>
      <c r="K53" s="151"/>
      <c r="L53" s="152" t="s">
        <v>154</v>
      </c>
      <c r="M53" s="63">
        <v>85.8</v>
      </c>
      <c r="N53" s="62">
        <f>AVERAGE(N52:N52)</f>
        <v>8.2377715318134097</v>
      </c>
      <c r="O53" s="62">
        <f>AVERAGE(O52:O52)</f>
        <v>5.9179209651712004</v>
      </c>
      <c r="P53" s="60"/>
      <c r="Q53" s="60"/>
      <c r="R53" s="60"/>
      <c r="S53" s="60"/>
      <c r="T53" s="60"/>
      <c r="U53" s="60"/>
      <c r="W53" s="60"/>
      <c r="X53" s="60"/>
    </row>
    <row r="54" spans="1:24" s="95" customFormat="1" ht="18" customHeight="1" thickBot="1" x14ac:dyDescent="0.3">
      <c r="A54" s="293"/>
      <c r="B54" s="489"/>
      <c r="C54" s="153"/>
      <c r="D54" s="154"/>
      <c r="E54" s="154"/>
      <c r="F54" s="154"/>
      <c r="G54" s="154"/>
      <c r="H54" s="154"/>
      <c r="I54" s="154"/>
      <c r="J54" s="154"/>
      <c r="K54" s="154"/>
      <c r="L54" s="155" t="s">
        <v>156</v>
      </c>
      <c r="M54" s="63"/>
      <c r="N54" s="63"/>
      <c r="O54" s="63"/>
      <c r="P54" s="60"/>
      <c r="Q54" s="60"/>
      <c r="R54" s="60"/>
      <c r="S54" s="60"/>
      <c r="T54" s="60"/>
      <c r="U54" s="60"/>
      <c r="W54" s="60"/>
      <c r="X54" s="60"/>
    </row>
    <row r="55" spans="1:24" s="95" customFormat="1" ht="18" customHeight="1" x14ac:dyDescent="0.25">
      <c r="A55" s="293"/>
      <c r="B55" s="488" t="s">
        <v>136</v>
      </c>
      <c r="C55" s="147">
        <v>64</v>
      </c>
      <c r="D55" s="95">
        <v>32913294</v>
      </c>
      <c r="E55" s="148">
        <f t="shared" ref="E55:E57" si="83">(0.45*D55)/16</f>
        <v>925686.39375000005</v>
      </c>
      <c r="F55" s="167">
        <v>15176351</v>
      </c>
      <c r="G55" s="148">
        <f t="shared" ref="G55:G57" si="84">(0.915*F55)/44</f>
        <v>315599.11738636368</v>
      </c>
      <c r="H55" s="139">
        <v>1497025</v>
      </c>
      <c r="I55" s="148">
        <f t="shared" ref="I55:I57" si="85">(0.55*H55)/18</f>
        <v>45742.430555555562</v>
      </c>
      <c r="J55" s="149">
        <f t="shared" ref="J55:J57" si="86">E55/(E55+G55+I55)</f>
        <v>0.71924343191267337</v>
      </c>
      <c r="K55" s="149">
        <f t="shared" ref="K55:K57" si="87">G55/(E55+G55+I55)</f>
        <v>0.24521543562720088</v>
      </c>
      <c r="L55" s="149">
        <f t="shared" ref="L55:L57" si="88">I55/(E55+G55+I55)</f>
        <v>3.5541132460125795E-2</v>
      </c>
      <c r="M55" s="150">
        <f t="shared" ref="M55:O57" si="89">J55*100</f>
        <v>71.92434319126734</v>
      </c>
      <c r="N55" s="150">
        <f t="shared" si="89"/>
        <v>24.521543562720087</v>
      </c>
      <c r="O55" s="150">
        <f t="shared" si="89"/>
        <v>3.5541132460125793</v>
      </c>
      <c r="P55" s="60"/>
      <c r="Q55" s="60"/>
      <c r="R55" s="60"/>
      <c r="S55" s="60"/>
      <c r="T55" s="60"/>
      <c r="U55" s="60"/>
      <c r="W55" s="60"/>
      <c r="X55" s="60"/>
    </row>
    <row r="56" spans="1:24" s="95" customFormat="1" ht="18" customHeight="1" x14ac:dyDescent="0.25">
      <c r="A56" s="293"/>
      <c r="B56" s="488"/>
      <c r="C56" s="147">
        <v>65</v>
      </c>
      <c r="D56" s="95">
        <v>38786328</v>
      </c>
      <c r="E56" s="148">
        <f t="shared" si="83"/>
        <v>1090865.4750000001</v>
      </c>
      <c r="F56" s="167">
        <v>14652494</v>
      </c>
      <c r="G56" s="148">
        <f t="shared" si="84"/>
        <v>304705.27295454545</v>
      </c>
      <c r="H56" s="139">
        <v>1713445</v>
      </c>
      <c r="I56" s="148">
        <f t="shared" si="85"/>
        <v>52355.263888888898</v>
      </c>
      <c r="J56" s="149">
        <f t="shared" si="86"/>
        <v>0.75339863092255599</v>
      </c>
      <c r="K56" s="149">
        <f t="shared" si="87"/>
        <v>0.21044257127932134</v>
      </c>
      <c r="L56" s="149">
        <f t="shared" si="88"/>
        <v>3.6158797798122658E-2</v>
      </c>
      <c r="M56" s="150">
        <f t="shared" si="89"/>
        <v>75.339863092255598</v>
      </c>
      <c r="N56" s="150">
        <f t="shared" si="89"/>
        <v>21.044257127932134</v>
      </c>
      <c r="O56" s="150">
        <f t="shared" si="89"/>
        <v>3.6158797798122659</v>
      </c>
      <c r="P56" s="60"/>
      <c r="Q56" s="60"/>
      <c r="R56" s="60"/>
      <c r="S56" s="60"/>
      <c r="T56" s="60"/>
      <c r="U56" s="60"/>
      <c r="W56" s="60"/>
      <c r="X56" s="60"/>
    </row>
    <row r="57" spans="1:24" ht="18" customHeight="1" x14ac:dyDescent="0.25">
      <c r="B57" s="488"/>
      <c r="C57" s="147">
        <v>65</v>
      </c>
      <c r="D57" s="95">
        <v>38873748</v>
      </c>
      <c r="E57" s="148">
        <f t="shared" si="83"/>
        <v>1093324.1625000001</v>
      </c>
      <c r="F57" s="167">
        <v>14687312</v>
      </c>
      <c r="G57" s="148">
        <f t="shared" si="84"/>
        <v>305429.3290909091</v>
      </c>
      <c r="H57" s="139">
        <v>1570417</v>
      </c>
      <c r="I57" s="148">
        <f t="shared" si="85"/>
        <v>47984.963888888895</v>
      </c>
      <c r="J57" s="149">
        <f t="shared" si="86"/>
        <v>0.75571652800050071</v>
      </c>
      <c r="K57" s="149">
        <f t="shared" si="87"/>
        <v>0.21111578802238731</v>
      </c>
      <c r="L57" s="149">
        <f t="shared" si="88"/>
        <v>3.3167683977111881E-2</v>
      </c>
      <c r="M57" s="150">
        <f t="shared" si="89"/>
        <v>75.571652800050074</v>
      </c>
      <c r="N57" s="150">
        <f t="shared" si="89"/>
        <v>21.111578802238732</v>
      </c>
      <c r="O57" s="150">
        <f t="shared" si="89"/>
        <v>3.3167683977111881</v>
      </c>
    </row>
    <row r="58" spans="1:24" ht="18" customHeight="1" x14ac:dyDescent="0.25">
      <c r="B58" s="488"/>
      <c r="C58" s="147"/>
      <c r="D58" s="152"/>
      <c r="E58" s="168"/>
      <c r="F58" s="152"/>
      <c r="G58" s="168"/>
      <c r="H58" s="152"/>
      <c r="I58" s="168"/>
      <c r="J58" s="152"/>
      <c r="K58" s="152"/>
      <c r="L58" s="152" t="s">
        <v>154</v>
      </c>
      <c r="M58" s="62">
        <f>AVERAGE(M55:M57)</f>
        <v>74.278619694524323</v>
      </c>
      <c r="N58" s="62">
        <f>AVERAGE(N55:N57)</f>
        <v>22.225793164296988</v>
      </c>
      <c r="O58" s="62">
        <f>AVERAGE(O55:O57)</f>
        <v>3.4955871411786781</v>
      </c>
    </row>
    <row r="59" spans="1:24" ht="18" customHeight="1" thickBot="1" x14ac:dyDescent="0.3">
      <c r="B59" s="489"/>
      <c r="C59" s="153"/>
      <c r="D59" s="155"/>
      <c r="E59" s="169"/>
      <c r="F59" s="155"/>
      <c r="G59" s="169"/>
      <c r="H59" s="155"/>
      <c r="I59" s="169"/>
      <c r="J59" s="155"/>
      <c r="K59" s="155"/>
      <c r="L59" s="155" t="s">
        <v>156</v>
      </c>
      <c r="M59" s="63">
        <f>STDEV(M55:M57)</f>
        <v>2.0421545013785951</v>
      </c>
      <c r="N59" s="63">
        <f>STDEV(N55:N57)</f>
        <v>1.9884630926554148</v>
      </c>
      <c r="O59" s="63">
        <f>STDEV(O55:O57)</f>
        <v>0.15791099846393178</v>
      </c>
    </row>
    <row r="60" spans="1:24" s="95" customFormat="1" ht="18" customHeight="1" x14ac:dyDescent="0.25">
      <c r="A60" s="293"/>
      <c r="B60" s="488" t="s">
        <v>131</v>
      </c>
      <c r="C60" s="147">
        <v>66</v>
      </c>
      <c r="D60" s="95">
        <v>19467420</v>
      </c>
      <c r="E60" s="148">
        <f t="shared" ref="E60:E61" si="90">(0.45*D60)/16</f>
        <v>547521.1875</v>
      </c>
      <c r="F60" s="139"/>
      <c r="G60" s="148">
        <f t="shared" ref="G60:G61" si="91">(0.915*F60)/44</f>
        <v>0</v>
      </c>
      <c r="H60" s="139">
        <v>1469638</v>
      </c>
      <c r="I60" s="148">
        <f t="shared" ref="I60:I61" si="92">(0.55*H60)/18</f>
        <v>44905.605555555558</v>
      </c>
      <c r="J60" s="149">
        <f t="shared" ref="J60:J61" si="93">E60/(E60+G60+I60)</f>
        <v>0.92420058295482177</v>
      </c>
      <c r="K60" s="149">
        <f t="shared" ref="K60:K61" si="94">G60/(E60+G60+I60)</f>
        <v>0</v>
      </c>
      <c r="L60" s="149">
        <f t="shared" ref="L60:L61" si="95">I60/(E60+G60+I60)</f>
        <v>7.5799417045178244E-2</v>
      </c>
      <c r="M60" s="150">
        <f t="shared" ref="M60:M61" si="96">J60*100</f>
        <v>92.420058295482178</v>
      </c>
      <c r="N60" s="150">
        <f t="shared" ref="N60:N61" si="97">K60*100</f>
        <v>0</v>
      </c>
      <c r="O60" s="150">
        <f t="shared" ref="O60:O61" si="98">L60*100</f>
        <v>7.5799417045178243</v>
      </c>
      <c r="P60" s="146"/>
      <c r="Q60" s="61"/>
      <c r="R60" s="61"/>
      <c r="S60" s="61"/>
      <c r="T60" s="61"/>
      <c r="U60" s="61"/>
      <c r="W60" s="60"/>
      <c r="X60" s="60"/>
    </row>
    <row r="61" spans="1:24" s="95" customFormat="1" ht="18" customHeight="1" x14ac:dyDescent="0.25">
      <c r="A61" s="293"/>
      <c r="B61" s="488"/>
      <c r="C61" s="147">
        <v>68</v>
      </c>
      <c r="D61" s="95">
        <v>2180724</v>
      </c>
      <c r="E61" s="148">
        <f t="shared" si="90"/>
        <v>61332.862500000003</v>
      </c>
      <c r="F61" s="139">
        <v>196238</v>
      </c>
      <c r="G61" s="148">
        <f t="shared" si="91"/>
        <v>4080.8584090909094</v>
      </c>
      <c r="H61" s="139">
        <v>1758178</v>
      </c>
      <c r="I61" s="148">
        <f t="shared" si="92"/>
        <v>53722.105555555558</v>
      </c>
      <c r="J61" s="149">
        <f t="shared" si="93"/>
        <v>0.51481459708680088</v>
      </c>
      <c r="K61" s="149">
        <f t="shared" si="94"/>
        <v>3.4253830524287363E-2</v>
      </c>
      <c r="L61" s="149">
        <f t="shared" si="95"/>
        <v>0.45093157238891174</v>
      </c>
      <c r="M61" s="150">
        <f t="shared" si="96"/>
        <v>51.481459708680092</v>
      </c>
      <c r="N61" s="150">
        <f t="shared" si="97"/>
        <v>3.4253830524287361</v>
      </c>
      <c r="O61" s="150">
        <f t="shared" si="98"/>
        <v>45.093157238891173</v>
      </c>
      <c r="P61" s="146"/>
      <c r="Q61" s="61"/>
      <c r="R61" s="60"/>
      <c r="S61" s="60"/>
      <c r="T61" s="60"/>
      <c r="U61" s="61"/>
      <c r="W61" s="60"/>
      <c r="X61" s="60"/>
    </row>
    <row r="62" spans="1:24" s="95" customFormat="1" ht="18" customHeight="1" x14ac:dyDescent="0.25">
      <c r="A62" s="293"/>
      <c r="B62" s="488"/>
      <c r="C62" s="147"/>
      <c r="D62" s="151"/>
      <c r="E62" s="151"/>
      <c r="F62" s="151"/>
      <c r="G62" s="151"/>
      <c r="H62" s="151"/>
      <c r="I62" s="151"/>
      <c r="J62" s="151"/>
      <c r="K62" s="151"/>
      <c r="L62" s="152" t="s">
        <v>154</v>
      </c>
      <c r="M62" s="62">
        <f>AVERAGE(M60:M61)</f>
        <v>71.950759002081128</v>
      </c>
      <c r="N62" s="62">
        <f>AVERAGE(N60:N61)</f>
        <v>1.712691526214368</v>
      </c>
      <c r="O62" s="62">
        <f>AVERAGE(O60:O61)</f>
        <v>26.336549471704497</v>
      </c>
      <c r="P62" s="146"/>
      <c r="Q62" s="161"/>
      <c r="R62" s="161"/>
      <c r="S62" s="161"/>
      <c r="T62" s="161"/>
      <c r="U62" s="161"/>
      <c r="W62" s="60"/>
      <c r="X62" s="60"/>
    </row>
    <row r="63" spans="1:24" s="95" customFormat="1" ht="18" customHeight="1" thickBot="1" x14ac:dyDescent="0.3">
      <c r="A63" s="293"/>
      <c r="B63" s="489"/>
      <c r="C63" s="153"/>
      <c r="D63" s="154"/>
      <c r="E63" s="154"/>
      <c r="F63" s="154"/>
      <c r="G63" s="154"/>
      <c r="H63" s="154"/>
      <c r="I63" s="154"/>
      <c r="J63" s="154"/>
      <c r="K63" s="154"/>
      <c r="L63" s="155" t="s">
        <v>156</v>
      </c>
      <c r="M63" s="63">
        <f>STDEV(M60:M61)</f>
        <v>28.947960673001802</v>
      </c>
      <c r="N63" s="63">
        <f>STDEV(N60:N61)</f>
        <v>2.4221115845338348</v>
      </c>
      <c r="O63" s="63">
        <f>STDEV(O60:O61)</f>
        <v>26.525849088467936</v>
      </c>
      <c r="P63" s="146"/>
      <c r="Q63" s="61"/>
      <c r="R63" s="61"/>
      <c r="S63" s="61"/>
      <c r="T63" s="61"/>
      <c r="U63" s="61"/>
      <c r="W63" s="60"/>
      <c r="X63" s="60"/>
    </row>
    <row r="64" spans="1:24" s="95" customFormat="1" ht="18" customHeight="1" x14ac:dyDescent="0.25">
      <c r="A64" s="293"/>
      <c r="B64" s="492" t="s">
        <v>137</v>
      </c>
      <c r="C64" s="141">
        <v>69</v>
      </c>
      <c r="D64" s="94">
        <v>40940600</v>
      </c>
      <c r="E64" s="142">
        <f t="shared" ref="E64" si="99">(0.45*D64)/16</f>
        <v>1151454.375</v>
      </c>
      <c r="F64" s="94">
        <v>16044151</v>
      </c>
      <c r="G64" s="142">
        <f>(0.915*F64)/44</f>
        <v>333645.41284090909</v>
      </c>
      <c r="H64" s="143">
        <v>869991</v>
      </c>
      <c r="I64" s="142">
        <f t="shared" ref="I64:I66" si="100">(0.55*H64)/18</f>
        <v>26583.058333333334</v>
      </c>
      <c r="J64" s="144">
        <f t="shared" ref="J64:J66" si="101">E64/(E64+G64+I64)</f>
        <v>0.76170367211223811</v>
      </c>
      <c r="K64" s="144">
        <f t="shared" ref="K64:K66" si="102">G64/(E64+G64+I64)</f>
        <v>0.22071125149385457</v>
      </c>
      <c r="L64" s="144">
        <f t="shared" ref="L64:L66" si="103">I64/(E64+G64+I64)</f>
        <v>1.7585076393907342E-2</v>
      </c>
      <c r="M64" s="145">
        <f t="shared" ref="M64:M66" si="104">J64*100</f>
        <v>76.170367211223805</v>
      </c>
      <c r="N64" s="145">
        <f t="shared" ref="N64:N66" si="105">K64*100</f>
        <v>22.071125149385455</v>
      </c>
      <c r="O64" s="145">
        <f t="shared" ref="O64:O66" si="106">L64*100</f>
        <v>1.7585076393907342</v>
      </c>
      <c r="W64" s="60"/>
      <c r="X64" s="60"/>
    </row>
    <row r="65" spans="1:24" s="95" customFormat="1" ht="18" customHeight="1" x14ac:dyDescent="0.25">
      <c r="A65" s="293"/>
      <c r="B65" s="488"/>
      <c r="C65" s="147">
        <v>69</v>
      </c>
      <c r="D65" s="95">
        <v>40975288</v>
      </c>
      <c r="E65" s="148">
        <f>(0.45*D65)/16</f>
        <v>1152429.9750000001</v>
      </c>
      <c r="F65" s="139">
        <v>15955487</v>
      </c>
      <c r="G65" s="148">
        <f t="shared" ref="G65:G66" si="107">(0.915*F65)/44</f>
        <v>331801.60465909092</v>
      </c>
      <c r="H65" s="139">
        <v>775343</v>
      </c>
      <c r="I65" s="148">
        <f t="shared" si="100"/>
        <v>23691.036111111112</v>
      </c>
      <c r="J65" s="149">
        <f t="shared" si="101"/>
        <v>0.76425007685913182</v>
      </c>
      <c r="K65" s="149">
        <f t="shared" si="102"/>
        <v>0.22003888076817291</v>
      </c>
      <c r="L65" s="149">
        <f t="shared" si="103"/>
        <v>1.5711042372695255E-2</v>
      </c>
      <c r="M65" s="150">
        <f t="shared" si="104"/>
        <v>76.425007685913187</v>
      </c>
      <c r="N65" s="150">
        <f t="shared" si="105"/>
        <v>22.00388807681729</v>
      </c>
      <c r="O65" s="150">
        <f t="shared" si="106"/>
        <v>1.5711042372695254</v>
      </c>
      <c r="P65" s="60"/>
      <c r="Q65" s="60"/>
      <c r="R65" s="60"/>
      <c r="S65" s="60"/>
      <c r="T65" s="60"/>
      <c r="U65" s="60"/>
      <c r="W65" s="60"/>
      <c r="X65" s="60"/>
    </row>
    <row r="66" spans="1:24" s="95" customFormat="1" ht="18" customHeight="1" x14ac:dyDescent="0.25">
      <c r="A66" s="293"/>
      <c r="B66" s="488"/>
      <c r="C66" s="147">
        <v>69</v>
      </c>
      <c r="D66" s="95">
        <v>40879648</v>
      </c>
      <c r="E66" s="148">
        <f t="shared" ref="E66" si="108">(0.45*D66)/16</f>
        <v>1149740.1000000001</v>
      </c>
      <c r="F66" s="139">
        <v>15943357</v>
      </c>
      <c r="G66" s="148">
        <f t="shared" si="107"/>
        <v>331549.35579545458</v>
      </c>
      <c r="H66" s="139">
        <v>1798516</v>
      </c>
      <c r="I66" s="148">
        <f t="shared" si="100"/>
        <v>54954.655555555561</v>
      </c>
      <c r="J66" s="149">
        <f t="shared" si="101"/>
        <v>0.74840976867204434</v>
      </c>
      <c r="K66" s="149">
        <f t="shared" si="102"/>
        <v>0.21581814592205795</v>
      </c>
      <c r="L66" s="149">
        <f t="shared" si="103"/>
        <v>3.5772085405897568E-2</v>
      </c>
      <c r="M66" s="150">
        <f t="shared" si="104"/>
        <v>74.840976867204432</v>
      </c>
      <c r="N66" s="150">
        <f t="shared" si="105"/>
        <v>21.581814592205795</v>
      </c>
      <c r="O66" s="150">
        <f t="shared" si="106"/>
        <v>3.5772085405897567</v>
      </c>
      <c r="P66" s="60"/>
      <c r="Q66" s="60"/>
      <c r="R66" s="60"/>
      <c r="S66" s="60"/>
      <c r="T66" s="60"/>
      <c r="U66" s="60"/>
      <c r="W66" s="60"/>
      <c r="X66" s="60"/>
    </row>
    <row r="67" spans="1:24" s="95" customFormat="1" ht="18" customHeight="1" x14ac:dyDescent="0.25">
      <c r="A67" s="293"/>
      <c r="B67" s="488"/>
      <c r="C67" s="147"/>
      <c r="D67" s="151"/>
      <c r="E67" s="151"/>
      <c r="F67" s="151"/>
      <c r="G67" s="151"/>
      <c r="H67" s="151"/>
      <c r="I67" s="151"/>
      <c r="J67" s="151"/>
      <c r="K67" s="151"/>
      <c r="L67" s="152" t="s">
        <v>154</v>
      </c>
      <c r="M67" s="62">
        <f>AVERAGE(M64:M66)</f>
        <v>75.812117254780475</v>
      </c>
      <c r="N67" s="62">
        <f>AVERAGE(N64:N66)</f>
        <v>21.885609272802849</v>
      </c>
      <c r="O67" s="62">
        <f>AVERAGE(O64:O66)</f>
        <v>2.302273472416672</v>
      </c>
      <c r="P67" s="60"/>
      <c r="Q67" s="60"/>
      <c r="R67" s="60"/>
      <c r="S67" s="60"/>
      <c r="T67" s="60"/>
      <c r="U67" s="60"/>
      <c r="W67" s="60"/>
      <c r="X67" s="60"/>
    </row>
    <row r="68" spans="1:24" s="95" customFormat="1" ht="18" customHeight="1" thickBot="1" x14ac:dyDescent="0.3">
      <c r="A68" s="293"/>
      <c r="B68" s="489"/>
      <c r="C68" s="153"/>
      <c r="D68" s="154"/>
      <c r="E68" s="154"/>
      <c r="F68" s="154"/>
      <c r="G68" s="154"/>
      <c r="H68" s="154"/>
      <c r="I68" s="154"/>
      <c r="J68" s="154"/>
      <c r="K68" s="154"/>
      <c r="L68" s="155" t="s">
        <v>156</v>
      </c>
      <c r="M68" s="63">
        <f>STDEV(M64:M66)</f>
        <v>0.85061488472958069</v>
      </c>
      <c r="N68" s="63">
        <f>STDEV(N64:N66)</f>
        <v>0.26523312755231521</v>
      </c>
      <c r="O68" s="63">
        <f>STDEV(O64:O66)</f>
        <v>1.1080950229221238</v>
      </c>
      <c r="P68" s="60"/>
      <c r="Q68" s="60"/>
      <c r="R68" s="60"/>
      <c r="S68" s="60"/>
      <c r="T68" s="60"/>
      <c r="U68" s="60"/>
      <c r="W68" s="60"/>
      <c r="X68" s="60"/>
    </row>
    <row r="69" spans="1:24" ht="18" customHeight="1" x14ac:dyDescent="0.25">
      <c r="B69" s="139"/>
      <c r="C69" s="147"/>
      <c r="D69" s="139"/>
      <c r="E69" s="148"/>
      <c r="F69" s="139"/>
      <c r="G69" s="148"/>
      <c r="H69" s="139"/>
      <c r="I69" s="148"/>
      <c r="J69" s="149"/>
      <c r="K69" s="149"/>
      <c r="L69" s="149"/>
      <c r="M69" s="61"/>
      <c r="N69" s="61"/>
      <c r="O69" s="61"/>
      <c r="P69" s="139"/>
    </row>
    <row r="70" spans="1:24" ht="18" customHeight="1" x14ac:dyDescent="0.25">
      <c r="B70" s="139"/>
      <c r="C70" s="147"/>
      <c r="D70" s="139"/>
      <c r="E70" s="148"/>
      <c r="F70" s="139"/>
      <c r="G70" s="148"/>
      <c r="H70" s="139"/>
      <c r="I70" s="148"/>
      <c r="J70" s="149"/>
      <c r="K70" s="149"/>
      <c r="L70" s="149"/>
      <c r="M70" s="61"/>
      <c r="N70" s="61"/>
      <c r="O70" s="61"/>
      <c r="P70" s="139"/>
    </row>
    <row r="71" spans="1:24" ht="18" customHeight="1" x14ac:dyDescent="0.25">
      <c r="B71" s="139"/>
      <c r="C71" s="147"/>
      <c r="D71" s="170"/>
      <c r="E71" s="171"/>
      <c r="F71" s="170"/>
      <c r="G71" s="171"/>
      <c r="H71" s="170"/>
      <c r="I71" s="171"/>
      <c r="J71" s="170"/>
      <c r="K71" s="170"/>
      <c r="L71" s="170"/>
      <c r="M71" s="61"/>
      <c r="N71" s="61"/>
      <c r="O71" s="61"/>
      <c r="P71" s="139"/>
    </row>
    <row r="72" spans="1:24" ht="18" customHeight="1" x14ac:dyDescent="0.25">
      <c r="B72" s="139"/>
      <c r="C72" s="147"/>
      <c r="D72" s="170"/>
      <c r="E72" s="171"/>
      <c r="F72" s="170"/>
      <c r="G72" s="171"/>
      <c r="H72" s="170"/>
      <c r="I72" s="171"/>
      <c r="J72" s="170"/>
      <c r="K72" s="170"/>
      <c r="L72" s="170"/>
      <c r="M72" s="61"/>
      <c r="N72" s="61"/>
      <c r="O72" s="61"/>
      <c r="P72" s="139"/>
    </row>
    <row r="73" spans="1:24" ht="18" customHeight="1" x14ac:dyDescent="0.25">
      <c r="B73" s="139"/>
      <c r="C73" s="147"/>
      <c r="D73" s="139"/>
      <c r="E73" s="148"/>
      <c r="F73" s="139"/>
      <c r="G73" s="148"/>
      <c r="H73" s="139"/>
      <c r="I73" s="148"/>
      <c r="J73" s="149"/>
      <c r="K73" s="149"/>
      <c r="L73" s="149"/>
      <c r="M73" s="61"/>
      <c r="N73" s="61"/>
      <c r="O73" s="61"/>
      <c r="P73" s="139"/>
    </row>
    <row r="74" spans="1:24" ht="18" customHeight="1" x14ac:dyDescent="0.25">
      <c r="B74" s="139"/>
      <c r="C74" s="147"/>
      <c r="D74" s="139"/>
      <c r="E74" s="148"/>
      <c r="F74" s="139"/>
      <c r="G74" s="148"/>
      <c r="H74" s="139"/>
      <c r="I74" s="148"/>
      <c r="J74" s="149"/>
      <c r="K74" s="149"/>
      <c r="L74" s="149"/>
      <c r="M74" s="61"/>
      <c r="N74" s="61"/>
      <c r="O74" s="61"/>
      <c r="P74" s="139"/>
    </row>
    <row r="75" spans="1:24" ht="18" customHeight="1" x14ac:dyDescent="0.25">
      <c r="B75" s="139"/>
      <c r="C75" s="147"/>
      <c r="D75" s="147"/>
      <c r="E75" s="147"/>
      <c r="F75" s="147"/>
      <c r="G75" s="147"/>
      <c r="H75" s="147"/>
      <c r="I75" s="147"/>
      <c r="J75" s="147"/>
      <c r="K75" s="147"/>
      <c r="L75" s="170"/>
      <c r="M75" s="61"/>
      <c r="N75" s="61"/>
      <c r="O75" s="61"/>
      <c r="P75" s="139"/>
    </row>
    <row r="76" spans="1:24" ht="18" customHeight="1" x14ac:dyDescent="0.25">
      <c r="B76" s="139"/>
      <c r="C76" s="147"/>
      <c r="D76" s="147"/>
      <c r="E76" s="147"/>
      <c r="F76" s="147"/>
      <c r="G76" s="147"/>
      <c r="H76" s="147"/>
      <c r="I76" s="147"/>
      <c r="J76" s="147"/>
      <c r="K76" s="147"/>
      <c r="L76" s="170"/>
      <c r="M76" s="61"/>
      <c r="N76" s="61"/>
      <c r="O76" s="61"/>
      <c r="P76" s="139"/>
    </row>
    <row r="77" spans="1:24" ht="18" customHeight="1" x14ac:dyDescent="0.25">
      <c r="B77" s="139"/>
      <c r="C77" s="147"/>
      <c r="D77" s="139"/>
      <c r="E77" s="148"/>
      <c r="F77" s="139"/>
      <c r="G77" s="148"/>
      <c r="H77" s="139"/>
      <c r="I77" s="148"/>
      <c r="J77" s="149"/>
      <c r="K77" s="149"/>
      <c r="L77" s="149"/>
      <c r="M77" s="61"/>
      <c r="N77" s="61"/>
      <c r="O77" s="61"/>
      <c r="P77" s="139"/>
    </row>
    <row r="78" spans="1:24" ht="18" customHeight="1" x14ac:dyDescent="0.25">
      <c r="B78" s="139"/>
      <c r="C78" s="147"/>
      <c r="D78" s="139"/>
      <c r="E78" s="148"/>
      <c r="F78" s="139"/>
      <c r="G78" s="148"/>
      <c r="H78" s="139"/>
      <c r="I78" s="148"/>
      <c r="J78" s="149"/>
      <c r="K78" s="149"/>
      <c r="L78" s="149"/>
      <c r="M78" s="61"/>
      <c r="N78" s="61"/>
      <c r="O78" s="61"/>
      <c r="P78" s="139"/>
    </row>
    <row r="79" spans="1:24" ht="18" customHeight="1" x14ac:dyDescent="0.25">
      <c r="B79" s="139"/>
      <c r="C79" s="147"/>
      <c r="D79" s="147"/>
      <c r="E79" s="147"/>
      <c r="F79" s="147"/>
      <c r="G79" s="147"/>
      <c r="H79" s="147"/>
      <c r="I79" s="147"/>
      <c r="J79" s="147"/>
      <c r="K79" s="147"/>
      <c r="L79" s="170"/>
      <c r="M79" s="61"/>
      <c r="N79" s="61"/>
      <c r="O79" s="61"/>
      <c r="P79" s="139"/>
    </row>
    <row r="80" spans="1:24" ht="18" customHeight="1" x14ac:dyDescent="0.25">
      <c r="B80" s="139"/>
      <c r="C80" s="147"/>
      <c r="D80" s="147"/>
      <c r="E80" s="147"/>
      <c r="F80" s="147"/>
      <c r="G80" s="147"/>
      <c r="H80" s="147"/>
      <c r="I80" s="147"/>
      <c r="J80" s="147"/>
      <c r="K80" s="147"/>
      <c r="L80" s="170"/>
      <c r="M80" s="61"/>
      <c r="N80" s="61"/>
      <c r="O80" s="61"/>
      <c r="P80" s="139"/>
    </row>
    <row r="81" spans="2:16" ht="18" customHeight="1" x14ac:dyDescent="0.25">
      <c r="B81" s="139"/>
      <c r="C81" s="172"/>
      <c r="D81" s="139"/>
      <c r="E81" s="148"/>
      <c r="F81" s="139"/>
      <c r="G81" s="148"/>
      <c r="H81" s="139"/>
      <c r="I81" s="148"/>
      <c r="J81" s="149"/>
      <c r="K81" s="149"/>
      <c r="L81" s="149"/>
      <c r="M81" s="61"/>
      <c r="N81" s="61"/>
      <c r="O81" s="61"/>
      <c r="P81" s="139"/>
    </row>
    <row r="82" spans="2:16" ht="18" customHeight="1" x14ac:dyDescent="0.25">
      <c r="B82" s="139"/>
      <c r="C82" s="173"/>
      <c r="D82" s="139"/>
      <c r="E82" s="148"/>
      <c r="F82" s="139"/>
      <c r="G82" s="148"/>
      <c r="H82" s="139"/>
      <c r="I82" s="148"/>
      <c r="J82" s="149"/>
      <c r="K82" s="149"/>
      <c r="L82" s="149"/>
      <c r="M82" s="61"/>
      <c r="N82" s="61"/>
      <c r="O82" s="61"/>
      <c r="P82" s="139"/>
    </row>
    <row r="83" spans="2:16" ht="18" customHeight="1" x14ac:dyDescent="0.25">
      <c r="B83" s="139"/>
      <c r="C83" s="173"/>
      <c r="D83" s="139"/>
      <c r="E83" s="148"/>
      <c r="F83" s="139"/>
      <c r="G83" s="148"/>
      <c r="H83" s="139"/>
      <c r="I83" s="148"/>
      <c r="J83" s="149"/>
      <c r="K83" s="149"/>
      <c r="L83" s="149"/>
      <c r="M83" s="61"/>
      <c r="N83" s="61"/>
      <c r="O83" s="61"/>
      <c r="P83" s="139"/>
    </row>
    <row r="84" spans="2:16" ht="18" customHeight="1" x14ac:dyDescent="0.25">
      <c r="B84" s="139"/>
      <c r="C84" s="173"/>
      <c r="D84" s="147"/>
      <c r="E84" s="147"/>
      <c r="F84" s="147"/>
      <c r="G84" s="147"/>
      <c r="H84" s="147"/>
      <c r="I84" s="147"/>
      <c r="J84" s="147"/>
      <c r="K84" s="147"/>
      <c r="L84" s="170"/>
      <c r="M84" s="61"/>
      <c r="N84" s="61"/>
      <c r="O84" s="61"/>
      <c r="P84" s="139"/>
    </row>
    <row r="85" spans="2:16" ht="18" customHeight="1" x14ac:dyDescent="0.25">
      <c r="B85" s="139"/>
      <c r="C85" s="173"/>
      <c r="D85" s="147"/>
      <c r="E85" s="147"/>
      <c r="F85" s="147"/>
      <c r="G85" s="147"/>
      <c r="H85" s="147"/>
      <c r="I85" s="147"/>
      <c r="J85" s="147"/>
      <c r="K85" s="147"/>
      <c r="L85" s="170"/>
      <c r="M85" s="61"/>
      <c r="N85" s="61"/>
      <c r="O85" s="61"/>
      <c r="P85" s="139"/>
    </row>
    <row r="86" spans="2:16" ht="18" customHeight="1" x14ac:dyDescent="0.25">
      <c r="B86" s="139"/>
      <c r="C86" s="147"/>
      <c r="D86" s="139"/>
      <c r="E86" s="148"/>
      <c r="F86" s="139"/>
      <c r="G86" s="148"/>
      <c r="H86" s="139"/>
      <c r="I86" s="148"/>
      <c r="J86" s="149"/>
      <c r="K86" s="149"/>
      <c r="L86" s="149"/>
      <c r="M86" s="61"/>
      <c r="N86" s="61"/>
      <c r="O86" s="61"/>
      <c r="P86" s="139"/>
    </row>
    <row r="87" spans="2:16" ht="18" customHeight="1" x14ac:dyDescent="0.25">
      <c r="B87" s="139"/>
      <c r="C87" s="147"/>
      <c r="D87" s="139"/>
      <c r="E87" s="148"/>
      <c r="F87" s="139"/>
      <c r="G87" s="148"/>
      <c r="H87" s="139"/>
      <c r="I87" s="148"/>
      <c r="J87" s="149"/>
      <c r="K87" s="149"/>
      <c r="L87" s="149"/>
      <c r="M87" s="61"/>
      <c r="N87" s="61"/>
      <c r="O87" s="61"/>
      <c r="P87" s="139"/>
    </row>
    <row r="88" spans="2:16" ht="18" customHeight="1" x14ac:dyDescent="0.25">
      <c r="B88" s="139"/>
      <c r="C88" s="147"/>
      <c r="D88" s="139"/>
      <c r="E88" s="148"/>
      <c r="F88" s="139"/>
      <c r="G88" s="148"/>
      <c r="H88" s="139"/>
      <c r="I88" s="148"/>
      <c r="J88" s="149"/>
      <c r="K88" s="149"/>
      <c r="L88" s="149"/>
      <c r="M88" s="61"/>
      <c r="N88" s="61"/>
      <c r="O88" s="61"/>
      <c r="P88" s="139"/>
    </row>
    <row r="89" spans="2:16" ht="18" customHeight="1" x14ac:dyDescent="0.25">
      <c r="B89" s="139"/>
      <c r="C89" s="147"/>
      <c r="D89" s="147"/>
      <c r="E89" s="147"/>
      <c r="F89" s="147"/>
      <c r="G89" s="147"/>
      <c r="H89" s="147"/>
      <c r="I89" s="147"/>
      <c r="J89" s="147"/>
      <c r="K89" s="147"/>
      <c r="L89" s="170"/>
      <c r="M89" s="61"/>
      <c r="N89" s="61"/>
      <c r="O89" s="61"/>
      <c r="P89" s="139"/>
    </row>
    <row r="90" spans="2:16" ht="18" customHeight="1" x14ac:dyDescent="0.25">
      <c r="B90" s="139"/>
      <c r="C90" s="147"/>
      <c r="D90" s="147"/>
      <c r="E90" s="147"/>
      <c r="F90" s="147"/>
      <c r="G90" s="147"/>
      <c r="H90" s="147"/>
      <c r="I90" s="147"/>
      <c r="J90" s="147"/>
      <c r="K90" s="147"/>
      <c r="L90" s="170"/>
      <c r="M90" s="61"/>
      <c r="N90" s="61"/>
      <c r="O90" s="61"/>
      <c r="P90" s="139"/>
    </row>
    <row r="91" spans="2:16" ht="18" customHeight="1" x14ac:dyDescent="0.25">
      <c r="B91" s="139"/>
      <c r="C91" s="147"/>
      <c r="D91" s="139"/>
      <c r="E91" s="148"/>
      <c r="F91" s="139"/>
      <c r="G91" s="148"/>
      <c r="H91" s="139"/>
      <c r="I91" s="148"/>
      <c r="J91" s="149"/>
      <c r="K91" s="149"/>
      <c r="L91" s="149"/>
      <c r="M91" s="61"/>
      <c r="N91" s="61"/>
      <c r="O91" s="61"/>
      <c r="P91" s="139"/>
    </row>
    <row r="92" spans="2:16" ht="18" customHeight="1" x14ac:dyDescent="0.25">
      <c r="B92" s="139"/>
      <c r="C92" s="147"/>
      <c r="D92" s="139"/>
      <c r="E92" s="148"/>
      <c r="F92" s="139"/>
      <c r="G92" s="148"/>
      <c r="H92" s="139"/>
      <c r="I92" s="148"/>
      <c r="J92" s="149"/>
      <c r="K92" s="149"/>
      <c r="L92" s="149"/>
      <c r="M92" s="61"/>
      <c r="N92" s="61"/>
      <c r="O92" s="61"/>
      <c r="P92" s="139"/>
    </row>
    <row r="93" spans="2:16" ht="18" customHeight="1" x14ac:dyDescent="0.25">
      <c r="B93" s="139"/>
      <c r="C93" s="147"/>
      <c r="D93" s="139"/>
      <c r="E93" s="148"/>
      <c r="F93" s="139"/>
      <c r="G93" s="148"/>
      <c r="H93" s="139"/>
      <c r="I93" s="148"/>
      <c r="J93" s="149"/>
      <c r="K93" s="149"/>
      <c r="L93" s="149"/>
      <c r="M93" s="61"/>
      <c r="N93" s="61"/>
      <c r="O93" s="61"/>
      <c r="P93" s="139"/>
    </row>
    <row r="94" spans="2:16" ht="18" customHeight="1" x14ac:dyDescent="0.25">
      <c r="B94" s="139"/>
      <c r="C94" s="147"/>
      <c r="D94" s="147"/>
      <c r="E94" s="147"/>
      <c r="F94" s="147"/>
      <c r="G94" s="147"/>
      <c r="H94" s="147"/>
      <c r="I94" s="147"/>
      <c r="J94" s="147"/>
      <c r="K94" s="147"/>
      <c r="L94" s="170"/>
      <c r="M94" s="61"/>
      <c r="N94" s="61"/>
      <c r="O94" s="61"/>
      <c r="P94" s="139"/>
    </row>
    <row r="95" spans="2:16" ht="18" customHeight="1" x14ac:dyDescent="0.25">
      <c r="B95" s="139"/>
      <c r="C95" s="147"/>
      <c r="D95" s="147"/>
      <c r="E95" s="147"/>
      <c r="F95" s="147"/>
      <c r="G95" s="147"/>
      <c r="H95" s="147"/>
      <c r="I95" s="147"/>
      <c r="J95" s="147"/>
      <c r="K95" s="147"/>
      <c r="L95" s="170"/>
      <c r="M95" s="61"/>
      <c r="N95" s="61"/>
      <c r="O95" s="61"/>
      <c r="P95" s="139"/>
    </row>
    <row r="96" spans="2:16" ht="18" customHeight="1" x14ac:dyDescent="0.25">
      <c r="B96" s="139"/>
      <c r="C96" s="147"/>
      <c r="D96" s="139"/>
      <c r="E96" s="148"/>
      <c r="F96" s="139"/>
      <c r="G96" s="148"/>
      <c r="H96" s="139"/>
      <c r="I96" s="148"/>
      <c r="J96" s="149"/>
      <c r="K96" s="149"/>
      <c r="L96" s="149"/>
      <c r="M96" s="61"/>
      <c r="N96" s="61"/>
      <c r="O96" s="61"/>
      <c r="P96" s="139"/>
    </row>
    <row r="97" spans="2:16" ht="18" customHeight="1" x14ac:dyDescent="0.25">
      <c r="B97" s="139"/>
      <c r="C97" s="147"/>
      <c r="D97" s="139"/>
      <c r="E97" s="148"/>
      <c r="F97" s="139"/>
      <c r="G97" s="148"/>
      <c r="H97" s="139"/>
      <c r="I97" s="148"/>
      <c r="J97" s="149"/>
      <c r="K97" s="149"/>
      <c r="L97" s="149"/>
      <c r="M97" s="61"/>
      <c r="N97" s="61"/>
      <c r="O97" s="61"/>
      <c r="P97" s="139"/>
    </row>
    <row r="98" spans="2:16" ht="18" customHeight="1" x14ac:dyDescent="0.25">
      <c r="B98" s="139"/>
      <c r="C98" s="147"/>
      <c r="D98" s="139"/>
      <c r="E98" s="148"/>
      <c r="F98" s="139"/>
      <c r="G98" s="148"/>
      <c r="H98" s="139"/>
      <c r="I98" s="148"/>
      <c r="J98" s="149"/>
      <c r="K98" s="149"/>
      <c r="L98" s="149"/>
      <c r="M98" s="61"/>
      <c r="N98" s="61"/>
      <c r="O98" s="61"/>
      <c r="P98" s="139"/>
    </row>
    <row r="99" spans="2:16" ht="18" customHeight="1" x14ac:dyDescent="0.25">
      <c r="B99" s="139"/>
      <c r="C99" s="147"/>
      <c r="D99" s="147"/>
      <c r="E99" s="147"/>
      <c r="F99" s="147"/>
      <c r="G99" s="147"/>
      <c r="H99" s="147"/>
      <c r="I99" s="147"/>
      <c r="J99" s="147"/>
      <c r="K99" s="147"/>
      <c r="L99" s="170"/>
      <c r="M99" s="61"/>
      <c r="N99" s="61"/>
      <c r="O99" s="61"/>
      <c r="P99" s="139"/>
    </row>
    <row r="100" spans="2:16" ht="18" customHeight="1" x14ac:dyDescent="0.25">
      <c r="B100" s="139"/>
      <c r="C100" s="147"/>
      <c r="D100" s="147"/>
      <c r="E100" s="147"/>
      <c r="F100" s="147"/>
      <c r="G100" s="147"/>
      <c r="H100" s="147"/>
      <c r="I100" s="147"/>
      <c r="J100" s="147"/>
      <c r="K100" s="147"/>
      <c r="L100" s="170"/>
      <c r="M100" s="61"/>
      <c r="N100" s="61"/>
      <c r="O100" s="61"/>
      <c r="P100" s="139"/>
    </row>
    <row r="101" spans="2:16" ht="18" customHeight="1" x14ac:dyDescent="0.25">
      <c r="B101" s="139"/>
      <c r="C101" s="147"/>
      <c r="D101" s="139"/>
      <c r="E101" s="148"/>
      <c r="F101" s="139"/>
      <c r="G101" s="148"/>
      <c r="H101" s="139"/>
      <c r="I101" s="148"/>
      <c r="J101" s="149"/>
      <c r="K101" s="149"/>
      <c r="L101" s="149"/>
      <c r="M101" s="61"/>
      <c r="N101" s="61"/>
      <c r="O101" s="61"/>
      <c r="P101" s="139"/>
    </row>
    <row r="102" spans="2:16" ht="18" customHeight="1" x14ac:dyDescent="0.25">
      <c r="B102" s="139"/>
      <c r="C102" s="147"/>
      <c r="D102" s="139"/>
      <c r="E102" s="148"/>
      <c r="F102" s="139"/>
      <c r="G102" s="148"/>
      <c r="H102" s="139"/>
      <c r="I102" s="148"/>
      <c r="J102" s="149"/>
      <c r="K102" s="149"/>
      <c r="L102" s="149"/>
      <c r="M102" s="61"/>
      <c r="N102" s="61"/>
      <c r="O102" s="61"/>
      <c r="P102" s="139"/>
    </row>
    <row r="103" spans="2:16" ht="18" customHeight="1" x14ac:dyDescent="0.25">
      <c r="B103" s="139"/>
      <c r="C103" s="147"/>
      <c r="D103" s="139"/>
      <c r="E103" s="148"/>
      <c r="F103" s="139"/>
      <c r="G103" s="148"/>
      <c r="H103" s="139"/>
      <c r="I103" s="148"/>
      <c r="J103" s="149"/>
      <c r="K103" s="149"/>
      <c r="L103" s="149"/>
      <c r="M103" s="61"/>
      <c r="N103" s="61"/>
      <c r="O103" s="61"/>
      <c r="P103" s="139"/>
    </row>
    <row r="104" spans="2:16" ht="18" customHeight="1" x14ac:dyDescent="0.25">
      <c r="B104" s="139"/>
      <c r="C104" s="147"/>
      <c r="D104" s="147"/>
      <c r="E104" s="147"/>
      <c r="F104" s="147"/>
      <c r="G104" s="147"/>
      <c r="H104" s="147"/>
      <c r="I104" s="147"/>
      <c r="J104" s="147"/>
      <c r="K104" s="147"/>
      <c r="L104" s="170"/>
      <c r="M104" s="61"/>
      <c r="N104" s="61"/>
      <c r="O104" s="61"/>
      <c r="P104" s="139"/>
    </row>
    <row r="105" spans="2:16" ht="18" customHeight="1" x14ac:dyDescent="0.25">
      <c r="B105" s="139"/>
      <c r="C105" s="147"/>
      <c r="D105" s="147"/>
      <c r="E105" s="147"/>
      <c r="F105" s="147"/>
      <c r="G105" s="147"/>
      <c r="H105" s="147"/>
      <c r="I105" s="147"/>
      <c r="J105" s="147"/>
      <c r="K105" s="147"/>
      <c r="L105" s="170"/>
      <c r="M105" s="61"/>
      <c r="N105" s="61"/>
      <c r="O105" s="61"/>
      <c r="P105" s="139"/>
    </row>
    <row r="106" spans="2:16" ht="18" customHeight="1" x14ac:dyDescent="0.25">
      <c r="B106" s="139"/>
      <c r="C106" s="147"/>
      <c r="D106" s="139"/>
      <c r="E106" s="148"/>
      <c r="F106" s="139"/>
      <c r="G106" s="148"/>
      <c r="H106" s="139"/>
      <c r="I106" s="148"/>
      <c r="J106" s="149"/>
      <c r="K106" s="149"/>
      <c r="L106" s="149"/>
      <c r="M106" s="61"/>
      <c r="N106" s="61"/>
      <c r="O106" s="61"/>
      <c r="P106" s="139"/>
    </row>
    <row r="107" spans="2:16" ht="18" customHeight="1" x14ac:dyDescent="0.25">
      <c r="B107" s="139"/>
      <c r="C107" s="147"/>
      <c r="D107" s="139"/>
      <c r="E107" s="148"/>
      <c r="F107" s="139"/>
      <c r="G107" s="148"/>
      <c r="H107" s="139"/>
      <c r="I107" s="148"/>
      <c r="J107" s="149"/>
      <c r="K107" s="149"/>
      <c r="L107" s="149"/>
      <c r="M107" s="61"/>
      <c r="N107" s="61"/>
      <c r="O107" s="61"/>
      <c r="P107" s="139"/>
    </row>
    <row r="108" spans="2:16" ht="18" customHeight="1" x14ac:dyDescent="0.25">
      <c r="B108" s="139"/>
      <c r="C108" s="147"/>
      <c r="D108" s="139"/>
      <c r="E108" s="148"/>
      <c r="F108" s="139"/>
      <c r="G108" s="148"/>
      <c r="H108" s="139"/>
      <c r="I108" s="148"/>
      <c r="J108" s="149"/>
      <c r="K108" s="149"/>
      <c r="L108" s="149"/>
      <c r="M108" s="61"/>
      <c r="N108" s="61"/>
      <c r="O108" s="61"/>
      <c r="P108" s="139"/>
    </row>
    <row r="109" spans="2:16" ht="18" customHeight="1" x14ac:dyDescent="0.25">
      <c r="B109" s="139"/>
      <c r="C109" s="147"/>
      <c r="D109" s="147"/>
      <c r="E109" s="147"/>
      <c r="F109" s="147"/>
      <c r="G109" s="147"/>
      <c r="H109" s="147"/>
      <c r="I109" s="147"/>
      <c r="J109" s="147"/>
      <c r="K109" s="147"/>
      <c r="L109" s="170"/>
      <c r="M109" s="61"/>
      <c r="N109" s="61"/>
      <c r="O109" s="61"/>
      <c r="P109" s="139"/>
    </row>
    <row r="110" spans="2:16" ht="18" customHeight="1" x14ac:dyDescent="0.25">
      <c r="B110" s="139"/>
      <c r="C110" s="147"/>
      <c r="D110" s="147"/>
      <c r="E110" s="147"/>
      <c r="F110" s="147"/>
      <c r="G110" s="147"/>
      <c r="H110" s="147"/>
      <c r="I110" s="147"/>
      <c r="J110" s="147"/>
      <c r="K110" s="147"/>
      <c r="L110" s="170"/>
      <c r="M110" s="61"/>
      <c r="N110" s="61"/>
      <c r="O110" s="61"/>
      <c r="P110" s="139"/>
    </row>
    <row r="111" spans="2:16" ht="18" customHeight="1" x14ac:dyDescent="0.25">
      <c r="B111" s="139"/>
      <c r="C111" s="147"/>
      <c r="D111" s="139"/>
      <c r="E111" s="148"/>
      <c r="F111" s="139"/>
      <c r="G111" s="148"/>
      <c r="H111" s="139"/>
      <c r="I111" s="148"/>
      <c r="J111" s="149"/>
      <c r="K111" s="149"/>
      <c r="L111" s="149"/>
      <c r="M111" s="61"/>
      <c r="N111" s="61"/>
      <c r="O111" s="61"/>
      <c r="P111" s="139"/>
    </row>
    <row r="112" spans="2:16" ht="18" customHeight="1" x14ac:dyDescent="0.25">
      <c r="B112" s="139"/>
      <c r="C112" s="147"/>
      <c r="D112" s="139"/>
      <c r="E112" s="148"/>
      <c r="F112" s="139"/>
      <c r="G112" s="148"/>
      <c r="H112" s="139"/>
      <c r="I112" s="148"/>
      <c r="J112" s="149"/>
      <c r="K112" s="149"/>
      <c r="L112" s="149"/>
      <c r="M112" s="61"/>
      <c r="N112" s="61"/>
      <c r="O112" s="61"/>
      <c r="P112" s="139"/>
    </row>
    <row r="113" spans="2:16" ht="18" customHeight="1" x14ac:dyDescent="0.25">
      <c r="B113" s="139"/>
      <c r="C113" s="147"/>
      <c r="D113" s="139"/>
      <c r="E113" s="148"/>
      <c r="F113" s="139"/>
      <c r="G113" s="148"/>
      <c r="H113" s="139"/>
      <c r="I113" s="148"/>
      <c r="J113" s="149"/>
      <c r="K113" s="149"/>
      <c r="L113" s="149"/>
      <c r="M113" s="61"/>
      <c r="N113" s="61"/>
      <c r="O113" s="61"/>
      <c r="P113" s="139"/>
    </row>
    <row r="114" spans="2:16" ht="18" customHeight="1" x14ac:dyDescent="0.25">
      <c r="B114" s="139"/>
      <c r="C114" s="147"/>
      <c r="D114" s="147"/>
      <c r="E114" s="147"/>
      <c r="F114" s="147"/>
      <c r="G114" s="147"/>
      <c r="H114" s="147"/>
      <c r="I114" s="147"/>
      <c r="J114" s="147"/>
      <c r="K114" s="147"/>
      <c r="L114" s="170"/>
      <c r="M114" s="61"/>
      <c r="N114" s="61"/>
      <c r="O114" s="61"/>
      <c r="P114" s="139"/>
    </row>
    <row r="115" spans="2:16" ht="18" customHeight="1" x14ac:dyDescent="0.25">
      <c r="B115" s="139"/>
      <c r="C115" s="147"/>
      <c r="D115" s="147"/>
      <c r="E115" s="147"/>
      <c r="F115" s="147"/>
      <c r="G115" s="147"/>
      <c r="H115" s="147"/>
      <c r="I115" s="147"/>
      <c r="J115" s="147"/>
      <c r="K115" s="147"/>
      <c r="L115" s="170"/>
      <c r="M115" s="61"/>
      <c r="N115" s="61"/>
      <c r="O115" s="61"/>
      <c r="P115" s="139"/>
    </row>
    <row r="116" spans="2:16" ht="18" customHeight="1" x14ac:dyDescent="0.25">
      <c r="B116" s="139"/>
      <c r="C116" s="147"/>
      <c r="D116" s="139"/>
      <c r="E116" s="148"/>
      <c r="F116" s="139"/>
      <c r="G116" s="148"/>
      <c r="H116" s="139"/>
      <c r="I116" s="148"/>
      <c r="J116" s="149"/>
      <c r="K116" s="149"/>
      <c r="L116" s="149"/>
      <c r="M116" s="61"/>
      <c r="N116" s="61"/>
      <c r="O116" s="61"/>
      <c r="P116" s="139"/>
    </row>
    <row r="117" spans="2:16" ht="18" customHeight="1" x14ac:dyDescent="0.25">
      <c r="B117" s="139"/>
      <c r="C117" s="147"/>
      <c r="D117" s="139"/>
      <c r="E117" s="148"/>
      <c r="F117" s="139"/>
      <c r="G117" s="148"/>
      <c r="H117" s="139"/>
      <c r="I117" s="148"/>
      <c r="J117" s="149"/>
      <c r="K117" s="149"/>
      <c r="L117" s="149"/>
      <c r="M117" s="61"/>
      <c r="N117" s="61"/>
      <c r="O117" s="61"/>
      <c r="P117" s="139"/>
    </row>
    <row r="118" spans="2:16" ht="18" customHeight="1" x14ac:dyDescent="0.25">
      <c r="B118" s="139"/>
      <c r="C118" s="147"/>
      <c r="D118" s="139"/>
      <c r="E118" s="148"/>
      <c r="F118" s="139"/>
      <c r="G118" s="148"/>
      <c r="H118" s="139"/>
      <c r="I118" s="148"/>
      <c r="J118" s="149"/>
      <c r="K118" s="149"/>
      <c r="L118" s="149"/>
      <c r="M118" s="61"/>
      <c r="N118" s="61"/>
      <c r="O118" s="61"/>
      <c r="P118" s="139"/>
    </row>
    <row r="119" spans="2:16" ht="18" customHeight="1" x14ac:dyDescent="0.25">
      <c r="B119" s="139"/>
      <c r="C119" s="147"/>
      <c r="D119" s="147"/>
      <c r="E119" s="147"/>
      <c r="F119" s="147"/>
      <c r="G119" s="147"/>
      <c r="H119" s="147"/>
      <c r="I119" s="147"/>
      <c r="J119" s="147"/>
      <c r="K119" s="147"/>
      <c r="L119" s="170"/>
      <c r="M119" s="61"/>
      <c r="N119" s="61"/>
      <c r="O119" s="61"/>
      <c r="P119" s="139"/>
    </row>
    <row r="120" spans="2:16" ht="18" customHeight="1" x14ac:dyDescent="0.25">
      <c r="B120" s="139"/>
      <c r="C120" s="147"/>
      <c r="D120" s="147"/>
      <c r="E120" s="147"/>
      <c r="F120" s="147"/>
      <c r="G120" s="147"/>
      <c r="H120" s="147"/>
      <c r="I120" s="147"/>
      <c r="J120" s="147"/>
      <c r="K120" s="147"/>
      <c r="L120" s="170"/>
      <c r="M120" s="61"/>
      <c r="N120" s="61"/>
      <c r="O120" s="61"/>
      <c r="P120" s="139"/>
    </row>
    <row r="121" spans="2:16" ht="18" customHeight="1" x14ac:dyDescent="0.25">
      <c r="B121" s="139"/>
      <c r="C121" s="147"/>
      <c r="D121" s="139"/>
      <c r="E121" s="148"/>
      <c r="F121" s="139"/>
      <c r="G121" s="148"/>
      <c r="H121" s="139"/>
      <c r="I121" s="148"/>
      <c r="J121" s="149"/>
      <c r="K121" s="149"/>
      <c r="L121" s="149"/>
      <c r="M121" s="61"/>
      <c r="N121" s="61"/>
      <c r="O121" s="61"/>
      <c r="P121" s="139"/>
    </row>
    <row r="122" spans="2:16" ht="18" customHeight="1" x14ac:dyDescent="0.25">
      <c r="B122" s="139"/>
      <c r="C122" s="147"/>
      <c r="D122" s="139"/>
      <c r="E122" s="148"/>
      <c r="F122" s="139"/>
      <c r="G122" s="148"/>
      <c r="H122" s="139"/>
      <c r="I122" s="148"/>
      <c r="J122" s="149"/>
      <c r="K122" s="149"/>
      <c r="L122" s="149"/>
      <c r="M122" s="61"/>
      <c r="N122" s="61"/>
      <c r="O122" s="61"/>
      <c r="P122" s="139"/>
    </row>
    <row r="123" spans="2:16" ht="18" customHeight="1" x14ac:dyDescent="0.25">
      <c r="B123" s="139"/>
      <c r="C123" s="147"/>
      <c r="D123" s="139"/>
      <c r="E123" s="148"/>
      <c r="F123" s="139"/>
      <c r="G123" s="148"/>
      <c r="H123" s="139"/>
      <c r="I123" s="148"/>
      <c r="J123" s="149"/>
      <c r="K123" s="149"/>
      <c r="L123" s="149"/>
      <c r="M123" s="61"/>
      <c r="N123" s="61"/>
      <c r="O123" s="61"/>
      <c r="P123" s="139"/>
    </row>
    <row r="124" spans="2:16" ht="18" customHeight="1" x14ac:dyDescent="0.25">
      <c r="B124" s="139"/>
      <c r="C124" s="147"/>
      <c r="D124" s="147"/>
      <c r="E124" s="147"/>
      <c r="F124" s="147"/>
      <c r="G124" s="147"/>
      <c r="H124" s="147"/>
      <c r="I124" s="147"/>
      <c r="J124" s="147"/>
      <c r="K124" s="147"/>
      <c r="L124" s="170"/>
      <c r="M124" s="61"/>
      <c r="N124" s="61"/>
      <c r="O124" s="61"/>
      <c r="P124" s="139"/>
    </row>
    <row r="125" spans="2:16" ht="18" customHeight="1" x14ac:dyDescent="0.25">
      <c r="B125" s="139"/>
      <c r="C125" s="147"/>
      <c r="D125" s="147"/>
      <c r="E125" s="147"/>
      <c r="F125" s="147"/>
      <c r="G125" s="147"/>
      <c r="H125" s="147"/>
      <c r="I125" s="147"/>
      <c r="J125" s="147"/>
      <c r="K125" s="147"/>
      <c r="L125" s="170"/>
      <c r="M125" s="61"/>
      <c r="N125" s="61"/>
      <c r="O125" s="61"/>
      <c r="P125" s="139"/>
    </row>
    <row r="126" spans="2:16" ht="18" customHeight="1" x14ac:dyDescent="0.25">
      <c r="B126" s="139"/>
      <c r="C126" s="147"/>
      <c r="D126" s="139"/>
      <c r="E126" s="148"/>
      <c r="F126" s="139"/>
      <c r="G126" s="148"/>
      <c r="H126" s="139"/>
      <c r="I126" s="148"/>
      <c r="J126" s="149"/>
      <c r="K126" s="149"/>
      <c r="L126" s="149"/>
      <c r="M126" s="61"/>
      <c r="N126" s="61"/>
      <c r="O126" s="61"/>
      <c r="P126" s="139"/>
    </row>
    <row r="127" spans="2:16" ht="18" customHeight="1" x14ac:dyDescent="0.25">
      <c r="B127" s="139"/>
      <c r="C127" s="147"/>
      <c r="D127" s="139"/>
      <c r="E127" s="148"/>
      <c r="F127" s="139"/>
      <c r="G127" s="148"/>
      <c r="H127" s="139"/>
      <c r="I127" s="148"/>
      <c r="J127" s="149"/>
      <c r="K127" s="149"/>
      <c r="L127" s="149"/>
      <c r="M127" s="61"/>
      <c r="N127" s="61"/>
      <c r="O127" s="61"/>
      <c r="P127" s="139"/>
    </row>
    <row r="128" spans="2:16" ht="18" customHeight="1" x14ac:dyDescent="0.25">
      <c r="B128" s="139"/>
      <c r="C128" s="147"/>
      <c r="D128" s="139"/>
      <c r="E128" s="148"/>
      <c r="F128" s="139"/>
      <c r="G128" s="148"/>
      <c r="H128" s="139"/>
      <c r="I128" s="148"/>
      <c r="J128" s="149"/>
      <c r="K128" s="149"/>
      <c r="L128" s="149"/>
      <c r="M128" s="61"/>
      <c r="N128" s="61"/>
      <c r="O128" s="61"/>
      <c r="P128" s="139"/>
    </row>
    <row r="129" spans="2:16" ht="18" customHeight="1" x14ac:dyDescent="0.25">
      <c r="B129" s="139"/>
      <c r="C129" s="147"/>
      <c r="D129" s="147"/>
      <c r="E129" s="147"/>
      <c r="F129" s="147"/>
      <c r="G129" s="147"/>
      <c r="H129" s="147"/>
      <c r="I129" s="147"/>
      <c r="J129" s="147"/>
      <c r="K129" s="147"/>
      <c r="L129" s="170"/>
      <c r="M129" s="61"/>
      <c r="N129" s="61"/>
      <c r="O129" s="61"/>
      <c r="P129" s="139"/>
    </row>
    <row r="130" spans="2:16" ht="18" customHeight="1" x14ac:dyDescent="0.25">
      <c r="B130" s="139"/>
      <c r="C130" s="147"/>
      <c r="D130" s="147"/>
      <c r="E130" s="147"/>
      <c r="F130" s="147"/>
      <c r="G130" s="147"/>
      <c r="H130" s="147"/>
      <c r="I130" s="147"/>
      <c r="J130" s="147"/>
      <c r="K130" s="147"/>
      <c r="L130" s="170"/>
      <c r="M130" s="61"/>
      <c r="N130" s="61"/>
      <c r="O130" s="61"/>
      <c r="P130" s="139"/>
    </row>
    <row r="131" spans="2:16" ht="18" customHeight="1" x14ac:dyDescent="0.25">
      <c r="B131" s="139"/>
      <c r="C131" s="147"/>
      <c r="D131" s="139"/>
      <c r="E131" s="148"/>
      <c r="F131" s="139"/>
      <c r="G131" s="148"/>
      <c r="H131" s="139"/>
      <c r="I131" s="148"/>
      <c r="J131" s="149"/>
      <c r="K131" s="149"/>
      <c r="L131" s="149"/>
      <c r="M131" s="61"/>
      <c r="N131" s="61"/>
      <c r="O131" s="61"/>
      <c r="P131" s="139"/>
    </row>
    <row r="132" spans="2:16" ht="18" customHeight="1" x14ac:dyDescent="0.25">
      <c r="B132" s="139"/>
      <c r="C132" s="147"/>
      <c r="D132" s="139"/>
      <c r="E132" s="148"/>
      <c r="F132" s="139"/>
      <c r="G132" s="148"/>
      <c r="H132" s="139"/>
      <c r="I132" s="148"/>
      <c r="J132" s="149"/>
      <c r="K132" s="149"/>
      <c r="L132" s="149"/>
      <c r="M132" s="61"/>
      <c r="N132" s="61"/>
      <c r="O132" s="61"/>
      <c r="P132" s="139"/>
    </row>
    <row r="133" spans="2:16" ht="18" customHeight="1" x14ac:dyDescent="0.25">
      <c r="B133" s="139"/>
      <c r="C133" s="147"/>
      <c r="D133" s="139"/>
      <c r="E133" s="148"/>
      <c r="F133" s="139"/>
      <c r="G133" s="148"/>
      <c r="H133" s="139"/>
      <c r="I133" s="148"/>
      <c r="J133" s="149"/>
      <c r="K133" s="149"/>
      <c r="L133" s="149"/>
      <c r="M133" s="61"/>
      <c r="N133" s="61"/>
      <c r="O133" s="61"/>
      <c r="P133" s="139"/>
    </row>
    <row r="134" spans="2:16" ht="18" customHeight="1" x14ac:dyDescent="0.25">
      <c r="B134" s="139"/>
      <c r="C134" s="147"/>
      <c r="D134" s="147"/>
      <c r="E134" s="147"/>
      <c r="F134" s="147"/>
      <c r="G134" s="147"/>
      <c r="H134" s="147"/>
      <c r="I134" s="147"/>
      <c r="J134" s="147"/>
      <c r="K134" s="147"/>
      <c r="L134" s="170"/>
      <c r="M134" s="61"/>
      <c r="N134" s="61"/>
      <c r="O134" s="61"/>
      <c r="P134" s="139"/>
    </row>
    <row r="135" spans="2:16" ht="18" customHeight="1" x14ac:dyDescent="0.25">
      <c r="B135" s="139"/>
      <c r="C135" s="147"/>
      <c r="D135" s="147"/>
      <c r="E135" s="147"/>
      <c r="F135" s="147"/>
      <c r="G135" s="147"/>
      <c r="H135" s="147"/>
      <c r="I135" s="147"/>
      <c r="J135" s="147"/>
      <c r="K135" s="147"/>
      <c r="L135" s="170"/>
      <c r="M135" s="61"/>
      <c r="N135" s="61"/>
      <c r="O135" s="61"/>
      <c r="P135" s="139"/>
    </row>
    <row r="136" spans="2:16" ht="18" customHeight="1" x14ac:dyDescent="0.25">
      <c r="B136" s="139"/>
      <c r="C136" s="147"/>
      <c r="D136" s="139"/>
      <c r="E136" s="148"/>
      <c r="F136" s="139"/>
      <c r="G136" s="148"/>
      <c r="H136" s="139"/>
      <c r="I136" s="148"/>
      <c r="J136" s="149"/>
      <c r="K136" s="149"/>
      <c r="L136" s="149"/>
      <c r="M136" s="61"/>
      <c r="N136" s="61"/>
      <c r="O136" s="61"/>
      <c r="P136" s="139"/>
    </row>
    <row r="137" spans="2:16" ht="18" customHeight="1" x14ac:dyDescent="0.25">
      <c r="B137" s="139"/>
      <c r="C137" s="147"/>
      <c r="D137" s="139"/>
      <c r="E137" s="148"/>
      <c r="F137" s="139"/>
      <c r="G137" s="148"/>
      <c r="H137" s="139"/>
      <c r="I137" s="148"/>
      <c r="J137" s="149"/>
      <c r="K137" s="149"/>
      <c r="L137" s="149"/>
      <c r="M137" s="61"/>
      <c r="N137" s="61"/>
      <c r="O137" s="61"/>
      <c r="P137" s="139"/>
    </row>
    <row r="138" spans="2:16" ht="18" customHeight="1" x14ac:dyDescent="0.25">
      <c r="B138" s="139"/>
      <c r="C138" s="147"/>
      <c r="D138" s="139"/>
      <c r="E138" s="148"/>
      <c r="F138" s="139"/>
      <c r="G138" s="148"/>
      <c r="H138" s="139"/>
      <c r="I138" s="148"/>
      <c r="J138" s="149"/>
      <c r="K138" s="149"/>
      <c r="L138" s="149"/>
      <c r="M138" s="61"/>
      <c r="N138" s="61"/>
      <c r="O138" s="61"/>
      <c r="P138" s="139"/>
    </row>
    <row r="139" spans="2:16" ht="18" customHeight="1" x14ac:dyDescent="0.25">
      <c r="B139" s="139"/>
      <c r="C139" s="147"/>
      <c r="D139" s="147"/>
      <c r="E139" s="147"/>
      <c r="F139" s="147"/>
      <c r="G139" s="147"/>
      <c r="H139" s="147"/>
      <c r="I139" s="147"/>
      <c r="J139" s="147"/>
      <c r="K139" s="147"/>
      <c r="L139" s="170"/>
      <c r="M139" s="61"/>
      <c r="N139" s="61"/>
      <c r="O139" s="61"/>
      <c r="P139" s="139"/>
    </row>
    <row r="140" spans="2:16" ht="18" customHeight="1" x14ac:dyDescent="0.25">
      <c r="B140" s="139"/>
      <c r="C140" s="147"/>
      <c r="D140" s="147"/>
      <c r="E140" s="147"/>
      <c r="F140" s="147"/>
      <c r="G140" s="147"/>
      <c r="H140" s="147"/>
      <c r="I140" s="147"/>
      <c r="J140" s="147"/>
      <c r="K140" s="147"/>
      <c r="L140" s="170"/>
      <c r="M140" s="61"/>
      <c r="N140" s="61"/>
      <c r="O140" s="61"/>
      <c r="P140" s="139"/>
    </row>
    <row r="141" spans="2:16" ht="18" customHeight="1" x14ac:dyDescent="0.25">
      <c r="B141" s="139"/>
      <c r="C141" s="147"/>
      <c r="D141" s="139"/>
      <c r="E141" s="148"/>
      <c r="F141" s="139"/>
      <c r="G141" s="148"/>
      <c r="H141" s="139"/>
      <c r="I141" s="148"/>
      <c r="J141" s="149"/>
      <c r="K141" s="149"/>
      <c r="L141" s="149"/>
      <c r="M141" s="61"/>
      <c r="N141" s="61"/>
      <c r="O141" s="61"/>
      <c r="P141" s="139"/>
    </row>
    <row r="142" spans="2:16" ht="18" customHeight="1" x14ac:dyDescent="0.25">
      <c r="B142" s="139"/>
      <c r="C142" s="147"/>
      <c r="D142" s="139"/>
      <c r="E142" s="148"/>
      <c r="F142" s="139"/>
      <c r="G142" s="148"/>
      <c r="H142" s="139"/>
      <c r="I142" s="148"/>
      <c r="J142" s="149"/>
      <c r="K142" s="149"/>
      <c r="L142" s="149"/>
      <c r="M142" s="61"/>
      <c r="N142" s="61"/>
      <c r="O142" s="61"/>
      <c r="P142" s="139"/>
    </row>
    <row r="143" spans="2:16" ht="18" customHeight="1" x14ac:dyDescent="0.25">
      <c r="B143" s="139"/>
      <c r="C143" s="147"/>
      <c r="D143" s="139"/>
      <c r="E143" s="148"/>
      <c r="F143" s="139"/>
      <c r="G143" s="148"/>
      <c r="H143" s="139"/>
      <c r="I143" s="148"/>
      <c r="J143" s="149"/>
      <c r="K143" s="149"/>
      <c r="L143" s="149"/>
      <c r="M143" s="61"/>
      <c r="N143" s="61"/>
      <c r="O143" s="61"/>
      <c r="P143" s="139"/>
    </row>
    <row r="144" spans="2:16" ht="18" customHeight="1" x14ac:dyDescent="0.25">
      <c r="B144" s="139"/>
      <c r="C144" s="147"/>
      <c r="D144" s="147"/>
      <c r="E144" s="147"/>
      <c r="F144" s="147"/>
      <c r="G144" s="147"/>
      <c r="H144" s="147"/>
      <c r="I144" s="147"/>
      <c r="J144" s="147"/>
      <c r="K144" s="147"/>
      <c r="L144" s="170"/>
      <c r="M144" s="61"/>
      <c r="N144" s="61"/>
      <c r="O144" s="61"/>
      <c r="P144" s="139"/>
    </row>
    <row r="145" spans="2:16" ht="18" customHeight="1" x14ac:dyDescent="0.25">
      <c r="B145" s="139"/>
      <c r="C145" s="147"/>
      <c r="D145" s="147"/>
      <c r="E145" s="147"/>
      <c r="F145" s="147"/>
      <c r="G145" s="147"/>
      <c r="H145" s="147"/>
      <c r="I145" s="147"/>
      <c r="J145" s="147"/>
      <c r="K145" s="147"/>
      <c r="L145" s="170"/>
      <c r="M145" s="61"/>
      <c r="N145" s="61"/>
      <c r="O145" s="61"/>
      <c r="P145" s="139"/>
    </row>
    <row r="146" spans="2:16" ht="18" customHeight="1" x14ac:dyDescent="0.25">
      <c r="B146" s="139"/>
      <c r="C146" s="139"/>
      <c r="D146" s="139"/>
      <c r="E146" s="148"/>
      <c r="F146" s="139"/>
      <c r="G146" s="148"/>
      <c r="H146" s="139"/>
      <c r="I146" s="148"/>
      <c r="J146" s="149"/>
      <c r="K146" s="149"/>
      <c r="L146" s="149"/>
      <c r="M146" s="61"/>
      <c r="N146" s="61"/>
      <c r="O146" s="61"/>
      <c r="P146" s="139"/>
    </row>
    <row r="147" spans="2:16" ht="18" customHeight="1" x14ac:dyDescent="0.25">
      <c r="B147" s="139"/>
      <c r="C147" s="139"/>
      <c r="D147" s="139"/>
      <c r="E147" s="148"/>
      <c r="F147" s="139"/>
      <c r="G147" s="148"/>
      <c r="H147" s="139"/>
      <c r="I147" s="148"/>
      <c r="J147" s="149"/>
      <c r="K147" s="149"/>
      <c r="L147" s="149"/>
      <c r="M147" s="61"/>
      <c r="N147" s="61"/>
      <c r="O147" s="61"/>
      <c r="P147" s="139"/>
    </row>
    <row r="148" spans="2:16" ht="18" customHeight="1" x14ac:dyDescent="0.25">
      <c r="B148" s="139"/>
      <c r="C148" s="139"/>
      <c r="D148" s="139"/>
      <c r="E148" s="148"/>
      <c r="F148" s="139"/>
      <c r="G148" s="148"/>
      <c r="H148" s="139"/>
      <c r="I148" s="148"/>
      <c r="J148" s="149"/>
      <c r="K148" s="149"/>
      <c r="L148" s="149"/>
      <c r="M148" s="61"/>
      <c r="N148" s="61"/>
      <c r="O148" s="61"/>
      <c r="P148" s="139"/>
    </row>
    <row r="149" spans="2:16" ht="18" customHeight="1" x14ac:dyDescent="0.25">
      <c r="B149" s="139"/>
      <c r="C149" s="139"/>
      <c r="D149" s="139"/>
      <c r="E149" s="148"/>
      <c r="F149" s="139"/>
      <c r="G149" s="148"/>
      <c r="H149" s="139"/>
      <c r="I149" s="148"/>
      <c r="J149" s="149"/>
      <c r="K149" s="149"/>
      <c r="L149" s="149"/>
      <c r="M149" s="61"/>
      <c r="N149" s="61"/>
      <c r="O149" s="61"/>
      <c r="P149" s="139"/>
    </row>
    <row r="150" spans="2:16" ht="18" customHeight="1" x14ac:dyDescent="0.25">
      <c r="B150" s="139"/>
      <c r="C150" s="139"/>
      <c r="D150" s="139"/>
      <c r="E150" s="148"/>
      <c r="F150" s="139"/>
      <c r="G150" s="148"/>
      <c r="H150" s="139"/>
      <c r="I150" s="148"/>
      <c r="J150" s="149"/>
      <c r="K150" s="149"/>
      <c r="L150" s="149"/>
      <c r="M150" s="61"/>
      <c r="N150" s="61"/>
      <c r="O150" s="61"/>
      <c r="P150" s="139"/>
    </row>
  </sheetData>
  <mergeCells count="17">
    <mergeCell ref="B64:B68"/>
    <mergeCell ref="B38:B41"/>
    <mergeCell ref="B42:B45"/>
    <mergeCell ref="B46:B51"/>
    <mergeCell ref="B52:B54"/>
    <mergeCell ref="B55:B59"/>
    <mergeCell ref="B60:B63"/>
    <mergeCell ref="B17:B21"/>
    <mergeCell ref="B22:B25"/>
    <mergeCell ref="B26:B30"/>
    <mergeCell ref="B31:B34"/>
    <mergeCell ref="B35:B37"/>
    <mergeCell ref="D2:I2"/>
    <mergeCell ref="M2:O2"/>
    <mergeCell ref="B4:B7"/>
    <mergeCell ref="B8:B12"/>
    <mergeCell ref="B13:B16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30"/>
  <sheetViews>
    <sheetView topLeftCell="A4" workbookViewId="0">
      <selection activeCell="I3" sqref="I3"/>
    </sheetView>
  </sheetViews>
  <sheetFormatPr defaultRowHeight="15" x14ac:dyDescent="0.25"/>
  <cols>
    <col min="1" max="1" width="9.140625" style="1"/>
    <col min="2" max="2" width="16.85546875" bestFit="1" customWidth="1"/>
    <col min="3" max="3" width="9.7109375" bestFit="1" customWidth="1"/>
    <col min="4" max="4" width="9.140625" bestFit="1" customWidth="1"/>
    <col min="5" max="5" width="8" bestFit="1" customWidth="1"/>
    <col min="6" max="6" width="9.7109375" bestFit="1" customWidth="1"/>
    <col min="7" max="7" width="12" bestFit="1" customWidth="1"/>
    <col min="8" max="8" width="12.5703125" bestFit="1" customWidth="1"/>
    <col min="9" max="9" width="11.28515625" bestFit="1" customWidth="1"/>
    <col min="10" max="10" width="11.140625" style="1" customWidth="1"/>
    <col min="11" max="11" width="11" customWidth="1"/>
    <col min="12" max="12" width="9.140625" style="1"/>
    <col min="13" max="13" width="3" customWidth="1"/>
    <col min="14" max="14" width="18.85546875" style="1" customWidth="1"/>
    <col min="15" max="15" width="9.140625" style="1"/>
    <col min="16" max="16" width="10" style="1" bestFit="1" customWidth="1"/>
    <col min="17" max="21" width="9.140625" style="1"/>
  </cols>
  <sheetData>
    <row r="1" spans="1:22" ht="15.75" thickBot="1" x14ac:dyDescent="0.3"/>
    <row r="2" spans="1:22" ht="15.75" customHeight="1" thickBot="1" x14ac:dyDescent="0.3">
      <c r="A2" s="26"/>
      <c r="B2" s="454" t="s">
        <v>189</v>
      </c>
      <c r="C2" s="421" t="s">
        <v>190</v>
      </c>
      <c r="D2" s="500"/>
      <c r="E2" s="493" t="s">
        <v>191</v>
      </c>
      <c r="F2" s="494"/>
      <c r="G2" s="494"/>
      <c r="H2" s="494"/>
      <c r="I2" s="495"/>
      <c r="J2" s="496" t="s">
        <v>201</v>
      </c>
      <c r="K2" s="498" t="s">
        <v>200</v>
      </c>
    </row>
    <row r="3" spans="1:22" ht="45" x14ac:dyDescent="0.25">
      <c r="A3" s="26"/>
      <c r="B3" s="455"/>
      <c r="C3" s="179" t="s">
        <v>192</v>
      </c>
      <c r="D3" s="284" t="s">
        <v>193</v>
      </c>
      <c r="E3" s="178" t="s">
        <v>34</v>
      </c>
      <c r="F3" s="179" t="s">
        <v>192</v>
      </c>
      <c r="G3" s="284" t="s">
        <v>193</v>
      </c>
      <c r="H3" s="285" t="s">
        <v>194</v>
      </c>
      <c r="I3" s="402" t="s">
        <v>49</v>
      </c>
      <c r="J3" s="497"/>
      <c r="K3" s="499"/>
      <c r="L3" s="50"/>
      <c r="M3" s="177"/>
      <c r="N3" s="177"/>
      <c r="O3" s="177"/>
      <c r="P3" s="177"/>
      <c r="Q3" s="177"/>
      <c r="R3" s="177"/>
      <c r="S3" s="177"/>
      <c r="T3" s="177"/>
      <c r="U3" s="177"/>
      <c r="V3" s="1"/>
    </row>
    <row r="4" spans="1:22" x14ac:dyDescent="0.25">
      <c r="A4" s="26"/>
      <c r="B4" s="408" t="s">
        <v>111</v>
      </c>
      <c r="C4" s="405" t="s">
        <v>50</v>
      </c>
      <c r="D4" s="394" t="s">
        <v>51</v>
      </c>
      <c r="E4" s="396" t="s">
        <v>48</v>
      </c>
      <c r="F4" s="78" t="s">
        <v>168</v>
      </c>
      <c r="G4" s="78" t="s">
        <v>169</v>
      </c>
      <c r="H4" s="238" t="s">
        <v>91</v>
      </c>
      <c r="I4" s="352" t="s">
        <v>92</v>
      </c>
      <c r="J4" s="399" t="s">
        <v>170</v>
      </c>
      <c r="K4" s="410">
        <v>133.4</v>
      </c>
      <c r="L4" s="391"/>
      <c r="M4" s="177"/>
      <c r="N4" s="403"/>
      <c r="O4" s="331"/>
      <c r="P4" s="194"/>
      <c r="Q4" s="320"/>
      <c r="R4" s="331"/>
      <c r="S4" s="341"/>
      <c r="T4" s="319"/>
      <c r="U4" s="177"/>
      <c r="V4" s="1"/>
    </row>
    <row r="5" spans="1:22" x14ac:dyDescent="0.25">
      <c r="A5" s="26"/>
      <c r="B5" s="409" t="s">
        <v>124</v>
      </c>
      <c r="C5" s="406">
        <v>176</v>
      </c>
      <c r="D5" s="394">
        <v>49</v>
      </c>
      <c r="E5" s="396" t="s">
        <v>44</v>
      </c>
      <c r="F5" s="237" t="s">
        <v>171</v>
      </c>
      <c r="G5" s="237" t="s">
        <v>172</v>
      </c>
      <c r="H5" s="238" t="s">
        <v>93</v>
      </c>
      <c r="I5" s="352" t="s">
        <v>94</v>
      </c>
      <c r="J5" s="399" t="s">
        <v>173</v>
      </c>
      <c r="K5" s="411">
        <v>143.69999999999999</v>
      </c>
      <c r="L5" s="392"/>
      <c r="M5" s="52"/>
      <c r="N5" s="403"/>
      <c r="O5" s="331"/>
      <c r="P5" s="194"/>
      <c r="Q5" s="320"/>
      <c r="R5" s="331"/>
      <c r="S5" s="404"/>
      <c r="T5" s="311"/>
      <c r="U5" s="287"/>
      <c r="V5" s="1"/>
    </row>
    <row r="6" spans="1:22" x14ac:dyDescent="0.25">
      <c r="A6" s="26"/>
      <c r="B6" s="328" t="s">
        <v>125</v>
      </c>
      <c r="C6" s="406">
        <v>177</v>
      </c>
      <c r="D6" s="394">
        <v>56</v>
      </c>
      <c r="E6" s="396" t="s">
        <v>48</v>
      </c>
      <c r="F6" s="237" t="s">
        <v>174</v>
      </c>
      <c r="G6" s="237" t="s">
        <v>175</v>
      </c>
      <c r="H6" s="238" t="s">
        <v>95</v>
      </c>
      <c r="I6" s="397" t="s">
        <v>96</v>
      </c>
      <c r="J6" s="399" t="s">
        <v>176</v>
      </c>
      <c r="K6" s="411">
        <v>55.6</v>
      </c>
      <c r="L6" s="391"/>
      <c r="M6" s="188"/>
      <c r="N6" s="403"/>
      <c r="O6" s="331"/>
      <c r="P6" s="194"/>
      <c r="Q6" s="194"/>
      <c r="R6" s="331"/>
      <c r="S6" s="404"/>
      <c r="T6" s="315"/>
      <c r="U6" s="188"/>
      <c r="V6" s="1"/>
    </row>
    <row r="7" spans="1:22" x14ac:dyDescent="0.25">
      <c r="A7" s="26"/>
      <c r="B7" s="409" t="s">
        <v>126</v>
      </c>
      <c r="C7" s="406">
        <v>340</v>
      </c>
      <c r="D7" s="394">
        <v>50</v>
      </c>
      <c r="E7" s="396" t="s">
        <v>165</v>
      </c>
      <c r="F7" s="237" t="s">
        <v>177</v>
      </c>
      <c r="G7" s="237" t="s">
        <v>178</v>
      </c>
      <c r="H7" s="238" t="s">
        <v>97</v>
      </c>
      <c r="I7" s="397" t="s">
        <v>98</v>
      </c>
      <c r="J7" s="399" t="s">
        <v>179</v>
      </c>
      <c r="K7" s="411">
        <v>180.3</v>
      </c>
      <c r="L7" s="392"/>
      <c r="N7" s="403"/>
      <c r="O7" s="331"/>
      <c r="P7" s="194"/>
      <c r="Q7" s="194"/>
      <c r="R7" s="331"/>
      <c r="S7" s="404"/>
      <c r="T7" s="317"/>
      <c r="U7" s="188"/>
      <c r="V7" s="1"/>
    </row>
    <row r="8" spans="1:22" x14ac:dyDescent="0.25">
      <c r="A8" s="26"/>
      <c r="B8" s="328" t="s">
        <v>132</v>
      </c>
      <c r="C8" s="406">
        <v>346</v>
      </c>
      <c r="D8" s="394">
        <v>85</v>
      </c>
      <c r="E8" s="396" t="s">
        <v>166</v>
      </c>
      <c r="F8" s="237" t="s">
        <v>180</v>
      </c>
      <c r="G8" s="237" t="s">
        <v>181</v>
      </c>
      <c r="H8" s="238" t="s">
        <v>99</v>
      </c>
      <c r="I8" s="397" t="s">
        <v>100</v>
      </c>
      <c r="J8" s="399" t="s">
        <v>182</v>
      </c>
      <c r="K8" s="411">
        <v>195.8</v>
      </c>
      <c r="L8" s="392"/>
      <c r="M8" s="188"/>
      <c r="N8" s="184"/>
      <c r="O8" s="331"/>
      <c r="P8" s="194"/>
      <c r="Q8" s="194"/>
      <c r="R8" s="331"/>
      <c r="S8" s="404"/>
      <c r="T8" s="315"/>
      <c r="U8" s="188"/>
      <c r="V8" s="1"/>
    </row>
    <row r="9" spans="1:22" x14ac:dyDescent="0.25">
      <c r="A9" s="26"/>
      <c r="B9" s="409" t="s">
        <v>127</v>
      </c>
      <c r="C9" s="406">
        <v>544</v>
      </c>
      <c r="D9" s="394">
        <v>51</v>
      </c>
      <c r="E9" s="396" t="s">
        <v>167</v>
      </c>
      <c r="F9" s="237" t="s">
        <v>183</v>
      </c>
      <c r="G9" s="237" t="s">
        <v>184</v>
      </c>
      <c r="H9" s="238" t="s">
        <v>101</v>
      </c>
      <c r="I9" s="397" t="s">
        <v>102</v>
      </c>
      <c r="J9" s="399" t="s">
        <v>185</v>
      </c>
      <c r="K9" s="411">
        <v>242.5</v>
      </c>
      <c r="L9" s="392"/>
      <c r="M9" s="188"/>
      <c r="N9" s="184"/>
      <c r="O9" s="331"/>
      <c r="P9" s="194"/>
      <c r="Q9" s="194"/>
      <c r="R9" s="331"/>
      <c r="S9" s="404"/>
      <c r="T9" s="315"/>
      <c r="U9" s="188"/>
      <c r="V9" s="1"/>
    </row>
    <row r="10" spans="1:22" x14ac:dyDescent="0.25">
      <c r="A10" s="26"/>
      <c r="B10" s="328" t="s">
        <v>133</v>
      </c>
      <c r="C10" s="405">
        <v>557</v>
      </c>
      <c r="D10" s="394">
        <v>121</v>
      </c>
      <c r="E10" s="396" t="s">
        <v>165</v>
      </c>
      <c r="F10" s="237" t="s">
        <v>186</v>
      </c>
      <c r="G10" s="237" t="s">
        <v>187</v>
      </c>
      <c r="H10" s="238" t="s">
        <v>103</v>
      </c>
      <c r="I10" s="397" t="s">
        <v>104</v>
      </c>
      <c r="J10" s="399" t="s">
        <v>188</v>
      </c>
      <c r="K10" s="412">
        <v>206.1</v>
      </c>
      <c r="L10" s="392"/>
      <c r="M10" s="188"/>
      <c r="N10" s="184"/>
      <c r="O10" s="331"/>
      <c r="P10" s="194"/>
      <c r="Q10" s="194"/>
      <c r="R10" s="331"/>
      <c r="S10" s="195"/>
      <c r="T10" s="315"/>
      <c r="U10" s="188"/>
      <c r="V10" s="1"/>
    </row>
    <row r="11" spans="1:22" x14ac:dyDescent="0.25">
      <c r="A11" s="26"/>
      <c r="B11" s="409" t="s">
        <v>128</v>
      </c>
      <c r="C11" s="406">
        <v>1158</v>
      </c>
      <c r="D11" s="394">
        <v>55</v>
      </c>
      <c r="E11" s="79" t="s">
        <v>45</v>
      </c>
      <c r="F11" s="237" t="s">
        <v>52</v>
      </c>
      <c r="G11" s="236" t="s">
        <v>53</v>
      </c>
      <c r="H11" s="272">
        <v>5</v>
      </c>
      <c r="I11" s="352">
        <v>70.3</v>
      </c>
      <c r="J11" s="400" t="s">
        <v>68</v>
      </c>
      <c r="K11" s="412">
        <v>40.5</v>
      </c>
      <c r="L11" s="342"/>
      <c r="M11" s="188"/>
      <c r="N11" s="289"/>
      <c r="O11" s="313"/>
      <c r="P11" s="313"/>
      <c r="Q11" s="313"/>
      <c r="R11" s="313"/>
      <c r="S11" s="314"/>
      <c r="T11" s="315"/>
      <c r="U11" s="188"/>
    </row>
    <row r="12" spans="1:22" x14ac:dyDescent="0.25">
      <c r="A12" s="26"/>
      <c r="B12" s="328" t="s">
        <v>134</v>
      </c>
      <c r="C12" s="406">
        <v>1189</v>
      </c>
      <c r="D12" s="394">
        <v>229</v>
      </c>
      <c r="E12" s="79" t="s">
        <v>46</v>
      </c>
      <c r="F12" s="237" t="s">
        <v>54</v>
      </c>
      <c r="G12" s="236" t="s">
        <v>55</v>
      </c>
      <c r="H12" s="238" t="s">
        <v>76</v>
      </c>
      <c r="I12" s="397" t="s">
        <v>82</v>
      </c>
      <c r="J12" s="400" t="s">
        <v>69</v>
      </c>
      <c r="K12" s="412">
        <v>83.6</v>
      </c>
      <c r="L12" s="389"/>
      <c r="M12" s="188"/>
      <c r="N12" s="289"/>
      <c r="O12" s="313"/>
      <c r="P12" s="313"/>
      <c r="Q12" s="313"/>
      <c r="R12" s="313"/>
      <c r="S12" s="314"/>
      <c r="T12" s="315"/>
      <c r="U12" s="188"/>
    </row>
    <row r="13" spans="1:22" x14ac:dyDescent="0.25">
      <c r="A13" s="26"/>
      <c r="B13" s="409" t="s">
        <v>129</v>
      </c>
      <c r="C13" s="406">
        <v>2181</v>
      </c>
      <c r="D13" s="394">
        <v>60</v>
      </c>
      <c r="E13" s="79" t="s">
        <v>47</v>
      </c>
      <c r="F13" s="237" t="s">
        <v>56</v>
      </c>
      <c r="G13" s="236" t="s">
        <v>57</v>
      </c>
      <c r="H13" s="238" t="s">
        <v>77</v>
      </c>
      <c r="I13" s="397" t="s">
        <v>83</v>
      </c>
      <c r="J13" s="400" t="s">
        <v>70</v>
      </c>
      <c r="K13" s="412">
        <v>31.5</v>
      </c>
      <c r="L13" s="390"/>
      <c r="M13" s="188"/>
      <c r="N13" s="289"/>
      <c r="O13" s="313"/>
      <c r="P13" s="318"/>
      <c r="Q13" s="313"/>
      <c r="R13" s="318"/>
      <c r="S13" s="314"/>
      <c r="T13" s="317"/>
      <c r="U13" s="188"/>
    </row>
    <row r="14" spans="1:22" x14ac:dyDescent="0.25">
      <c r="A14" s="26"/>
      <c r="B14" s="328" t="s">
        <v>135</v>
      </c>
      <c r="C14" s="405">
        <v>2242</v>
      </c>
      <c r="D14" s="394">
        <v>409</v>
      </c>
      <c r="E14" s="79" t="s">
        <v>43</v>
      </c>
      <c r="F14" s="237" t="s">
        <v>58</v>
      </c>
      <c r="G14" s="236" t="s">
        <v>59</v>
      </c>
      <c r="H14" s="238" t="s">
        <v>78</v>
      </c>
      <c r="I14" s="397" t="s">
        <v>84</v>
      </c>
      <c r="J14" s="400" t="s">
        <v>71</v>
      </c>
      <c r="K14" s="412">
        <v>77.3</v>
      </c>
      <c r="L14" s="26"/>
      <c r="M14" s="193"/>
    </row>
    <row r="15" spans="1:22" x14ac:dyDescent="0.25">
      <c r="B15" s="409" t="s">
        <v>130</v>
      </c>
      <c r="C15" s="406">
        <v>3204</v>
      </c>
      <c r="D15" s="394">
        <v>66</v>
      </c>
      <c r="E15" s="79" t="s">
        <v>45</v>
      </c>
      <c r="F15" s="237" t="s">
        <v>60</v>
      </c>
      <c r="G15" s="236" t="s">
        <v>61</v>
      </c>
      <c r="H15" s="238" t="s">
        <v>79</v>
      </c>
      <c r="I15" s="352">
        <v>85.8</v>
      </c>
      <c r="J15" s="400" t="s">
        <v>72</v>
      </c>
      <c r="K15" s="412">
        <v>44.6</v>
      </c>
      <c r="L15" s="26"/>
    </row>
    <row r="16" spans="1:22" x14ac:dyDescent="0.25">
      <c r="B16" s="328" t="s">
        <v>136</v>
      </c>
      <c r="C16" s="406">
        <v>3296</v>
      </c>
      <c r="D16" s="394">
        <v>589</v>
      </c>
      <c r="E16" s="79" t="s">
        <v>43</v>
      </c>
      <c r="F16" s="237" t="s">
        <v>62</v>
      </c>
      <c r="G16" s="236" t="s">
        <v>63</v>
      </c>
      <c r="H16" s="238" t="s">
        <v>80</v>
      </c>
      <c r="I16" s="397" t="s">
        <v>85</v>
      </c>
      <c r="J16" s="400" t="s">
        <v>73</v>
      </c>
      <c r="K16" s="412">
        <v>60.1</v>
      </c>
      <c r="L16" s="26"/>
    </row>
    <row r="17" spans="2:12" x14ac:dyDescent="0.25">
      <c r="B17" s="409" t="s">
        <v>131</v>
      </c>
      <c r="C17" s="406">
        <v>3545</v>
      </c>
      <c r="D17" s="394">
        <v>68</v>
      </c>
      <c r="E17" s="79" t="s">
        <v>48</v>
      </c>
      <c r="F17" s="237" t="s">
        <v>64</v>
      </c>
      <c r="G17" s="236" t="s">
        <v>65</v>
      </c>
      <c r="H17" s="238" t="s">
        <v>81</v>
      </c>
      <c r="I17" s="397" t="s">
        <v>87</v>
      </c>
      <c r="J17" s="400" t="s">
        <v>74</v>
      </c>
      <c r="K17" s="412">
        <v>23.3</v>
      </c>
      <c r="L17" s="26"/>
    </row>
    <row r="18" spans="2:12" ht="15.75" thickBot="1" x14ac:dyDescent="0.3">
      <c r="B18" s="329" t="s">
        <v>137</v>
      </c>
      <c r="C18" s="407">
        <v>3647</v>
      </c>
      <c r="D18" s="395">
        <v>649</v>
      </c>
      <c r="E18" s="80" t="s">
        <v>43</v>
      </c>
      <c r="F18" s="223" t="s">
        <v>66</v>
      </c>
      <c r="G18" s="393" t="s">
        <v>67</v>
      </c>
      <c r="H18" s="355">
        <v>28</v>
      </c>
      <c r="I18" s="398" t="s">
        <v>86</v>
      </c>
      <c r="J18" s="401" t="s">
        <v>75</v>
      </c>
      <c r="K18" s="413">
        <v>77.599999999999994</v>
      </c>
    </row>
    <row r="19" spans="2:12" x14ac:dyDescent="0.25">
      <c r="B19" s="1"/>
    </row>
    <row r="24" spans="2:12" x14ac:dyDescent="0.25">
      <c r="K24" s="222"/>
    </row>
    <row r="25" spans="2:12" x14ac:dyDescent="0.25">
      <c r="K25" s="222"/>
    </row>
    <row r="26" spans="2:12" x14ac:dyDescent="0.25">
      <c r="K26" s="222"/>
    </row>
    <row r="27" spans="2:12" x14ac:dyDescent="0.25">
      <c r="K27" s="222"/>
    </row>
    <row r="28" spans="2:12" x14ac:dyDescent="0.25">
      <c r="K28" s="222"/>
    </row>
    <row r="29" spans="2:12" x14ac:dyDescent="0.25">
      <c r="K29" s="222"/>
    </row>
    <row r="30" spans="2:12" x14ac:dyDescent="0.25">
      <c r="K30" s="222"/>
    </row>
  </sheetData>
  <mergeCells count="5">
    <mergeCell ref="B2:B3"/>
    <mergeCell ref="E2:I2"/>
    <mergeCell ref="J2:J3"/>
    <mergeCell ref="K2:K3"/>
    <mergeCell ref="C2:D2"/>
  </mergeCells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I33"/>
  <sheetViews>
    <sheetView tabSelected="1" topLeftCell="A7" workbookViewId="0">
      <selection activeCell="G28" sqref="G28"/>
    </sheetView>
  </sheetViews>
  <sheetFormatPr defaultRowHeight="15" x14ac:dyDescent="0.25"/>
  <cols>
    <col min="1" max="1" width="3" customWidth="1"/>
    <col min="2" max="2" width="19.5703125" customWidth="1"/>
    <col min="3" max="3" width="20" customWidth="1"/>
    <col min="4" max="4" width="9.42578125" customWidth="1"/>
    <col min="5" max="5" width="11" customWidth="1"/>
    <col min="6" max="6" width="8.5703125" customWidth="1"/>
    <col min="7" max="7" width="19.140625" customWidth="1"/>
  </cols>
  <sheetData>
    <row r="5" spans="2:8" ht="15.75" thickBot="1" x14ac:dyDescent="0.3"/>
    <row r="6" spans="2:8" x14ac:dyDescent="0.25">
      <c r="C6" s="501" t="s">
        <v>202</v>
      </c>
      <c r="D6" s="283"/>
      <c r="G6" s="501"/>
    </row>
    <row r="7" spans="2:8" x14ac:dyDescent="0.25">
      <c r="C7" s="502"/>
      <c r="D7" s="283"/>
      <c r="G7" s="502"/>
    </row>
    <row r="8" spans="2:8" x14ac:dyDescent="0.25">
      <c r="H8" s="271"/>
    </row>
    <row r="9" spans="2:8" x14ac:dyDescent="0.25">
      <c r="C9" t="s">
        <v>206</v>
      </c>
      <c r="E9" t="s">
        <v>112</v>
      </c>
    </row>
    <row r="10" spans="2:8" x14ac:dyDescent="0.25">
      <c r="B10" s="275" t="s">
        <v>207</v>
      </c>
      <c r="E10" s="275">
        <v>133.4</v>
      </c>
      <c r="F10" s="275"/>
      <c r="H10" s="271"/>
    </row>
    <row r="11" spans="2:8" x14ac:dyDescent="0.25">
      <c r="B11" s="239">
        <v>1</v>
      </c>
      <c r="C11" s="273">
        <v>55.6</v>
      </c>
      <c r="D11" s="273"/>
      <c r="E11" s="273">
        <v>143.69999999999999</v>
      </c>
      <c r="F11" s="273"/>
      <c r="G11" s="271"/>
      <c r="H11" s="273"/>
    </row>
    <row r="12" spans="2:8" x14ac:dyDescent="0.25">
      <c r="B12" s="239">
        <v>5</v>
      </c>
      <c r="C12" s="273">
        <v>195.8</v>
      </c>
      <c r="D12" s="273"/>
      <c r="E12" s="273">
        <v>180.3</v>
      </c>
      <c r="F12" s="273"/>
      <c r="G12" s="273"/>
      <c r="H12" s="273"/>
    </row>
    <row r="13" spans="2:8" ht="18.75" customHeight="1" x14ac:dyDescent="0.25">
      <c r="B13" s="274">
        <v>10</v>
      </c>
      <c r="C13" s="276">
        <v>206.1</v>
      </c>
      <c r="D13" s="276"/>
      <c r="E13" s="277">
        <v>242.5</v>
      </c>
      <c r="F13" s="277"/>
      <c r="G13" s="273"/>
      <c r="H13" s="273"/>
    </row>
    <row r="14" spans="2:8" x14ac:dyDescent="0.25">
      <c r="B14" s="239">
        <v>25</v>
      </c>
      <c r="C14" s="272">
        <v>83.6</v>
      </c>
      <c r="D14" s="272"/>
      <c r="E14" s="272">
        <v>40.5</v>
      </c>
      <c r="F14" s="272"/>
      <c r="G14" s="271"/>
      <c r="H14" s="271"/>
    </row>
    <row r="15" spans="2:8" x14ac:dyDescent="0.25">
      <c r="B15" s="239">
        <v>50</v>
      </c>
      <c r="C15" s="272">
        <v>77.3</v>
      </c>
      <c r="D15" s="272"/>
      <c r="E15" s="272">
        <v>31.5</v>
      </c>
      <c r="F15" s="272"/>
      <c r="G15" s="271"/>
      <c r="H15" s="271"/>
    </row>
    <row r="16" spans="2:8" x14ac:dyDescent="0.25">
      <c r="B16" s="239">
        <v>75</v>
      </c>
      <c r="C16" s="272">
        <v>60.1</v>
      </c>
      <c r="D16" s="272"/>
      <c r="E16" s="272">
        <v>44.6</v>
      </c>
      <c r="F16" s="272"/>
      <c r="G16" s="271"/>
      <c r="H16" s="271"/>
    </row>
    <row r="17" spans="2:9" x14ac:dyDescent="0.25">
      <c r="B17" s="239">
        <v>100</v>
      </c>
      <c r="C17" s="272">
        <v>77.599999999999994</v>
      </c>
      <c r="D17" s="272"/>
      <c r="E17" s="272">
        <v>23.3</v>
      </c>
      <c r="F17" s="272"/>
      <c r="G17" s="271"/>
      <c r="H17" s="271"/>
    </row>
    <row r="20" spans="2:9" x14ac:dyDescent="0.25">
      <c r="I20" s="1"/>
    </row>
    <row r="21" spans="2:9" x14ac:dyDescent="0.25">
      <c r="D21" t="s">
        <v>203</v>
      </c>
      <c r="G21" t="s">
        <v>204</v>
      </c>
      <c r="I21" s="1"/>
    </row>
    <row r="22" spans="2:9" x14ac:dyDescent="0.25">
      <c r="C22" s="275" t="s">
        <v>207</v>
      </c>
      <c r="D22">
        <v>133.4</v>
      </c>
      <c r="G22">
        <v>134</v>
      </c>
      <c r="I22" s="1"/>
    </row>
    <row r="23" spans="2:9" x14ac:dyDescent="0.25">
      <c r="C23" s="275" t="s">
        <v>208</v>
      </c>
      <c r="D23">
        <v>195.8</v>
      </c>
      <c r="E23" t="s">
        <v>205</v>
      </c>
      <c r="G23">
        <v>138</v>
      </c>
      <c r="I23" s="1"/>
    </row>
    <row r="24" spans="2:9" x14ac:dyDescent="0.25">
      <c r="I24" s="1"/>
    </row>
    <row r="25" spans="2:9" x14ac:dyDescent="0.25">
      <c r="B25" s="321"/>
      <c r="C25" s="184"/>
      <c r="D25" s="184"/>
      <c r="E25" s="320"/>
      <c r="F25" s="320"/>
      <c r="G25" s="184"/>
      <c r="H25" s="320"/>
      <c r="I25" s="1"/>
    </row>
    <row r="26" spans="2:9" x14ac:dyDescent="0.25">
      <c r="B26" s="289"/>
      <c r="C26" s="184"/>
      <c r="D26" s="184"/>
      <c r="E26" s="320"/>
      <c r="F26" s="320"/>
      <c r="G26" s="184"/>
      <c r="H26" s="320"/>
      <c r="I26" s="1"/>
    </row>
    <row r="27" spans="2:9" x14ac:dyDescent="0.25">
      <c r="B27" s="289"/>
      <c r="C27" s="184"/>
      <c r="D27" s="184"/>
      <c r="E27" s="320"/>
      <c r="F27" s="320"/>
      <c r="G27" s="184"/>
      <c r="H27" s="320"/>
      <c r="I27" s="1"/>
    </row>
    <row r="28" spans="2:9" x14ac:dyDescent="0.25">
      <c r="B28" s="289"/>
      <c r="C28" s="184"/>
      <c r="D28" s="184"/>
      <c r="E28" s="320"/>
      <c r="F28" s="320"/>
      <c r="G28" s="184"/>
      <c r="H28" s="320"/>
      <c r="I28" s="1"/>
    </row>
    <row r="29" spans="2:9" x14ac:dyDescent="0.25">
      <c r="B29" s="289"/>
      <c r="C29" s="184"/>
      <c r="D29" s="184"/>
      <c r="E29" s="320"/>
      <c r="F29" s="320"/>
      <c r="G29" s="184"/>
      <c r="H29" s="320"/>
      <c r="I29" s="1"/>
    </row>
    <row r="30" spans="2:9" x14ac:dyDescent="0.25">
      <c r="B30" s="289"/>
      <c r="C30" s="320"/>
      <c r="D30" s="320"/>
      <c r="E30" s="320"/>
      <c r="F30" s="320"/>
      <c r="G30" s="320"/>
      <c r="H30" s="320"/>
      <c r="I30" s="1"/>
    </row>
    <row r="31" spans="2:9" x14ac:dyDescent="0.25">
      <c r="B31" s="1"/>
      <c r="C31" s="1"/>
      <c r="D31" s="1"/>
      <c r="E31" s="1"/>
      <c r="F31" s="1"/>
      <c r="G31" s="1"/>
      <c r="H31" s="1"/>
      <c r="I31" s="1"/>
    </row>
    <row r="32" spans="2:9" x14ac:dyDescent="0.25">
      <c r="B32" s="1"/>
      <c r="C32" s="1"/>
      <c r="D32" s="1"/>
      <c r="E32" s="1"/>
      <c r="F32" s="1"/>
      <c r="G32" s="1"/>
      <c r="H32" s="1"/>
      <c r="I32" s="1"/>
    </row>
    <row r="33" spans="2:9" x14ac:dyDescent="0.25">
      <c r="B33" s="1"/>
      <c r="C33" s="1"/>
      <c r="D33" s="1"/>
      <c r="E33" s="1"/>
      <c r="F33" s="1"/>
      <c r="G33" s="1"/>
      <c r="H33" s="1"/>
      <c r="I33" s="1"/>
    </row>
  </sheetData>
  <mergeCells count="2">
    <mergeCell ref="C6:C7"/>
    <mergeCell ref="G6:G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COD initial</vt:lpstr>
      <vt:lpstr>COD final</vt:lpstr>
      <vt:lpstr>Biogas vol</vt:lpstr>
      <vt:lpstr>Biogas area</vt:lpstr>
      <vt:lpstr>Table </vt:lpstr>
      <vt:lpstr>Plan1</vt:lpstr>
    </vt:vector>
  </TitlesOfParts>
  <Company>EQ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I-113</dc:creator>
  <cp:lastModifiedBy>Magali</cp:lastModifiedBy>
  <cp:lastPrinted>2015-12-03T18:49:46Z</cp:lastPrinted>
  <dcterms:created xsi:type="dcterms:W3CDTF">2015-11-30T16:28:00Z</dcterms:created>
  <dcterms:modified xsi:type="dcterms:W3CDTF">2018-03-12T18:02:23Z</dcterms:modified>
</cp:coreProperties>
</file>