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32" windowWidth="23940" windowHeight="12192" activeTab="1"/>
  </bookViews>
  <sheets>
    <sheet name="Kamba+Strep" sheetId="1" r:id="rId1"/>
    <sheet name="Rup+Tet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L13" i="1" l="1"/>
  <c r="K8" i="1"/>
  <c r="M8" i="1"/>
  <c r="N8" i="1"/>
  <c r="P13" i="1"/>
  <c r="L24" i="1"/>
  <c r="P24" i="1"/>
  <c r="L35" i="1"/>
  <c r="P35" i="1"/>
  <c r="L46" i="1"/>
  <c r="P46" i="1"/>
  <c r="P58" i="1"/>
  <c r="M13" i="1"/>
  <c r="K9" i="1"/>
  <c r="M9" i="1"/>
  <c r="N9" i="1"/>
  <c r="Q13" i="1"/>
  <c r="M24" i="1"/>
  <c r="Q24" i="1"/>
  <c r="M35" i="1"/>
  <c r="Q35" i="1"/>
  <c r="M46" i="1"/>
  <c r="Q46" i="1"/>
  <c r="Q58" i="1"/>
  <c r="L14" i="1"/>
  <c r="P14" i="1"/>
  <c r="L25" i="1"/>
  <c r="P25" i="1"/>
  <c r="L36" i="1"/>
  <c r="P36" i="1"/>
  <c r="L47" i="1"/>
  <c r="P47" i="1"/>
  <c r="P59" i="1"/>
  <c r="M14" i="1"/>
  <c r="Q14" i="1"/>
  <c r="M25" i="1"/>
  <c r="Q25" i="1"/>
  <c r="M36" i="1"/>
  <c r="Q36" i="1"/>
  <c r="M47" i="1"/>
  <c r="Q47" i="1"/>
  <c r="Q59" i="1"/>
  <c r="L15" i="1"/>
  <c r="P15" i="1"/>
  <c r="L26" i="1"/>
  <c r="P26" i="1"/>
  <c r="L37" i="1"/>
  <c r="P37" i="1"/>
  <c r="L48" i="1"/>
  <c r="P48" i="1"/>
  <c r="P60" i="1"/>
  <c r="M15" i="1"/>
  <c r="Q15" i="1"/>
  <c r="M26" i="1"/>
  <c r="Q26" i="1"/>
  <c r="M37" i="1"/>
  <c r="Q37" i="1"/>
  <c r="M48" i="1"/>
  <c r="Q48" i="1"/>
  <c r="Q60" i="1"/>
  <c r="L16" i="1"/>
  <c r="P16" i="1"/>
  <c r="L27" i="1"/>
  <c r="P27" i="1"/>
  <c r="L38" i="1"/>
  <c r="P38" i="1"/>
  <c r="L49" i="1"/>
  <c r="P49" i="1"/>
  <c r="P61" i="1"/>
  <c r="M16" i="1"/>
  <c r="Q16" i="1"/>
  <c r="M27" i="1"/>
  <c r="Q27" i="1"/>
  <c r="M38" i="1"/>
  <c r="Q38" i="1"/>
  <c r="M49" i="1"/>
  <c r="Q49" i="1"/>
  <c r="Q61" i="1"/>
  <c r="L17" i="1"/>
  <c r="P17" i="1"/>
  <c r="L28" i="1"/>
  <c r="P28" i="1"/>
  <c r="L39" i="1"/>
  <c r="P39" i="1"/>
  <c r="L50" i="1"/>
  <c r="P50" i="1"/>
  <c r="P62" i="1"/>
  <c r="M17" i="1"/>
  <c r="Q17" i="1"/>
  <c r="M28" i="1"/>
  <c r="Q28" i="1"/>
  <c r="M39" i="1"/>
  <c r="Q39" i="1"/>
  <c r="M50" i="1"/>
  <c r="Q50" i="1"/>
  <c r="Q62" i="1"/>
  <c r="L18" i="1"/>
  <c r="P18" i="1"/>
  <c r="L29" i="1"/>
  <c r="P29" i="1"/>
  <c r="L40" i="1"/>
  <c r="P40" i="1"/>
  <c r="L51" i="1"/>
  <c r="P51" i="1"/>
  <c r="P63" i="1"/>
  <c r="M18" i="1"/>
  <c r="Q18" i="1"/>
  <c r="M29" i="1"/>
  <c r="Q29" i="1"/>
  <c r="Q40" i="1"/>
  <c r="Q51" i="1"/>
  <c r="Q63" i="1"/>
  <c r="L19" i="1"/>
  <c r="P19" i="1"/>
  <c r="L30" i="1"/>
  <c r="P30" i="1"/>
  <c r="L41" i="1"/>
  <c r="P41" i="1"/>
  <c r="L52" i="1"/>
  <c r="P52" i="1"/>
  <c r="P64" i="1"/>
  <c r="M19" i="1"/>
  <c r="Q19" i="1"/>
  <c r="M30" i="1"/>
  <c r="Q30" i="1"/>
  <c r="M41" i="1"/>
  <c r="Q41" i="1"/>
  <c r="M52" i="1"/>
  <c r="Q52" i="1"/>
  <c r="Q64" i="1"/>
  <c r="L20" i="1"/>
  <c r="P20" i="1"/>
  <c r="L31" i="1"/>
  <c r="P31" i="1"/>
  <c r="L42" i="1"/>
  <c r="P42" i="1"/>
  <c r="L53" i="1"/>
  <c r="P53" i="1"/>
  <c r="P65" i="1"/>
  <c r="M20" i="1"/>
  <c r="Q20" i="1"/>
  <c r="M31" i="1"/>
  <c r="Q31" i="1"/>
  <c r="M42" i="1"/>
  <c r="Q42" i="1"/>
  <c r="M53" i="1"/>
  <c r="Q53" i="1"/>
  <c r="Q65" i="1"/>
  <c r="L63" i="2"/>
  <c r="M63" i="2"/>
  <c r="N63" i="2"/>
  <c r="O63" i="2"/>
  <c r="P63" i="2"/>
  <c r="L64" i="2"/>
  <c r="M64" i="2"/>
  <c r="N64" i="2"/>
  <c r="O64" i="2"/>
  <c r="P64" i="2"/>
  <c r="L65" i="2"/>
  <c r="M65" i="2"/>
  <c r="N65" i="2"/>
  <c r="O65" i="2"/>
  <c r="P65" i="2"/>
  <c r="L66" i="2"/>
  <c r="M66" i="2"/>
  <c r="N66" i="2"/>
  <c r="O66" i="2"/>
  <c r="P66" i="2"/>
  <c r="L67" i="2"/>
  <c r="M67" i="2"/>
  <c r="N67" i="2"/>
  <c r="O67" i="2"/>
  <c r="P67" i="2"/>
  <c r="L68" i="2"/>
  <c r="M68" i="2"/>
  <c r="N68" i="2"/>
  <c r="O68" i="2"/>
  <c r="P68" i="2"/>
  <c r="L69" i="2"/>
  <c r="M69" i="2"/>
  <c r="N69" i="2"/>
  <c r="O69" i="2"/>
  <c r="P69" i="2"/>
  <c r="P62" i="2"/>
  <c r="O62" i="2"/>
  <c r="N62" i="2"/>
  <c r="M62" i="2"/>
  <c r="L62" i="2"/>
  <c r="C46" i="1"/>
  <c r="D46" i="1"/>
  <c r="K66" i="1"/>
  <c r="V20" i="2"/>
  <c r="T9" i="2"/>
  <c r="V9" i="2"/>
  <c r="W9" i="2"/>
  <c r="Z20" i="2"/>
  <c r="V31" i="2"/>
  <c r="Z31" i="2"/>
  <c r="V42" i="2"/>
  <c r="Z42" i="2"/>
  <c r="V53" i="2"/>
  <c r="Z53" i="2"/>
  <c r="Z65" i="2"/>
  <c r="U20" i="2"/>
  <c r="T8" i="2"/>
  <c r="V8" i="2"/>
  <c r="W8" i="2"/>
  <c r="Y20" i="2"/>
  <c r="U31" i="2"/>
  <c r="Y31" i="2"/>
  <c r="U42" i="2"/>
  <c r="Y42" i="2"/>
  <c r="U53" i="2"/>
  <c r="Y53" i="2"/>
  <c r="Y65" i="2"/>
  <c r="D20" i="2"/>
  <c r="B9" i="2"/>
  <c r="D9" i="2"/>
  <c r="E9" i="2"/>
  <c r="H20" i="2"/>
  <c r="D31" i="2"/>
  <c r="H31" i="2"/>
  <c r="D42" i="2"/>
  <c r="H42" i="2"/>
  <c r="D53" i="2"/>
  <c r="H53" i="2"/>
  <c r="H65" i="2"/>
  <c r="C20" i="2"/>
  <c r="B8" i="2"/>
  <c r="D8" i="2"/>
  <c r="E8" i="2"/>
  <c r="G20" i="2"/>
  <c r="C31" i="2"/>
  <c r="G31" i="2"/>
  <c r="C42" i="2"/>
  <c r="G42" i="2"/>
  <c r="C53" i="2"/>
  <c r="G53" i="2"/>
  <c r="G65" i="2"/>
  <c r="V19" i="2"/>
  <c r="Z19" i="2"/>
  <c r="V30" i="2"/>
  <c r="Z30" i="2"/>
  <c r="V41" i="2"/>
  <c r="Z41" i="2"/>
  <c r="V52" i="2"/>
  <c r="Z52" i="2"/>
  <c r="Z64" i="2"/>
  <c r="U19" i="2"/>
  <c r="Y19" i="2"/>
  <c r="U30" i="2"/>
  <c r="Y30" i="2"/>
  <c r="U41" i="2"/>
  <c r="Y41" i="2"/>
  <c r="U52" i="2"/>
  <c r="Y52" i="2"/>
  <c r="Y64" i="2"/>
  <c r="D19" i="2"/>
  <c r="H19" i="2"/>
  <c r="D30" i="2"/>
  <c r="H30" i="2"/>
  <c r="D41" i="2"/>
  <c r="H41" i="2"/>
  <c r="D52" i="2"/>
  <c r="H52" i="2"/>
  <c r="H64" i="2"/>
  <c r="C19" i="2"/>
  <c r="G19" i="2"/>
  <c r="C30" i="2"/>
  <c r="G30" i="2"/>
  <c r="C41" i="2"/>
  <c r="G41" i="2"/>
  <c r="C52" i="2"/>
  <c r="G52" i="2"/>
  <c r="G64" i="2"/>
  <c r="V18" i="2"/>
  <c r="Z18" i="2"/>
  <c r="V29" i="2"/>
  <c r="Z29" i="2"/>
  <c r="V40" i="2"/>
  <c r="Z40" i="2"/>
  <c r="V51" i="2"/>
  <c r="Z51" i="2"/>
  <c r="Z63" i="2"/>
  <c r="U18" i="2"/>
  <c r="Y18" i="2"/>
  <c r="U29" i="2"/>
  <c r="Y29" i="2"/>
  <c r="U40" i="2"/>
  <c r="Y40" i="2"/>
  <c r="U51" i="2"/>
  <c r="Y51" i="2"/>
  <c r="Y63" i="2"/>
  <c r="D18" i="2"/>
  <c r="H18" i="2"/>
  <c r="D29" i="2"/>
  <c r="H29" i="2"/>
  <c r="D40" i="2"/>
  <c r="H40" i="2"/>
  <c r="D51" i="2"/>
  <c r="H51" i="2"/>
  <c r="H63" i="2"/>
  <c r="C18" i="2"/>
  <c r="G18" i="2"/>
  <c r="C29" i="2"/>
  <c r="G29" i="2"/>
  <c r="C40" i="2"/>
  <c r="G40" i="2"/>
  <c r="C51" i="2"/>
  <c r="G51" i="2"/>
  <c r="G63" i="2"/>
  <c r="V17" i="2"/>
  <c r="Z17" i="2"/>
  <c r="V28" i="2"/>
  <c r="Z28" i="2"/>
  <c r="V39" i="2"/>
  <c r="Z39" i="2"/>
  <c r="V50" i="2"/>
  <c r="Z50" i="2"/>
  <c r="Z62" i="2"/>
  <c r="U17" i="2"/>
  <c r="Y17" i="2"/>
  <c r="U28" i="2"/>
  <c r="Y28" i="2"/>
  <c r="U39" i="2"/>
  <c r="Y39" i="2"/>
  <c r="U50" i="2"/>
  <c r="Y50" i="2"/>
  <c r="Y62" i="2"/>
  <c r="D17" i="2"/>
  <c r="H17" i="2"/>
  <c r="D28" i="2"/>
  <c r="H28" i="2"/>
  <c r="D39" i="2"/>
  <c r="H39" i="2"/>
  <c r="D50" i="2"/>
  <c r="H50" i="2"/>
  <c r="H62" i="2"/>
  <c r="C17" i="2"/>
  <c r="G17" i="2"/>
  <c r="C28" i="2"/>
  <c r="G28" i="2"/>
  <c r="C39" i="2"/>
  <c r="G39" i="2"/>
  <c r="C50" i="2"/>
  <c r="G50" i="2"/>
  <c r="G62" i="2"/>
  <c r="V16" i="2"/>
  <c r="Z16" i="2"/>
  <c r="V27" i="2"/>
  <c r="Z27" i="2"/>
  <c r="V38" i="2"/>
  <c r="Z38" i="2"/>
  <c r="V49" i="2"/>
  <c r="Z49" i="2"/>
  <c r="Z61" i="2"/>
  <c r="U16" i="2"/>
  <c r="Y16" i="2"/>
  <c r="U27" i="2"/>
  <c r="Y27" i="2"/>
  <c r="U38" i="2"/>
  <c r="Y38" i="2"/>
  <c r="U49" i="2"/>
  <c r="Y49" i="2"/>
  <c r="Y61" i="2"/>
  <c r="D16" i="2"/>
  <c r="H16" i="2"/>
  <c r="D27" i="2"/>
  <c r="H27" i="2"/>
  <c r="D38" i="2"/>
  <c r="H38" i="2"/>
  <c r="D49" i="2"/>
  <c r="H49" i="2"/>
  <c r="H61" i="2"/>
  <c r="C16" i="2"/>
  <c r="G16" i="2"/>
  <c r="C27" i="2"/>
  <c r="G27" i="2"/>
  <c r="C38" i="2"/>
  <c r="G38" i="2"/>
  <c r="C49" i="2"/>
  <c r="G49" i="2"/>
  <c r="G61" i="2"/>
  <c r="V15" i="2"/>
  <c r="Z15" i="2"/>
  <c r="V26" i="2"/>
  <c r="Z26" i="2"/>
  <c r="V37" i="2"/>
  <c r="Z37" i="2"/>
  <c r="V48" i="2"/>
  <c r="Z48" i="2"/>
  <c r="Z60" i="2"/>
  <c r="U15" i="2"/>
  <c r="Y15" i="2"/>
  <c r="U26" i="2"/>
  <c r="Y26" i="2"/>
  <c r="U37" i="2"/>
  <c r="Y37" i="2"/>
  <c r="U48" i="2"/>
  <c r="Y48" i="2"/>
  <c r="Y60" i="2"/>
  <c r="D15" i="2"/>
  <c r="H15" i="2"/>
  <c r="D26" i="2"/>
  <c r="H26" i="2"/>
  <c r="D37" i="2"/>
  <c r="H37" i="2"/>
  <c r="D48" i="2"/>
  <c r="H48" i="2"/>
  <c r="H60" i="2"/>
  <c r="C15" i="2"/>
  <c r="G15" i="2"/>
  <c r="C26" i="2"/>
  <c r="G26" i="2"/>
  <c r="C37" i="2"/>
  <c r="G37" i="2"/>
  <c r="C48" i="2"/>
  <c r="G48" i="2"/>
  <c r="G60" i="2"/>
  <c r="V14" i="2"/>
  <c r="Z14" i="2"/>
  <c r="V25" i="2"/>
  <c r="Z25" i="2"/>
  <c r="V36" i="2"/>
  <c r="Z36" i="2"/>
  <c r="V47" i="2"/>
  <c r="Z47" i="2"/>
  <c r="Z59" i="2"/>
  <c r="U14" i="2"/>
  <c r="Y14" i="2"/>
  <c r="U25" i="2"/>
  <c r="Y25" i="2"/>
  <c r="U36" i="2"/>
  <c r="Y36" i="2"/>
  <c r="U47" i="2"/>
  <c r="Y47" i="2"/>
  <c r="Y59" i="2"/>
  <c r="D14" i="2"/>
  <c r="H14" i="2"/>
  <c r="D25" i="2"/>
  <c r="H25" i="2"/>
  <c r="D36" i="2"/>
  <c r="H36" i="2"/>
  <c r="D47" i="2"/>
  <c r="H47" i="2"/>
  <c r="H59" i="2"/>
  <c r="C14" i="2"/>
  <c r="G14" i="2"/>
  <c r="C25" i="2"/>
  <c r="G25" i="2"/>
  <c r="C36" i="2"/>
  <c r="G36" i="2"/>
  <c r="C47" i="2"/>
  <c r="G47" i="2"/>
  <c r="G59" i="2"/>
  <c r="V13" i="2"/>
  <c r="Z13" i="2"/>
  <c r="V24" i="2"/>
  <c r="Z24" i="2"/>
  <c r="V35" i="2"/>
  <c r="Z35" i="2"/>
  <c r="V46" i="2"/>
  <c r="Z46" i="2"/>
  <c r="Z58" i="2"/>
  <c r="U13" i="2"/>
  <c r="Y13" i="2"/>
  <c r="U24" i="2"/>
  <c r="Y24" i="2"/>
  <c r="U35" i="2"/>
  <c r="Y35" i="2"/>
  <c r="U46" i="2"/>
  <c r="Y46" i="2"/>
  <c r="Y58" i="2"/>
  <c r="D13" i="2"/>
  <c r="H13" i="2"/>
  <c r="D24" i="2"/>
  <c r="H24" i="2"/>
  <c r="D35" i="2"/>
  <c r="H35" i="2"/>
  <c r="D46" i="2"/>
  <c r="H46" i="2"/>
  <c r="H58" i="2"/>
  <c r="C13" i="2"/>
  <c r="G13" i="2"/>
  <c r="C24" i="2"/>
  <c r="G24" i="2"/>
  <c r="C35" i="2"/>
  <c r="G35" i="2"/>
  <c r="C46" i="2"/>
  <c r="G46" i="2"/>
  <c r="G58" i="2"/>
  <c r="X53" i="2"/>
  <c r="W53" i="2"/>
  <c r="T53" i="2"/>
  <c r="M53" i="2"/>
  <c r="M42" i="2"/>
  <c r="Q53" i="2"/>
  <c r="L53" i="2"/>
  <c r="L42" i="2"/>
  <c r="P53" i="2"/>
  <c r="O53" i="2"/>
  <c r="N53" i="2"/>
  <c r="K53" i="2"/>
  <c r="F53" i="2"/>
  <c r="E53" i="2"/>
  <c r="B53" i="2"/>
  <c r="X52" i="2"/>
  <c r="W52" i="2"/>
  <c r="T52" i="2"/>
  <c r="M52" i="2"/>
  <c r="M41" i="2"/>
  <c r="Q52" i="2"/>
  <c r="L52" i="2"/>
  <c r="L41" i="2"/>
  <c r="P52" i="2"/>
  <c r="O52" i="2"/>
  <c r="N52" i="2"/>
  <c r="K52" i="2"/>
  <c r="F52" i="2"/>
  <c r="E52" i="2"/>
  <c r="B52" i="2"/>
  <c r="X51" i="2"/>
  <c r="W51" i="2"/>
  <c r="T51" i="2"/>
  <c r="M51" i="2"/>
  <c r="M40" i="2"/>
  <c r="Q51" i="2"/>
  <c r="L51" i="2"/>
  <c r="L40" i="2"/>
  <c r="P51" i="2"/>
  <c r="O51" i="2"/>
  <c r="N51" i="2"/>
  <c r="K51" i="2"/>
  <c r="F51" i="2"/>
  <c r="E51" i="2"/>
  <c r="B51" i="2"/>
  <c r="X50" i="2"/>
  <c r="W50" i="2"/>
  <c r="T50" i="2"/>
  <c r="M50" i="2"/>
  <c r="M39" i="2"/>
  <c r="Q50" i="2"/>
  <c r="L50" i="2"/>
  <c r="L39" i="2"/>
  <c r="P50" i="2"/>
  <c r="O50" i="2"/>
  <c r="N50" i="2"/>
  <c r="K50" i="2"/>
  <c r="F50" i="2"/>
  <c r="E50" i="2"/>
  <c r="B50" i="2"/>
  <c r="X49" i="2"/>
  <c r="W49" i="2"/>
  <c r="T49" i="2"/>
  <c r="M49" i="2"/>
  <c r="M38" i="2"/>
  <c r="Q49" i="2"/>
  <c r="L49" i="2"/>
  <c r="L38" i="2"/>
  <c r="P49" i="2"/>
  <c r="O49" i="2"/>
  <c r="N49" i="2"/>
  <c r="K49" i="2"/>
  <c r="F49" i="2"/>
  <c r="E49" i="2"/>
  <c r="B49" i="2"/>
  <c r="X48" i="2"/>
  <c r="W48" i="2"/>
  <c r="T48" i="2"/>
  <c r="M48" i="2"/>
  <c r="M37" i="2"/>
  <c r="Q48" i="2"/>
  <c r="L48" i="2"/>
  <c r="L37" i="2"/>
  <c r="P48" i="2"/>
  <c r="O48" i="2"/>
  <c r="N48" i="2"/>
  <c r="K48" i="2"/>
  <c r="F48" i="2"/>
  <c r="E48" i="2"/>
  <c r="B48" i="2"/>
  <c r="X47" i="2"/>
  <c r="W47" i="2"/>
  <c r="T47" i="2"/>
  <c r="M47" i="2"/>
  <c r="M36" i="2"/>
  <c r="Q47" i="2"/>
  <c r="L47" i="2"/>
  <c r="L36" i="2"/>
  <c r="P47" i="2"/>
  <c r="O47" i="2"/>
  <c r="N47" i="2"/>
  <c r="K47" i="2"/>
  <c r="F47" i="2"/>
  <c r="E47" i="2"/>
  <c r="B47" i="2"/>
  <c r="X46" i="2"/>
  <c r="W46" i="2"/>
  <c r="T46" i="2"/>
  <c r="M46" i="2"/>
  <c r="M35" i="2"/>
  <c r="Q46" i="2"/>
  <c r="L46" i="2"/>
  <c r="L35" i="2"/>
  <c r="P46" i="2"/>
  <c r="O46" i="2"/>
  <c r="N46" i="2"/>
  <c r="K46" i="2"/>
  <c r="F46" i="2"/>
  <c r="E46" i="2"/>
  <c r="B46" i="2"/>
  <c r="X42" i="2"/>
  <c r="W42" i="2"/>
  <c r="T42" i="2"/>
  <c r="M31" i="2"/>
  <c r="Q42" i="2"/>
  <c r="L31" i="2"/>
  <c r="P42" i="2"/>
  <c r="O42" i="2"/>
  <c r="N42" i="2"/>
  <c r="K42" i="2"/>
  <c r="F42" i="2"/>
  <c r="E42" i="2"/>
  <c r="B42" i="2"/>
  <c r="X41" i="2"/>
  <c r="W41" i="2"/>
  <c r="T41" i="2"/>
  <c r="M30" i="2"/>
  <c r="Q41" i="2"/>
  <c r="L30" i="2"/>
  <c r="P41" i="2"/>
  <c r="O41" i="2"/>
  <c r="N41" i="2"/>
  <c r="K41" i="2"/>
  <c r="F41" i="2"/>
  <c r="E41" i="2"/>
  <c r="B41" i="2"/>
  <c r="X40" i="2"/>
  <c r="W40" i="2"/>
  <c r="T40" i="2"/>
  <c r="M29" i="2"/>
  <c r="Q40" i="2"/>
  <c r="L29" i="2"/>
  <c r="P40" i="2"/>
  <c r="O40" i="2"/>
  <c r="N40" i="2"/>
  <c r="K40" i="2"/>
  <c r="F40" i="2"/>
  <c r="E40" i="2"/>
  <c r="B40" i="2"/>
  <c r="X39" i="2"/>
  <c r="W39" i="2"/>
  <c r="T39" i="2"/>
  <c r="M28" i="2"/>
  <c r="Q39" i="2"/>
  <c r="L28" i="2"/>
  <c r="P39" i="2"/>
  <c r="O39" i="2"/>
  <c r="N39" i="2"/>
  <c r="K39" i="2"/>
  <c r="F39" i="2"/>
  <c r="E39" i="2"/>
  <c r="B39" i="2"/>
  <c r="X38" i="2"/>
  <c r="W38" i="2"/>
  <c r="T38" i="2"/>
  <c r="M27" i="2"/>
  <c r="Q38" i="2"/>
  <c r="L27" i="2"/>
  <c r="P38" i="2"/>
  <c r="O38" i="2"/>
  <c r="N38" i="2"/>
  <c r="K38" i="2"/>
  <c r="F38" i="2"/>
  <c r="E38" i="2"/>
  <c r="B38" i="2"/>
  <c r="X37" i="2"/>
  <c r="W37" i="2"/>
  <c r="T37" i="2"/>
  <c r="M26" i="2"/>
  <c r="Q37" i="2"/>
  <c r="L26" i="2"/>
  <c r="P37" i="2"/>
  <c r="O37" i="2"/>
  <c r="N37" i="2"/>
  <c r="K37" i="2"/>
  <c r="F37" i="2"/>
  <c r="E37" i="2"/>
  <c r="B37" i="2"/>
  <c r="X36" i="2"/>
  <c r="W36" i="2"/>
  <c r="T36" i="2"/>
  <c r="M25" i="2"/>
  <c r="Q36" i="2"/>
  <c r="L25" i="2"/>
  <c r="P36" i="2"/>
  <c r="O36" i="2"/>
  <c r="N36" i="2"/>
  <c r="K36" i="2"/>
  <c r="F36" i="2"/>
  <c r="E36" i="2"/>
  <c r="B36" i="2"/>
  <c r="X35" i="2"/>
  <c r="W35" i="2"/>
  <c r="T35" i="2"/>
  <c r="M24" i="2"/>
  <c r="Q35" i="2"/>
  <c r="L24" i="2"/>
  <c r="P35" i="2"/>
  <c r="O35" i="2"/>
  <c r="N35" i="2"/>
  <c r="K35" i="2"/>
  <c r="F35" i="2"/>
  <c r="E35" i="2"/>
  <c r="B35" i="2"/>
  <c r="X31" i="2"/>
  <c r="W31" i="2"/>
  <c r="T31" i="2"/>
  <c r="M20" i="2"/>
  <c r="Q31" i="2"/>
  <c r="L20" i="2"/>
  <c r="P31" i="2"/>
  <c r="O31" i="2"/>
  <c r="N31" i="2"/>
  <c r="K31" i="2"/>
  <c r="F31" i="2"/>
  <c r="E31" i="2"/>
  <c r="B31" i="2"/>
  <c r="X30" i="2"/>
  <c r="W30" i="2"/>
  <c r="T30" i="2"/>
  <c r="M19" i="2"/>
  <c r="Q30" i="2"/>
  <c r="L19" i="2"/>
  <c r="P30" i="2"/>
  <c r="O30" i="2"/>
  <c r="N30" i="2"/>
  <c r="K30" i="2"/>
  <c r="F30" i="2"/>
  <c r="E30" i="2"/>
  <c r="B30" i="2"/>
  <c r="X29" i="2"/>
  <c r="W29" i="2"/>
  <c r="T29" i="2"/>
  <c r="M18" i="2"/>
  <c r="Q29" i="2"/>
  <c r="L18" i="2"/>
  <c r="P29" i="2"/>
  <c r="O29" i="2"/>
  <c r="N29" i="2"/>
  <c r="K29" i="2"/>
  <c r="F29" i="2"/>
  <c r="E29" i="2"/>
  <c r="B29" i="2"/>
  <c r="X28" i="2"/>
  <c r="W28" i="2"/>
  <c r="T28" i="2"/>
  <c r="M17" i="2"/>
  <c r="Q28" i="2"/>
  <c r="L17" i="2"/>
  <c r="P28" i="2"/>
  <c r="O28" i="2"/>
  <c r="N28" i="2"/>
  <c r="K28" i="2"/>
  <c r="F28" i="2"/>
  <c r="E28" i="2"/>
  <c r="B28" i="2"/>
  <c r="X27" i="2"/>
  <c r="W27" i="2"/>
  <c r="T27" i="2"/>
  <c r="M16" i="2"/>
  <c r="Q27" i="2"/>
  <c r="L16" i="2"/>
  <c r="P27" i="2"/>
  <c r="O27" i="2"/>
  <c r="N27" i="2"/>
  <c r="K27" i="2"/>
  <c r="F27" i="2"/>
  <c r="E27" i="2"/>
  <c r="B27" i="2"/>
  <c r="X26" i="2"/>
  <c r="W26" i="2"/>
  <c r="T26" i="2"/>
  <c r="M15" i="2"/>
  <c r="Q26" i="2"/>
  <c r="L15" i="2"/>
  <c r="P26" i="2"/>
  <c r="O26" i="2"/>
  <c r="N26" i="2"/>
  <c r="K26" i="2"/>
  <c r="F26" i="2"/>
  <c r="E26" i="2"/>
  <c r="B26" i="2"/>
  <c r="X25" i="2"/>
  <c r="W25" i="2"/>
  <c r="T25" i="2"/>
  <c r="M14" i="2"/>
  <c r="Q25" i="2"/>
  <c r="L14" i="2"/>
  <c r="P25" i="2"/>
  <c r="O25" i="2"/>
  <c r="N25" i="2"/>
  <c r="K25" i="2"/>
  <c r="F25" i="2"/>
  <c r="E25" i="2"/>
  <c r="B25" i="2"/>
  <c r="X24" i="2"/>
  <c r="W24" i="2"/>
  <c r="T24" i="2"/>
  <c r="M13" i="2"/>
  <c r="Q24" i="2"/>
  <c r="L13" i="2"/>
  <c r="P24" i="2"/>
  <c r="O24" i="2"/>
  <c r="N24" i="2"/>
  <c r="K24" i="2"/>
  <c r="F24" i="2"/>
  <c r="E24" i="2"/>
  <c r="B24" i="2"/>
  <c r="X20" i="2"/>
  <c r="W20" i="2"/>
  <c r="T20" i="2"/>
  <c r="K9" i="2"/>
  <c r="M9" i="2"/>
  <c r="N9" i="2"/>
  <c r="Q20" i="2"/>
  <c r="K8" i="2"/>
  <c r="M8" i="2"/>
  <c r="N8" i="2"/>
  <c r="P20" i="2"/>
  <c r="O20" i="2"/>
  <c r="N20" i="2"/>
  <c r="K20" i="2"/>
  <c r="F20" i="2"/>
  <c r="E20" i="2"/>
  <c r="B20" i="2"/>
  <c r="X19" i="2"/>
  <c r="W19" i="2"/>
  <c r="T19" i="2"/>
  <c r="Q19" i="2"/>
  <c r="P19" i="2"/>
  <c r="O19" i="2"/>
  <c r="N19" i="2"/>
  <c r="K19" i="2"/>
  <c r="F19" i="2"/>
  <c r="E19" i="2"/>
  <c r="B19" i="2"/>
  <c r="X18" i="2"/>
  <c r="W18" i="2"/>
  <c r="T18" i="2"/>
  <c r="Q18" i="2"/>
  <c r="P18" i="2"/>
  <c r="O18" i="2"/>
  <c r="N18" i="2"/>
  <c r="K18" i="2"/>
  <c r="F18" i="2"/>
  <c r="E18" i="2"/>
  <c r="B18" i="2"/>
  <c r="X17" i="2"/>
  <c r="W17" i="2"/>
  <c r="T17" i="2"/>
  <c r="Q17" i="2"/>
  <c r="P17" i="2"/>
  <c r="O17" i="2"/>
  <c r="N17" i="2"/>
  <c r="K17" i="2"/>
  <c r="F17" i="2"/>
  <c r="E17" i="2"/>
  <c r="B17" i="2"/>
  <c r="X16" i="2"/>
  <c r="W16" i="2"/>
  <c r="T16" i="2"/>
  <c r="Q16" i="2"/>
  <c r="P16" i="2"/>
  <c r="O16" i="2"/>
  <c r="N16" i="2"/>
  <c r="K16" i="2"/>
  <c r="F16" i="2"/>
  <c r="E16" i="2"/>
  <c r="B16" i="2"/>
  <c r="X15" i="2"/>
  <c r="W15" i="2"/>
  <c r="T15" i="2"/>
  <c r="Q15" i="2"/>
  <c r="P15" i="2"/>
  <c r="O15" i="2"/>
  <c r="N15" i="2"/>
  <c r="K15" i="2"/>
  <c r="F15" i="2"/>
  <c r="E15" i="2"/>
  <c r="B15" i="2"/>
  <c r="X14" i="2"/>
  <c r="W14" i="2"/>
  <c r="T14" i="2"/>
  <c r="Q14" i="2"/>
  <c r="P14" i="2"/>
  <c r="O14" i="2"/>
  <c r="N14" i="2"/>
  <c r="K14" i="2"/>
  <c r="F14" i="2"/>
  <c r="E14" i="2"/>
  <c r="B14" i="2"/>
  <c r="X13" i="2"/>
  <c r="W13" i="2"/>
  <c r="T13" i="2"/>
  <c r="Q13" i="2"/>
  <c r="P13" i="2"/>
  <c r="O13" i="2"/>
  <c r="N13" i="2"/>
  <c r="K13" i="2"/>
  <c r="F13" i="2"/>
  <c r="E13" i="2"/>
  <c r="B13" i="2"/>
  <c r="X9" i="2"/>
  <c r="O9" i="2"/>
  <c r="F9" i="2"/>
  <c r="X8" i="2"/>
  <c r="O8" i="2"/>
  <c r="F8" i="2"/>
  <c r="V20" i="1"/>
  <c r="T9" i="1"/>
  <c r="V9" i="1"/>
  <c r="W9" i="1"/>
  <c r="Z20" i="1"/>
  <c r="V31" i="1"/>
  <c r="Z31" i="1"/>
  <c r="V42" i="1"/>
  <c r="Z42" i="1"/>
  <c r="V53" i="1"/>
  <c r="Z53" i="1"/>
  <c r="Z65" i="1"/>
  <c r="U20" i="1"/>
  <c r="T8" i="1"/>
  <c r="V8" i="1"/>
  <c r="W8" i="1"/>
  <c r="Y20" i="1"/>
  <c r="U31" i="1"/>
  <c r="Y31" i="1"/>
  <c r="U42" i="1"/>
  <c r="Y42" i="1"/>
  <c r="U53" i="1"/>
  <c r="Y53" i="1"/>
  <c r="Y65" i="1"/>
  <c r="C53" i="1"/>
  <c r="D53" i="1"/>
  <c r="K73" i="1"/>
  <c r="L73" i="1"/>
  <c r="M73" i="1"/>
  <c r="O73" i="1"/>
  <c r="N73" i="1"/>
  <c r="D20" i="1"/>
  <c r="B9" i="1"/>
  <c r="D9" i="1"/>
  <c r="E9" i="1"/>
  <c r="H20" i="1"/>
  <c r="D31" i="1"/>
  <c r="H31" i="1"/>
  <c r="D42" i="1"/>
  <c r="H42" i="1"/>
  <c r="H53" i="1"/>
  <c r="H65" i="1"/>
  <c r="C20" i="1"/>
  <c r="B8" i="1"/>
  <c r="D8" i="1"/>
  <c r="E8" i="1"/>
  <c r="G20" i="1"/>
  <c r="C31" i="1"/>
  <c r="G31" i="1"/>
  <c r="C42" i="1"/>
  <c r="G42" i="1"/>
  <c r="G53" i="1"/>
  <c r="G65" i="1"/>
  <c r="V19" i="1"/>
  <c r="Z19" i="1"/>
  <c r="V30" i="1"/>
  <c r="Z30" i="1"/>
  <c r="V41" i="1"/>
  <c r="Z41" i="1"/>
  <c r="V52" i="1"/>
  <c r="Z52" i="1"/>
  <c r="Z64" i="1"/>
  <c r="U19" i="1"/>
  <c r="Y19" i="1"/>
  <c r="U30" i="1"/>
  <c r="Y30" i="1"/>
  <c r="U41" i="1"/>
  <c r="Y41" i="1"/>
  <c r="U52" i="1"/>
  <c r="Y52" i="1"/>
  <c r="Y64" i="1"/>
  <c r="C52" i="1"/>
  <c r="D52" i="1"/>
  <c r="K72" i="1"/>
  <c r="L72" i="1"/>
  <c r="M72" i="1"/>
  <c r="O72" i="1"/>
  <c r="N72" i="1"/>
  <c r="D19" i="1"/>
  <c r="H19" i="1"/>
  <c r="D30" i="1"/>
  <c r="H30" i="1"/>
  <c r="D41" i="1"/>
  <c r="H41" i="1"/>
  <c r="H52" i="1"/>
  <c r="H64" i="1"/>
  <c r="C19" i="1"/>
  <c r="G19" i="1"/>
  <c r="C30" i="1"/>
  <c r="G30" i="1"/>
  <c r="C41" i="1"/>
  <c r="G41" i="1"/>
  <c r="G52" i="1"/>
  <c r="G64" i="1"/>
  <c r="V18" i="1"/>
  <c r="Z18" i="1"/>
  <c r="V29" i="1"/>
  <c r="Z29" i="1"/>
  <c r="V40" i="1"/>
  <c r="Z40" i="1"/>
  <c r="Z51" i="1"/>
  <c r="Z63" i="1"/>
  <c r="U18" i="1"/>
  <c r="Y18" i="1"/>
  <c r="U29" i="1"/>
  <c r="Y29" i="1"/>
  <c r="U40" i="1"/>
  <c r="Y40" i="1"/>
  <c r="U51" i="1"/>
  <c r="Y51" i="1"/>
  <c r="Y63" i="1"/>
  <c r="C51" i="1"/>
  <c r="K71" i="1"/>
  <c r="L71" i="1"/>
  <c r="M71" i="1"/>
  <c r="O71" i="1"/>
  <c r="N71" i="1"/>
  <c r="D18" i="1"/>
  <c r="H18" i="1"/>
  <c r="D29" i="1"/>
  <c r="H29" i="1"/>
  <c r="D40" i="1"/>
  <c r="H40" i="1"/>
  <c r="H51" i="1"/>
  <c r="H63" i="1"/>
  <c r="C18" i="1"/>
  <c r="G18" i="1"/>
  <c r="C29" i="1"/>
  <c r="G29" i="1"/>
  <c r="C40" i="1"/>
  <c r="G40" i="1"/>
  <c r="G51" i="1"/>
  <c r="G63" i="1"/>
  <c r="V17" i="1"/>
  <c r="Z17" i="1"/>
  <c r="V28" i="1"/>
  <c r="Z28" i="1"/>
  <c r="V39" i="1"/>
  <c r="Z39" i="1"/>
  <c r="V50" i="1"/>
  <c r="Z50" i="1"/>
  <c r="Z62" i="1"/>
  <c r="U17" i="1"/>
  <c r="Y17" i="1"/>
  <c r="U28" i="1"/>
  <c r="Y28" i="1"/>
  <c r="U39" i="1"/>
  <c r="Y39" i="1"/>
  <c r="U50" i="1"/>
  <c r="Y50" i="1"/>
  <c r="Y62" i="1"/>
  <c r="C50" i="1"/>
  <c r="D50" i="1"/>
  <c r="K70" i="1"/>
  <c r="L70" i="1"/>
  <c r="M70" i="1"/>
  <c r="O70" i="1"/>
  <c r="N70" i="1"/>
  <c r="D17" i="1"/>
  <c r="H17" i="1"/>
  <c r="D28" i="1"/>
  <c r="H28" i="1"/>
  <c r="D39" i="1"/>
  <c r="H39" i="1"/>
  <c r="H50" i="1"/>
  <c r="H62" i="1"/>
  <c r="C17" i="1"/>
  <c r="G17" i="1"/>
  <c r="C28" i="1"/>
  <c r="G28" i="1"/>
  <c r="C39" i="1"/>
  <c r="G39" i="1"/>
  <c r="G50" i="1"/>
  <c r="G62" i="1"/>
  <c r="V16" i="1"/>
  <c r="Z16" i="1"/>
  <c r="V27" i="1"/>
  <c r="Z27" i="1"/>
  <c r="V38" i="1"/>
  <c r="Z38" i="1"/>
  <c r="V49" i="1"/>
  <c r="Z49" i="1"/>
  <c r="Z61" i="1"/>
  <c r="U16" i="1"/>
  <c r="Y16" i="1"/>
  <c r="U27" i="1"/>
  <c r="Y27" i="1"/>
  <c r="U38" i="1"/>
  <c r="Y38" i="1"/>
  <c r="U49" i="1"/>
  <c r="Y49" i="1"/>
  <c r="Y61" i="1"/>
  <c r="C49" i="1"/>
  <c r="D49" i="1"/>
  <c r="K69" i="1"/>
  <c r="L69" i="1"/>
  <c r="M69" i="1"/>
  <c r="O69" i="1"/>
  <c r="N69" i="1"/>
  <c r="D16" i="1"/>
  <c r="H16" i="1"/>
  <c r="D27" i="1"/>
  <c r="H27" i="1"/>
  <c r="D38" i="1"/>
  <c r="H38" i="1"/>
  <c r="H49" i="1"/>
  <c r="H61" i="1"/>
  <c r="C16" i="1"/>
  <c r="G16" i="1"/>
  <c r="C27" i="1"/>
  <c r="G27" i="1"/>
  <c r="C38" i="1"/>
  <c r="G38" i="1"/>
  <c r="G49" i="1"/>
  <c r="G61" i="1"/>
  <c r="V15" i="1"/>
  <c r="Z15" i="1"/>
  <c r="V26" i="1"/>
  <c r="Z26" i="1"/>
  <c r="V37" i="1"/>
  <c r="Z37" i="1"/>
  <c r="V48" i="1"/>
  <c r="Z48" i="1"/>
  <c r="Z60" i="1"/>
  <c r="U15" i="1"/>
  <c r="Y15" i="1"/>
  <c r="U26" i="1"/>
  <c r="Y26" i="1"/>
  <c r="U37" i="1"/>
  <c r="Y37" i="1"/>
  <c r="U48" i="1"/>
  <c r="Y48" i="1"/>
  <c r="Y60" i="1"/>
  <c r="C48" i="1"/>
  <c r="D48" i="1"/>
  <c r="K68" i="1"/>
  <c r="L68" i="1"/>
  <c r="M68" i="1"/>
  <c r="O68" i="1"/>
  <c r="N68" i="1"/>
  <c r="D15" i="1"/>
  <c r="H15" i="1"/>
  <c r="D26" i="1"/>
  <c r="H26" i="1"/>
  <c r="D37" i="1"/>
  <c r="H37" i="1"/>
  <c r="H48" i="1"/>
  <c r="H60" i="1"/>
  <c r="C15" i="1"/>
  <c r="G15" i="1"/>
  <c r="C26" i="1"/>
  <c r="G26" i="1"/>
  <c r="C37" i="1"/>
  <c r="G37" i="1"/>
  <c r="G48" i="1"/>
  <c r="G60" i="1"/>
  <c r="V14" i="1"/>
  <c r="Z14" i="1"/>
  <c r="V25" i="1"/>
  <c r="Z25" i="1"/>
  <c r="V36" i="1"/>
  <c r="Z36" i="1"/>
  <c r="V47" i="1"/>
  <c r="Z47" i="1"/>
  <c r="Z59" i="1"/>
  <c r="U14" i="1"/>
  <c r="Y14" i="1"/>
  <c r="U25" i="1"/>
  <c r="Y25" i="1"/>
  <c r="U36" i="1"/>
  <c r="Y36" i="1"/>
  <c r="U47" i="1"/>
  <c r="Y47" i="1"/>
  <c r="Y59" i="1"/>
  <c r="C47" i="1"/>
  <c r="D47" i="1"/>
  <c r="K67" i="1"/>
  <c r="L67" i="1"/>
  <c r="M67" i="1"/>
  <c r="O67" i="1"/>
  <c r="N67" i="1"/>
  <c r="D14" i="1"/>
  <c r="H14" i="1"/>
  <c r="D25" i="1"/>
  <c r="H25" i="1"/>
  <c r="D36" i="1"/>
  <c r="H36" i="1"/>
  <c r="H47" i="1"/>
  <c r="H59" i="1"/>
  <c r="C14" i="1"/>
  <c r="G14" i="1"/>
  <c r="C25" i="1"/>
  <c r="G25" i="1"/>
  <c r="C36" i="1"/>
  <c r="G36" i="1"/>
  <c r="G47" i="1"/>
  <c r="G59" i="1"/>
  <c r="V13" i="1"/>
  <c r="Z13" i="1"/>
  <c r="V24" i="1"/>
  <c r="Z24" i="1"/>
  <c r="V35" i="1"/>
  <c r="Z35" i="1"/>
  <c r="V46" i="1"/>
  <c r="Z46" i="1"/>
  <c r="Z58" i="1"/>
  <c r="U13" i="1"/>
  <c r="Y13" i="1"/>
  <c r="U24" i="1"/>
  <c r="Y24" i="1"/>
  <c r="U35" i="1"/>
  <c r="Y35" i="1"/>
  <c r="U46" i="1"/>
  <c r="Y46" i="1"/>
  <c r="Y58" i="1"/>
  <c r="L66" i="1"/>
  <c r="M66" i="1"/>
  <c r="O66" i="1"/>
  <c r="N66" i="1"/>
  <c r="D13" i="1"/>
  <c r="H13" i="1"/>
  <c r="D24" i="1"/>
  <c r="H24" i="1"/>
  <c r="D35" i="1"/>
  <c r="H35" i="1"/>
  <c r="H46" i="1"/>
  <c r="H58" i="1"/>
  <c r="C13" i="1"/>
  <c r="G13" i="1"/>
  <c r="C24" i="1"/>
  <c r="G24" i="1"/>
  <c r="C35" i="1"/>
  <c r="G35" i="1"/>
  <c r="G46" i="1"/>
  <c r="G58" i="1"/>
  <c r="X53" i="1"/>
  <c r="W53" i="1"/>
  <c r="T53" i="1"/>
  <c r="O53" i="1"/>
  <c r="N53" i="1"/>
  <c r="K53" i="1"/>
  <c r="F53" i="1"/>
  <c r="E53" i="1"/>
  <c r="B53" i="1"/>
  <c r="X52" i="1"/>
  <c r="W52" i="1"/>
  <c r="T52" i="1"/>
  <c r="O52" i="1"/>
  <c r="N52" i="1"/>
  <c r="K52" i="1"/>
  <c r="F52" i="1"/>
  <c r="E52" i="1"/>
  <c r="B52" i="1"/>
  <c r="X51" i="1"/>
  <c r="W51" i="1"/>
  <c r="T51" i="1"/>
  <c r="O51" i="1"/>
  <c r="N51" i="1"/>
  <c r="K51" i="1"/>
  <c r="F51" i="1"/>
  <c r="E51" i="1"/>
  <c r="B51" i="1"/>
  <c r="X50" i="1"/>
  <c r="W50" i="1"/>
  <c r="T50" i="1"/>
  <c r="O50" i="1"/>
  <c r="N50" i="1"/>
  <c r="K50" i="1"/>
  <c r="F50" i="1"/>
  <c r="E50" i="1"/>
  <c r="B50" i="1"/>
  <c r="X49" i="1"/>
  <c r="W49" i="1"/>
  <c r="T49" i="1"/>
  <c r="O49" i="1"/>
  <c r="N49" i="1"/>
  <c r="K49" i="1"/>
  <c r="F49" i="1"/>
  <c r="E49" i="1"/>
  <c r="B49" i="1"/>
  <c r="X48" i="1"/>
  <c r="W48" i="1"/>
  <c r="T48" i="1"/>
  <c r="O48" i="1"/>
  <c r="N48" i="1"/>
  <c r="K48" i="1"/>
  <c r="F48" i="1"/>
  <c r="E48" i="1"/>
  <c r="B48" i="1"/>
  <c r="X47" i="1"/>
  <c r="W47" i="1"/>
  <c r="T47" i="1"/>
  <c r="O47" i="1"/>
  <c r="N47" i="1"/>
  <c r="K47" i="1"/>
  <c r="F47" i="1"/>
  <c r="E47" i="1"/>
  <c r="B47" i="1"/>
  <c r="X46" i="1"/>
  <c r="W46" i="1"/>
  <c r="T46" i="1"/>
  <c r="O46" i="1"/>
  <c r="N46" i="1"/>
  <c r="K46" i="1"/>
  <c r="F46" i="1"/>
  <c r="E46" i="1"/>
  <c r="B46" i="1"/>
  <c r="X42" i="1"/>
  <c r="W42" i="1"/>
  <c r="T42" i="1"/>
  <c r="O42" i="1"/>
  <c r="N42" i="1"/>
  <c r="K42" i="1"/>
  <c r="F42" i="1"/>
  <c r="E42" i="1"/>
  <c r="B42" i="1"/>
  <c r="X41" i="1"/>
  <c r="W41" i="1"/>
  <c r="T41" i="1"/>
  <c r="O41" i="1"/>
  <c r="N41" i="1"/>
  <c r="K41" i="1"/>
  <c r="F41" i="1"/>
  <c r="E41" i="1"/>
  <c r="B41" i="1"/>
  <c r="X40" i="1"/>
  <c r="W40" i="1"/>
  <c r="T40" i="1"/>
  <c r="O40" i="1"/>
  <c r="N40" i="1"/>
  <c r="K40" i="1"/>
  <c r="F40" i="1"/>
  <c r="E40" i="1"/>
  <c r="B40" i="1"/>
  <c r="X39" i="1"/>
  <c r="W39" i="1"/>
  <c r="T39" i="1"/>
  <c r="O39" i="1"/>
  <c r="N39" i="1"/>
  <c r="K39" i="1"/>
  <c r="F39" i="1"/>
  <c r="E39" i="1"/>
  <c r="B39" i="1"/>
  <c r="X38" i="1"/>
  <c r="W38" i="1"/>
  <c r="T38" i="1"/>
  <c r="O38" i="1"/>
  <c r="N38" i="1"/>
  <c r="K38" i="1"/>
  <c r="F38" i="1"/>
  <c r="E38" i="1"/>
  <c r="B38" i="1"/>
  <c r="X37" i="1"/>
  <c r="W37" i="1"/>
  <c r="T37" i="1"/>
  <c r="O37" i="1"/>
  <c r="N37" i="1"/>
  <c r="K37" i="1"/>
  <c r="F37" i="1"/>
  <c r="E37" i="1"/>
  <c r="B37" i="1"/>
  <c r="X36" i="1"/>
  <c r="W36" i="1"/>
  <c r="T36" i="1"/>
  <c r="O36" i="1"/>
  <c r="N36" i="1"/>
  <c r="K36" i="1"/>
  <c r="F36" i="1"/>
  <c r="E36" i="1"/>
  <c r="B36" i="1"/>
  <c r="X35" i="1"/>
  <c r="W35" i="1"/>
  <c r="T35" i="1"/>
  <c r="O35" i="1"/>
  <c r="N35" i="1"/>
  <c r="K35" i="1"/>
  <c r="F35" i="1"/>
  <c r="E35" i="1"/>
  <c r="B35" i="1"/>
  <c r="X31" i="1"/>
  <c r="W31" i="1"/>
  <c r="T31" i="1"/>
  <c r="O31" i="1"/>
  <c r="N31" i="1"/>
  <c r="K31" i="1"/>
  <c r="F31" i="1"/>
  <c r="E31" i="1"/>
  <c r="B31" i="1"/>
  <c r="X30" i="1"/>
  <c r="W30" i="1"/>
  <c r="T30" i="1"/>
  <c r="O30" i="1"/>
  <c r="N30" i="1"/>
  <c r="K30" i="1"/>
  <c r="F30" i="1"/>
  <c r="E30" i="1"/>
  <c r="B30" i="1"/>
  <c r="X29" i="1"/>
  <c r="W29" i="1"/>
  <c r="T29" i="1"/>
  <c r="O29" i="1"/>
  <c r="N29" i="1"/>
  <c r="K29" i="1"/>
  <c r="F29" i="1"/>
  <c r="E29" i="1"/>
  <c r="B29" i="1"/>
  <c r="X28" i="1"/>
  <c r="W28" i="1"/>
  <c r="T28" i="1"/>
  <c r="O28" i="1"/>
  <c r="N28" i="1"/>
  <c r="K28" i="1"/>
  <c r="F28" i="1"/>
  <c r="E28" i="1"/>
  <c r="B28" i="1"/>
  <c r="X27" i="1"/>
  <c r="W27" i="1"/>
  <c r="T27" i="1"/>
  <c r="O27" i="1"/>
  <c r="N27" i="1"/>
  <c r="K27" i="1"/>
  <c r="F27" i="1"/>
  <c r="E27" i="1"/>
  <c r="B27" i="1"/>
  <c r="X26" i="1"/>
  <c r="W26" i="1"/>
  <c r="T26" i="1"/>
  <c r="O26" i="1"/>
  <c r="N26" i="1"/>
  <c r="K26" i="1"/>
  <c r="F26" i="1"/>
  <c r="E26" i="1"/>
  <c r="B26" i="1"/>
  <c r="X25" i="1"/>
  <c r="W25" i="1"/>
  <c r="T25" i="1"/>
  <c r="O25" i="1"/>
  <c r="N25" i="1"/>
  <c r="K25" i="1"/>
  <c r="F25" i="1"/>
  <c r="E25" i="1"/>
  <c r="B25" i="1"/>
  <c r="X24" i="1"/>
  <c r="W24" i="1"/>
  <c r="T24" i="1"/>
  <c r="O24" i="1"/>
  <c r="N24" i="1"/>
  <c r="K24" i="1"/>
  <c r="F24" i="1"/>
  <c r="E24" i="1"/>
  <c r="B24" i="1"/>
  <c r="X20" i="1"/>
  <c r="W20" i="1"/>
  <c r="T20" i="1"/>
  <c r="O20" i="1"/>
  <c r="N20" i="1"/>
  <c r="K20" i="1"/>
  <c r="F20" i="1"/>
  <c r="E20" i="1"/>
  <c r="B20" i="1"/>
  <c r="X19" i="1"/>
  <c r="W19" i="1"/>
  <c r="T19" i="1"/>
  <c r="O19" i="1"/>
  <c r="N19" i="1"/>
  <c r="K19" i="1"/>
  <c r="F19" i="1"/>
  <c r="E19" i="1"/>
  <c r="B19" i="1"/>
  <c r="X18" i="1"/>
  <c r="W18" i="1"/>
  <c r="T18" i="1"/>
  <c r="O18" i="1"/>
  <c r="N18" i="1"/>
  <c r="K18" i="1"/>
  <c r="F18" i="1"/>
  <c r="E18" i="1"/>
  <c r="B18" i="1"/>
  <c r="X17" i="1"/>
  <c r="W17" i="1"/>
  <c r="T17" i="1"/>
  <c r="O17" i="1"/>
  <c r="N17" i="1"/>
  <c r="K17" i="1"/>
  <c r="F17" i="1"/>
  <c r="E17" i="1"/>
  <c r="B17" i="1"/>
  <c r="X16" i="1"/>
  <c r="W16" i="1"/>
  <c r="T16" i="1"/>
  <c r="O16" i="1"/>
  <c r="N16" i="1"/>
  <c r="K16" i="1"/>
  <c r="F16" i="1"/>
  <c r="E16" i="1"/>
  <c r="B16" i="1"/>
  <c r="X15" i="1"/>
  <c r="W15" i="1"/>
  <c r="T15" i="1"/>
  <c r="O15" i="1"/>
  <c r="N15" i="1"/>
  <c r="K15" i="1"/>
  <c r="F15" i="1"/>
  <c r="E15" i="1"/>
  <c r="B15" i="1"/>
  <c r="X14" i="1"/>
  <c r="W14" i="1"/>
  <c r="T14" i="1"/>
  <c r="O14" i="1"/>
  <c r="N14" i="1"/>
  <c r="K14" i="1"/>
  <c r="F14" i="1"/>
  <c r="E14" i="1"/>
  <c r="B14" i="1"/>
  <c r="X13" i="1"/>
  <c r="W13" i="1"/>
  <c r="T13" i="1"/>
  <c r="O13" i="1"/>
  <c r="N13" i="1"/>
  <c r="K13" i="1"/>
  <c r="F13" i="1"/>
  <c r="E13" i="1"/>
  <c r="B13" i="1"/>
  <c r="X9" i="1"/>
  <c r="O9" i="1"/>
  <c r="F9" i="1"/>
  <c r="X8" i="1"/>
  <c r="O8" i="1"/>
  <c r="F8" i="1"/>
</calcChain>
</file>

<file path=xl/sharedStrings.xml><?xml version="1.0" encoding="utf-8"?>
<sst xmlns="http://schemas.openxmlformats.org/spreadsheetml/2006/main" count="531" uniqueCount="58">
  <si>
    <t>AH204 (Strep resistant) vs AH211 (Strep Susceptible)</t>
  </si>
  <si>
    <t>AH204 can grow on Nalidixic acid but not Chloramphenicol</t>
  </si>
  <si>
    <t>AH211 can grow on Chloramphenicol but not Nalidixic acid</t>
  </si>
  <si>
    <t>TEST 1:</t>
  </si>
  <si>
    <t>TEST 2:</t>
  </si>
  <si>
    <t>TEST 3:</t>
  </si>
  <si>
    <t>Starting Overnight Titres (cfu/ml):</t>
  </si>
  <si>
    <t>Amt added to Comp</t>
  </si>
  <si>
    <t>Starting cfu/ml</t>
  </si>
  <si>
    <t>Starting Proportion</t>
  </si>
  <si>
    <t>AH204</t>
  </si>
  <si>
    <t>AH211</t>
  </si>
  <si>
    <t>Day 1 - Following Overnight Incubation:</t>
  </si>
  <si>
    <t>GENERATIONS:</t>
  </si>
  <si>
    <t>Treatment:</t>
  </si>
  <si>
    <t>LB Titre</t>
  </si>
  <si>
    <t>Nx</t>
  </si>
  <si>
    <t>Cm</t>
  </si>
  <si>
    <t>Proportion AH204</t>
  </si>
  <si>
    <t>Proportion AH211</t>
  </si>
  <si>
    <t>LB</t>
  </si>
  <si>
    <t>Kamba 7.5mM</t>
  </si>
  <si>
    <t>Kamba 1mM</t>
  </si>
  <si>
    <t>Kamba 0.1mM</t>
  </si>
  <si>
    <t>Strep 0.25µg/ml</t>
  </si>
  <si>
    <t>Strep 0.25 + K7.5</t>
  </si>
  <si>
    <t>Strep 0.25+ K1</t>
  </si>
  <si>
    <t>Strep 0.25 + K0.1</t>
  </si>
  <si>
    <t>Day 2 - Following 1:1000 Dilution, and a second overnight incubation:</t>
  </si>
  <si>
    <t>Day 3 - Following 1:1000 Dilution, and a second overnight incubation:</t>
  </si>
  <si>
    <t>Day 4 - Following 1:1000 Dilution, and a second overnight incubation:</t>
  </si>
  <si>
    <t>AH204/AH211 (Ratio of Resistant to Susceptible Bacteria)</t>
  </si>
  <si>
    <t>TOTAL GENERATIONS</t>
  </si>
  <si>
    <t>DAY 4 Only</t>
  </si>
  <si>
    <t>REP1</t>
  </si>
  <si>
    <t>REP2</t>
  </si>
  <si>
    <t>REP3</t>
  </si>
  <si>
    <t>AVERAGE</t>
  </si>
  <si>
    <t>SEM</t>
  </si>
  <si>
    <t>SUMMARY OF ALL RUNS</t>
  </si>
  <si>
    <t>Data reported in MS</t>
  </si>
  <si>
    <t>AH201 (Tet resistant) vs AH214 (Tet Susceptible)</t>
  </si>
  <si>
    <t>AH201 can grow on Ampicillin but not Chloramphenicol</t>
  </si>
  <si>
    <t>AH214 can grow on Chloramphenicol but not Ampicillin</t>
  </si>
  <si>
    <t>AH201</t>
  </si>
  <si>
    <t>AH214</t>
  </si>
  <si>
    <t>Amp</t>
  </si>
  <si>
    <t>Proportion AH201</t>
  </si>
  <si>
    <t>Proportion AH214</t>
  </si>
  <si>
    <t>Roundup 0.1mM</t>
  </si>
  <si>
    <t>Roundup 0.5mM</t>
  </si>
  <si>
    <t>Roundup 2.5mM</t>
  </si>
  <si>
    <t>Tet 0.05µg/ml</t>
  </si>
  <si>
    <t>Tet + Roundup 0.1</t>
  </si>
  <si>
    <t>Tet + Roundup 0.5</t>
  </si>
  <si>
    <t>Tet + Roundup 2.5</t>
  </si>
  <si>
    <t xml:space="preserve"> </t>
  </si>
  <si>
    <t>data used in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</si>
</sst>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1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Fill="1" applyBorder="1"/>
    <xf numFmtId="0" fontId="0" fillId="0" borderId="2" xfId="0" applyBorder="1"/>
    <xf numFmtId="11" fontId="0" fillId="0" borderId="2" xfId="0" applyNumberFormat="1" applyBorder="1"/>
    <xf numFmtId="164" fontId="0" fillId="0" borderId="2" xfId="0" applyNumberFormat="1" applyBorder="1"/>
    <xf numFmtId="2" fontId="0" fillId="0" borderId="2" xfId="0" applyNumberFormat="1" applyBorder="1"/>
    <xf numFmtId="0" fontId="0" fillId="0" borderId="0" xfId="0" applyNumberFormat="1"/>
    <xf numFmtId="0" fontId="0" fillId="0" borderId="2" xfId="0" applyNumberFormat="1" applyBorder="1"/>
    <xf numFmtId="11" fontId="0" fillId="0" borderId="4" xfId="0" applyNumberFormat="1" applyBorder="1"/>
    <xf numFmtId="11" fontId="0" fillId="0" borderId="0" xfId="0" applyNumberFormat="1" applyBorder="1"/>
    <xf numFmtId="164" fontId="0" fillId="0" borderId="5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3" fillId="0" borderId="0" xfId="0" applyFont="1"/>
    <xf numFmtId="0" fontId="0" fillId="2" borderId="0" xfId="0" applyFill="1"/>
    <xf numFmtId="0" fontId="0" fillId="0" borderId="0" xfId="0" applyBorder="1"/>
    <xf numFmtId="2" fontId="0" fillId="0" borderId="0" xfId="0" applyNumberFormat="1"/>
    <xf numFmtId="0" fontId="1" fillId="0" borderId="2" xfId="0" applyFont="1" applyBorder="1"/>
    <xf numFmtId="0" fontId="1" fillId="0" borderId="2" xfId="0" applyFont="1" applyFill="1" applyBorder="1"/>
    <xf numFmtId="0" fontId="0" fillId="2" borderId="2" xfId="0" applyFill="1" applyBorder="1"/>
    <xf numFmtId="11" fontId="0" fillId="2" borderId="2" xfId="0" applyNumberFormat="1" applyFill="1" applyBorder="1"/>
    <xf numFmtId="164" fontId="0" fillId="0" borderId="0" xfId="0" applyNumberFormat="1" applyBorder="1"/>
    <xf numFmtId="164" fontId="0" fillId="0" borderId="4" xfId="0" applyNumberFormat="1" applyBorder="1"/>
    <xf numFmtId="0" fontId="0" fillId="0" borderId="0" xfId="0" applyNumberFormat="1" applyBorder="1"/>
    <xf numFmtId="0" fontId="4" fillId="0" borderId="0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0" fontId="0" fillId="0" borderId="6" xfId="0" applyBorder="1"/>
    <xf numFmtId="0" fontId="0" fillId="2" borderId="6" xfId="0" applyFill="1" applyBorder="1"/>
    <xf numFmtId="0" fontId="1" fillId="0" borderId="0" xfId="0" applyFont="1" applyBorder="1" applyAlignment="1">
      <alignment horizontal="center"/>
    </xf>
    <xf numFmtId="2" fontId="0" fillId="0" borderId="0" xfId="0" applyNumberFormat="1" applyBorder="1"/>
    <xf numFmtId="2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opLeftCell="F40" workbookViewId="0">
      <selection activeCell="N74" sqref="N74"/>
    </sheetView>
  </sheetViews>
  <sheetFormatPr defaultColWidth="12.44140625" defaultRowHeight="14.4" x14ac:dyDescent="0.3"/>
  <cols>
    <col min="1" max="1" width="18.109375" customWidth="1"/>
    <col min="2" max="2" width="12.44140625" bestFit="1" customWidth="1"/>
    <col min="4" max="4" width="19.6640625" customWidth="1"/>
    <col min="5" max="5" width="21.33203125" customWidth="1"/>
    <col min="6" max="6" width="19.21875" bestFit="1" customWidth="1"/>
    <col min="10" max="10" width="20.77734375" customWidth="1"/>
    <col min="13" max="13" width="19.6640625" bestFit="1" customWidth="1"/>
    <col min="14" max="14" width="18" bestFit="1" customWidth="1"/>
    <col min="15" max="15" width="18.6640625" bestFit="1" customWidth="1"/>
    <col min="19" max="19" width="23.6640625" customWidth="1"/>
    <col min="20" max="20" width="18.88671875" customWidth="1"/>
    <col min="22" max="22" width="19.6640625" bestFit="1" customWidth="1"/>
    <col min="23" max="23" width="18" bestFit="1" customWidth="1"/>
    <col min="24" max="24" width="18.6640625" bestFit="1" customWidth="1"/>
  </cols>
  <sheetData>
    <row r="1" spans="1:26" ht="15.6" x14ac:dyDescent="0.3">
      <c r="A1" s="1" t="s">
        <v>0</v>
      </c>
    </row>
    <row r="2" spans="1:26" x14ac:dyDescent="0.3">
      <c r="A2" t="s">
        <v>1</v>
      </c>
    </row>
    <row r="3" spans="1:26" x14ac:dyDescent="0.3">
      <c r="A3" t="s">
        <v>2</v>
      </c>
    </row>
    <row r="6" spans="1:26" ht="15.6" x14ac:dyDescent="0.3">
      <c r="A6" s="1" t="s">
        <v>3</v>
      </c>
      <c r="J6" s="1" t="s">
        <v>4</v>
      </c>
      <c r="S6" s="1" t="s">
        <v>5</v>
      </c>
    </row>
    <row r="7" spans="1:26" x14ac:dyDescent="0.3">
      <c r="A7" t="s">
        <v>6</v>
      </c>
      <c r="D7" t="s">
        <v>7</v>
      </c>
      <c r="E7" t="s">
        <v>8</v>
      </c>
      <c r="F7" t="s">
        <v>9</v>
      </c>
      <c r="J7" t="s">
        <v>6</v>
      </c>
      <c r="M7" t="s">
        <v>7</v>
      </c>
      <c r="N7" t="s">
        <v>8</v>
      </c>
      <c r="O7" t="s">
        <v>9</v>
      </c>
      <c r="S7" t="s">
        <v>6</v>
      </c>
      <c r="V7" t="s">
        <v>7</v>
      </c>
      <c r="W7" t="s">
        <v>8</v>
      </c>
      <c r="X7" t="s">
        <v>9</v>
      </c>
    </row>
    <row r="8" spans="1:26" ht="15.6" x14ac:dyDescent="0.3">
      <c r="A8" t="s">
        <v>10</v>
      </c>
      <c r="B8" s="2">
        <f>AVERAGE(600000000,500000000,400000000)</f>
        <v>500000000</v>
      </c>
      <c r="D8" s="2">
        <f>B8/1000/20</f>
        <v>25000</v>
      </c>
      <c r="E8" s="2">
        <f>D8/10</f>
        <v>2500</v>
      </c>
      <c r="F8" s="3">
        <f>E8/(E8+E9)</f>
        <v>0.375</v>
      </c>
      <c r="J8" t="s">
        <v>10</v>
      </c>
      <c r="K8" s="2">
        <f>AVERAGE(500000000,800000000,900000000)</f>
        <v>733333333.33333337</v>
      </c>
      <c r="M8" s="2">
        <f>K8/1000/20</f>
        <v>36666.666666666672</v>
      </c>
      <c r="N8" s="2">
        <f>M8/10</f>
        <v>3666.666666666667</v>
      </c>
      <c r="O8" s="3">
        <f>N8/(N8+N9)</f>
        <v>0.62857142857142856</v>
      </c>
      <c r="S8" s="4" t="s">
        <v>10</v>
      </c>
      <c r="T8" s="2">
        <f>AVERAGE(700000000,800000000,600000000)</f>
        <v>700000000</v>
      </c>
      <c r="V8" s="2">
        <f>T8/1000/20</f>
        <v>35000</v>
      </c>
      <c r="W8" s="2">
        <f>V8/10</f>
        <v>3500</v>
      </c>
      <c r="X8" s="3">
        <f>W8/(W8+W9)</f>
        <v>0.7</v>
      </c>
    </row>
    <row r="9" spans="1:26" ht="15.6" x14ac:dyDescent="0.3">
      <c r="A9" t="s">
        <v>11</v>
      </c>
      <c r="B9" s="2">
        <f>AVERAGE(700000000,900000000,900000000)</f>
        <v>833333333.33333337</v>
      </c>
      <c r="D9" s="2">
        <f>B9/1000/20</f>
        <v>41666.666666666672</v>
      </c>
      <c r="E9" s="2">
        <f>D9/10</f>
        <v>4166.666666666667</v>
      </c>
      <c r="F9" s="3">
        <f>E9/(E9+E8)</f>
        <v>0.625</v>
      </c>
      <c r="J9" t="s">
        <v>11</v>
      </c>
      <c r="K9" s="2">
        <f>AVERAGE(500000000,200000000,600000000)</f>
        <v>433333333.33333331</v>
      </c>
      <c r="M9" s="2">
        <f>K9/1000/20</f>
        <v>21666.666666666664</v>
      </c>
      <c r="N9" s="2">
        <f>M9/10</f>
        <v>2166.6666666666665</v>
      </c>
      <c r="O9" s="3">
        <f>N9/(N9+N8)</f>
        <v>0.37142857142857139</v>
      </c>
      <c r="S9" s="4" t="s">
        <v>11</v>
      </c>
      <c r="T9" s="2">
        <f>AVERAGE(200000000,300000000,400000000)</f>
        <v>300000000</v>
      </c>
      <c r="V9" s="2">
        <f>T9/1000/20</f>
        <v>15000</v>
      </c>
      <c r="W9" s="2">
        <f>V9/10</f>
        <v>1500</v>
      </c>
      <c r="X9" s="3">
        <f>W9/(W9+W8)</f>
        <v>0.3</v>
      </c>
    </row>
    <row r="11" spans="1:26" x14ac:dyDescent="0.3">
      <c r="A11" t="s">
        <v>12</v>
      </c>
      <c r="G11" s="5" t="s">
        <v>13</v>
      </c>
      <c r="H11" s="5"/>
      <c r="J11" t="s">
        <v>12</v>
      </c>
      <c r="P11" s="5" t="s">
        <v>13</v>
      </c>
      <c r="Q11" s="5"/>
      <c r="S11" t="s">
        <v>12</v>
      </c>
      <c r="Y11" s="5" t="s">
        <v>13</v>
      </c>
      <c r="Z11" s="5"/>
    </row>
    <row r="12" spans="1:26" ht="15.6" x14ac:dyDescent="0.3">
      <c r="A12" s="6" t="s">
        <v>14</v>
      </c>
      <c r="B12" s="7" t="s">
        <v>15</v>
      </c>
      <c r="C12" s="7" t="s">
        <v>16</v>
      </c>
      <c r="D12" s="7" t="s">
        <v>17</v>
      </c>
      <c r="E12" s="7" t="s">
        <v>18</v>
      </c>
      <c r="F12" s="7" t="s">
        <v>19</v>
      </c>
      <c r="G12" s="7" t="s">
        <v>10</v>
      </c>
      <c r="H12" s="7" t="s">
        <v>11</v>
      </c>
      <c r="I12" s="8"/>
      <c r="J12" s="6" t="s">
        <v>14</v>
      </c>
      <c r="K12" s="7" t="s">
        <v>15</v>
      </c>
      <c r="L12" s="7" t="s">
        <v>16</v>
      </c>
      <c r="M12" s="7" t="s">
        <v>17</v>
      </c>
      <c r="N12" s="7" t="s">
        <v>18</v>
      </c>
      <c r="O12" s="7" t="s">
        <v>19</v>
      </c>
      <c r="P12" s="7" t="s">
        <v>10</v>
      </c>
      <c r="Q12" s="7" t="s">
        <v>11</v>
      </c>
      <c r="S12" s="6" t="s">
        <v>14</v>
      </c>
      <c r="T12" s="7" t="s">
        <v>15</v>
      </c>
      <c r="U12" s="7" t="s">
        <v>16</v>
      </c>
      <c r="V12" s="7" t="s">
        <v>17</v>
      </c>
      <c r="W12" s="7" t="s">
        <v>18</v>
      </c>
      <c r="X12" s="7" t="s">
        <v>19</v>
      </c>
      <c r="Y12" s="7" t="s">
        <v>10</v>
      </c>
      <c r="Z12" s="7" t="s">
        <v>11</v>
      </c>
    </row>
    <row r="13" spans="1:26" x14ac:dyDescent="0.3">
      <c r="A13" s="9" t="s">
        <v>20</v>
      </c>
      <c r="B13" s="10">
        <f>AVERAGE(600000000,700000000,500000000)</f>
        <v>600000000</v>
      </c>
      <c r="C13" s="10">
        <f>AVERAGE(300000000,300000000,400000000,200000000,140000000,170000000)</f>
        <v>251666666.66666666</v>
      </c>
      <c r="D13" s="10">
        <f>AVERAGE(500000000,200000000,500000000)</f>
        <v>400000000</v>
      </c>
      <c r="E13" s="11">
        <f>C13/(D13+C13)</f>
        <v>0.38618925831202044</v>
      </c>
      <c r="F13" s="11">
        <f>D13/(D13+C13)</f>
        <v>0.61381074168797956</v>
      </c>
      <c r="G13" s="12">
        <f>LOG10(C13/E8)/LOG(2)</f>
        <v>16.619226523266011</v>
      </c>
      <c r="H13" s="12">
        <f>LOG10(D13/E9)/LOG(2)</f>
        <v>16.550746785383243</v>
      </c>
      <c r="I13" s="13"/>
      <c r="J13" s="9" t="s">
        <v>20</v>
      </c>
      <c r="K13" s="10">
        <f>AVERAGE(400000000,500000000,600000000)</f>
        <v>500000000</v>
      </c>
      <c r="L13" s="10">
        <f>AVERAGE(200000000,200000000,90000000,40000000,140000000)</f>
        <v>134000000</v>
      </c>
      <c r="M13" s="10">
        <f>AVERAGE(500000000,600000000,700000000)</f>
        <v>600000000</v>
      </c>
      <c r="N13" s="11">
        <f>L13/(M13+L13)</f>
        <v>0.18256130790190736</v>
      </c>
      <c r="O13" s="11">
        <f>M13/(M13+L13)</f>
        <v>0.81743869209809261</v>
      </c>
      <c r="P13" s="12">
        <f>LOG10(L13/N8)/LOG(2)</f>
        <v>15.157404357203719</v>
      </c>
      <c r="Q13" s="12">
        <f>LOG10(M13/N9)/LOG(2)</f>
        <v>18.079125757738034</v>
      </c>
      <c r="S13" s="9" t="s">
        <v>20</v>
      </c>
      <c r="T13" s="10">
        <f>AVERAGE(200000000,500000000,400000000)</f>
        <v>366666666.66666669</v>
      </c>
      <c r="U13" s="10">
        <f>AVERAGE(100000000,400000000,500000000,500000000)</f>
        <v>375000000</v>
      </c>
      <c r="V13" s="10">
        <f>AVERAGE(400000000,400000000,500000000)</f>
        <v>433333333.33333331</v>
      </c>
      <c r="W13" s="11">
        <f>U13/(V13+U13)</f>
        <v>0.46391752577319595</v>
      </c>
      <c r="X13" s="11">
        <f>V13/(V13+U13)</f>
        <v>0.53608247422680411</v>
      </c>
      <c r="Y13" s="12">
        <f>LOG10(U13/W8)/LOG(2)</f>
        <v>16.709176147987726</v>
      </c>
      <c r="Z13" s="12">
        <f>LOG10(V13/W9)/LOG(2)</f>
        <v>18.140155191135591</v>
      </c>
    </row>
    <row r="14" spans="1:26" x14ac:dyDescent="0.3">
      <c r="A14" s="9" t="s">
        <v>21</v>
      </c>
      <c r="B14" s="10">
        <f>AVERAGE(100000000,100000000,300000000)</f>
        <v>166666666.66666666</v>
      </c>
      <c r="C14" s="10">
        <f>AVERAGE(200000000,100000000,150000000,130000000,120000000)</f>
        <v>140000000</v>
      </c>
      <c r="D14" s="10">
        <f>AVERAGE(100000000,200000000,300000000,120000000,110000000,120000000)</f>
        <v>158333333.33333334</v>
      </c>
      <c r="E14" s="11">
        <f t="shared" ref="E14:E20" si="0">C14/(D14+C14)</f>
        <v>0.46927374301675973</v>
      </c>
      <c r="F14" s="11">
        <f t="shared" ref="F14:F20" si="1">D14/(D14+C14)</f>
        <v>0.53072625698324016</v>
      </c>
      <c r="G14" s="14">
        <f>LOG10(C14/E8)/LOG(2)</f>
        <v>15.773139206719692</v>
      </c>
      <c r="H14" s="12">
        <f>LOG10(D14/E9)/LOG(2)</f>
        <v>15.213711798105672</v>
      </c>
      <c r="I14" s="13"/>
      <c r="J14" s="9" t="s">
        <v>21</v>
      </c>
      <c r="K14" s="10">
        <f>AVERAGE(300000000,100000000,100000000,180000000,190000000,240000000)</f>
        <v>185000000</v>
      </c>
      <c r="L14" s="10">
        <f>AVERAGE(100000000,80000000,40000000,60000000)</f>
        <v>70000000</v>
      </c>
      <c r="M14" s="10">
        <f>AVERAGE(200000000,200000000,130000000,220000000,170000000)</f>
        <v>184000000</v>
      </c>
      <c r="N14" s="11">
        <f t="shared" ref="N14:N20" si="2">L14/(M14+L14)</f>
        <v>0.27559055118110237</v>
      </c>
      <c r="O14" s="11">
        <f t="shared" ref="O14:O20" si="3">M14/(M14+L14)</f>
        <v>0.72440944881889768</v>
      </c>
      <c r="P14" s="14">
        <f>LOG10(L14/N8)/LOG(2)</f>
        <v>14.220598183690912</v>
      </c>
      <c r="Q14" s="12">
        <f>LOG10(M14/N9)/LOG(2)</f>
        <v>16.373869023299164</v>
      </c>
      <c r="S14" s="9" t="s">
        <v>21</v>
      </c>
      <c r="T14" s="10">
        <f>AVERAGE(200000000,200000000,400000000,240000000,220000000,230000000)</f>
        <v>248333333.33333334</v>
      </c>
      <c r="U14" s="10">
        <f>AVERAGE(100000000,100000000,80000000,900000000,30000000)</f>
        <v>242000000</v>
      </c>
      <c r="V14" s="10">
        <f>AVERAGE(100000000,200000000,300000000,160000000,180000000,260000000)</f>
        <v>200000000</v>
      </c>
      <c r="W14" s="11">
        <f t="shared" ref="W14:W20" si="4">U14/(V14+U14)</f>
        <v>0.54751131221719462</v>
      </c>
      <c r="X14" s="11">
        <f t="shared" ref="X14:X20" si="5">V14/(V14+U14)</f>
        <v>0.45248868778280543</v>
      </c>
      <c r="Y14" s="14">
        <f>LOG10(U14/W8)/LOG(2)</f>
        <v>16.077292599879076</v>
      </c>
      <c r="Z14" s="12">
        <f>LOG10(V14/W9)/LOG(2)</f>
        <v>17.024677973715654</v>
      </c>
    </row>
    <row r="15" spans="1:26" x14ac:dyDescent="0.3">
      <c r="A15" s="9" t="s">
        <v>22</v>
      </c>
      <c r="B15" s="10">
        <f>AVERAGE(600000000,500000000,700000000)</f>
        <v>600000000</v>
      </c>
      <c r="C15" s="10">
        <f>AVERAGE(200000000,100000000,300000000,180000000,210000000,150000000)</f>
        <v>190000000</v>
      </c>
      <c r="D15" s="10">
        <f>AVERAGE(100000000,200000000,300000000,170000000,220000000,280000000)</f>
        <v>211666666.66666666</v>
      </c>
      <c r="E15" s="11">
        <f t="shared" si="0"/>
        <v>0.47302904564315357</v>
      </c>
      <c r="F15" s="11">
        <f t="shared" si="1"/>
        <v>0.52697095435684649</v>
      </c>
      <c r="G15" s="12">
        <f>LOG10(C15/E8)/LOG(2)</f>
        <v>16.213711798105674</v>
      </c>
      <c r="H15" s="12">
        <f>LOG10(D15/E9)/LOG(2)</f>
        <v>15.632540876546889</v>
      </c>
      <c r="I15" s="13"/>
      <c r="J15" s="9" t="s">
        <v>22</v>
      </c>
      <c r="K15" s="10">
        <f>AVERAGE(500000000,400000000,600000000)</f>
        <v>500000000</v>
      </c>
      <c r="L15" s="10">
        <f>AVERAGE(200000000,100000000,120000000,160000000,130000000)</f>
        <v>142000000</v>
      </c>
      <c r="M15" s="10">
        <f>AVERAGE(100000000,300000000,300000000)</f>
        <v>233333333.33333334</v>
      </c>
      <c r="N15" s="11">
        <f t="shared" si="2"/>
        <v>0.37833037300177613</v>
      </c>
      <c r="O15" s="11">
        <f t="shared" si="3"/>
        <v>0.62166962699822381</v>
      </c>
      <c r="P15" s="12">
        <f>LOG10(L15/N8)/LOG(2)</f>
        <v>15.241062286250628</v>
      </c>
      <c r="Q15" s="12">
        <f>LOG10(M15/N9)/LOG(2)</f>
        <v>16.716555678353323</v>
      </c>
      <c r="S15" s="9" t="s">
        <v>22</v>
      </c>
      <c r="T15" s="10">
        <f>AVERAGE(600000000,700000000,800000000)</f>
        <v>700000000</v>
      </c>
      <c r="U15" s="10">
        <f>AVERAGE(100000000,100000000,100000000,60000000,90000000,150000000)</f>
        <v>100000000</v>
      </c>
      <c r="V15" s="10">
        <f>AVERAGE(100000000,300000000,500000000)</f>
        <v>300000000</v>
      </c>
      <c r="W15" s="11">
        <f t="shared" si="4"/>
        <v>0.25</v>
      </c>
      <c r="X15" s="11">
        <f t="shared" si="5"/>
        <v>0.75</v>
      </c>
      <c r="Y15" s="12">
        <f>LOG10(U15/W8)/LOG(2)</f>
        <v>14.802285552379207</v>
      </c>
      <c r="Z15" s="12">
        <f>LOG10(V15/W9)/LOG(2)</f>
        <v>17.609640474436812</v>
      </c>
    </row>
    <row r="16" spans="1:26" x14ac:dyDescent="0.3">
      <c r="A16" s="9" t="s">
        <v>23</v>
      </c>
      <c r="B16" s="10">
        <f>AVERAGE(800000000,1300000000,600000000)</f>
        <v>900000000</v>
      </c>
      <c r="C16" s="10">
        <f>AVERAGE(500000000,600000000,600000000)</f>
        <v>566666666.66666663</v>
      </c>
      <c r="D16" s="10">
        <f>AVERAGE(500000000,600000000,800000000)</f>
        <v>633333333.33333337</v>
      </c>
      <c r="E16" s="11">
        <f t="shared" si="0"/>
        <v>0.47222222222222221</v>
      </c>
      <c r="F16" s="11">
        <f t="shared" si="1"/>
        <v>0.52777777777777779</v>
      </c>
      <c r="G16" s="12">
        <f>LOG10(C16/E8)/LOG(2)</f>
        <v>17.790212720078632</v>
      </c>
      <c r="H16" s="12">
        <f>LOG10(D16/E9)/LOG(2)</f>
        <v>17.213711798105674</v>
      </c>
      <c r="I16" s="13"/>
      <c r="J16" s="9" t="s">
        <v>23</v>
      </c>
      <c r="K16" s="10">
        <f>AVERAGE(800000000,700000000,800000000)</f>
        <v>766666666.66666663</v>
      </c>
      <c r="L16" s="10">
        <f>AVERAGE(200000000,120000000,90000000,50000000)</f>
        <v>115000000</v>
      </c>
      <c r="M16" s="10">
        <f>AVERAGE(400000000,500000000,400000000)</f>
        <v>433333333.33333331</v>
      </c>
      <c r="N16" s="11">
        <f t="shared" si="2"/>
        <v>0.20972644376899699</v>
      </c>
      <c r="O16" s="11">
        <f t="shared" si="3"/>
        <v>0.79027355623100315</v>
      </c>
      <c r="P16" s="12">
        <f>LOG10(L16/N8)/LOG(2)</f>
        <v>14.936805217690321</v>
      </c>
      <c r="Q16" s="12">
        <f>LOG10(M16/N9)/LOG(2)</f>
        <v>17.609640474436812</v>
      </c>
      <c r="S16" s="9" t="s">
        <v>23</v>
      </c>
      <c r="T16" s="10">
        <f>AVERAGE(400000000,400000000,500000000)</f>
        <v>433333333.33333331</v>
      </c>
      <c r="U16" s="10">
        <f>AVERAGE(100000000,130000000,120000000,80000000)</f>
        <v>107500000</v>
      </c>
      <c r="V16" s="10">
        <f>AVERAGE(300000000,500000000,700000000)</f>
        <v>500000000</v>
      </c>
      <c r="W16" s="11">
        <f t="shared" si="4"/>
        <v>0.17695473251028807</v>
      </c>
      <c r="X16" s="11">
        <f t="shared" si="5"/>
        <v>0.82304526748971196</v>
      </c>
      <c r="Y16" s="12">
        <f>LOG10(U16/W8)/LOG(2)</f>
        <v>14.906622212193945</v>
      </c>
      <c r="Z16" s="12">
        <f>LOG10(V16/W9)/LOG(2)</f>
        <v>18.346606068603016</v>
      </c>
    </row>
    <row r="17" spans="1:30" x14ac:dyDescent="0.3">
      <c r="A17" s="9" t="s">
        <v>24</v>
      </c>
      <c r="B17" s="10">
        <f>AVERAGE(500000000,700000000,900000000)</f>
        <v>700000000</v>
      </c>
      <c r="C17" s="10">
        <f>AVERAGE(100000000,100000000,90000000,110000000,180000000)</f>
        <v>116000000</v>
      </c>
      <c r="D17" s="10">
        <f>AVERAGE(400000000,600000000,700000000)</f>
        <v>566666666.66666663</v>
      </c>
      <c r="E17" s="11">
        <f t="shared" si="0"/>
        <v>0.169921875</v>
      </c>
      <c r="F17" s="11">
        <f t="shared" si="1"/>
        <v>0.830078125</v>
      </c>
      <c r="G17" s="12">
        <f>LOG10(C17/E8)/LOG(2)</f>
        <v>15.501837184902296</v>
      </c>
      <c r="H17" s="12">
        <f>LOG10(D17/E9)/LOG(2)</f>
        <v>17.053247125912424</v>
      </c>
      <c r="I17" s="13"/>
      <c r="J17" s="9" t="s">
        <v>24</v>
      </c>
      <c r="K17" s="10">
        <f>AVERAGE(500000000,500000000,1000000000)</f>
        <v>666666666.66666663</v>
      </c>
      <c r="L17" s="10">
        <f>AVERAGE(200000000,100000000,110000000,120000000,100000000)</f>
        <v>126000000</v>
      </c>
      <c r="M17" s="10">
        <f>AVERAGE(400000000,400000000,700000000)</f>
        <v>500000000</v>
      </c>
      <c r="N17" s="11">
        <f t="shared" si="2"/>
        <v>0.2012779552715655</v>
      </c>
      <c r="O17" s="11">
        <f t="shared" si="3"/>
        <v>0.79872204472843455</v>
      </c>
      <c r="P17" s="12">
        <f>LOG10(L17/N8)/LOG(2)</f>
        <v>15.068595090245863</v>
      </c>
      <c r="Q17" s="12">
        <f>LOG10(M17/N9)/LOG(2)</f>
        <v>17.816091351904237</v>
      </c>
      <c r="S17" s="9" t="s">
        <v>24</v>
      </c>
      <c r="T17" s="10">
        <f>AVERAGE(300000000,400000000,500000000)</f>
        <v>400000000</v>
      </c>
      <c r="U17" s="10">
        <f>AVERAGE(200000000,100000000,110000000,100000000,120000000)</f>
        <v>126000000</v>
      </c>
      <c r="V17" s="10">
        <f>AVERAGE(100000000,300000000,500000000)</f>
        <v>300000000</v>
      </c>
      <c r="W17" s="11">
        <f t="shared" si="4"/>
        <v>0.29577464788732394</v>
      </c>
      <c r="X17" s="11">
        <f t="shared" si="5"/>
        <v>0.70422535211267601</v>
      </c>
      <c r="Y17" s="12">
        <f>LOG10(U17/W8)/LOG(2)</f>
        <v>15.135709286104397</v>
      </c>
      <c r="Z17" s="12">
        <f>LOG10(V17/W9)/LOG(2)</f>
        <v>17.609640474436812</v>
      </c>
    </row>
    <row r="18" spans="1:30" x14ac:dyDescent="0.3">
      <c r="A18" s="9" t="s">
        <v>25</v>
      </c>
      <c r="B18" s="10">
        <f>AVERAGE(200000000,300000000,600000000)</f>
        <v>366666666.66666669</v>
      </c>
      <c r="C18" s="10">
        <f>AVERAGE(400000000,400000000,600000000)</f>
        <v>466666666.66666669</v>
      </c>
      <c r="D18" s="10">
        <f>AVERAGE(500000,500000,1100000,1000000,1000000)</f>
        <v>820000</v>
      </c>
      <c r="E18" s="11">
        <f t="shared" si="0"/>
        <v>0.99824593927812555</v>
      </c>
      <c r="F18" s="11">
        <f t="shared" si="1"/>
        <v>1.7540607218744207E-3</v>
      </c>
      <c r="G18" s="12">
        <f>LOG10(C18/E8)/LOG(2)</f>
        <v>17.510104800885898</v>
      </c>
      <c r="H18" s="12">
        <f>LOG10(D18/E9)/LOG(2)</f>
        <v>7.6205864104518772</v>
      </c>
      <c r="I18" s="13"/>
      <c r="J18" s="9" t="s">
        <v>25</v>
      </c>
      <c r="K18" s="10">
        <f>AVERAGE(400000000,300000000,500000000,190000000,230000000,280000000)</f>
        <v>316666666.66666669</v>
      </c>
      <c r="L18" s="10">
        <f>AVERAGE(300000000,300000000,500000000,270000000,260000000,300000000)</f>
        <v>321666666.66666669</v>
      </c>
      <c r="M18" s="10">
        <f>AVERAGE(1000000,2000000,4000000,800000,1700000,2100000)</f>
        <v>1933333.3333333333</v>
      </c>
      <c r="N18" s="11">
        <f t="shared" si="2"/>
        <v>0.99402554594149162</v>
      </c>
      <c r="O18" s="11">
        <f t="shared" si="3"/>
        <v>5.9744540585084461E-3</v>
      </c>
      <c r="P18" s="12">
        <f>LOG10(L18/N8)/LOG(2)</f>
        <v>16.42073779818023</v>
      </c>
      <c r="Q18" s="12">
        <f>LOG10(M18/N9)/LOG(2)</f>
        <v>9.8013974667612036</v>
      </c>
      <c r="S18" s="9" t="s">
        <v>25</v>
      </c>
      <c r="T18" s="10">
        <f>AVERAGE(300000000,400000000,200000000,140000000,280000000,240000000)</f>
        <v>260000000</v>
      </c>
      <c r="U18" s="10">
        <f>AVERAGE(100000000,100000000,210000000,120000000,150000000)</f>
        <v>136000000</v>
      </c>
      <c r="V18" s="10">
        <f>AVERAGE(1000000,2000000,1200000,1500000,1000000)</f>
        <v>1340000</v>
      </c>
      <c r="W18" s="11">
        <f t="shared" si="4"/>
        <v>0.99024319207805445</v>
      </c>
      <c r="X18" s="11">
        <f t="shared" si="5"/>
        <v>9.7568079219455366E-3</v>
      </c>
      <c r="Y18" s="12">
        <f>LOG10(U18/W8)/LOG(2)</f>
        <v>15.245892203854824</v>
      </c>
      <c r="Z18" s="12">
        <f>LOG10(V18/W9)/LOG(2)</f>
        <v>9.8030547846239777</v>
      </c>
    </row>
    <row r="19" spans="1:30" x14ac:dyDescent="0.3">
      <c r="A19" s="9" t="s">
        <v>26</v>
      </c>
      <c r="B19" s="10">
        <f>AVERAGE(300000000,500000000,600000000)</f>
        <v>466666666.66666669</v>
      </c>
      <c r="C19" s="10">
        <f>AVERAGE(200000000,400000000,500000000)</f>
        <v>366666666.66666669</v>
      </c>
      <c r="D19" s="10">
        <f>AVERAGE(100000000,200000000,300000000,160000000,160000000,180000000)</f>
        <v>183333333.33333334</v>
      </c>
      <c r="E19" s="11">
        <f t="shared" si="0"/>
        <v>0.66666666666666674</v>
      </c>
      <c r="F19" s="11">
        <f t="shared" si="1"/>
        <v>0.33333333333333337</v>
      </c>
      <c r="G19" s="12">
        <f>LOG10(C19/E8)/LOG(2)</f>
        <v>17.162181497465593</v>
      </c>
      <c r="H19" s="12">
        <f>LOG10(D19/E9)/LOG(2)</f>
        <v>15.425215903299385</v>
      </c>
      <c r="I19" s="13"/>
      <c r="J19" s="9" t="s">
        <v>26</v>
      </c>
      <c r="K19" s="10">
        <f>AVERAGE(700000000,600000000,200000000)</f>
        <v>500000000</v>
      </c>
      <c r="L19" s="10">
        <f>AVERAGE(300000000,300000000,500000000,240000000,260000000,330000000)</f>
        <v>321666666.66666669</v>
      </c>
      <c r="M19" s="10">
        <f>AVERAGE(200000000,400000000,600000000,200000000,160000000,170000000)</f>
        <v>288333333.33333331</v>
      </c>
      <c r="N19" s="11">
        <f t="shared" si="2"/>
        <v>0.52732240437158473</v>
      </c>
      <c r="O19" s="11">
        <f t="shared" si="3"/>
        <v>0.47267759562841527</v>
      </c>
      <c r="P19" s="12">
        <f>LOG10(L19/N8)/LOG(2)</f>
        <v>16.42073779818023</v>
      </c>
      <c r="Q19" s="12">
        <f>LOG10(M19/N9)/LOG(2)</f>
        <v>17.021900889045082</v>
      </c>
      <c r="S19" s="9" t="s">
        <v>26</v>
      </c>
      <c r="T19" s="10">
        <f>AVERAGE(400000000,400000000,300000000)</f>
        <v>366666666.66666669</v>
      </c>
      <c r="U19" s="10">
        <f>AVERAGE(400000000,300000000,300000000,270000000,180000000,340000000)</f>
        <v>298333333.33333331</v>
      </c>
      <c r="V19" s="10">
        <f>AVERAGE(100000000,100000000,200000000,130000000,100000000,110000000)</f>
        <v>123333333.33333333</v>
      </c>
      <c r="W19" s="11">
        <f t="shared" si="4"/>
        <v>0.70750988142292492</v>
      </c>
      <c r="X19" s="11">
        <f t="shared" si="5"/>
        <v>0.29249011857707513</v>
      </c>
      <c r="Y19" s="12">
        <f>LOG10(U19/W8)/LOG(2)</f>
        <v>16.379210734034945</v>
      </c>
      <c r="Z19" s="12">
        <f>LOG10(V19/W9)/LOG(2)</f>
        <v>16.327240743736084</v>
      </c>
    </row>
    <row r="20" spans="1:30" x14ac:dyDescent="0.3">
      <c r="A20" s="9" t="s">
        <v>27</v>
      </c>
      <c r="B20" s="10">
        <f>AVERAGE(500000000,1000000000,1100000000)</f>
        <v>866666666.66666663</v>
      </c>
      <c r="C20" s="10">
        <f>AVERAGE(300000000,300000000,300000000,180000000,200000000,170000000)</f>
        <v>241666666.66666666</v>
      </c>
      <c r="D20" s="10">
        <f>AVERAGE(200000000,400000000,500000000)</f>
        <v>366666666.66666669</v>
      </c>
      <c r="E20" s="11">
        <f t="shared" si="0"/>
        <v>0.39726027397260272</v>
      </c>
      <c r="F20" s="11">
        <f t="shared" si="1"/>
        <v>0.60273972602739723</v>
      </c>
      <c r="G20" s="12">
        <f>LOG10(C20/E8)/LOG(2)</f>
        <v>16.560730873955865</v>
      </c>
      <c r="H20" s="12">
        <f>LOG10(D20/E9)/LOG(2)</f>
        <v>16.425215903299382</v>
      </c>
      <c r="I20" s="13"/>
      <c r="J20" s="9" t="s">
        <v>27</v>
      </c>
      <c r="K20" s="10">
        <f>AVERAGE(500000000,200000000,200000000)</f>
        <v>300000000</v>
      </c>
      <c r="L20" s="10">
        <f>AVERAGE(100000000,100000000,90000000,70000000,140000000)</f>
        <v>100000000</v>
      </c>
      <c r="M20" s="10">
        <f>AVERAGE(200000000,400000000,300000000)</f>
        <v>300000000</v>
      </c>
      <c r="N20" s="11">
        <f t="shared" si="2"/>
        <v>0.25</v>
      </c>
      <c r="O20" s="11">
        <f t="shared" si="3"/>
        <v>0.75</v>
      </c>
      <c r="P20" s="12">
        <f>LOG10(L20/N8)/LOG(2)</f>
        <v>14.73517135652067</v>
      </c>
      <c r="Q20" s="12">
        <f>LOG10(M20/N9)/LOG(2)</f>
        <v>17.079125757738034</v>
      </c>
      <c r="S20" s="9" t="s">
        <v>27</v>
      </c>
      <c r="T20" s="10">
        <f>AVERAGE(200000000,500000000,600000000)</f>
        <v>433333333.33333331</v>
      </c>
      <c r="U20" s="10">
        <f>AVERAGE(100000000,100000000,300000000,70000000,70000000,80000000)</f>
        <v>120000000</v>
      </c>
      <c r="V20" s="10">
        <f>AVERAGE(300000000,500000000,700000000)</f>
        <v>500000000</v>
      </c>
      <c r="W20" s="11">
        <f t="shared" si="4"/>
        <v>0.19354838709677419</v>
      </c>
      <c r="X20" s="11">
        <f t="shared" si="5"/>
        <v>0.80645161290322576</v>
      </c>
      <c r="Y20" s="12">
        <f>LOG10(U20/W8)/LOG(2)</f>
        <v>15.065319958213003</v>
      </c>
      <c r="Z20" s="12">
        <f>LOG10(V20/W9)/LOG(2)</f>
        <v>18.346606068603016</v>
      </c>
    </row>
    <row r="21" spans="1:30" x14ac:dyDescent="0.3">
      <c r="F21" s="15"/>
      <c r="O21" s="15"/>
      <c r="X21" s="15"/>
    </row>
    <row r="22" spans="1:30" x14ac:dyDescent="0.3">
      <c r="A22" t="s">
        <v>28</v>
      </c>
      <c r="G22" s="5" t="s">
        <v>13</v>
      </c>
      <c r="H22" s="5"/>
      <c r="J22" t="s">
        <v>28</v>
      </c>
      <c r="P22" s="5" t="s">
        <v>13</v>
      </c>
      <c r="Q22" s="5"/>
      <c r="S22" t="s">
        <v>28</v>
      </c>
      <c r="Y22" s="5" t="s">
        <v>13</v>
      </c>
      <c r="Z22" s="5"/>
    </row>
    <row r="23" spans="1:30" ht="15.6" x14ac:dyDescent="0.3">
      <c r="A23" s="6" t="s">
        <v>14</v>
      </c>
      <c r="B23" s="7" t="s">
        <v>15</v>
      </c>
      <c r="C23" s="7" t="s">
        <v>16</v>
      </c>
      <c r="D23" s="7" t="s">
        <v>17</v>
      </c>
      <c r="E23" s="7" t="s">
        <v>18</v>
      </c>
      <c r="F23" s="7" t="s">
        <v>19</v>
      </c>
      <c r="G23" s="7" t="s">
        <v>10</v>
      </c>
      <c r="H23" s="7" t="s">
        <v>11</v>
      </c>
      <c r="J23" s="6" t="s">
        <v>14</v>
      </c>
      <c r="K23" s="7" t="s">
        <v>15</v>
      </c>
      <c r="L23" s="7" t="s">
        <v>16</v>
      </c>
      <c r="M23" s="7" t="s">
        <v>17</v>
      </c>
      <c r="N23" s="7" t="s">
        <v>18</v>
      </c>
      <c r="O23" s="7" t="s">
        <v>19</v>
      </c>
      <c r="P23" s="7" t="s">
        <v>10</v>
      </c>
      <c r="Q23" s="7" t="s">
        <v>11</v>
      </c>
      <c r="S23" s="6" t="s">
        <v>14</v>
      </c>
      <c r="T23" s="7" t="s">
        <v>15</v>
      </c>
      <c r="U23" s="7" t="s">
        <v>16</v>
      </c>
      <c r="V23" s="7" t="s">
        <v>17</v>
      </c>
      <c r="W23" s="7" t="s">
        <v>18</v>
      </c>
      <c r="X23" s="7" t="s">
        <v>19</v>
      </c>
      <c r="Y23" s="7" t="s">
        <v>10</v>
      </c>
      <c r="Z23" s="7" t="s">
        <v>11</v>
      </c>
    </row>
    <row r="24" spans="1:30" x14ac:dyDescent="0.3">
      <c r="A24" s="9" t="s">
        <v>20</v>
      </c>
      <c r="B24" s="10">
        <f>AVERAGE(300000000,700000000,700000000)</f>
        <v>566666666.66666663</v>
      </c>
      <c r="C24" s="10">
        <f>AVERAGE(200000000,100000000,100000000,160000000,170000000,110000000)</f>
        <v>140000000</v>
      </c>
      <c r="D24" s="10">
        <f>AVERAGE(200000000,300000000,500000000)</f>
        <v>333333333.33333331</v>
      </c>
      <c r="E24" s="11">
        <f>C24/(D24+C24)</f>
        <v>0.29577464788732394</v>
      </c>
      <c r="F24" s="11">
        <f>D24/(D24+C24)</f>
        <v>0.70422535211267601</v>
      </c>
      <c r="G24" s="12">
        <f t="shared" ref="G24:H31" si="6">LOG10(C24/(C13/1000))/LOG10(2)</f>
        <v>9.1196969681157682</v>
      </c>
      <c r="H24" s="12">
        <f t="shared" si="6"/>
        <v>9.7027498788282944</v>
      </c>
      <c r="J24" s="9" t="s">
        <v>20</v>
      </c>
      <c r="K24" s="10">
        <f>AVERAGE(700000000,200000000,400000000)</f>
        <v>433333333.33333331</v>
      </c>
      <c r="L24" s="10">
        <f>AVERAGE(200000000,120000000,90000000,100000000)</f>
        <v>127500000</v>
      </c>
      <c r="M24" s="10">
        <f>AVERAGE(300000000,500000000,500000000)</f>
        <v>433333333.33333331</v>
      </c>
      <c r="N24" s="11">
        <f>L24/(M24+L24)</f>
        <v>0.22734026745913821</v>
      </c>
      <c r="O24" s="11">
        <f>M24/(M24+L24)</f>
        <v>0.77265973254086184</v>
      </c>
      <c r="P24" s="12">
        <f t="shared" ref="P24:Q31" si="7">LOG10(L24/(L13/1000))/LOG10(2)</f>
        <v>9.8940485310631736</v>
      </c>
      <c r="Q24" s="12">
        <f t="shared" si="7"/>
        <v>9.4962990013608657</v>
      </c>
      <c r="S24" s="9" t="s">
        <v>20</v>
      </c>
      <c r="T24" s="10">
        <f>AVERAGE(700000000,500000000,400000000)</f>
        <v>533333333.33333331</v>
      </c>
      <c r="U24" s="10">
        <f>AVERAGE(200000000,200000000,140000000,110000000,150000000)</f>
        <v>160000000</v>
      </c>
      <c r="V24" s="10">
        <f>AVERAGE(700000000,700000000,600000000)</f>
        <v>666666666.66666663</v>
      </c>
      <c r="W24" s="11">
        <f>U24/(V24+U24)</f>
        <v>0.19354838709677422</v>
      </c>
      <c r="X24" s="11">
        <f>V24/(V24+U24)</f>
        <v>0.80645161290322576</v>
      </c>
      <c r="Y24" s="12">
        <f t="shared" ref="Y24:Z31" si="8">LOG10(U24/(U13/1000))/LOG10(2)</f>
        <v>8.7369655941662057</v>
      </c>
      <c r="Z24" s="12">
        <f t="shared" si="8"/>
        <v>10.587272661408356</v>
      </c>
      <c r="AB24" s="16"/>
      <c r="AC24" s="16"/>
      <c r="AD24" s="16"/>
    </row>
    <row r="25" spans="1:30" x14ac:dyDescent="0.3">
      <c r="A25" s="9" t="s">
        <v>21</v>
      </c>
      <c r="B25" s="10">
        <f>AVERAGE(200000000,400000000,100000000)</f>
        <v>233333333.33333334</v>
      </c>
      <c r="C25" s="10">
        <f>AVERAGE(200000000,100000000,100000000,170000000,130000000,110000000)</f>
        <v>135000000</v>
      </c>
      <c r="D25" s="10">
        <f>AVERAGE(200000000,300000000,100000000,140000000,80000000)</f>
        <v>164000000</v>
      </c>
      <c r="E25" s="11">
        <f>C25/(D25+C25)</f>
        <v>0.451505016722408</v>
      </c>
      <c r="F25" s="11">
        <f>D25/(D25+C25)</f>
        <v>0.54849498327759194</v>
      </c>
      <c r="G25" s="12">
        <f t="shared" si="6"/>
        <v>9.9133168647679515</v>
      </c>
      <c r="H25" s="12">
        <f t="shared" si="6"/>
        <v>10.016515086783016</v>
      </c>
      <c r="J25" s="9" t="s">
        <v>21</v>
      </c>
      <c r="K25" s="10">
        <f>AVERAGE(800000000,900000000,400000000)</f>
        <v>700000000</v>
      </c>
      <c r="L25" s="10">
        <f>AVERAGE(100000000,90000000,200000000,90000000)</f>
        <v>120000000</v>
      </c>
      <c r="M25" s="10">
        <f>AVERAGE(100000000,300000000,300000000,200000000,200000000,260000000)</f>
        <v>226666666.66666666</v>
      </c>
      <c r="N25" s="11">
        <f>L25/(M25+L25)</f>
        <v>0.3461538461538462</v>
      </c>
      <c r="O25" s="11">
        <f>M25/(M25+L25)</f>
        <v>0.65384615384615385</v>
      </c>
      <c r="P25" s="12">
        <f t="shared" si="7"/>
        <v>10.743391863325639</v>
      </c>
      <c r="Q25" s="12">
        <f t="shared" si="7"/>
        <v>10.26665076402162</v>
      </c>
      <c r="S25" s="9" t="s">
        <v>21</v>
      </c>
      <c r="T25" s="10">
        <f>AVERAGE(300000000,300000000,500000000)</f>
        <v>366666666.66666669</v>
      </c>
      <c r="U25" s="10">
        <f>AVERAGE(200000000,200000000,300000000,120000000,110000000,140000000)</f>
        <v>178333333.33333334</v>
      </c>
      <c r="V25" s="10">
        <f>AVERAGE(200000000,200000000,190000000,160000000,200000000)</f>
        <v>190000000</v>
      </c>
      <c r="W25" s="11">
        <f>U25/(V25+U25)</f>
        <v>0.48416289592760181</v>
      </c>
      <c r="X25" s="11">
        <f>V25/(V25+U25)</f>
        <v>0.51583710407239813</v>
      </c>
      <c r="Y25" s="12">
        <f t="shared" si="8"/>
        <v>9.5253536279548463</v>
      </c>
      <c r="Z25" s="12">
        <f t="shared" si="8"/>
        <v>9.8917837032183087</v>
      </c>
      <c r="AB25" s="16"/>
      <c r="AC25" s="16"/>
      <c r="AD25" s="16"/>
    </row>
    <row r="26" spans="1:30" x14ac:dyDescent="0.3">
      <c r="A26" s="9" t="s">
        <v>22</v>
      </c>
      <c r="B26" s="10">
        <f>AVERAGE(300000000,400000000,600000000)</f>
        <v>433333333.33333331</v>
      </c>
      <c r="C26" s="10">
        <f>AVERAGE(100000000,200000000,180000000,200000000,140000000)</f>
        <v>164000000</v>
      </c>
      <c r="D26" s="10">
        <f>AVERAGE(200000000,100000000,300000000,110000000,130000000,160000000)</f>
        <v>166666666.66666666</v>
      </c>
      <c r="E26" s="11">
        <f t="shared" ref="E26:E29" si="9">C26/(D26+C26)</f>
        <v>0.49596774193548393</v>
      </c>
      <c r="F26" s="11">
        <f t="shared" ref="F26:F28" si="10">D26/(D26+C26)</f>
        <v>0.50403225806451613</v>
      </c>
      <c r="G26" s="12">
        <f t="shared" si="6"/>
        <v>9.7534806809492238</v>
      </c>
      <c r="H26" s="12">
        <f t="shared" si="6"/>
        <v>9.6209557876646468</v>
      </c>
      <c r="J26" s="9" t="s">
        <v>22</v>
      </c>
      <c r="K26" s="10">
        <f>AVERAGE(100000000,300000000,700000000)</f>
        <v>366666666.66666669</v>
      </c>
      <c r="L26" s="10">
        <f>AVERAGE(100000000,100000000,110000000,160000000,130000000)</f>
        <v>120000000</v>
      </c>
      <c r="M26" s="10">
        <f>AVERAGE(200000000,400000000,400000000,230000000,200000000,260000000)</f>
        <v>281666666.66666669</v>
      </c>
      <c r="N26" s="11">
        <f t="shared" ref="N26:N29" si="11">L26/(M26+L26)</f>
        <v>0.29875518672199169</v>
      </c>
      <c r="O26" s="11">
        <f t="shared" ref="O26:O28" si="12">M26/(M26+L26)</f>
        <v>0.70124481327800836</v>
      </c>
      <c r="P26" s="12">
        <f t="shared" si="7"/>
        <v>9.7229277607659235</v>
      </c>
      <c r="Q26" s="12">
        <f t="shared" si="7"/>
        <v>10.237380703999305</v>
      </c>
      <c r="S26" s="9" t="s">
        <v>22</v>
      </c>
      <c r="T26" s="10">
        <f>AVERAGE(300000000,400000000,800000000)</f>
        <v>500000000</v>
      </c>
      <c r="U26" s="10">
        <f>AVERAGE(200000000,100000000,110000000,130000000,170000000)</f>
        <v>142000000</v>
      </c>
      <c r="V26" s="10">
        <f>AVERAGE(200000000,500000000,600000000)</f>
        <v>433333333.33333331</v>
      </c>
      <c r="W26" s="11">
        <f t="shared" ref="W26:W29" si="13">U26/(V26+U26)</f>
        <v>0.24681344148319817</v>
      </c>
      <c r="X26" s="11">
        <f t="shared" ref="X26:X28" si="14">V26/(V26+U26)</f>
        <v>0.75318655851680194</v>
      </c>
      <c r="Y26" s="12">
        <f t="shared" si="8"/>
        <v>10.471675214392043</v>
      </c>
      <c r="Z26" s="12">
        <f t="shared" si="8"/>
        <v>10.496299001360866</v>
      </c>
      <c r="AB26" s="16"/>
      <c r="AC26" s="16"/>
      <c r="AD26" s="16"/>
    </row>
    <row r="27" spans="1:30" x14ac:dyDescent="0.3">
      <c r="A27" s="9" t="s">
        <v>23</v>
      </c>
      <c r="B27" s="10">
        <f>AVERAGE(900000000,700000000,600000000)</f>
        <v>733333333.33333337</v>
      </c>
      <c r="C27" s="10">
        <f>AVERAGE(400000000,400000000,400000000)</f>
        <v>400000000</v>
      </c>
      <c r="D27" s="10">
        <f>AVERAGE(400000000,200000000,240000000,220000000,230000000)</f>
        <v>258000000</v>
      </c>
      <c r="E27" s="11">
        <f t="shared" si="9"/>
        <v>0.60790273556231</v>
      </c>
      <c r="F27" s="11">
        <f t="shared" si="10"/>
        <v>0.39209726443769</v>
      </c>
      <c r="G27" s="12">
        <f t="shared" si="6"/>
        <v>9.463283944132904</v>
      </c>
      <c r="H27" s="12">
        <f t="shared" si="6"/>
        <v>8.6701903375881884</v>
      </c>
      <c r="J27" s="9" t="s">
        <v>23</v>
      </c>
      <c r="K27" s="10">
        <f>AVERAGE(600000000,700000000,900000000)</f>
        <v>733333333.33333337</v>
      </c>
      <c r="L27" s="10">
        <f>AVERAGE(200000000,200000000,170000000,180000000,180000000)</f>
        <v>186000000</v>
      </c>
      <c r="M27" s="10">
        <f>AVERAGE(400000000,400000000,900000000)</f>
        <v>566666666.66666663</v>
      </c>
      <c r="N27" s="11">
        <f t="shared" si="11"/>
        <v>0.2471213463241807</v>
      </c>
      <c r="O27" s="11">
        <f t="shared" si="12"/>
        <v>0.7528786536758193</v>
      </c>
      <c r="P27" s="12">
        <f t="shared" si="7"/>
        <v>10.659453044825744</v>
      </c>
      <c r="Q27" s="12">
        <f t="shared" si="7"/>
        <v>10.352807407771333</v>
      </c>
      <c r="S27" s="9" t="s">
        <v>23</v>
      </c>
      <c r="T27" s="10">
        <f>AVERAGE(800000000,400000000,600000000)</f>
        <v>600000000</v>
      </c>
      <c r="U27" s="10">
        <f>AVERAGE(200000000,200000000,100000000,110000000,110000000,120000000)</f>
        <v>140000000</v>
      </c>
      <c r="V27" s="10">
        <f>AVERAGE(500000000,600000000,700000000)</f>
        <v>600000000</v>
      </c>
      <c r="W27" s="11">
        <f t="shared" si="13"/>
        <v>0.1891891891891892</v>
      </c>
      <c r="X27" s="11">
        <f t="shared" si="14"/>
        <v>0.81081081081081086</v>
      </c>
      <c r="Y27" s="12">
        <f t="shared" si="8"/>
        <v>10.346874452017593</v>
      </c>
      <c r="Z27" s="12">
        <f t="shared" si="8"/>
        <v>10.22881869049588</v>
      </c>
      <c r="AB27" s="16"/>
      <c r="AC27" s="16"/>
      <c r="AD27" s="16"/>
    </row>
    <row r="28" spans="1:30" x14ac:dyDescent="0.3">
      <c r="A28" s="9" t="s">
        <v>24</v>
      </c>
      <c r="B28" s="10">
        <f>AVERAGE(700000000,500000000,300000000)</f>
        <v>500000000</v>
      </c>
      <c r="C28" s="10">
        <f>AVERAGE(500000000,300000000,400000000)</f>
        <v>400000000</v>
      </c>
      <c r="D28" s="10">
        <f>AVERAGE(100000000,100000000,160000000,200000000,110000000,150000000)</f>
        <v>136666666.66666666</v>
      </c>
      <c r="E28" s="11">
        <f t="shared" si="9"/>
        <v>0.74534161490683237</v>
      </c>
      <c r="F28" s="11">
        <f t="shared" si="10"/>
        <v>0.25465838509316768</v>
      </c>
      <c r="G28" s="12">
        <f t="shared" si="6"/>
        <v>11.751659479309239</v>
      </c>
      <c r="H28" s="12">
        <f t="shared" si="6"/>
        <v>7.9139453531424699</v>
      </c>
      <c r="J28" s="9" t="s">
        <v>24</v>
      </c>
      <c r="K28" s="10">
        <f>AVERAGE(600000000,500000000,600000000)</f>
        <v>566666666.66666663</v>
      </c>
      <c r="L28" s="10">
        <f>AVERAGE(300000000,100000000,100000000,50000000,80000000,130000000)</f>
        <v>126666666.66666667</v>
      </c>
      <c r="M28" s="10">
        <f>AVERAGE(300000000,300000000,400000000)</f>
        <v>333333333.33333331</v>
      </c>
      <c r="N28" s="11">
        <f t="shared" si="11"/>
        <v>0.27536231884057971</v>
      </c>
      <c r="O28" s="11">
        <f t="shared" si="12"/>
        <v>0.72463768115942029</v>
      </c>
      <c r="P28" s="12">
        <f t="shared" si="7"/>
        <v>9.973397468771962</v>
      </c>
      <c r="Q28" s="12">
        <f t="shared" si="7"/>
        <v>9.3808217839409309</v>
      </c>
      <c r="S28" s="9" t="s">
        <v>24</v>
      </c>
      <c r="T28" s="10">
        <f>AVERAGE(100000000,200000000,300000000,250000000,260000000)</f>
        <v>222000000</v>
      </c>
      <c r="U28" s="10">
        <f>AVERAGE(300000000,300000000,100000000,170000000,180000000,150000000)</f>
        <v>200000000</v>
      </c>
      <c r="V28" s="10">
        <f>AVERAGE(200000000,400000000,500000000,140000000,170000000,270000000)</f>
        <v>280000000</v>
      </c>
      <c r="W28" s="11">
        <f t="shared" si="13"/>
        <v>0.41666666666666669</v>
      </c>
      <c r="X28" s="11">
        <f t="shared" si="14"/>
        <v>0.58333333333333337</v>
      </c>
      <c r="Y28" s="12">
        <f t="shared" si="8"/>
        <v>10.632360550936895</v>
      </c>
      <c r="Z28" s="12">
        <f t="shared" si="8"/>
        <v>9.8662486111111729</v>
      </c>
      <c r="AB28" s="16"/>
      <c r="AC28" s="16"/>
      <c r="AD28" s="16"/>
    </row>
    <row r="29" spans="1:30" x14ac:dyDescent="0.3">
      <c r="A29" s="9" t="s">
        <v>25</v>
      </c>
      <c r="B29" s="10">
        <f>AVERAGE(700000000,500000000,300000000)</f>
        <v>500000000</v>
      </c>
      <c r="C29" s="10">
        <f>AVERAGE(600000000,500000000,700000000)</f>
        <v>600000000</v>
      </c>
      <c r="D29" s="10">
        <f>AVERAGE(360,1000,1000,100,200,500)</f>
        <v>526.66666666666663</v>
      </c>
      <c r="E29" s="11">
        <f t="shared" si="9"/>
        <v>0.99999912222299281</v>
      </c>
      <c r="F29" s="11">
        <f>D29/(D29+C29)</f>
        <v>8.777770072846269E-7</v>
      </c>
      <c r="G29" s="12">
        <f t="shared" si="6"/>
        <v>10.328354364046794</v>
      </c>
      <c r="H29" s="12">
        <f t="shared" si="6"/>
        <v>-0.63873375716213709</v>
      </c>
      <c r="J29" s="9" t="s">
        <v>25</v>
      </c>
      <c r="K29" s="10">
        <f>AVERAGE(100000000,400000000,500000000)</f>
        <v>333333333.33333331</v>
      </c>
      <c r="L29" s="10">
        <f>AVERAGE(500000000,600000000,800000000)</f>
        <v>633333333.33333337</v>
      </c>
      <c r="M29" s="10">
        <f>AVERAGE(1000,3000,3000,2200,1800,2400)</f>
        <v>2233.3333333333335</v>
      </c>
      <c r="N29" s="11">
        <f t="shared" si="11"/>
        <v>0.99999647369664535</v>
      </c>
      <c r="O29" s="11">
        <f>M29/(M29+L29)</f>
        <v>3.5263033546144861E-6</v>
      </c>
      <c r="P29" s="12">
        <f t="shared" si="7"/>
        <v>10.943182855724954</v>
      </c>
      <c r="Q29" s="12">
        <f t="shared" si="7"/>
        <v>0.20810819533020056</v>
      </c>
      <c r="S29" s="9" t="s">
        <v>25</v>
      </c>
      <c r="T29" s="10">
        <f>AVERAGE(200000000,300000000,500000000,140000000,220000000,190000000)</f>
        <v>258333333.33333334</v>
      </c>
      <c r="U29" s="10">
        <f>AVERAGE(100000000,200000000,300000000,180000000,170000000,240000000)</f>
        <v>198333333.33333334</v>
      </c>
      <c r="V29" s="10">
        <f>AVERAGE(4000,2000,4000)</f>
        <v>3333.3333333333335</v>
      </c>
      <c r="W29" s="11">
        <f t="shared" si="13"/>
        <v>0.99998319355977205</v>
      </c>
      <c r="X29" s="11">
        <f>V29/(V29+U29)</f>
        <v>1.6806440227895327E-5</v>
      </c>
      <c r="Y29" s="12">
        <f t="shared" si="8"/>
        <v>10.510104800885898</v>
      </c>
      <c r="Z29" s="12">
        <f t="shared" si="8"/>
        <v>1.3147325934831586</v>
      </c>
      <c r="AB29" s="16"/>
      <c r="AC29" s="16"/>
      <c r="AD29" s="16"/>
    </row>
    <row r="30" spans="1:30" x14ac:dyDescent="0.3">
      <c r="A30" s="9" t="s">
        <v>26</v>
      </c>
      <c r="B30" s="10">
        <f>AVERAGE(600000000,200000000,200000000,210000000,280000000,270000000)</f>
        <v>293333333.33333331</v>
      </c>
      <c r="C30" s="10">
        <f>AVERAGE(100000000,400000000,600000000)</f>
        <v>366666666.66666669</v>
      </c>
      <c r="D30" s="10">
        <f>AVERAGE(10000000,1000000,2000000,2000000,1700000,2400000,2600000)</f>
        <v>3100000</v>
      </c>
      <c r="E30" s="11">
        <f>C30/(D30+C30)</f>
        <v>0.99161633462543952</v>
      </c>
      <c r="F30" s="11">
        <f>D30/(D30+C30)</f>
        <v>8.3836653745605338E-3</v>
      </c>
      <c r="G30" s="12">
        <f t="shared" si="6"/>
        <v>9.965784284662087</v>
      </c>
      <c r="H30" s="12">
        <f t="shared" si="6"/>
        <v>4.0797271924707337</v>
      </c>
      <c r="J30" s="9" t="s">
        <v>26</v>
      </c>
      <c r="K30" s="10">
        <f>AVERAGE(400000000,500000000,400000000)</f>
        <v>433333333.33333331</v>
      </c>
      <c r="L30" s="10">
        <f>AVERAGE(200000000,200000000,400000000,290000000,250000000,300000000)</f>
        <v>273333333.33333331</v>
      </c>
      <c r="M30" s="10">
        <f>AVERAGE(100000000,20000000,30000000,50000000,12000000,17000000,16000000)</f>
        <v>35000000</v>
      </c>
      <c r="N30" s="11">
        <f>L30/(M30+L30)</f>
        <v>0.88648648648648642</v>
      </c>
      <c r="O30" s="11">
        <f>M30/(M30+L30)</f>
        <v>0.11351351351351352</v>
      </c>
      <c r="P30" s="12">
        <f t="shared" si="7"/>
        <v>9.7308792520120893</v>
      </c>
      <c r="Q30" s="12">
        <f t="shared" si="7"/>
        <v>6.9234734798041231</v>
      </c>
      <c r="S30" s="9" t="s">
        <v>26</v>
      </c>
      <c r="T30" s="10">
        <f>AVERAGE(400000000,300000000,600000000)</f>
        <v>433333333.33333331</v>
      </c>
      <c r="U30" s="10">
        <f>AVERAGE(500000000,700000000,1200000000)</f>
        <v>800000000</v>
      </c>
      <c r="V30" s="10">
        <f>AVERAGE(10000000,10000000,10000000,9000000,4000000,10000000)</f>
        <v>8833333.333333334</v>
      </c>
      <c r="W30" s="11">
        <f>U30/(V30+U30)</f>
        <v>0.98907892025551203</v>
      </c>
      <c r="X30" s="11">
        <f>V30/(V30+U30)</f>
        <v>1.0921079744487945E-2</v>
      </c>
      <c r="Y30" s="12">
        <f t="shared" si="8"/>
        <v>11.388859103006348</v>
      </c>
      <c r="Z30" s="12">
        <f t="shared" si="8"/>
        <v>6.1623232787089739</v>
      </c>
      <c r="AB30" s="16"/>
      <c r="AC30" s="16"/>
      <c r="AD30" s="16"/>
    </row>
    <row r="31" spans="1:30" x14ac:dyDescent="0.3">
      <c r="A31" s="9" t="s">
        <v>27</v>
      </c>
      <c r="B31" s="10">
        <f>AVERAGE(400000000,400000000,300000000)</f>
        <v>366666666.66666669</v>
      </c>
      <c r="C31" s="10">
        <f>AVERAGE(400000000,300000000,600000000)</f>
        <v>433333333.33333331</v>
      </c>
      <c r="D31" s="10">
        <f>AVERAGE(200000000,200000000,100000000,40000000,60000000,80000000)</f>
        <v>113333333.33333333</v>
      </c>
      <c r="E31" s="11">
        <f>C31/(D31+C31)</f>
        <v>0.79268292682926833</v>
      </c>
      <c r="F31" s="17">
        <f>D31/(D31+C31)</f>
        <v>0.20731707317073172</v>
      </c>
      <c r="G31" s="12">
        <f t="shared" si="6"/>
        <v>10.808243007675607</v>
      </c>
      <c r="H31" s="12">
        <f t="shared" si="6"/>
        <v>8.2718874123877661</v>
      </c>
      <c r="J31" s="9" t="s">
        <v>27</v>
      </c>
      <c r="K31" s="10">
        <f>AVERAGE(400000000,400000000,900000000)</f>
        <v>566666666.66666663</v>
      </c>
      <c r="L31" s="10">
        <f>AVERAGE(300000000,200000000,700000000,260000000,230000000,240000000)</f>
        <v>321666666.66666669</v>
      </c>
      <c r="M31" s="10">
        <f>AVERAGE(300000000,200000000,200000000,260000000,290000000,260000000)</f>
        <v>251666666.66666666</v>
      </c>
      <c r="N31" s="11">
        <f>L31/(M31+L31)</f>
        <v>0.56104651162790697</v>
      </c>
      <c r="O31" s="17">
        <f>M31/(M31+L31)</f>
        <v>0.43895348837209297</v>
      </c>
      <c r="P31" s="12">
        <f t="shared" si="7"/>
        <v>11.651350726321649</v>
      </c>
      <c r="Q31" s="12">
        <f t="shared" si="7"/>
        <v>9.7123359276574899</v>
      </c>
      <c r="S31" s="9" t="s">
        <v>27</v>
      </c>
      <c r="T31" s="10">
        <f>AVERAGE(500000000,600000000,300000000)</f>
        <v>466666666.66666669</v>
      </c>
      <c r="U31" s="10">
        <f>AVERAGE(100000000,100000000,90000000,90000000,110000000)</f>
        <v>98000000</v>
      </c>
      <c r="V31" s="10">
        <f>AVERAGE(200000000,200000000,200000000,200000000,270000000,290000000)</f>
        <v>226666666.66666666</v>
      </c>
      <c r="W31" s="11">
        <f>U31/(V31+U31)</f>
        <v>0.3018480492813142</v>
      </c>
      <c r="X31" s="17">
        <f>V31/(V31+U31)</f>
        <v>0.69815195071868585</v>
      </c>
      <c r="Y31" s="12">
        <f t="shared" si="8"/>
        <v>9.6736035331687766</v>
      </c>
      <c r="Z31" s="12">
        <f t="shared" si="8"/>
        <v>8.8244284354165465</v>
      </c>
      <c r="AB31" s="16"/>
      <c r="AC31" s="16"/>
      <c r="AD31" s="16"/>
    </row>
    <row r="32" spans="1:30" x14ac:dyDescent="0.3">
      <c r="F32" s="15"/>
      <c r="O32" s="15"/>
      <c r="X32" s="15"/>
    </row>
    <row r="33" spans="1:26" x14ac:dyDescent="0.3">
      <c r="A33" t="s">
        <v>29</v>
      </c>
      <c r="G33" s="5" t="s">
        <v>13</v>
      </c>
      <c r="H33" s="5"/>
      <c r="J33" t="s">
        <v>29</v>
      </c>
      <c r="P33" s="5" t="s">
        <v>13</v>
      </c>
      <c r="Q33" s="5"/>
      <c r="S33" t="s">
        <v>29</v>
      </c>
      <c r="Y33" s="5" t="s">
        <v>13</v>
      </c>
      <c r="Z33" s="5"/>
    </row>
    <row r="34" spans="1:26" ht="15.6" x14ac:dyDescent="0.3">
      <c r="A34" s="6" t="s">
        <v>14</v>
      </c>
      <c r="B34" s="7" t="s">
        <v>15</v>
      </c>
      <c r="C34" s="7" t="s">
        <v>16</v>
      </c>
      <c r="D34" s="7" t="s">
        <v>17</v>
      </c>
      <c r="E34" s="7" t="s">
        <v>18</v>
      </c>
      <c r="F34" s="7" t="s">
        <v>19</v>
      </c>
      <c r="G34" s="7" t="s">
        <v>10</v>
      </c>
      <c r="H34" s="7" t="s">
        <v>11</v>
      </c>
      <c r="J34" s="6" t="s">
        <v>14</v>
      </c>
      <c r="K34" s="7" t="s">
        <v>15</v>
      </c>
      <c r="L34" s="7" t="s">
        <v>16</v>
      </c>
      <c r="M34" s="7" t="s">
        <v>17</v>
      </c>
      <c r="N34" s="7" t="s">
        <v>18</v>
      </c>
      <c r="O34" s="7" t="s">
        <v>19</v>
      </c>
      <c r="P34" s="7" t="s">
        <v>10</v>
      </c>
      <c r="Q34" s="7" t="s">
        <v>11</v>
      </c>
      <c r="S34" s="6" t="s">
        <v>14</v>
      </c>
      <c r="T34" s="7" t="s">
        <v>15</v>
      </c>
      <c r="U34" s="7" t="s">
        <v>16</v>
      </c>
      <c r="V34" s="7" t="s">
        <v>17</v>
      </c>
      <c r="W34" s="7" t="s">
        <v>18</v>
      </c>
      <c r="X34" s="7" t="s">
        <v>19</v>
      </c>
      <c r="Y34" s="7" t="s">
        <v>10</v>
      </c>
      <c r="Z34" s="7" t="s">
        <v>11</v>
      </c>
    </row>
    <row r="35" spans="1:26" x14ac:dyDescent="0.3">
      <c r="A35" s="9" t="s">
        <v>20</v>
      </c>
      <c r="B35" s="10">
        <f>AVERAGE(100000000,300000000,700000000)</f>
        <v>366666666.66666669</v>
      </c>
      <c r="C35" s="10">
        <f>AVERAGE(100000000,200000000,400000000,210000000,260000000,240000000)</f>
        <v>235000000</v>
      </c>
      <c r="D35" s="10">
        <f>AVERAGE(500000000,400000000,300000000)</f>
        <v>400000000</v>
      </c>
      <c r="E35" s="11">
        <f>C35/(D35+C35)</f>
        <v>0.37007874015748032</v>
      </c>
      <c r="F35" s="11">
        <f>D35/(D35+C35)</f>
        <v>0.62992125984251968</v>
      </c>
      <c r="G35" s="14">
        <f t="shared" ref="G35:H42" si="15">LOG10(C35/(C24/1000))/LOG10(2)</f>
        <v>10.713018214282119</v>
      </c>
      <c r="H35" s="12">
        <f t="shared" si="15"/>
        <v>10.22881869049588</v>
      </c>
      <c r="J35" s="9" t="s">
        <v>20</v>
      </c>
      <c r="K35" s="10">
        <f>AVERAGE(300000000,200000000,700000000)</f>
        <v>400000000</v>
      </c>
      <c r="L35" s="10">
        <f>AVERAGE(200000000,180000000,190000000,170000000)</f>
        <v>185000000</v>
      </c>
      <c r="M35" s="10">
        <f>AVERAGE(400000000,300000000,600000000)</f>
        <v>433333333.33333331</v>
      </c>
      <c r="N35" s="11">
        <f>L35/(M35+L35)</f>
        <v>0.29919137466307283</v>
      </c>
      <c r="O35" s="11">
        <f>M35/(M35+L35)</f>
        <v>0.70080862533692723</v>
      </c>
      <c r="P35" s="14">
        <f t="shared" ref="P35:Q42" si="16">LOG10(L35/(L24/1000))/LOG10(2)</f>
        <v>10.502812308319541</v>
      </c>
      <c r="Q35" s="12">
        <f t="shared" si="16"/>
        <v>9.965784284662087</v>
      </c>
      <c r="S35" s="9" t="s">
        <v>20</v>
      </c>
      <c r="T35" s="10">
        <f>AVERAGE(400000000,400000000,500000000)</f>
        <v>433333333.33333331</v>
      </c>
      <c r="U35" s="10">
        <f>AVERAGE(100000000,100000000,100000000,150000000,120000000,100000000)</f>
        <v>111666666.66666667</v>
      </c>
      <c r="V35" s="10">
        <f>AVERAGE(300000000,400000000,900000000)</f>
        <v>533333333.33333331</v>
      </c>
      <c r="W35" s="11">
        <f>U35/(V35+U35)</f>
        <v>0.17312661498708012</v>
      </c>
      <c r="X35" s="11">
        <f>V35/(V35+U35)</f>
        <v>0.82687338501291985</v>
      </c>
      <c r="Y35" s="14">
        <f t="shared" ref="Y35:Z42" si="17">LOG10(U35/(U24/1000))/LOG10(2)</f>
        <v>9.446910974398703</v>
      </c>
      <c r="Z35" s="12">
        <f t="shared" si="17"/>
        <v>9.6438561897747253</v>
      </c>
    </row>
    <row r="36" spans="1:26" x14ac:dyDescent="0.3">
      <c r="A36" s="9" t="s">
        <v>21</v>
      </c>
      <c r="B36" s="10">
        <f>AVERAGE(100000000,200000000,500000000)</f>
        <v>266666666.66666666</v>
      </c>
      <c r="C36" s="10">
        <f>AVERAGE(300000000,300000000,100000000,110000000,110000000,100000000)</f>
        <v>170000000</v>
      </c>
      <c r="D36" s="10">
        <f>AVERAGE(100000000,200000000,200000000,50000000,120000000,110000000)</f>
        <v>130000000</v>
      </c>
      <c r="E36" s="11">
        <f>C36/(D36+C36)</f>
        <v>0.56666666666666665</v>
      </c>
      <c r="F36" s="11">
        <f>D36/(D36+C36)</f>
        <v>0.43333333333333335</v>
      </c>
      <c r="G36" s="12">
        <f t="shared" si="15"/>
        <v>10.298359623748958</v>
      </c>
      <c r="H36" s="12">
        <f t="shared" si="15"/>
        <v>9.6306000930724576</v>
      </c>
      <c r="J36" s="9" t="s">
        <v>21</v>
      </c>
      <c r="K36" s="10">
        <f>AVERAGE(200000000,300000000,400000000)</f>
        <v>300000000</v>
      </c>
      <c r="L36" s="10">
        <f>AVERAGE(100000000,200000000,200000000,140000000,170000000,150000000)</f>
        <v>160000000</v>
      </c>
      <c r="M36" s="10">
        <f>AVERAGE(100000000,200000000,130000000,140000000,120000000)</f>
        <v>138000000</v>
      </c>
      <c r="N36" s="11">
        <f>L36/(M36+L36)</f>
        <v>0.53691275167785235</v>
      </c>
      <c r="O36" s="11">
        <f>M36/(M36+L36)</f>
        <v>0.46308724832214765</v>
      </c>
      <c r="P36" s="12">
        <f t="shared" si="16"/>
        <v>10.380821783940931</v>
      </c>
      <c r="Q36" s="12">
        <f t="shared" si="16"/>
        <v>9.2498803060237105</v>
      </c>
      <c r="S36" s="9" t="s">
        <v>21</v>
      </c>
      <c r="T36" s="10">
        <f>AVERAGE(400000000,600000000,600000000)</f>
        <v>533333333.33333331</v>
      </c>
      <c r="U36" s="10">
        <f>AVERAGE(200000000,200000000,300000000,190000000,190000000,130000000)</f>
        <v>201666666.66666666</v>
      </c>
      <c r="V36" s="10">
        <f>AVERAGE(100000000,100000000,300000000,160000000,150000000,130000000)</f>
        <v>156666666.66666666</v>
      </c>
      <c r="W36" s="11">
        <f>U36/(V36+U36)</f>
        <v>0.56279069767441858</v>
      </c>
      <c r="X36" s="11">
        <f>V36/(V36+U36)</f>
        <v>0.43720930232558142</v>
      </c>
      <c r="Y36" s="12">
        <f t="shared" si="17"/>
        <v>10.143180535535535</v>
      </c>
      <c r="Z36" s="12">
        <f t="shared" si="17"/>
        <v>9.6874831221749833</v>
      </c>
    </row>
    <row r="37" spans="1:26" x14ac:dyDescent="0.3">
      <c r="A37" s="9" t="s">
        <v>22</v>
      </c>
      <c r="B37" s="10">
        <f>AVERAGE(700000000,600000000,400000000)</f>
        <v>566666666.66666663</v>
      </c>
      <c r="C37" s="10">
        <f>AVERAGE(500000000,300000000,200000000,500000000,220000000,160000000)</f>
        <v>313333333.33333331</v>
      </c>
      <c r="D37" s="10">
        <f>AVERAGE(100000000,200000000,200000000,140000000,160000000,160000000)</f>
        <v>160000000</v>
      </c>
      <c r="E37" s="11">
        <f t="shared" ref="E37:E40" si="18">C37/(D37+C37)</f>
        <v>0.6619718309859155</v>
      </c>
      <c r="F37" s="11">
        <f t="shared" ref="F37:F40" si="19">D37/(D37+C37)</f>
        <v>0.3380281690140845</v>
      </c>
      <c r="G37" s="12">
        <f t="shared" si="15"/>
        <v>10.899786725887846</v>
      </c>
      <c r="H37" s="12">
        <f t="shared" si="15"/>
        <v>9.9068905956085178</v>
      </c>
      <c r="J37" s="9" t="s">
        <v>22</v>
      </c>
      <c r="K37" s="10">
        <f>AVERAGE(700000000,700000000,600000000)</f>
        <v>666666666.66666663</v>
      </c>
      <c r="L37" s="10">
        <f>AVERAGE(400000000,400000000,300000000,280000000,180000000,180000000)</f>
        <v>290000000</v>
      </c>
      <c r="M37" s="10">
        <f>AVERAGE(300000000,500000000,500000000)</f>
        <v>433333333.33333331</v>
      </c>
      <c r="N37" s="11">
        <f t="shared" ref="N37:N40" si="20">L37/(M37+L37)</f>
        <v>0.40092165898617516</v>
      </c>
      <c r="O37" s="11">
        <f t="shared" ref="O37:O40" si="21">M37/(M37+L37)</f>
        <v>0.59907834101382496</v>
      </c>
      <c r="P37" s="12">
        <f t="shared" si="16"/>
        <v>11.238802779068504</v>
      </c>
      <c r="Q37" s="12">
        <f t="shared" si="16"/>
        <v>10.587272661408356</v>
      </c>
      <c r="S37" s="9" t="s">
        <v>22</v>
      </c>
      <c r="T37" s="10">
        <f>AVERAGE(900000000,900000000,700000000)</f>
        <v>833333333.33333337</v>
      </c>
      <c r="U37" s="10">
        <f>AVERAGE(200000000,400000000,500000000)</f>
        <v>366666666.66666669</v>
      </c>
      <c r="V37" s="10">
        <f>AVERAGE(300000000,400000000,500000000)</f>
        <v>400000000</v>
      </c>
      <c r="W37" s="11">
        <f t="shared" ref="W37:W40" si="22">U37/(V37+U37)</f>
        <v>0.47826086956521735</v>
      </c>
      <c r="X37" s="11">
        <f t="shared" ref="X37:X40" si="23">V37/(V37+U37)</f>
        <v>0.52173913043478259</v>
      </c>
      <c r="Y37" s="12">
        <f t="shared" si="17"/>
        <v>11.334362472848271</v>
      </c>
      <c r="Z37" s="12">
        <f t="shared" si="17"/>
        <v>9.8503070672421522</v>
      </c>
    </row>
    <row r="38" spans="1:26" x14ac:dyDescent="0.3">
      <c r="A38" s="9" t="s">
        <v>23</v>
      </c>
      <c r="B38" s="10">
        <f>AVERAGE(600000000,600000000,700000000)</f>
        <v>633333333.33333337</v>
      </c>
      <c r="C38" s="10">
        <f>AVERAGE(200000000,200000000,230000000,500000000,180000000,240000000)</f>
        <v>258333333.33333334</v>
      </c>
      <c r="D38" s="10">
        <f>AVERAGE(100000000,300000000,160000000,500000000,200000000,110000000)</f>
        <v>228333333.33333334</v>
      </c>
      <c r="E38" s="11">
        <f t="shared" si="18"/>
        <v>0.53082191780821919</v>
      </c>
      <c r="F38" s="11">
        <f t="shared" si="19"/>
        <v>0.46917808219178081</v>
      </c>
      <c r="G38" s="12">
        <f t="shared" si="15"/>
        <v>9.3350180943278058</v>
      </c>
      <c r="H38" s="12">
        <f t="shared" si="15"/>
        <v>9.7895547063655659</v>
      </c>
      <c r="J38" s="9" t="s">
        <v>23</v>
      </c>
      <c r="K38" s="10">
        <f>AVERAGE(500000000,800000000,900000000)</f>
        <v>733333333.33333337</v>
      </c>
      <c r="L38" s="10">
        <f>AVERAGE(200000000,400000000,100000000)</f>
        <v>233333333.33333334</v>
      </c>
      <c r="M38" s="10">
        <f>AVERAGE(400000000,700000000,900000000)</f>
        <v>666666666.66666663</v>
      </c>
      <c r="N38" s="11">
        <f t="shared" si="20"/>
        <v>0.25925925925925924</v>
      </c>
      <c r="O38" s="11">
        <f t="shared" si="21"/>
        <v>0.7407407407407407</v>
      </c>
      <c r="P38" s="12">
        <f t="shared" si="16"/>
        <v>10.292874084665229</v>
      </c>
      <c r="Q38" s="12">
        <f t="shared" si="16"/>
        <v>10.20024953829911</v>
      </c>
      <c r="S38" s="9" t="s">
        <v>23</v>
      </c>
      <c r="T38" s="10">
        <f>AVERAGE(600000000,600000000,300000000)</f>
        <v>500000000</v>
      </c>
      <c r="U38" s="10">
        <f>AVERAGE(100000000,20000000,130000000,150000000)</f>
        <v>100000000</v>
      </c>
      <c r="V38" s="10">
        <f>AVERAGE(200000000,400000000,500000000)</f>
        <v>366666666.66666669</v>
      </c>
      <c r="W38" s="11">
        <f t="shared" si="22"/>
        <v>0.21428571428571427</v>
      </c>
      <c r="X38" s="11">
        <f t="shared" si="23"/>
        <v>0.7857142857142857</v>
      </c>
      <c r="Y38" s="12">
        <f t="shared" si="17"/>
        <v>9.480357457491845</v>
      </c>
      <c r="Z38" s="12">
        <f t="shared" si="17"/>
        <v>9.2552909018570713</v>
      </c>
    </row>
    <row r="39" spans="1:26" x14ac:dyDescent="0.3">
      <c r="A39" s="9" t="s">
        <v>24</v>
      </c>
      <c r="B39" s="10">
        <f>AVERAGE(700000000,600000000,100000000)</f>
        <v>466666666.66666669</v>
      </c>
      <c r="C39" s="10">
        <f>AVERAGE(200000000,500000000,600000000)</f>
        <v>433333333.33333331</v>
      </c>
      <c r="D39" s="10">
        <f>AVERAGE(100000000,100000000,70000000,30000000,100000000)</f>
        <v>80000000</v>
      </c>
      <c r="E39" s="11">
        <f t="shared" si="18"/>
        <v>0.8441558441558441</v>
      </c>
      <c r="F39" s="11">
        <f t="shared" si="19"/>
        <v>0.15584415584415584</v>
      </c>
      <c r="G39" s="12">
        <f t="shared" si="15"/>
        <v>10.081261502082022</v>
      </c>
      <c r="H39" s="12">
        <f t="shared" si="15"/>
        <v>9.1931947807651593</v>
      </c>
      <c r="J39" s="9" t="s">
        <v>24</v>
      </c>
      <c r="K39" s="10">
        <f>AVERAGE(400000000,200000000,100000000)</f>
        <v>233333333.33333334</v>
      </c>
      <c r="L39" s="10">
        <f>AVERAGE(200000000,100000000,300000000,130000000,270000000,240000000)</f>
        <v>206666666.66666666</v>
      </c>
      <c r="M39" s="10">
        <f>AVERAGE(100000000,100000000,200000000,170000000,200000000,270000000)</f>
        <v>173333333.33333334</v>
      </c>
      <c r="N39" s="11">
        <f t="shared" si="20"/>
        <v>0.54385964912280704</v>
      </c>
      <c r="O39" s="11">
        <f t="shared" si="21"/>
        <v>0.45614035087719301</v>
      </c>
      <c r="P39" s="12">
        <f t="shared" si="16"/>
        <v>10.672053081605377</v>
      </c>
      <c r="Q39" s="12">
        <f t="shared" si="16"/>
        <v>9.0223678130284561</v>
      </c>
      <c r="S39" s="9" t="s">
        <v>24</v>
      </c>
      <c r="T39" s="10">
        <f>AVERAGE(500000000,500000000,700000000)</f>
        <v>566666666.66666663</v>
      </c>
      <c r="U39" s="10">
        <f>AVERAGE(300000000,200000000,500000000)</f>
        <v>333333333.33333331</v>
      </c>
      <c r="V39" s="10">
        <f>AVERAGE(300000000,200000000,100000000,220000000)</f>
        <v>205000000</v>
      </c>
      <c r="W39" s="11">
        <f t="shared" si="22"/>
        <v>0.61919504643962853</v>
      </c>
      <c r="X39" s="11">
        <f t="shared" si="23"/>
        <v>0.38080495356037158</v>
      </c>
      <c r="Y39" s="12">
        <f t="shared" si="17"/>
        <v>10.702749878828293</v>
      </c>
      <c r="Z39" s="12">
        <f t="shared" si="17"/>
        <v>9.515981367222567</v>
      </c>
    </row>
    <row r="40" spans="1:26" x14ac:dyDescent="0.3">
      <c r="A40" s="9" t="s">
        <v>25</v>
      </c>
      <c r="B40" s="10">
        <f>AVERAGE(700000000,500000000,100000000)</f>
        <v>433333333.33333331</v>
      </c>
      <c r="C40" s="10">
        <f>AVERAGE(200000000,400000000,400000000,210000000,230000000,290000000)</f>
        <v>288333333.33333331</v>
      </c>
      <c r="D40" s="10">
        <f>10</f>
        <v>10</v>
      </c>
      <c r="E40" s="11">
        <f t="shared" si="18"/>
        <v>0.99999996531792024</v>
      </c>
      <c r="F40" s="11">
        <f t="shared" si="19"/>
        <v>3.4682079722008801E-8</v>
      </c>
      <c r="G40" s="12">
        <f t="shared" si="15"/>
        <v>8.9085594159691368</v>
      </c>
      <c r="H40" s="12">
        <f t="shared" si="15"/>
        <v>4.24696603720614</v>
      </c>
      <c r="J40" s="9" t="s">
        <v>25</v>
      </c>
      <c r="K40" s="10">
        <f>AVERAGE(300000000,400000000,400000000,200000000,240000000,170000000)</f>
        <v>285000000</v>
      </c>
      <c r="L40" s="10">
        <f>AVERAGE(100000000,300000000,300000000,220000000,250000000,270000000)</f>
        <v>240000000</v>
      </c>
      <c r="M40" s="10">
        <v>10</v>
      </c>
      <c r="N40" s="11">
        <f t="shared" si="20"/>
        <v>0.9999999583333351</v>
      </c>
      <c r="O40" s="11">
        <f t="shared" si="21"/>
        <v>4.1666664930555628E-8</v>
      </c>
      <c r="P40" s="12">
        <f t="shared" si="16"/>
        <v>8.5658536777734522</v>
      </c>
      <c r="Q40" s="12">
        <f t="shared" si="16"/>
        <v>2.1627295000381084</v>
      </c>
      <c r="S40" s="9" t="s">
        <v>25</v>
      </c>
      <c r="T40" s="10">
        <f>AVERAGE(500000000,500000000,900000000)</f>
        <v>633333333.33333337</v>
      </c>
      <c r="U40" s="10">
        <f>AVERAGE(700000000,600000000,1200000000)</f>
        <v>833333333.33333337</v>
      </c>
      <c r="V40" s="10">
        <f>AVERAGE(120,100,100,200)</f>
        <v>130</v>
      </c>
      <c r="W40" s="11">
        <f t="shared" si="22"/>
        <v>0.99999984400002428</v>
      </c>
      <c r="X40" s="11">
        <f t="shared" si="23"/>
        <v>1.559999756640038E-7</v>
      </c>
      <c r="Y40" s="12">
        <f t="shared" si="17"/>
        <v>12.036750806016231</v>
      </c>
      <c r="Z40" s="12">
        <f t="shared" si="17"/>
        <v>5.2854022188622478</v>
      </c>
    </row>
    <row r="41" spans="1:26" x14ac:dyDescent="0.3">
      <c r="A41" s="9" t="s">
        <v>26</v>
      </c>
      <c r="B41" s="10">
        <f>AVERAGE(300000000,600000000,500000000)</f>
        <v>466666666.66666669</v>
      </c>
      <c r="C41" s="10">
        <f>AVERAGE(900000000,800000000,700000000)</f>
        <v>800000000</v>
      </c>
      <c r="D41" s="10">
        <f>AVERAGE(200000,200000,100000,110000,70000,120000)</f>
        <v>133333.33333333334</v>
      </c>
      <c r="E41" s="11">
        <f>C41/(D41+C41)</f>
        <v>0.99983336110648224</v>
      </c>
      <c r="F41" s="11">
        <f>D41/(D41+C41)</f>
        <v>1.6663889351774705E-4</v>
      </c>
      <c r="G41" s="12">
        <f t="shared" si="15"/>
        <v>11.091315166745947</v>
      </c>
      <c r="H41" s="12">
        <f t="shared" si="15"/>
        <v>5.426625473554056</v>
      </c>
      <c r="J41" s="9" t="s">
        <v>26</v>
      </c>
      <c r="K41" s="10">
        <f>AVERAGE(500000000,600000000,500000000)</f>
        <v>533333333.33333331</v>
      </c>
      <c r="L41" s="10">
        <f>AVERAGE(300000000,500000000,500000000,350000000,330000000,320000000)</f>
        <v>383333333.33333331</v>
      </c>
      <c r="M41" s="10">
        <f>AVERAGE(3000000,1000000,1000000,1500000,1500000,1700000)</f>
        <v>1616666.6666666667</v>
      </c>
      <c r="N41" s="11">
        <f>L41/(M41+L41)</f>
        <v>0.99580032038792909</v>
      </c>
      <c r="O41" s="11">
        <f>M41/(M41+L41)</f>
        <v>4.199679612070832E-3</v>
      </c>
      <c r="P41" s="12">
        <f t="shared" si="16"/>
        <v>10.453722330988379</v>
      </c>
      <c r="Q41" s="12">
        <f t="shared" si="16"/>
        <v>5.5295235142957297</v>
      </c>
      <c r="S41" s="9" t="s">
        <v>26</v>
      </c>
      <c r="T41" s="10">
        <f>AVERAGE(500000000,600000000,700000000)</f>
        <v>600000000</v>
      </c>
      <c r="U41" s="10">
        <f>AVERAGE(400000000,400000000,100000000)</f>
        <v>300000000</v>
      </c>
      <c r="V41" s="10">
        <f>AVERAGE(1000000,1000000,400000,400000,600000)</f>
        <v>680000</v>
      </c>
      <c r="W41" s="11">
        <f>U41/(V41+U41)</f>
        <v>0.9977384594918185</v>
      </c>
      <c r="X41" s="11">
        <f>V41/(V41+U41)</f>
        <v>2.2615405081814555E-3</v>
      </c>
      <c r="Y41" s="12">
        <f t="shared" si="17"/>
        <v>8.5507467853832431</v>
      </c>
      <c r="Z41" s="12">
        <f t="shared" si="17"/>
        <v>6.2664329822956581</v>
      </c>
    </row>
    <row r="42" spans="1:26" x14ac:dyDescent="0.3">
      <c r="A42" s="9" t="s">
        <v>27</v>
      </c>
      <c r="B42" s="10">
        <f>AVERAGE(900000000,800000000,700000000)</f>
        <v>800000000</v>
      </c>
      <c r="C42" s="10">
        <f>AVERAGE(800000000,500000000,1100000000)</f>
        <v>800000000</v>
      </c>
      <c r="D42" s="10">
        <f>AVERAGE(100000000,10000000,40000000,40000000)</f>
        <v>47500000</v>
      </c>
      <c r="E42" s="11">
        <f>C42/(D42+C42)</f>
        <v>0.94395280235988199</v>
      </c>
      <c r="F42" s="17">
        <f>D42/(D42+C42)</f>
        <v>5.6047197640117993E-2</v>
      </c>
      <c r="G42" s="12">
        <f t="shared" si="15"/>
        <v>10.850307067242152</v>
      </c>
      <c r="H42" s="12">
        <f t="shared" si="15"/>
        <v>8.7112114575764892</v>
      </c>
      <c r="J42" s="9" t="s">
        <v>27</v>
      </c>
      <c r="K42" s="10">
        <f>AVERAGE(200000000,400000000,500000000)</f>
        <v>366666666.66666669</v>
      </c>
      <c r="L42" s="10">
        <f>AVERAGE(300000000,200000000,600000000,200000000,280000000,290000000)</f>
        <v>311666666.66666669</v>
      </c>
      <c r="M42" s="10">
        <f>AVERAGE(300000000,100000000,100000000,140000000,150000000,200000000)</f>
        <v>165000000</v>
      </c>
      <c r="N42" s="11">
        <f>L42/(M42+L42)</f>
        <v>0.65384615384615385</v>
      </c>
      <c r="O42" s="17">
        <f>M42/(M42+L42)</f>
        <v>0.34615384615384615</v>
      </c>
      <c r="P42" s="12">
        <f t="shared" si="16"/>
        <v>9.9202217072816428</v>
      </c>
      <c r="Q42" s="12">
        <f t="shared" si="16"/>
        <v>9.356736165416617</v>
      </c>
      <c r="S42" s="9" t="s">
        <v>27</v>
      </c>
      <c r="T42" s="10">
        <f>AVERAGE(900000000,700000000,600000000)</f>
        <v>733333333.33333337</v>
      </c>
      <c r="U42" s="10">
        <f>AVERAGE(600000000,500000000,500000000)</f>
        <v>533333333.33333331</v>
      </c>
      <c r="V42" s="10">
        <f>AVERAGE(300000000,300000000,600000000)</f>
        <v>400000000</v>
      </c>
      <c r="W42" s="11">
        <f>U42/(V42+U42)</f>
        <v>0.57142857142857151</v>
      </c>
      <c r="X42" s="17">
        <f>V42/(V42+U42)</f>
        <v>0.4285714285714286</v>
      </c>
      <c r="Y42" s="12">
        <f t="shared" si="17"/>
        <v>12.409968129600447</v>
      </c>
      <c r="Z42" s="12">
        <f t="shared" si="17"/>
        <v>10.785212039020266</v>
      </c>
    </row>
    <row r="43" spans="1:26" x14ac:dyDescent="0.3">
      <c r="F43" s="15"/>
      <c r="O43" s="15"/>
      <c r="X43" s="15"/>
    </row>
    <row r="44" spans="1:26" x14ac:dyDescent="0.3">
      <c r="A44" t="s">
        <v>30</v>
      </c>
      <c r="G44" s="5" t="s">
        <v>13</v>
      </c>
      <c r="H44" s="5"/>
      <c r="J44" t="s">
        <v>30</v>
      </c>
      <c r="P44" s="5" t="s">
        <v>13</v>
      </c>
      <c r="Q44" s="5"/>
      <c r="S44" t="s">
        <v>30</v>
      </c>
      <c r="Y44" s="5" t="s">
        <v>13</v>
      </c>
      <c r="Z44" s="5"/>
    </row>
    <row r="45" spans="1:26" ht="15.6" x14ac:dyDescent="0.3">
      <c r="A45" s="6" t="s">
        <v>14</v>
      </c>
      <c r="B45" s="7" t="s">
        <v>15</v>
      </c>
      <c r="C45" s="7" t="s">
        <v>16</v>
      </c>
      <c r="D45" s="7" t="s">
        <v>17</v>
      </c>
      <c r="E45" s="7" t="s">
        <v>18</v>
      </c>
      <c r="F45" s="7" t="s">
        <v>19</v>
      </c>
      <c r="G45" s="7" t="s">
        <v>10</v>
      </c>
      <c r="H45" s="7" t="s">
        <v>11</v>
      </c>
      <c r="J45" s="6" t="s">
        <v>14</v>
      </c>
      <c r="K45" s="7" t="s">
        <v>15</v>
      </c>
      <c r="L45" s="7" t="s">
        <v>16</v>
      </c>
      <c r="M45" s="7" t="s">
        <v>17</v>
      </c>
      <c r="N45" s="7" t="s">
        <v>18</v>
      </c>
      <c r="O45" s="7" t="s">
        <v>19</v>
      </c>
      <c r="P45" s="7" t="s">
        <v>10</v>
      </c>
      <c r="Q45" s="7" t="s">
        <v>11</v>
      </c>
      <c r="S45" s="6" t="s">
        <v>14</v>
      </c>
      <c r="T45" s="7" t="s">
        <v>15</v>
      </c>
      <c r="U45" s="7" t="s">
        <v>16</v>
      </c>
      <c r="V45" s="7" t="s">
        <v>17</v>
      </c>
      <c r="W45" s="7" t="s">
        <v>18</v>
      </c>
      <c r="X45" s="7" t="s">
        <v>19</v>
      </c>
      <c r="Y45" s="7" t="s">
        <v>10</v>
      </c>
      <c r="Z45" s="7" t="s">
        <v>11</v>
      </c>
    </row>
    <row r="46" spans="1:26" x14ac:dyDescent="0.3">
      <c r="A46" s="9" t="s">
        <v>20</v>
      </c>
      <c r="B46" s="10">
        <f>AVERAGE(700000000,600000000,1200000000)</f>
        <v>833333333.33333337</v>
      </c>
      <c r="C46" s="10">
        <f>AVERAGE(100000000,300000000,700000000)</f>
        <v>366666666.66666669</v>
      </c>
      <c r="D46" s="10">
        <f>AVERAGE(300000000,600000000,900000000)</f>
        <v>600000000</v>
      </c>
      <c r="E46" s="11">
        <f>C46/(D46+C46)</f>
        <v>0.37931034482758619</v>
      </c>
      <c r="F46" s="11">
        <f>D46/(D46+C46)</f>
        <v>0.6206896551724137</v>
      </c>
      <c r="G46" s="14">
        <f t="shared" ref="G46:H53" si="24">LOG10(C46/(C35/1000))/LOG10(2)</f>
        <v>10.607592645787953</v>
      </c>
      <c r="H46" s="12">
        <f t="shared" si="24"/>
        <v>10.550746785383243</v>
      </c>
      <c r="J46" s="9" t="s">
        <v>20</v>
      </c>
      <c r="K46" s="10">
        <f>AVERAGE(500000000,300000000,500000000)</f>
        <v>433333333.33333331</v>
      </c>
      <c r="L46" s="10">
        <f>AVERAGE(100000000,200000000,200000000,100000000,170000000,110000000)</f>
        <v>146666666.66666666</v>
      </c>
      <c r="M46" s="10">
        <f>AVERAGE(300000000,600000000,800000000)</f>
        <v>566666666.66666663</v>
      </c>
      <c r="N46" s="11">
        <f>L46/(M46+L46)</f>
        <v>0.20560747663551404</v>
      </c>
      <c r="O46" s="11">
        <f>M46/(M46+L46)</f>
        <v>0.79439252336448607</v>
      </c>
      <c r="P46" s="14">
        <f t="shared" ref="P46:Q53" si="25">LOG10(L46/(L35/1000))/LOG10(2)</f>
        <v>9.6308000369492781</v>
      </c>
      <c r="Q46" s="12">
        <f t="shared" si="25"/>
        <v>10.352807407771333</v>
      </c>
      <c r="S46" s="9" t="s">
        <v>20</v>
      </c>
      <c r="T46" s="10">
        <f>AVERAGE(900000000,1000000000,1100000000)</f>
        <v>1000000000</v>
      </c>
      <c r="U46" s="10">
        <f>AVERAGE(400000000,200000000,300000000,190000000,220000000,230000000)</f>
        <v>256666666.66666666</v>
      </c>
      <c r="V46" s="10">
        <f>AVERAGE(600000000,600000000,800000000)</f>
        <v>666666666.66666663</v>
      </c>
      <c r="W46" s="11">
        <f>U46/(V46+U46)</f>
        <v>0.27797833935018051</v>
      </c>
      <c r="X46" s="11">
        <f>V46/(V46+U46)</f>
        <v>0.72202166064981954</v>
      </c>
      <c r="Y46" s="14">
        <f t="shared" ref="Y46:Z53" si="26">LOG10(U46/(U35/1000))/LOG10(2)</f>
        <v>11.166481634899215</v>
      </c>
      <c r="Z46" s="12">
        <f t="shared" si="26"/>
        <v>10.287712379549449</v>
      </c>
    </row>
    <row r="47" spans="1:26" x14ac:dyDescent="0.3">
      <c r="A47" s="9" t="s">
        <v>21</v>
      </c>
      <c r="B47" s="10">
        <f>AVERAGE(400000000,300000000,300000000)</f>
        <v>333333333.33333331</v>
      </c>
      <c r="C47" s="10">
        <f>AVERAGE(100000000,200000000,90000000,140000000,110000000)</f>
        <v>128000000</v>
      </c>
      <c r="D47" s="10">
        <f>AVERAGE(200000000,200000000,100000000,140000000,120000000,140000000)</f>
        <v>150000000</v>
      </c>
      <c r="E47" s="11">
        <f>C47/(D47+C47)</f>
        <v>0.46043165467625902</v>
      </c>
      <c r="F47" s="11">
        <f>D47/(D47+C47)</f>
        <v>0.53956834532374098</v>
      </c>
      <c r="G47" s="14">
        <f t="shared" si="24"/>
        <v>9.5563933485243862</v>
      </c>
      <c r="H47" s="12">
        <f t="shared" si="24"/>
        <v>10.172235162129514</v>
      </c>
      <c r="J47" s="9" t="s">
        <v>21</v>
      </c>
      <c r="K47" s="10">
        <f>AVERAGE(300000000,400000000,100000000,220000000,180000000,260000000)</f>
        <v>243333333.33333334</v>
      </c>
      <c r="L47" s="10">
        <f>AVERAGE(200000000,200000000,170000000,110000000,100000000)</f>
        <v>156000000</v>
      </c>
      <c r="M47" s="10">
        <f>AVERAGE(200000000,200000000,120000000,170000000,170000000)</f>
        <v>172000000</v>
      </c>
      <c r="N47" s="11">
        <f>L47/(M47+L47)</f>
        <v>0.47560975609756095</v>
      </c>
      <c r="O47" s="11">
        <f>M47/(M47+L47)</f>
        <v>0.52439024390243905</v>
      </c>
      <c r="P47" s="14">
        <f t="shared" si="25"/>
        <v>9.929258408636974</v>
      </c>
      <c r="Q47" s="12">
        <f t="shared" si="25"/>
        <v>10.283524582586015</v>
      </c>
      <c r="S47" s="9" t="s">
        <v>21</v>
      </c>
      <c r="T47" s="10">
        <f>AVERAGE(400000000,400000000,500000000)</f>
        <v>433333333.33333331</v>
      </c>
      <c r="U47" s="10">
        <f>AVERAGE(100000000,400000000,300000000,230000000,190000000,170000000)</f>
        <v>231666666.66666666</v>
      </c>
      <c r="V47" s="10">
        <f>AVERAGE(100000000,100000000,200000000,120000000,130000000,180000000)</f>
        <v>138333333.33333334</v>
      </c>
      <c r="W47" s="11">
        <f>U47/(V47+U47)</f>
        <v>0.62612612612612606</v>
      </c>
      <c r="X47" s="11">
        <f>V47/(V47+U47)</f>
        <v>0.37387387387387389</v>
      </c>
      <c r="Y47" s="14">
        <f t="shared" si="26"/>
        <v>10.165862120111001</v>
      </c>
      <c r="Z47" s="12">
        <f t="shared" si="26"/>
        <v>9.7862348643313748</v>
      </c>
    </row>
    <row r="48" spans="1:26" x14ac:dyDescent="0.3">
      <c r="A48" s="9" t="s">
        <v>22</v>
      </c>
      <c r="B48" s="10">
        <f>AVERAGE(700000000,500000000,400000000)</f>
        <v>533333333.33333331</v>
      </c>
      <c r="C48" s="10">
        <f>AVERAGE(500000000,300000000,700000000)</f>
        <v>500000000</v>
      </c>
      <c r="D48" s="10">
        <f>AVERAGE(300000000,200000000,200000000,140000000,220000000,240000000)</f>
        <v>216666666.66666666</v>
      </c>
      <c r="E48" s="11">
        <f t="shared" ref="E48:E51" si="27">C48/(D48+C48)</f>
        <v>0.69767441860465118</v>
      </c>
      <c r="F48" s="11">
        <f t="shared" ref="F48:F51" si="28">D48/(D48+C48)</f>
        <v>0.30232558139534882</v>
      </c>
      <c r="G48" s="12">
        <f t="shared" si="24"/>
        <v>10.640014123480331</v>
      </c>
      <c r="H48" s="12">
        <f t="shared" si="24"/>
        <v>10.403189596969385</v>
      </c>
      <c r="J48" s="9" t="s">
        <v>22</v>
      </c>
      <c r="K48" s="10">
        <f>AVERAGE(900000000,900000000,500000000)</f>
        <v>766666666.66666663</v>
      </c>
      <c r="L48" s="10">
        <f>AVERAGE(200000000,300000000,200000000,180000000,180000000,140000000)</f>
        <v>200000000</v>
      </c>
      <c r="M48" s="10">
        <f>AVERAGE(200000000,300000000,400000000)</f>
        <v>300000000</v>
      </c>
      <c r="N48" s="11">
        <f t="shared" ref="N48:N51" si="29">L48/(M48+L48)</f>
        <v>0.4</v>
      </c>
      <c r="O48" s="11">
        <f t="shared" ref="O48:O51" si="30">M48/(M48+L48)</f>
        <v>0.6</v>
      </c>
      <c r="P48" s="12">
        <f t="shared" si="25"/>
        <v>9.4297313844218777</v>
      </c>
      <c r="Q48" s="12">
        <f t="shared" si="25"/>
        <v>9.4352695679633083</v>
      </c>
      <c r="S48" s="9" t="s">
        <v>22</v>
      </c>
      <c r="T48" s="10">
        <f>AVERAGE(700000000,800000000,1000000000)</f>
        <v>833333333.33333337</v>
      </c>
      <c r="U48" s="10">
        <f>AVERAGE(400000000,300000000,200000000,180000000,180000000,230000000)</f>
        <v>248333333.33333334</v>
      </c>
      <c r="V48" s="10">
        <f>AVERAGE(200000000,300000000,300000000,260000000,220000000,220000000)</f>
        <v>250000000</v>
      </c>
      <c r="W48" s="11">
        <f t="shared" ref="W48:W51" si="31">U48/(V48+U48)</f>
        <v>0.49832775919732442</v>
      </c>
      <c r="X48" s="11">
        <f t="shared" ref="X48:X51" si="32">V48/(V48+U48)</f>
        <v>0.50167224080267558</v>
      </c>
      <c r="Y48" s="12">
        <f t="shared" si="26"/>
        <v>9.4035930915995891</v>
      </c>
      <c r="Z48" s="12">
        <f t="shared" si="26"/>
        <v>9.2877123795494505</v>
      </c>
    </row>
    <row r="49" spans="1:26" x14ac:dyDescent="0.3">
      <c r="A49" s="9" t="s">
        <v>23</v>
      </c>
      <c r="B49" s="10">
        <f>AVERAGE(600000000,900000000,800000000)</f>
        <v>766666666.66666663</v>
      </c>
      <c r="C49" s="10">
        <f>AVERAGE(400000000,500000000,600000000)</f>
        <v>500000000</v>
      </c>
      <c r="D49" s="10">
        <f>AVERAGE(300000000,200000000,400000000,240000000,160000000,170000000)</f>
        <v>245000000</v>
      </c>
      <c r="E49" s="11">
        <f t="shared" si="27"/>
        <v>0.67114093959731547</v>
      </c>
      <c r="F49" s="11">
        <f t="shared" si="28"/>
        <v>0.32885906040268459</v>
      </c>
      <c r="G49" s="12">
        <f t="shared" si="24"/>
        <v>10.91847856988373</v>
      </c>
      <c r="H49" s="12">
        <f t="shared" si="24"/>
        <v>10.067424546537925</v>
      </c>
      <c r="J49" s="9" t="s">
        <v>23</v>
      </c>
      <c r="K49" s="10">
        <f>AVERAGE(200000000,600000000,900000000)</f>
        <v>566666666.66666663</v>
      </c>
      <c r="L49" s="10">
        <f>AVERAGE(200000000,300000000,200000000,120000000,140000000,120000000)</f>
        <v>180000000</v>
      </c>
      <c r="M49" s="10">
        <f>AVERAGE(300000000,200000000,600000000,180000000,260000000,230000000)</f>
        <v>295000000</v>
      </c>
      <c r="N49" s="11">
        <f t="shared" si="29"/>
        <v>0.37894736842105264</v>
      </c>
      <c r="O49" s="11">
        <f t="shared" si="30"/>
        <v>0.62105263157894741</v>
      </c>
      <c r="P49" s="12">
        <f t="shared" si="25"/>
        <v>9.5913887698805897</v>
      </c>
      <c r="Q49" s="12">
        <f t="shared" si="25"/>
        <v>8.7895336449703603</v>
      </c>
      <c r="S49" s="9" t="s">
        <v>23</v>
      </c>
      <c r="T49" s="10">
        <f>AVERAGE(700000000,700000000,1000000000)</f>
        <v>800000000</v>
      </c>
      <c r="U49" s="10">
        <f>AVERAGE(200000000,400000000,400000000)</f>
        <v>333333333.33333331</v>
      </c>
      <c r="V49" s="10">
        <f>AVERAGE(300000000,600000000,700000000)</f>
        <v>533333333.33333331</v>
      </c>
      <c r="W49" s="11">
        <f t="shared" si="31"/>
        <v>0.38461538461538464</v>
      </c>
      <c r="X49" s="11">
        <f t="shared" si="32"/>
        <v>0.61538461538461542</v>
      </c>
      <c r="Y49" s="12">
        <f t="shared" si="26"/>
        <v>11.702749878828293</v>
      </c>
      <c r="Z49" s="12">
        <f t="shared" si="26"/>
        <v>10.506352666024789</v>
      </c>
    </row>
    <row r="50" spans="1:26" x14ac:dyDescent="0.3">
      <c r="A50" s="9" t="s">
        <v>24</v>
      </c>
      <c r="B50" s="10">
        <f>AVERAGE(400000000,400000000,800000000)</f>
        <v>533333333.33333331</v>
      </c>
      <c r="C50" s="10">
        <f>AVERAGE(500000000,600000000,800000000)</f>
        <v>633333333.33333337</v>
      </c>
      <c r="D50" s="10">
        <f>AVERAGE(20000000,20000000,60000000)</f>
        <v>33333333.333333332</v>
      </c>
      <c r="E50" s="11">
        <f t="shared" si="27"/>
        <v>0.95</v>
      </c>
      <c r="F50" s="11">
        <f t="shared" si="28"/>
        <v>4.9999999999999989E-2</v>
      </c>
      <c r="G50" s="12">
        <f t="shared" si="24"/>
        <v>10.513272079964581</v>
      </c>
      <c r="H50" s="12">
        <f t="shared" si="24"/>
        <v>8.7027498788282927</v>
      </c>
      <c r="J50" s="9" t="s">
        <v>24</v>
      </c>
      <c r="K50" s="10">
        <f>AVERAGE(700000000,800000000,900000000)</f>
        <v>800000000</v>
      </c>
      <c r="L50" s="10">
        <f>AVERAGE(200000000,800000000,700000000)</f>
        <v>566666666.66666663</v>
      </c>
      <c r="M50" s="10">
        <f>AVERAGE(200000000,200000000,400000000)</f>
        <v>266666666.66666666</v>
      </c>
      <c r="N50" s="11">
        <f t="shared" si="29"/>
        <v>0.68</v>
      </c>
      <c r="O50" s="11">
        <f t="shared" si="30"/>
        <v>0.32</v>
      </c>
      <c r="P50" s="12">
        <f t="shared" si="25"/>
        <v>11.420978910412915</v>
      </c>
      <c r="Q50" s="12">
        <f t="shared" si="25"/>
        <v>10.587272661408356</v>
      </c>
      <c r="S50" s="9" t="s">
        <v>24</v>
      </c>
      <c r="T50" s="10">
        <f>AVERAGE(400000000,1500000000,900000000)</f>
        <v>933333333.33333337</v>
      </c>
      <c r="U50" s="10">
        <f>AVERAGE(300000000,300000000,900000000)</f>
        <v>500000000</v>
      </c>
      <c r="V50" s="10">
        <f>AVERAGE(200000000,100000000,100000000,80000000,100000000,120000000)</f>
        <v>116666666.66666667</v>
      </c>
      <c r="W50" s="11">
        <f t="shared" si="31"/>
        <v>0.81081081081081086</v>
      </c>
      <c r="X50" s="11">
        <f t="shared" si="32"/>
        <v>0.1891891891891892</v>
      </c>
      <c r="Y50" s="12">
        <f t="shared" si="26"/>
        <v>10.550746785383243</v>
      </c>
      <c r="Z50" s="12">
        <f t="shared" si="26"/>
        <v>9.1525527962678126</v>
      </c>
    </row>
    <row r="51" spans="1:26" x14ac:dyDescent="0.3">
      <c r="A51" s="9" t="s">
        <v>25</v>
      </c>
      <c r="B51" s="10">
        <f>AVERAGE(500000000,300000000,300000000)</f>
        <v>366666666.66666669</v>
      </c>
      <c r="C51" s="10">
        <f>AVERAGE(600000000,200000000,100000000)</f>
        <v>300000000</v>
      </c>
      <c r="D51" s="10">
        <v>10</v>
      </c>
      <c r="E51" s="11">
        <f t="shared" si="27"/>
        <v>0.99999996666666779</v>
      </c>
      <c r="F51" s="11">
        <f t="shared" si="28"/>
        <v>3.3333332222222262E-8</v>
      </c>
      <c r="G51" s="12">
        <f t="shared" si="24"/>
        <v>10.023009153355037</v>
      </c>
      <c r="H51" s="14">
        <f t="shared" si="24"/>
        <v>9.965784284662087</v>
      </c>
      <c r="J51" s="9" t="s">
        <v>25</v>
      </c>
      <c r="K51" s="10">
        <f>AVERAGE(400000000,500000000,700000000)</f>
        <v>533333333.33333331</v>
      </c>
      <c r="L51" s="10">
        <f>AVERAGE(400000000,400000000,200000000)</f>
        <v>333333333.33333331</v>
      </c>
      <c r="M51" s="10">
        <v>10</v>
      </c>
      <c r="N51" s="11">
        <f t="shared" si="29"/>
        <v>0.99999997000000085</v>
      </c>
      <c r="O51" s="11">
        <f t="shared" si="30"/>
        <v>2.9999999100000028E-8</v>
      </c>
      <c r="P51" s="12">
        <f t="shared" si="25"/>
        <v>10.439715472994498</v>
      </c>
      <c r="Q51" s="14">
        <f t="shared" si="25"/>
        <v>9.965784284662087</v>
      </c>
      <c r="S51" s="9" t="s">
        <v>25</v>
      </c>
      <c r="T51" s="10">
        <f>AVERAGE(700000000,600000000,500000000)</f>
        <v>600000000</v>
      </c>
      <c r="U51" s="10">
        <f>AVERAGE(400000000,500000000,900000000)</f>
        <v>600000000</v>
      </c>
      <c r="V51" s="10">
        <v>10</v>
      </c>
      <c r="W51" s="11">
        <f t="shared" si="31"/>
        <v>0.99999998333333362</v>
      </c>
      <c r="X51" s="11">
        <f t="shared" si="32"/>
        <v>1.6666666388888892E-8</v>
      </c>
      <c r="Y51" s="12">
        <f t="shared" si="26"/>
        <v>9.4918530963296757</v>
      </c>
      <c r="Z51" s="14">
        <f t="shared" si="26"/>
        <v>6.2653445665209953</v>
      </c>
    </row>
    <row r="52" spans="1:26" x14ac:dyDescent="0.3">
      <c r="A52" s="9" t="s">
        <v>26</v>
      </c>
      <c r="B52" s="10">
        <f>AVERAGE(800000000,300000000,600000000)</f>
        <v>566666666.66666663</v>
      </c>
      <c r="C52" s="10">
        <f>AVERAGE(300000000,300000000,300000000)</f>
        <v>300000000</v>
      </c>
      <c r="D52" s="10">
        <f>AVERAGE(10000,10000,20000,14000,14000,14000)</f>
        <v>13666.666666666666</v>
      </c>
      <c r="E52" s="11">
        <f>C52/(D52+C52)</f>
        <v>0.99995444651965848</v>
      </c>
      <c r="F52" s="11">
        <f>D52/(D52+C52)</f>
        <v>4.5553480341451106E-5</v>
      </c>
      <c r="G52" s="12">
        <f t="shared" si="24"/>
        <v>8.5507467853832431</v>
      </c>
      <c r="H52" s="12">
        <f t="shared" si="24"/>
        <v>6.6794800995054455</v>
      </c>
      <c r="J52" s="9" t="s">
        <v>26</v>
      </c>
      <c r="K52" s="10">
        <f>AVERAGE(900000000,700000000,400000000)</f>
        <v>666666666.66666663</v>
      </c>
      <c r="L52" s="10">
        <f>AVERAGE(700000000,500000000,800000000)</f>
        <v>666666666.66666663</v>
      </c>
      <c r="M52" s="10">
        <f>AVERAGE(100000,100000,220000,150000,180000)</f>
        <v>150000</v>
      </c>
      <c r="N52" s="11">
        <f>L52/(M52+L52)</f>
        <v>0.99977505061361194</v>
      </c>
      <c r="O52" s="11">
        <f>M52/(M52+L52)</f>
        <v>2.2494938638806269E-4</v>
      </c>
      <c r="P52" s="12">
        <f t="shared" si="25"/>
        <v>10.764150423492437</v>
      </c>
      <c r="Q52" s="12">
        <f t="shared" si="25"/>
        <v>6.5357964439172713</v>
      </c>
      <c r="S52" s="9" t="s">
        <v>26</v>
      </c>
      <c r="T52" s="10">
        <f>AVERAGE(1000000000,1300000000,1500000000)</f>
        <v>1266666666.6666667</v>
      </c>
      <c r="U52" s="10">
        <f>AVERAGE(700000000,700000000,800000000)</f>
        <v>733333333.33333337</v>
      </c>
      <c r="V52" s="10">
        <f>AVERAGE(100000,100000,30000,50000,60000)</f>
        <v>68000</v>
      </c>
      <c r="W52" s="11">
        <f>U52/(V52+U52)</f>
        <v>0.99990728132482265</v>
      </c>
      <c r="X52" s="11">
        <f>V52/(V52+U52)</f>
        <v>9.2718675177392635E-5</v>
      </c>
      <c r="Y52" s="12">
        <f t="shared" si="26"/>
        <v>11.255290901857071</v>
      </c>
      <c r="Z52" s="12">
        <f t="shared" si="26"/>
        <v>6.6438561897747244</v>
      </c>
    </row>
    <row r="53" spans="1:26" x14ac:dyDescent="0.3">
      <c r="A53" s="9" t="s">
        <v>27</v>
      </c>
      <c r="B53" s="10">
        <f>AVERAGE(200000000,700000000,900000000)</f>
        <v>600000000</v>
      </c>
      <c r="C53" s="10">
        <f>AVERAGE(600000000,400000000,600000000)</f>
        <v>533333333.33333331</v>
      </c>
      <c r="D53" s="10">
        <f>AVERAGE(2000000,6000000,2000000,2900000,2300000)</f>
        <v>3040000</v>
      </c>
      <c r="E53" s="11">
        <f>C53/(D53+C53)</f>
        <v>0.99433230585661725</v>
      </c>
      <c r="F53" s="17">
        <f>D53/(D53+C53)</f>
        <v>5.6676941433827189E-3</v>
      </c>
      <c r="G53" s="14">
        <f t="shared" si="24"/>
        <v>9.3808217839409309</v>
      </c>
      <c r="H53" s="14">
        <f t="shared" si="24"/>
        <v>6</v>
      </c>
      <c r="J53" s="9" t="s">
        <v>27</v>
      </c>
      <c r="K53" s="10">
        <f>AVERAGE(1000000000,1400000000,1800000000)</f>
        <v>1400000000</v>
      </c>
      <c r="L53" s="10">
        <f>AVERAGE(1000000000,1500000000,1200000000)</f>
        <v>1233333333.3333333</v>
      </c>
      <c r="M53" s="10">
        <f>AVERAGE(200000000,300000000,200000000,90000000,210000000,180000000)</f>
        <v>196666666.66666666</v>
      </c>
      <c r="N53" s="11">
        <f>L53/(M53+L53)</f>
        <v>0.86247086247086246</v>
      </c>
      <c r="O53" s="17">
        <f>M53/(M53+L53)</f>
        <v>0.13752913752913754</v>
      </c>
      <c r="P53" s="14">
        <f t="shared" si="25"/>
        <v>11.950271285290762</v>
      </c>
      <c r="Q53" s="14">
        <f t="shared" si="25"/>
        <v>10.219070713944319</v>
      </c>
      <c r="S53" s="9" t="s">
        <v>27</v>
      </c>
      <c r="T53" s="10">
        <f>AVERAGE(500000000,500000000,100000000)</f>
        <v>366666666.66666669</v>
      </c>
      <c r="U53" s="10">
        <f>AVERAGE(500000000,100000000,900000000)</f>
        <v>500000000</v>
      </c>
      <c r="V53" s="10">
        <f>AVERAGE(10000000,50000000,40000000,18000000)</f>
        <v>29500000</v>
      </c>
      <c r="W53" s="11">
        <f>U53/(V53+U53)</f>
        <v>0.94428706326723322</v>
      </c>
      <c r="X53" s="17">
        <f>V53/(V53+U53)</f>
        <v>5.5712936732766762E-2</v>
      </c>
      <c r="Y53" s="14">
        <f t="shared" si="26"/>
        <v>9.8726748802706048</v>
      </c>
      <c r="Z53" s="14">
        <f t="shared" si="26"/>
        <v>6.2045711442492042</v>
      </c>
    </row>
    <row r="54" spans="1:26" x14ac:dyDescent="0.3">
      <c r="F54" s="15"/>
      <c r="J54" s="22"/>
      <c r="K54" s="16"/>
      <c r="L54" s="16"/>
      <c r="M54" s="16"/>
      <c r="N54" s="28"/>
      <c r="O54" s="29"/>
      <c r="P54" s="30"/>
      <c r="Q54" s="30"/>
      <c r="X54" s="15"/>
    </row>
    <row r="55" spans="1:26" ht="15.6" x14ac:dyDescent="0.3">
      <c r="I55" s="1"/>
      <c r="J55" s="22"/>
      <c r="K55" s="16"/>
      <c r="L55" s="16"/>
      <c r="M55" s="16"/>
      <c r="N55" s="28"/>
      <c r="O55" s="28"/>
      <c r="P55" s="22"/>
      <c r="Q55" s="22"/>
    </row>
    <row r="56" spans="1:26" ht="15.6" x14ac:dyDescent="0.3">
      <c r="B56" s="18"/>
      <c r="C56" s="18"/>
      <c r="D56" s="18"/>
      <c r="E56" s="18"/>
      <c r="G56" s="18" t="s">
        <v>32</v>
      </c>
      <c r="H56" s="18"/>
      <c r="J56" s="22"/>
      <c r="K56" s="16"/>
      <c r="L56" s="16"/>
      <c r="M56" s="16"/>
      <c r="N56" s="28"/>
      <c r="O56" s="28"/>
      <c r="P56" s="37" t="s">
        <v>32</v>
      </c>
      <c r="Q56" s="37"/>
      <c r="Y56" s="18" t="s">
        <v>32</v>
      </c>
      <c r="Z56" s="18"/>
    </row>
    <row r="57" spans="1:26" ht="15.6" x14ac:dyDescent="0.3">
      <c r="A57" s="19"/>
      <c r="B57" s="19"/>
      <c r="C57" s="19"/>
      <c r="D57" s="19"/>
      <c r="E57" s="1"/>
      <c r="G57" s="20" t="s">
        <v>10</v>
      </c>
      <c r="H57" s="20" t="s">
        <v>11</v>
      </c>
      <c r="J57" s="22"/>
      <c r="K57" s="16"/>
      <c r="L57" s="16"/>
      <c r="M57" s="16"/>
      <c r="N57" s="28"/>
      <c r="O57" s="28"/>
      <c r="P57" s="19" t="s">
        <v>10</v>
      </c>
      <c r="Q57" s="19" t="s">
        <v>11</v>
      </c>
      <c r="Y57" s="20" t="s">
        <v>10</v>
      </c>
      <c r="Z57" s="20" t="s">
        <v>11</v>
      </c>
    </row>
    <row r="58" spans="1:26" x14ac:dyDescent="0.3">
      <c r="A58" s="22"/>
      <c r="B58" s="16"/>
      <c r="C58" s="16"/>
      <c r="D58" s="16"/>
      <c r="E58" s="2"/>
      <c r="G58" s="23">
        <f t="shared" ref="G58:H65" si="33">SUM(G13,G24,G35,G46)</f>
        <v>47.059534351451852</v>
      </c>
      <c r="H58" s="23">
        <f t="shared" si="33"/>
        <v>47.033062140090664</v>
      </c>
      <c r="J58" s="22"/>
      <c r="K58" s="16"/>
      <c r="L58" s="16"/>
      <c r="M58" s="16"/>
      <c r="N58" s="28"/>
      <c r="O58" s="28"/>
      <c r="P58" s="38">
        <f>SUM(P13,P24,P35,P46)</f>
        <v>45.18506523353571</v>
      </c>
      <c r="Q58" s="38">
        <f>SUM(Q13,Q24,Q35,Q46)</f>
        <v>47.894016451532323</v>
      </c>
      <c r="R58" s="22"/>
      <c r="S58" s="22"/>
      <c r="T58" s="22"/>
      <c r="U58" s="22"/>
      <c r="Y58" s="23">
        <f>SUM(Y13,Y24,Y35,Y46)</f>
        <v>46.059534351451852</v>
      </c>
      <c r="Z58" s="23">
        <f>SUM(Z13,Z24,Z35,Z46)</f>
        <v>48.658996421868117</v>
      </c>
    </row>
    <row r="59" spans="1:26" ht="15.6" x14ac:dyDescent="0.3">
      <c r="A59" s="22"/>
      <c r="B59" s="16"/>
      <c r="C59" s="16"/>
      <c r="D59" s="16"/>
      <c r="E59" s="2"/>
      <c r="G59" s="23">
        <f t="shared" si="33"/>
        <v>45.541209043760993</v>
      </c>
      <c r="H59" s="23">
        <f t="shared" si="33"/>
        <v>45.033062140090664</v>
      </c>
      <c r="J59" s="22"/>
      <c r="K59" s="16"/>
      <c r="L59" s="16"/>
      <c r="M59" s="16"/>
      <c r="N59" s="28"/>
      <c r="O59" s="28"/>
      <c r="P59" s="38">
        <f>SUM(P14,P25,P36,P47)</f>
        <v>45.274070239594458</v>
      </c>
      <c r="Q59" s="38">
        <f>SUM(Q14,Q25,Q36,Q47)</f>
        <v>46.173924675930508</v>
      </c>
      <c r="R59" s="22"/>
      <c r="S59" s="37"/>
      <c r="T59" s="37"/>
      <c r="U59" s="22"/>
      <c r="Y59" s="23">
        <f t="shared" ref="Y59:Z65" si="34">SUM(Y14,Y25,Y36,Y47)</f>
        <v>45.911688883480458</v>
      </c>
      <c r="Z59" s="23">
        <f t="shared" si="34"/>
        <v>46.390179663440321</v>
      </c>
    </row>
    <row r="60" spans="1:26" ht="15.6" x14ac:dyDescent="0.3">
      <c r="A60" s="22"/>
      <c r="B60" s="22"/>
      <c r="C60" s="16"/>
      <c r="D60" s="16"/>
      <c r="E60" s="2"/>
      <c r="G60" s="23">
        <f t="shared" si="33"/>
        <v>47.506993328423079</v>
      </c>
      <c r="H60" s="23">
        <f t="shared" si="33"/>
        <v>45.563576856789439</v>
      </c>
      <c r="J60" s="22"/>
      <c r="K60" s="16"/>
      <c r="L60" s="16"/>
      <c r="M60" s="16" t="s">
        <v>56</v>
      </c>
      <c r="N60" s="28"/>
      <c r="O60" s="28"/>
      <c r="P60" s="38">
        <f>SUM(P15,P26,P37,P48)</f>
        <v>45.632524210506936</v>
      </c>
      <c r="Q60" s="38">
        <f>SUM(Q15,Q26,Q37,Q48)</f>
        <v>46.976478611724296</v>
      </c>
      <c r="R60" s="22"/>
      <c r="S60" s="19"/>
      <c r="T60" s="19"/>
      <c r="U60" s="22"/>
      <c r="Y60" s="23">
        <f t="shared" si="34"/>
        <v>46.011916331219112</v>
      </c>
      <c r="Z60" s="23">
        <f t="shared" si="34"/>
        <v>47.243958922589272</v>
      </c>
    </row>
    <row r="61" spans="1:26" ht="21" x14ac:dyDescent="0.4">
      <c r="A61" s="22"/>
      <c r="B61" s="16"/>
      <c r="C61" s="16"/>
      <c r="D61" s="16"/>
      <c r="E61" s="2"/>
      <c r="G61" s="23">
        <f t="shared" si="33"/>
        <v>47.506993328423071</v>
      </c>
      <c r="H61" s="23">
        <f t="shared" si="33"/>
        <v>45.740881388597359</v>
      </c>
      <c r="J61" s="31" t="s">
        <v>39</v>
      </c>
      <c r="K61" s="16"/>
      <c r="L61" s="16"/>
      <c r="M61" s="16"/>
      <c r="N61" s="28"/>
      <c r="O61" s="28"/>
      <c r="P61" s="38">
        <f>SUM(P16,P27,P38,P49)</f>
        <v>45.480521117061883</v>
      </c>
      <c r="Q61" s="38">
        <f>SUM(Q16,Q27,Q38,Q49)</f>
        <v>46.952231065477619</v>
      </c>
      <c r="R61" s="22"/>
      <c r="S61" s="38"/>
      <c r="T61" s="38"/>
      <c r="U61" s="22"/>
      <c r="Y61" s="23">
        <f t="shared" si="34"/>
        <v>46.43660400053168</v>
      </c>
      <c r="Z61" s="23">
        <f t="shared" si="34"/>
        <v>48.337068326980756</v>
      </c>
    </row>
    <row r="62" spans="1:26" x14ac:dyDescent="0.3">
      <c r="A62" s="22"/>
      <c r="B62" s="16"/>
      <c r="C62" s="16"/>
      <c r="D62" s="16"/>
      <c r="E62" s="2"/>
      <c r="G62" s="23">
        <f t="shared" si="33"/>
        <v>47.848030246258134</v>
      </c>
      <c r="H62" s="23">
        <f t="shared" si="33"/>
        <v>42.863137138648348</v>
      </c>
      <c r="O62" s="16"/>
      <c r="P62" s="38">
        <f>SUM(P17,P28,P39,P50)</f>
        <v>47.135024551036111</v>
      </c>
      <c r="Q62" s="38">
        <f>SUM(Q17,Q28,Q39,Q50)</f>
        <v>46.806553610281981</v>
      </c>
      <c r="R62" s="22"/>
      <c r="S62" s="38"/>
      <c r="T62" s="38"/>
      <c r="U62" s="22"/>
      <c r="Y62" s="23">
        <f t="shared" si="34"/>
        <v>47.021566501252821</v>
      </c>
      <c r="Z62" s="23">
        <f t="shared" si="34"/>
        <v>46.144423249038361</v>
      </c>
    </row>
    <row r="63" spans="1:26" ht="15.6" x14ac:dyDescent="0.3">
      <c r="A63" s="22"/>
      <c r="B63" s="22"/>
      <c r="C63" s="16"/>
      <c r="D63" s="16"/>
      <c r="E63" s="2"/>
      <c r="G63" s="23">
        <f t="shared" si="33"/>
        <v>46.770027734256871</v>
      </c>
      <c r="H63" s="23">
        <f t="shared" si="33"/>
        <v>21.19460297515797</v>
      </c>
      <c r="J63" s="24" t="s">
        <v>31</v>
      </c>
      <c r="K63" s="25"/>
      <c r="L63" s="9"/>
      <c r="M63" s="9"/>
      <c r="N63" s="9"/>
      <c r="O63" s="35"/>
      <c r="P63" s="38">
        <f>SUM(P18,P29,P40,P51)</f>
        <v>46.369489804673137</v>
      </c>
      <c r="Q63" s="38">
        <f>SUM(Q18,Q29,Q40,Q51)</f>
        <v>22.138019446791603</v>
      </c>
      <c r="R63" s="22"/>
      <c r="S63" s="38"/>
      <c r="T63" s="38"/>
      <c r="U63" s="22"/>
      <c r="Y63" s="23">
        <f t="shared" si="34"/>
        <v>47.284600907086627</v>
      </c>
      <c r="Z63" s="23">
        <f t="shared" si="34"/>
        <v>22.668534163490378</v>
      </c>
    </row>
    <row r="64" spans="1:26" x14ac:dyDescent="0.3">
      <c r="A64" s="22"/>
      <c r="B64" s="22"/>
      <c r="C64" s="16"/>
      <c r="D64" s="16"/>
      <c r="E64" s="2"/>
      <c r="G64" s="23">
        <f t="shared" si="33"/>
        <v>46.770027734256871</v>
      </c>
      <c r="H64" s="23">
        <f t="shared" si="33"/>
        <v>31.611048668829625</v>
      </c>
      <c r="J64" s="9" t="s">
        <v>33</v>
      </c>
      <c r="K64" s="9"/>
      <c r="L64" s="9"/>
      <c r="M64" s="9"/>
      <c r="N64" s="9"/>
      <c r="O64" s="35"/>
      <c r="P64" s="38">
        <f>SUM(P19,P30,P41,P52)</f>
        <v>47.369489804673137</v>
      </c>
      <c r="Q64" s="38">
        <f>SUM(Q19,Q30,Q41,Q52)</f>
        <v>36.010694327062204</v>
      </c>
      <c r="R64" s="22"/>
      <c r="S64" s="38"/>
      <c r="T64" s="38"/>
      <c r="U64" s="22"/>
      <c r="Y64" s="23">
        <f t="shared" si="34"/>
        <v>47.574107524281608</v>
      </c>
      <c r="Z64" s="23">
        <f t="shared" si="34"/>
        <v>35.399853194515444</v>
      </c>
    </row>
    <row r="65" spans="1:26" x14ac:dyDescent="0.3">
      <c r="A65" s="22"/>
      <c r="B65" s="22"/>
      <c r="C65" s="16"/>
      <c r="D65" s="16"/>
      <c r="E65" s="2"/>
      <c r="G65" s="23">
        <f t="shared" si="33"/>
        <v>47.600102732814555</v>
      </c>
      <c r="H65" s="23">
        <f t="shared" si="33"/>
        <v>39.408314773263641</v>
      </c>
      <c r="J65" s="9"/>
      <c r="K65" s="9" t="s">
        <v>34</v>
      </c>
      <c r="L65" s="9" t="s">
        <v>35</v>
      </c>
      <c r="M65" s="9" t="s">
        <v>36</v>
      </c>
      <c r="N65" s="26" t="s">
        <v>37</v>
      </c>
      <c r="O65" s="36" t="s">
        <v>38</v>
      </c>
      <c r="P65" s="38">
        <f>SUM(P20,P31,P42,P53)</f>
        <v>48.257015075414721</v>
      </c>
      <c r="Q65" s="38">
        <f>SUM(Q20,Q31,Q42,Q53)</f>
        <v>46.367268564756458</v>
      </c>
      <c r="R65" s="22"/>
      <c r="S65" s="38"/>
      <c r="T65" s="38"/>
      <c r="U65" s="22"/>
      <c r="Y65" s="23">
        <f t="shared" si="34"/>
        <v>47.021566501252835</v>
      </c>
      <c r="Z65" s="23">
        <f t="shared" si="34"/>
        <v>44.160817687289025</v>
      </c>
    </row>
    <row r="66" spans="1:26" x14ac:dyDescent="0.3">
      <c r="A66" s="22"/>
      <c r="B66" s="22"/>
      <c r="C66" s="22"/>
      <c r="D66" s="22"/>
      <c r="J66" s="9" t="s">
        <v>20</v>
      </c>
      <c r="K66" s="10">
        <f>C46/D46</f>
        <v>0.61111111111111116</v>
      </c>
      <c r="L66" s="10">
        <f>L46/M46</f>
        <v>0.25882352941176473</v>
      </c>
      <c r="M66" s="10">
        <f>U46/V46</f>
        <v>0.38500000000000001</v>
      </c>
      <c r="N66" s="27">
        <f>AVERAGE(K66,L66,M66)</f>
        <v>0.41831154684095861</v>
      </c>
      <c r="O66" s="26">
        <f>(STDEV(K66,L66,M66))/SQRT(3)</f>
        <v>0.10305157191037324</v>
      </c>
      <c r="R66" s="22"/>
      <c r="S66" s="38"/>
      <c r="T66" s="38"/>
      <c r="U66" s="22"/>
    </row>
    <row r="67" spans="1:26" x14ac:dyDescent="0.3">
      <c r="A67" s="22"/>
      <c r="B67" s="22"/>
      <c r="C67" s="22"/>
      <c r="D67" s="22"/>
      <c r="J67" s="9" t="s">
        <v>21</v>
      </c>
      <c r="K67" s="10">
        <f>C47/D47</f>
        <v>0.85333333333333339</v>
      </c>
      <c r="L67" s="10">
        <f>L47/M47</f>
        <v>0.90697674418604646</v>
      </c>
      <c r="M67" s="10">
        <f t="shared" ref="M67:M73" si="35">U47/V47</f>
        <v>1.6746987951807226</v>
      </c>
      <c r="N67" s="27">
        <f>AVERAGE(K67,L67,M67)</f>
        <v>1.1450029575667007</v>
      </c>
      <c r="O67" s="26">
        <f>(STDEV(K67,L67,M67))/SQRT(3)</f>
        <v>0.2653002476259641</v>
      </c>
      <c r="R67" s="22"/>
      <c r="S67" s="38"/>
      <c r="T67" s="38"/>
      <c r="U67" s="22"/>
    </row>
    <row r="68" spans="1:26" x14ac:dyDescent="0.3">
      <c r="A68" s="22"/>
      <c r="B68" s="22"/>
      <c r="C68" s="22"/>
      <c r="D68" s="22"/>
      <c r="J68" s="9" t="s">
        <v>22</v>
      </c>
      <c r="K68" s="10">
        <f>C48/D48</f>
        <v>2.3076923076923079</v>
      </c>
      <c r="L68" s="10">
        <f>L48/M48</f>
        <v>0.66666666666666663</v>
      </c>
      <c r="M68" s="10">
        <f t="shared" si="35"/>
        <v>0.9933333333333334</v>
      </c>
      <c r="N68" s="27">
        <f>AVERAGE(K68,L68,M68)</f>
        <v>1.3225641025641026</v>
      </c>
      <c r="O68" s="26">
        <f>(STDEV(K68,L68,M68))/SQRT(3)</f>
        <v>0.50150970850759469</v>
      </c>
      <c r="R68" s="22"/>
      <c r="S68" s="38"/>
      <c r="T68" s="38"/>
      <c r="U68" s="22"/>
    </row>
    <row r="69" spans="1:26" x14ac:dyDescent="0.3">
      <c r="A69" s="22"/>
      <c r="B69" s="16"/>
      <c r="C69" s="22"/>
      <c r="D69" s="22"/>
      <c r="J69" s="9" t="s">
        <v>23</v>
      </c>
      <c r="K69" s="10">
        <f>C49/D49</f>
        <v>2.0408163265306123</v>
      </c>
      <c r="L69" s="10">
        <f>L49/M49</f>
        <v>0.61016949152542377</v>
      </c>
      <c r="M69" s="10">
        <f t="shared" si="35"/>
        <v>0.625</v>
      </c>
      <c r="N69" s="27">
        <f t="shared" ref="N69:N73" si="36">AVERAGE(K69,L69,M69)</f>
        <v>1.0919952726853455</v>
      </c>
      <c r="O69" s="26">
        <f t="shared" ref="O69:O73" si="37">(STDEV(K69,L69,M69))/SQRT(3)</f>
        <v>0.47442984383378051</v>
      </c>
      <c r="R69" s="22"/>
      <c r="S69" s="22"/>
      <c r="T69" s="22"/>
      <c r="U69" s="22"/>
    </row>
    <row r="70" spans="1:26" x14ac:dyDescent="0.3">
      <c r="A70" s="22"/>
      <c r="B70" s="16"/>
      <c r="C70" s="22"/>
      <c r="D70" s="22"/>
      <c r="J70" s="9" t="s">
        <v>24</v>
      </c>
      <c r="K70" s="10">
        <f>C50/D50</f>
        <v>19.000000000000004</v>
      </c>
      <c r="L70" s="10">
        <f>L50/M50</f>
        <v>2.125</v>
      </c>
      <c r="M70" s="10">
        <f t="shared" si="35"/>
        <v>4.2857142857142856</v>
      </c>
      <c r="N70" s="27">
        <f t="shared" si="36"/>
        <v>8.4702380952380967</v>
      </c>
      <c r="O70" s="26">
        <f t="shared" si="37"/>
        <v>5.3017005411582732</v>
      </c>
    </row>
    <row r="71" spans="1:26" x14ac:dyDescent="0.3">
      <c r="A71" s="22"/>
      <c r="B71" s="16"/>
      <c r="C71" s="22"/>
      <c r="D71" s="22"/>
      <c r="J71" s="9" t="s">
        <v>25</v>
      </c>
      <c r="K71" s="10">
        <f>C51/D51</f>
        <v>30000000</v>
      </c>
      <c r="L71" s="10">
        <f>L51/M51</f>
        <v>33333333.333333332</v>
      </c>
      <c r="M71" s="10">
        <f t="shared" si="35"/>
        <v>60000000</v>
      </c>
      <c r="N71" s="27">
        <f>AVERAGE(K71,L71,M71)</f>
        <v>41111111.111111112</v>
      </c>
      <c r="O71" s="26">
        <f>(STDEV(K71,L71,M71))/SQRT(3)</f>
        <v>9493337.4947972596</v>
      </c>
    </row>
    <row r="72" spans="1:26" x14ac:dyDescent="0.3">
      <c r="A72" s="22"/>
      <c r="B72" s="16"/>
      <c r="C72" s="22"/>
      <c r="D72" s="22"/>
      <c r="J72" s="9" t="s">
        <v>26</v>
      </c>
      <c r="K72" s="10">
        <f>C52/D52</f>
        <v>21951.219512195123</v>
      </c>
      <c r="L72" s="10">
        <f>L52/M52</f>
        <v>4444.4444444444443</v>
      </c>
      <c r="M72" s="10">
        <f t="shared" si="35"/>
        <v>10784.313725490196</v>
      </c>
      <c r="N72" s="27">
        <f>AVERAGE(K72,L72,M72)</f>
        <v>12393.325894043255</v>
      </c>
      <c r="O72" s="26">
        <f>(STDEV(K72,L72,M72))/SQRT(3)</f>
        <v>5117.4044018792056</v>
      </c>
    </row>
    <row r="73" spans="1:26" x14ac:dyDescent="0.3">
      <c r="A73" s="22"/>
      <c r="B73" s="22"/>
      <c r="C73" s="22"/>
      <c r="D73" s="22"/>
      <c r="J73" s="9" t="s">
        <v>27</v>
      </c>
      <c r="K73" s="10">
        <f>C53/D53</f>
        <v>175.43859649122805</v>
      </c>
      <c r="L73" s="10">
        <f>L53/M53</f>
        <v>6.2711864406779663</v>
      </c>
      <c r="M73" s="10">
        <f t="shared" si="35"/>
        <v>16.949152542372882</v>
      </c>
      <c r="N73" s="27">
        <f t="shared" si="36"/>
        <v>66.219645158092973</v>
      </c>
      <c r="O73" s="26">
        <f t="shared" si="37"/>
        <v>54.696402190483951</v>
      </c>
    </row>
    <row r="74" spans="1:26" x14ac:dyDescent="0.3">
      <c r="N74" s="21" t="s">
        <v>40</v>
      </c>
    </row>
  </sheetData>
  <mergeCells count="17">
    <mergeCell ref="B56:E56"/>
    <mergeCell ref="G56:H56"/>
    <mergeCell ref="P56:Q56"/>
    <mergeCell ref="Y56:Z56"/>
    <mergeCell ref="S59:T59"/>
    <mergeCell ref="G33:H33"/>
    <mergeCell ref="P33:Q33"/>
    <mergeCell ref="Y33:Z33"/>
    <mergeCell ref="G44:H44"/>
    <mergeCell ref="P44:Q44"/>
    <mergeCell ref="Y44:Z44"/>
    <mergeCell ref="G11:H11"/>
    <mergeCell ref="P11:Q11"/>
    <mergeCell ref="Y11:Z11"/>
    <mergeCell ref="G22:H22"/>
    <mergeCell ref="P22:Q22"/>
    <mergeCell ref="Y22:Z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topLeftCell="F43" workbookViewId="0">
      <selection activeCell="J73" sqref="J73"/>
    </sheetView>
  </sheetViews>
  <sheetFormatPr defaultColWidth="12.44140625" defaultRowHeight="14.4" x14ac:dyDescent="0.3"/>
  <cols>
    <col min="1" max="1" width="18.109375" customWidth="1"/>
    <col min="2" max="2" width="12.44140625" bestFit="1" customWidth="1"/>
    <col min="4" max="4" width="19.6640625" customWidth="1"/>
    <col min="5" max="5" width="21.33203125" customWidth="1"/>
    <col min="6" max="6" width="19.21875" bestFit="1" customWidth="1"/>
    <col min="10" max="10" width="20.77734375" customWidth="1"/>
    <col min="13" max="13" width="19.6640625" bestFit="1" customWidth="1"/>
    <col min="14" max="14" width="18" bestFit="1" customWidth="1"/>
    <col min="15" max="15" width="18.6640625" bestFit="1" customWidth="1"/>
    <col min="19" max="19" width="23.6640625" customWidth="1"/>
    <col min="20" max="20" width="18.88671875" customWidth="1"/>
    <col min="22" max="22" width="19.6640625" bestFit="1" customWidth="1"/>
    <col min="23" max="23" width="18" bestFit="1" customWidth="1"/>
    <col min="24" max="24" width="18.6640625" bestFit="1" customWidth="1"/>
  </cols>
  <sheetData>
    <row r="1" spans="1:26" ht="15.6" x14ac:dyDescent="0.3">
      <c r="A1" s="1" t="s">
        <v>41</v>
      </c>
    </row>
    <row r="2" spans="1:26" x14ac:dyDescent="0.3">
      <c r="A2" t="s">
        <v>42</v>
      </c>
    </row>
    <row r="3" spans="1:26" x14ac:dyDescent="0.3">
      <c r="A3" t="s">
        <v>43</v>
      </c>
    </row>
    <row r="6" spans="1:26" ht="15.6" x14ac:dyDescent="0.3">
      <c r="A6" s="1" t="s">
        <v>3</v>
      </c>
      <c r="J6" s="1" t="s">
        <v>4</v>
      </c>
      <c r="S6" s="1" t="s">
        <v>5</v>
      </c>
    </row>
    <row r="7" spans="1:26" x14ac:dyDescent="0.3">
      <c r="A7" t="s">
        <v>6</v>
      </c>
      <c r="D7" t="s">
        <v>7</v>
      </c>
      <c r="E7" t="s">
        <v>8</v>
      </c>
      <c r="F7" t="s">
        <v>9</v>
      </c>
      <c r="J7" t="s">
        <v>6</v>
      </c>
      <c r="M7" t="s">
        <v>7</v>
      </c>
      <c r="N7" t="s">
        <v>8</v>
      </c>
      <c r="O7" t="s">
        <v>9</v>
      </c>
      <c r="S7" t="s">
        <v>6</v>
      </c>
      <c r="V7" t="s">
        <v>7</v>
      </c>
      <c r="W7" t="s">
        <v>8</v>
      </c>
      <c r="X7" t="s">
        <v>9</v>
      </c>
    </row>
    <row r="8" spans="1:26" x14ac:dyDescent="0.3">
      <c r="A8" t="s">
        <v>44</v>
      </c>
      <c r="B8" s="2">
        <f>AVERAGE(900000000,1300000000,1000000000)</f>
        <v>1066666666.6666666</v>
      </c>
      <c r="D8" s="2">
        <f>B8/1000/20</f>
        <v>53333.333333333328</v>
      </c>
      <c r="E8" s="2">
        <f>D8/10</f>
        <v>5333.333333333333</v>
      </c>
      <c r="F8" s="3">
        <f>E8/(E8+E9)</f>
        <v>0.5</v>
      </c>
      <c r="J8" t="s">
        <v>44</v>
      </c>
      <c r="K8" s="2">
        <f>AVERAGE(1100000000,1200000000,1000000000)</f>
        <v>1100000000</v>
      </c>
      <c r="M8" s="2">
        <f>K8/1000/20</f>
        <v>55000</v>
      </c>
      <c r="N8" s="2">
        <f>M8/10</f>
        <v>5500</v>
      </c>
      <c r="O8" s="3">
        <f>N8/(N8+N9)</f>
        <v>0.54098360655737698</v>
      </c>
      <c r="S8" t="s">
        <v>44</v>
      </c>
      <c r="T8" s="2">
        <f>AVERAGE(700000000,700000000,600000000)</f>
        <v>666666666.66666663</v>
      </c>
      <c r="V8" s="2">
        <f>T8/1000/20</f>
        <v>33333.333333333328</v>
      </c>
      <c r="W8" s="2">
        <f>V8/10</f>
        <v>3333.333333333333</v>
      </c>
      <c r="X8" s="3">
        <f>W8/(W8+W9)</f>
        <v>0.39215686274509798</v>
      </c>
    </row>
    <row r="9" spans="1:26" x14ac:dyDescent="0.3">
      <c r="A9" t="s">
        <v>45</v>
      </c>
      <c r="B9" s="2">
        <f>AVERAGE(1200000000,1000000000,1000000000)</f>
        <v>1066666666.6666666</v>
      </c>
      <c r="D9" s="2">
        <f>B9/1000/20</f>
        <v>53333.333333333328</v>
      </c>
      <c r="E9" s="2">
        <f>D9/10</f>
        <v>5333.333333333333</v>
      </c>
      <c r="F9" s="3">
        <f>E9/(E9+E8)</f>
        <v>0.5</v>
      </c>
      <c r="J9" t="s">
        <v>45</v>
      </c>
      <c r="K9" s="2">
        <f>AVERAGE(500000000,1400000000,900000000)</f>
        <v>933333333.33333337</v>
      </c>
      <c r="M9" s="2">
        <f>K9/1000/20</f>
        <v>46666.666666666672</v>
      </c>
      <c r="N9" s="2">
        <f>M9/10</f>
        <v>4666.666666666667</v>
      </c>
      <c r="O9" s="3">
        <f>N9/(N9+N8)</f>
        <v>0.45901639344262291</v>
      </c>
      <c r="S9" t="s">
        <v>45</v>
      </c>
      <c r="T9" s="2">
        <f>AVERAGE(1000000000,900000000,1200000000)</f>
        <v>1033333333.3333334</v>
      </c>
      <c r="V9" s="2">
        <f>T9/1000/20</f>
        <v>51666.666666666672</v>
      </c>
      <c r="W9" s="2">
        <f>V9/10</f>
        <v>5166.666666666667</v>
      </c>
      <c r="X9" s="3">
        <f>W9/(W9+W8)</f>
        <v>0.60784313725490202</v>
      </c>
    </row>
    <row r="11" spans="1:26" x14ac:dyDescent="0.3">
      <c r="A11" t="s">
        <v>12</v>
      </c>
      <c r="G11" s="5" t="s">
        <v>13</v>
      </c>
      <c r="H11" s="5"/>
      <c r="J11" t="s">
        <v>12</v>
      </c>
      <c r="P11" s="5" t="s">
        <v>13</v>
      </c>
      <c r="Q11" s="5"/>
      <c r="S11" t="s">
        <v>12</v>
      </c>
      <c r="Y11" s="5" t="s">
        <v>13</v>
      </c>
      <c r="Z11" s="5"/>
    </row>
    <row r="12" spans="1:26" ht="15.6" x14ac:dyDescent="0.3">
      <c r="A12" s="32" t="s">
        <v>14</v>
      </c>
      <c r="B12" s="33" t="s">
        <v>15</v>
      </c>
      <c r="C12" s="33" t="s">
        <v>46</v>
      </c>
      <c r="D12" s="33" t="s">
        <v>17</v>
      </c>
      <c r="E12" s="33" t="s">
        <v>47</v>
      </c>
      <c r="F12" s="33" t="s">
        <v>48</v>
      </c>
      <c r="G12" s="33" t="s">
        <v>44</v>
      </c>
      <c r="H12" s="33" t="s">
        <v>45</v>
      </c>
      <c r="I12" s="8"/>
      <c r="J12" s="32" t="s">
        <v>14</v>
      </c>
      <c r="K12" s="33" t="s">
        <v>15</v>
      </c>
      <c r="L12" s="33" t="s">
        <v>46</v>
      </c>
      <c r="M12" s="33" t="s">
        <v>17</v>
      </c>
      <c r="N12" s="33" t="s">
        <v>47</v>
      </c>
      <c r="O12" s="33" t="s">
        <v>48</v>
      </c>
      <c r="P12" s="33" t="s">
        <v>44</v>
      </c>
      <c r="Q12" s="33" t="s">
        <v>45</v>
      </c>
      <c r="S12" s="32" t="s">
        <v>14</v>
      </c>
      <c r="T12" s="33" t="s">
        <v>15</v>
      </c>
      <c r="U12" s="33" t="s">
        <v>46</v>
      </c>
      <c r="V12" s="33" t="s">
        <v>17</v>
      </c>
      <c r="W12" s="33" t="s">
        <v>47</v>
      </c>
      <c r="X12" s="33" t="s">
        <v>48</v>
      </c>
      <c r="Y12" s="33" t="s">
        <v>44</v>
      </c>
      <c r="Z12" s="33" t="s">
        <v>45</v>
      </c>
    </row>
    <row r="13" spans="1:26" x14ac:dyDescent="0.3">
      <c r="A13" s="9" t="s">
        <v>20</v>
      </c>
      <c r="B13" s="10">
        <f>AVERAGE(500000000,200000000,400000000)</f>
        <v>366666666.66666669</v>
      </c>
      <c r="C13" s="10">
        <f>AVERAGE(200000000,300000000,500000000,140000000,170000000,230000000)</f>
        <v>256666666.66666666</v>
      </c>
      <c r="D13" s="10">
        <f>AVERAGE(100000000,200000000,200000000,200000000,210000000)</f>
        <v>182000000</v>
      </c>
      <c r="E13" s="14">
        <f>C13/(D13+C13)</f>
        <v>0.58510638297872342</v>
      </c>
      <c r="F13" s="11">
        <f>D13/(D13+C13)</f>
        <v>0.41489361702127664</v>
      </c>
      <c r="G13" s="12">
        <f>LOG10(C13/E8)/LOG(2)</f>
        <v>15.554498920244351</v>
      </c>
      <c r="H13" s="12">
        <f>LOG10(D13/E9)/LOG(2)</f>
        <v>15.058541425581939</v>
      </c>
      <c r="I13" s="13"/>
      <c r="J13" s="9" t="s">
        <v>20</v>
      </c>
      <c r="K13" s="10">
        <f>AVERAGE(800000000,400000000,200000000)</f>
        <v>466666666.66666669</v>
      </c>
      <c r="L13" s="10">
        <f>AVERAGE(100000000,200000000,300000000,150000000,240000000,180000000)</f>
        <v>195000000</v>
      </c>
      <c r="M13" s="10">
        <f>AVERAGE(100000000,200000000,300000000,210000000,240000000,220000000)</f>
        <v>211666666.66666666</v>
      </c>
      <c r="N13" s="11">
        <f>L13/(M13+L13)</f>
        <v>0.47950819672131151</v>
      </c>
      <c r="O13" s="11">
        <f>M13/(M13+L13)</f>
        <v>0.5204918032786886</v>
      </c>
      <c r="P13" s="12">
        <f>LOG10(L13/N8)/LOG(2)</f>
        <v>15.113682979774401</v>
      </c>
      <c r="Q13" s="12">
        <f>LOG10(M13/N9)/LOG(2)</f>
        <v>15.469042144264012</v>
      </c>
      <c r="S13" s="9" t="s">
        <v>20</v>
      </c>
      <c r="T13" s="10">
        <f>AVERAGE(700000000,700000000,600000000)</f>
        <v>666666666.66666663</v>
      </c>
      <c r="U13" s="10">
        <f>AVERAGE(200000000,500000000,700000000,220000000,240000000)</f>
        <v>372000000</v>
      </c>
      <c r="V13" s="10">
        <f>AVERAGE(300000000,800000000,1000000000)</f>
        <v>700000000</v>
      </c>
      <c r="W13" s="11">
        <f>U13/(V13+U13)</f>
        <v>0.34701492537313433</v>
      </c>
      <c r="X13" s="11">
        <f>V13/(V13+U13)</f>
        <v>0.65298507462686572</v>
      </c>
      <c r="Y13" s="12">
        <f>LOG10(U13/W8)/LOG(2)</f>
        <v>16.767977501603912</v>
      </c>
      <c r="Z13" s="12">
        <f>LOG10(V13/W9)/LOG(2)</f>
        <v>17.047761586828695</v>
      </c>
    </row>
    <row r="14" spans="1:26" x14ac:dyDescent="0.3">
      <c r="A14" s="9" t="s">
        <v>49</v>
      </c>
      <c r="B14" s="10">
        <f>AVERAGE(700000000,400000000,500000000)</f>
        <v>533333333.33333331</v>
      </c>
      <c r="C14" s="10">
        <f>AVERAGE(300000000,500000000,220000000,300000000,200000000)</f>
        <v>304000000</v>
      </c>
      <c r="D14" s="10">
        <f>AVERAGE(200000000,300000000,300000000,200000000,240000000,270000000)</f>
        <v>251666666.66666666</v>
      </c>
      <c r="E14" s="11">
        <f t="shared" ref="E14:E20" si="0">C14/(D14+C14)</f>
        <v>0.54709058188362336</v>
      </c>
      <c r="F14" s="11">
        <f t="shared" ref="F14:F20" si="1">D14/(D14+C14)</f>
        <v>0.45290941811637675</v>
      </c>
      <c r="G14" s="14">
        <f>LOG10(C14/E8)/LOG(2)</f>
        <v>15.798674298826828</v>
      </c>
      <c r="H14" s="12">
        <f>LOG10(D14/E9)/LOG(2)</f>
        <v>15.526117118874527</v>
      </c>
      <c r="I14" s="13"/>
      <c r="J14" s="9" t="s">
        <v>49</v>
      </c>
      <c r="K14" s="10">
        <f>AVERAGE(500000000,300000000,700000000)</f>
        <v>500000000</v>
      </c>
      <c r="L14" s="10">
        <f>AVERAGE(300000000,200000000,300000000,110000000,150000000,140000000)</f>
        <v>200000000</v>
      </c>
      <c r="M14" s="10">
        <f>AVERAGE(100000000,200000000,400000000,200000000,250000000,270000000)</f>
        <v>236666666.66666666</v>
      </c>
      <c r="N14" s="11">
        <f t="shared" ref="N14:N20" si="2">L14/(M14+L14)</f>
        <v>0.45801526717557256</v>
      </c>
      <c r="O14" s="11">
        <f t="shared" ref="O14:O20" si="3">M14/(M14+L14)</f>
        <v>0.5419847328244275</v>
      </c>
      <c r="P14" s="14">
        <f>LOG10(L14/N8)/LOG(2)</f>
        <v>15.150208855799514</v>
      </c>
      <c r="Q14" s="12">
        <f>LOG10(M14/N9)/LOG(2)</f>
        <v>15.630104576996528</v>
      </c>
      <c r="S14" s="9" t="s">
        <v>49</v>
      </c>
      <c r="T14" s="10">
        <f>AVERAGE(900000000,400000000,700000000)</f>
        <v>666666666.66666663</v>
      </c>
      <c r="U14" s="10">
        <f>AVERAGE(100000000,500000000,500000000,160000000,200000000,210000000)</f>
        <v>278333333.33333331</v>
      </c>
      <c r="V14" s="10">
        <f>AVERAGE(300000000,600000000,600000000)</f>
        <v>500000000</v>
      </c>
      <c r="W14" s="11">
        <f t="shared" ref="W14:W20" si="4">U14/(V14+U14)</f>
        <v>0.35760171306209854</v>
      </c>
      <c r="X14" s="11">
        <f t="shared" ref="X14:X20" si="5">V14/(V14+U14)</f>
        <v>0.64239828693790157</v>
      </c>
      <c r="Y14" s="14">
        <f>LOG10(U14/W8)/LOG(2)</f>
        <v>16.349488577136139</v>
      </c>
      <c r="Z14" s="12">
        <f>LOG10(V14/W9)/LOG(2)</f>
        <v>16.562334759658455</v>
      </c>
    </row>
    <row r="15" spans="1:26" x14ac:dyDescent="0.3">
      <c r="A15" s="9" t="s">
        <v>50</v>
      </c>
      <c r="B15" s="10">
        <f>AVERAGE(300000000,500000000,100000000)</f>
        <v>300000000</v>
      </c>
      <c r="C15" s="10">
        <f>AVERAGE(100000000,100000000,120000000,200000000,170000000)</f>
        <v>138000000</v>
      </c>
      <c r="D15" s="10">
        <f>AVERAGE(100000000,200000000,300000000,90000000,110000000,80000000)</f>
        <v>146666666.66666666</v>
      </c>
      <c r="E15" s="11">
        <f t="shared" si="0"/>
        <v>0.4847775175644029</v>
      </c>
      <c r="F15" s="11">
        <f t="shared" si="1"/>
        <v>0.51522248243559721</v>
      </c>
      <c r="G15" s="12">
        <f>LOG10(C15/E8)/LOG(2)</f>
        <v>14.659271242161413</v>
      </c>
      <c r="H15" s="12">
        <f>LOG10(D15/E9)/LOG(2)</f>
        <v>14.747143998186747</v>
      </c>
      <c r="I15" s="13"/>
      <c r="J15" s="9" t="s">
        <v>50</v>
      </c>
      <c r="K15" s="10">
        <f>AVERAGE(500000000,200000000,900000000)</f>
        <v>533333333.33333331</v>
      </c>
      <c r="L15" s="10">
        <f>AVERAGE(300000000,100000000,190000000,140000000,260000000)</f>
        <v>198000000</v>
      </c>
      <c r="M15" s="10">
        <f>AVERAGE(300000000,200000000,600000000,260000000,220000000,290000000)</f>
        <v>311666666.66666669</v>
      </c>
      <c r="N15" s="11">
        <f t="shared" si="2"/>
        <v>0.3884892086330935</v>
      </c>
      <c r="O15" s="11">
        <f t="shared" si="3"/>
        <v>0.61151079136690645</v>
      </c>
      <c r="P15" s="12">
        <f>LOG10(L15/N8)/LOG(2)</f>
        <v>15.135709286104397</v>
      </c>
      <c r="Q15" s="12">
        <f>LOG10(M15/N9)/LOG(2)</f>
        <v>16.027251917379484</v>
      </c>
      <c r="S15" s="9" t="s">
        <v>50</v>
      </c>
      <c r="T15" s="10">
        <f>AVERAGE(900000000,800000000,700000000)</f>
        <v>800000000</v>
      </c>
      <c r="U15" s="10">
        <f>AVERAGE(200000000,200000000,100000000,180000000,240000000,200000000)</f>
        <v>186666666.66666666</v>
      </c>
      <c r="V15" s="10">
        <f>AVERAGE(400000000,400000000,600000000)</f>
        <v>466666666.66666669</v>
      </c>
      <c r="W15" s="11">
        <f t="shared" si="4"/>
        <v>0.2857142857142857</v>
      </c>
      <c r="X15" s="11">
        <f t="shared" si="5"/>
        <v>0.7142857142857143</v>
      </c>
      <c r="Y15" s="12">
        <f>LOG10(U15/W8)/LOG(2)</f>
        <v>15.773139206719692</v>
      </c>
      <c r="Z15" s="12">
        <f>LOG10(V15/W9)/LOG(2)</f>
        <v>16.462799086107541</v>
      </c>
    </row>
    <row r="16" spans="1:26" x14ac:dyDescent="0.3">
      <c r="A16" s="9" t="s">
        <v>51</v>
      </c>
      <c r="B16" s="10">
        <f>AVERAGE(300000000,300000000,300000000)</f>
        <v>300000000</v>
      </c>
      <c r="C16" s="10">
        <f>AVERAGE(100000000,400000000,600000000)</f>
        <v>366666666.66666669</v>
      </c>
      <c r="D16" s="10">
        <f>AVERAGE(100000000,20000000,20000000,27000000,32000000,31000000)</f>
        <v>38333333.333333336</v>
      </c>
      <c r="E16" s="11">
        <f t="shared" si="0"/>
        <v>0.90534979423868323</v>
      </c>
      <c r="F16" s="11">
        <f t="shared" si="1"/>
        <v>9.4650205761316872E-2</v>
      </c>
      <c r="G16" s="12">
        <f>LOG10(C16/E8)/LOG(2)</f>
        <v>16.069072093074109</v>
      </c>
      <c r="H16" s="12">
        <f>LOG10(D16/E9)/LOG(2)</f>
        <v>12.811274335606463</v>
      </c>
      <c r="I16" s="13"/>
      <c r="J16" s="9" t="s">
        <v>51</v>
      </c>
      <c r="K16" s="10">
        <f>AVERAGE(300000000,300000000,400000000)</f>
        <v>333333333.33333331</v>
      </c>
      <c r="L16" s="10">
        <f>AVERAGE(300000000,200000000,200000000,110000000,120000000,120000000)</f>
        <v>175000000</v>
      </c>
      <c r="M16" s="10">
        <f>AVERAGE(100000000,30000000,30000000,90000000)</f>
        <v>62500000</v>
      </c>
      <c r="N16" s="11">
        <f t="shared" si="2"/>
        <v>0.73684210526315785</v>
      </c>
      <c r="O16" s="11">
        <f t="shared" si="3"/>
        <v>0.26315789473684209</v>
      </c>
      <c r="P16" s="12">
        <f>LOG10(L16/N8)/LOG(2)</f>
        <v>14.957563777857118</v>
      </c>
      <c r="Q16" s="12">
        <f>LOG10(M16/N9)/LOG(2)</f>
        <v>13.709176147987725</v>
      </c>
      <c r="S16" s="9" t="s">
        <v>51</v>
      </c>
      <c r="T16" s="10">
        <f>AVERAGE(300000000,400000000,300000000,320000000,260000000,270000000)</f>
        <v>308333333.33333331</v>
      </c>
      <c r="U16" s="10">
        <f>AVERAGE(100000000,200000000,200000000,140000000,120000000,160000000)</f>
        <v>153333333.33333334</v>
      </c>
      <c r="V16" s="10">
        <f>AVERAGE(300000000,300000000,200000000,170000000,150000000,140000000)</f>
        <v>210000000</v>
      </c>
      <c r="W16" s="11">
        <f t="shared" si="4"/>
        <v>0.42201834862385318</v>
      </c>
      <c r="X16" s="11">
        <f t="shared" si="5"/>
        <v>0.57798165137614677</v>
      </c>
      <c r="Y16" s="12">
        <f>LOG10(U16/W8)/LOG(2)</f>
        <v>15.489346240719101</v>
      </c>
      <c r="Z16" s="12">
        <f>LOG10(V16/W9)/LOG(2)</f>
        <v>15.310795992662491</v>
      </c>
    </row>
    <row r="17" spans="1:30" x14ac:dyDescent="0.3">
      <c r="A17" s="9" t="s">
        <v>52</v>
      </c>
      <c r="B17" s="10">
        <f>AVERAGE(500000000,500000000,1000000000)</f>
        <v>666666666.66666663</v>
      </c>
      <c r="C17" s="10">
        <f>AVERAGE(200000000,300000000,500000000,170000000,220000000,220000000)</f>
        <v>268333333.33333334</v>
      </c>
      <c r="D17" s="10">
        <f>AVERAGE(400000000,200000000,200000000,140000000,180000000,220000000)</f>
        <v>223333333.33333334</v>
      </c>
      <c r="E17" s="11">
        <f t="shared" si="0"/>
        <v>0.54576271186440672</v>
      </c>
      <c r="F17" s="11">
        <f t="shared" si="1"/>
        <v>0.45423728813559322</v>
      </c>
      <c r="G17" s="12">
        <f>LOG10(C17/E8)/LOG(2)</f>
        <v>15.618629257664066</v>
      </c>
      <c r="H17" s="12">
        <f>LOG10(D17/E9)/LOG(2)</f>
        <v>15.353801570007223</v>
      </c>
      <c r="I17" s="13"/>
      <c r="J17" s="9" t="s">
        <v>52</v>
      </c>
      <c r="K17" s="10">
        <f>AVERAGE(600000000,500000000,500000000)</f>
        <v>533333333.33333331</v>
      </c>
      <c r="L17" s="10">
        <f>AVERAGE(100000000,300000000,300000000)</f>
        <v>233333333.33333334</v>
      </c>
      <c r="M17" s="10">
        <f>AVERAGE(500000000,500000000,700000000,220000000,280000000)</f>
        <v>440000000</v>
      </c>
      <c r="N17" s="11">
        <f t="shared" si="2"/>
        <v>0.34653465346534651</v>
      </c>
      <c r="O17" s="11">
        <f t="shared" si="3"/>
        <v>0.65346534653465338</v>
      </c>
      <c r="P17" s="12">
        <f>LOG10(L17/N8)/LOG(2)</f>
        <v>15.372601277135962</v>
      </c>
      <c r="Q17" s="12">
        <f>LOG10(M17/N9)/LOG(2)</f>
        <v>16.524751576850296</v>
      </c>
      <c r="S17" s="9" t="s">
        <v>52</v>
      </c>
      <c r="T17" s="10">
        <f>AVERAGE(900000000,600000000,1000000000)</f>
        <v>833333333.33333337</v>
      </c>
      <c r="U17" s="10">
        <f>AVERAGE(200000000,100000000,400000000,150000000,220000000,150000000)</f>
        <v>203333333.33333334</v>
      </c>
      <c r="V17" s="10">
        <f>AVERAGE(400000000,500000000,200000000)</f>
        <v>366666666.66666669</v>
      </c>
      <c r="W17" s="11">
        <f t="shared" si="4"/>
        <v>0.35672514619883045</v>
      </c>
      <c r="X17" s="11">
        <f t="shared" si="5"/>
        <v>0.64327485380116967</v>
      </c>
      <c r="Y17" s="12">
        <f>LOG10(U17/W8)/LOG(2)</f>
        <v>15.896521622224974</v>
      </c>
      <c r="Z17" s="12">
        <f>LOG10(V17/W9)/LOG(2)</f>
        <v>16.114875782687232</v>
      </c>
    </row>
    <row r="18" spans="1:30" x14ac:dyDescent="0.3">
      <c r="A18" s="9" t="s">
        <v>53</v>
      </c>
      <c r="B18" s="10">
        <f>AVERAGE(700000000,600000000,900000000)</f>
        <v>733333333.33333337</v>
      </c>
      <c r="C18" s="10">
        <f>AVERAGE(700000000,500000000,300000000)</f>
        <v>500000000</v>
      </c>
      <c r="D18" s="10">
        <f>AVERAGE(300000000,300000000,500000000,310000000,320000000,320000000)</f>
        <v>341666666.66666669</v>
      </c>
      <c r="E18" s="11">
        <f t="shared" si="0"/>
        <v>0.59405940594059403</v>
      </c>
      <c r="F18" s="11">
        <f t="shared" si="1"/>
        <v>0.40594059405940591</v>
      </c>
      <c r="G18" s="12">
        <f>LOG10(C18/E8)/LOG(2)</f>
        <v>16.516531070045328</v>
      </c>
      <c r="H18" s="12">
        <f>LOG10(D18/E9)/LOG(2)</f>
        <v>15.967192479054894</v>
      </c>
      <c r="I18" s="13"/>
      <c r="J18" s="9" t="s">
        <v>53</v>
      </c>
      <c r="K18" s="10">
        <f>AVERAGE(200000000,200000000,600000000)</f>
        <v>333333333.33333331</v>
      </c>
      <c r="L18" s="10">
        <f>AVERAGE(200000000,300000000,190000000,150000000,170000000)</f>
        <v>202000000</v>
      </c>
      <c r="M18" s="10">
        <f>AVERAGE(300000000,400000000,900000000,200000000,220000000,300000000)</f>
        <v>386666666.66666669</v>
      </c>
      <c r="N18" s="11">
        <f t="shared" si="2"/>
        <v>0.34314835787089465</v>
      </c>
      <c r="O18" s="11">
        <f t="shared" si="3"/>
        <v>0.6568516421291053</v>
      </c>
      <c r="P18" s="12">
        <f>LOG10(L18/N8)/LOG(2)</f>
        <v>15.164564148776586</v>
      </c>
      <c r="Q18" s="12">
        <f>LOG10(M18/N9)/LOG(2)</f>
        <v>16.338338452619418</v>
      </c>
      <c r="S18" s="9" t="s">
        <v>53</v>
      </c>
      <c r="T18" s="10">
        <f>AVERAGE(600000000,200000000,1000000000)</f>
        <v>600000000</v>
      </c>
      <c r="U18" s="10">
        <f>AVERAGE(300000000,100000000,500000000,200000000,240000000,220000000)</f>
        <v>260000000</v>
      </c>
      <c r="V18" s="10">
        <f>AVERAGE(300000000,400000000,400000000)</f>
        <v>366666666.66666669</v>
      </c>
      <c r="W18" s="11">
        <f t="shared" si="4"/>
        <v>0.41489361702127653</v>
      </c>
      <c r="X18" s="11">
        <f t="shared" si="5"/>
        <v>0.58510638297872342</v>
      </c>
      <c r="Y18" s="12">
        <f>LOG10(U18/W8)/LOG(2)</f>
        <v>16.251186503524337</v>
      </c>
      <c r="Z18" s="12">
        <f>LOG10(V18/W9)/LOG(2)</f>
        <v>16.114875782687232</v>
      </c>
    </row>
    <row r="19" spans="1:30" x14ac:dyDescent="0.3">
      <c r="A19" s="9" t="s">
        <v>54</v>
      </c>
      <c r="B19" s="10">
        <f>AVERAGE(400000000,400000000,400000000)</f>
        <v>400000000</v>
      </c>
      <c r="C19" s="10">
        <f>AVERAGE(400000000,300000000,400000000,170000000,240000000,300000000)</f>
        <v>301666666.66666669</v>
      </c>
      <c r="D19" s="10">
        <f>AVERAGE(100000000,100000000,60000000,30000000)</f>
        <v>72500000</v>
      </c>
      <c r="E19" s="11">
        <f t="shared" si="0"/>
        <v>0.80623608017817372</v>
      </c>
      <c r="F19" s="11">
        <f t="shared" si="1"/>
        <v>0.19376391982182628</v>
      </c>
      <c r="G19" s="12">
        <f>LOG10(C19/E8)/LOG(2)</f>
        <v>15.787558266632654</v>
      </c>
      <c r="H19" s="12">
        <f>LOG10(D19/E9)/LOG(2)</f>
        <v>13.730655875398178</v>
      </c>
      <c r="I19" s="13"/>
      <c r="J19" s="9" t="s">
        <v>54</v>
      </c>
      <c r="K19" s="10">
        <f>AVERAGE(700000000,700000000,400000000)</f>
        <v>600000000</v>
      </c>
      <c r="L19" s="10">
        <f>AVERAGE(400000000,400000000,400000000)</f>
        <v>400000000</v>
      </c>
      <c r="M19" s="10">
        <f>AVERAGE(300000000,500000000,300000000,260000000,230000000,230000000)</f>
        <v>303333333.33333331</v>
      </c>
      <c r="N19" s="11">
        <f t="shared" si="2"/>
        <v>0.56872037914691953</v>
      </c>
      <c r="O19" s="11">
        <f t="shared" si="3"/>
        <v>0.43127962085308058</v>
      </c>
      <c r="P19" s="12">
        <f>LOG10(L19/N8)/LOG(2)</f>
        <v>16.150208855799512</v>
      </c>
      <c r="Q19" s="12">
        <f>LOG10(M19/N9)/LOG(2)</f>
        <v>15.988152097690541</v>
      </c>
      <c r="S19" s="9" t="s">
        <v>54</v>
      </c>
      <c r="T19" s="10">
        <f>AVERAGE(1100000000,500000000,500000000)</f>
        <v>700000000</v>
      </c>
      <c r="U19" s="10">
        <f>AVERAGE(100000000,200000000,600000000)</f>
        <v>300000000</v>
      </c>
      <c r="V19" s="10">
        <f>AVERAGE(500000000,600000000,500000000)</f>
        <v>533333333.33333331</v>
      </c>
      <c r="W19" s="11">
        <f t="shared" si="4"/>
        <v>0.36000000000000004</v>
      </c>
      <c r="X19" s="11">
        <f t="shared" si="5"/>
        <v>0.64</v>
      </c>
      <c r="Y19" s="12">
        <f>LOG10(U19/W8)/LOG(2)</f>
        <v>16.457637380991763</v>
      </c>
      <c r="Z19" s="12">
        <f>LOG10(V19/W9)/LOG(2)</f>
        <v>16.655444164049936</v>
      </c>
    </row>
    <row r="20" spans="1:30" x14ac:dyDescent="0.3">
      <c r="A20" s="9" t="s">
        <v>55</v>
      </c>
      <c r="B20" s="10">
        <f>AVERAGE(200000000,100000000,100000000,210000000,200000000,240000000)</f>
        <v>175000000</v>
      </c>
      <c r="C20" s="10">
        <f>AVERAGE(100000000,100000000,200000000,190000000,210000000,220000000)</f>
        <v>170000000</v>
      </c>
      <c r="D20" s="10">
        <f>AVERAGE(10000000,2000000,2000000,1000000,800000,700000,800000)</f>
        <v>2471428.5714285714</v>
      </c>
      <c r="E20" s="11">
        <f t="shared" si="0"/>
        <v>0.98567050443137583</v>
      </c>
      <c r="F20" s="11">
        <f t="shared" si="1"/>
        <v>1.4329495568624203E-2</v>
      </c>
      <c r="G20" s="12">
        <f>LOG10(C20/E8)/LOG(2)</f>
        <v>14.960137721520946</v>
      </c>
      <c r="H20" s="12">
        <f>LOG10(D20/E9)/LOG(2)</f>
        <v>8.8560919960750013</v>
      </c>
      <c r="I20" s="13"/>
      <c r="J20" s="9" t="s">
        <v>55</v>
      </c>
      <c r="K20" s="10">
        <f>AVERAGE(300000000,300000000,300000000)</f>
        <v>300000000</v>
      </c>
      <c r="L20" s="10">
        <f>AVERAGE(300000000,200000000,400000000,240000000,270000000,240000000)</f>
        <v>275000000</v>
      </c>
      <c r="M20" s="10">
        <f>AVERAGE(1000000,2000000,3000000,2000000,1900000,2500000)</f>
        <v>2066666.6666666667</v>
      </c>
      <c r="N20" s="11">
        <f t="shared" si="2"/>
        <v>0.99254090471607304</v>
      </c>
      <c r="O20" s="11">
        <f t="shared" si="3"/>
        <v>7.4590952839268523E-3</v>
      </c>
      <c r="P20" s="12">
        <f>LOG10(L20/N8)/LOG(2)</f>
        <v>15.609640474436812</v>
      </c>
      <c r="Q20" s="12">
        <f>LOG10(M20/N9)/LOG(2)</f>
        <v>8.7906975781039947</v>
      </c>
      <c r="S20" s="9" t="s">
        <v>55</v>
      </c>
      <c r="T20" s="10">
        <f>AVERAGE(300000000,200000000,100000000,220000000,270000000,180000000)</f>
        <v>211666666.66666666</v>
      </c>
      <c r="U20" s="10">
        <f>AVERAGE(200000000,300000000,300000000,200000000,210000000,170000000)</f>
        <v>230000000</v>
      </c>
      <c r="V20" s="10">
        <f>AVERAGE(800000,1100000,900000,1000000,1000000)</f>
        <v>960000</v>
      </c>
      <c r="W20" s="11">
        <f t="shared" si="4"/>
        <v>0.99584343609282988</v>
      </c>
      <c r="X20" s="11">
        <f t="shared" si="5"/>
        <v>4.1565639071700728E-3</v>
      </c>
      <c r="Y20" s="12">
        <f>LOG10(U20/W8)/LOG(2)</f>
        <v>16.074308741440259</v>
      </c>
      <c r="Z20" s="12">
        <f>LOG10(V20/W9)/LOG(2)</f>
        <v>7.537656785942799</v>
      </c>
    </row>
    <row r="21" spans="1:30" x14ac:dyDescent="0.3">
      <c r="F21" s="15"/>
      <c r="O21" s="15"/>
      <c r="X21" s="15"/>
    </row>
    <row r="22" spans="1:30" x14ac:dyDescent="0.3">
      <c r="A22" t="s">
        <v>28</v>
      </c>
      <c r="G22" s="5" t="s">
        <v>13</v>
      </c>
      <c r="H22" s="5"/>
      <c r="J22" t="s">
        <v>28</v>
      </c>
      <c r="P22" s="5" t="s">
        <v>13</v>
      </c>
      <c r="Q22" s="5"/>
      <c r="S22" t="s">
        <v>28</v>
      </c>
      <c r="Y22" s="5" t="s">
        <v>13</v>
      </c>
      <c r="Z22" s="5"/>
    </row>
    <row r="23" spans="1:30" ht="15.6" x14ac:dyDescent="0.3">
      <c r="A23" s="32" t="s">
        <v>14</v>
      </c>
      <c r="B23" s="33" t="s">
        <v>15</v>
      </c>
      <c r="C23" s="33" t="s">
        <v>46</v>
      </c>
      <c r="D23" s="33" t="s">
        <v>17</v>
      </c>
      <c r="E23" s="33" t="s">
        <v>47</v>
      </c>
      <c r="F23" s="33" t="s">
        <v>48</v>
      </c>
      <c r="G23" s="33" t="s">
        <v>44</v>
      </c>
      <c r="H23" s="33" t="s">
        <v>45</v>
      </c>
      <c r="J23" s="32" t="s">
        <v>14</v>
      </c>
      <c r="K23" s="33" t="s">
        <v>15</v>
      </c>
      <c r="L23" s="33" t="s">
        <v>46</v>
      </c>
      <c r="M23" s="33" t="s">
        <v>17</v>
      </c>
      <c r="N23" s="33" t="s">
        <v>47</v>
      </c>
      <c r="O23" s="33" t="s">
        <v>48</v>
      </c>
      <c r="P23" s="33" t="s">
        <v>44</v>
      </c>
      <c r="Q23" s="33" t="s">
        <v>45</v>
      </c>
      <c r="S23" s="32" t="s">
        <v>14</v>
      </c>
      <c r="T23" s="33" t="s">
        <v>15</v>
      </c>
      <c r="U23" s="33" t="s">
        <v>46</v>
      </c>
      <c r="V23" s="33" t="s">
        <v>17</v>
      </c>
      <c r="W23" s="33" t="s">
        <v>47</v>
      </c>
      <c r="X23" s="33" t="s">
        <v>48</v>
      </c>
      <c r="Y23" s="33" t="s">
        <v>44</v>
      </c>
      <c r="Z23" s="33" t="s">
        <v>45</v>
      </c>
    </row>
    <row r="24" spans="1:30" x14ac:dyDescent="0.3">
      <c r="A24" s="9" t="s">
        <v>20</v>
      </c>
      <c r="B24" s="10">
        <f>AVERAGE(500000000,300000000,600000000)</f>
        <v>466666666.66666669</v>
      </c>
      <c r="C24" s="10">
        <f>AVERAGE(200000000,100000000,400000000,210000000,260000000,240000000)</f>
        <v>235000000</v>
      </c>
      <c r="D24" s="10">
        <f>AVERAGE(300000000,300000000,300000000,200000000,220000000,130000000)</f>
        <v>241666666.66666666</v>
      </c>
      <c r="E24" s="11">
        <f>C24/(D24+C24)</f>
        <v>0.49300699300699302</v>
      </c>
      <c r="F24" s="11">
        <f>D24/(D24+C24)</f>
        <v>0.50699300699300698</v>
      </c>
      <c r="G24" s="12">
        <f t="shared" ref="G24:H31" si="6">LOG10(C24/(C13/1000))/LOG10(2)</f>
        <v>9.8385490963659805</v>
      </c>
      <c r="H24" s="12">
        <f t="shared" si="6"/>
        <v>10.374864328644531</v>
      </c>
      <c r="J24" s="9" t="s">
        <v>20</v>
      </c>
      <c r="K24" s="10">
        <f>AVERAGE(700000000,600000000,700000000)</f>
        <v>666666666.66666663</v>
      </c>
      <c r="L24" s="10">
        <f>AVERAGE(100000000,200000000,300000000,190000000,140000000,230000000)</f>
        <v>193333333.33333334</v>
      </c>
      <c r="M24" s="10">
        <f>AVERAGE(200000000,400000000,800000000,240000000,270000000,300000000)</f>
        <v>368333333.33333331</v>
      </c>
      <c r="N24" s="11">
        <f>L24/(M24+L24)</f>
        <v>0.34421364985163211</v>
      </c>
      <c r="O24" s="11">
        <f>M24/(M24+L24)</f>
        <v>0.65578635014836795</v>
      </c>
      <c r="P24" s="12">
        <f t="shared" ref="P24:Q31" si="7">LOG10(L24/(L13/1000))/LOG10(2)</f>
        <v>9.953400560206255</v>
      </c>
      <c r="Q24" s="12">
        <f t="shared" si="7"/>
        <v>10.765002157281353</v>
      </c>
      <c r="S24" s="9" t="s">
        <v>20</v>
      </c>
      <c r="T24" s="10">
        <f>AVERAGE(500000000,600000000,500000000)</f>
        <v>533333333.33333331</v>
      </c>
      <c r="U24" s="10">
        <f>AVERAGE(200000000,300000000,500000000,220000000,200000000,190000000)</f>
        <v>268333333.33333334</v>
      </c>
      <c r="V24" s="10">
        <f>AVERAGE(500000000,400000000,100000000)</f>
        <v>333333333.33333331</v>
      </c>
      <c r="W24" s="11">
        <f>U24/(V24+U24)</f>
        <v>0.44598337950138511</v>
      </c>
      <c r="X24" s="11">
        <f>V24/(V24+U24)</f>
        <v>0.554016620498615</v>
      </c>
      <c r="Y24" s="12">
        <f t="shared" ref="Y24:Z31" si="8">LOG10(U24/(U13/1000))/LOG10(2)</f>
        <v>9.4945079458348776</v>
      </c>
      <c r="Z24" s="12">
        <f t="shared" si="8"/>
        <v>8.8953949567706889</v>
      </c>
      <c r="AB24" s="16"/>
      <c r="AC24" s="16"/>
      <c r="AD24" s="16"/>
    </row>
    <row r="25" spans="1:30" x14ac:dyDescent="0.3">
      <c r="A25" s="9" t="s">
        <v>49</v>
      </c>
      <c r="B25" s="10">
        <f>AVERAGE(900000000,600000000,100000000)</f>
        <v>533333333.33333331</v>
      </c>
      <c r="C25" s="10">
        <f>AVERAGE(200000000,700000000,700000000)</f>
        <v>533333333.33333331</v>
      </c>
      <c r="D25" s="10">
        <f>AVERAGE(200000000,300000000,400000000,140000000,180000000,170000000)</f>
        <v>231666666.66666666</v>
      </c>
      <c r="E25" s="11">
        <f>C25/(D25+C25)</f>
        <v>0.69716775599128533</v>
      </c>
      <c r="F25" s="11">
        <f>D25/(D25+C25)</f>
        <v>0.30283224400871456</v>
      </c>
      <c r="G25" s="12">
        <f t="shared" si="6"/>
        <v>10.776750460272069</v>
      </c>
      <c r="H25" s="12">
        <f t="shared" si="6"/>
        <v>9.8463206180605152</v>
      </c>
      <c r="J25" s="9" t="s">
        <v>49</v>
      </c>
      <c r="K25" s="10">
        <f>AVERAGE(900000000,500000000,400000000)</f>
        <v>600000000</v>
      </c>
      <c r="L25" s="10">
        <f>AVERAGE(100000000,300000000,300000000,170000000,200000000,160000000)</f>
        <v>205000000</v>
      </c>
      <c r="M25" s="10">
        <f>AVERAGE(400000000,200000000,100000000,220000000,220000000,250000000)</f>
        <v>231666666.66666666</v>
      </c>
      <c r="N25" s="11">
        <f>L25/(M25+L25)</f>
        <v>0.46946564885496189</v>
      </c>
      <c r="O25" s="11">
        <f>M25/(M25+L25)</f>
        <v>0.53053435114503822</v>
      </c>
      <c r="P25" s="12">
        <f t="shared" si="7"/>
        <v>10.001408194392807</v>
      </c>
      <c r="Q25" s="12">
        <f t="shared" si="7"/>
        <v>9.9349782378809124</v>
      </c>
      <c r="S25" s="9" t="s">
        <v>49</v>
      </c>
      <c r="T25" s="10">
        <f>AVERAGE(500000000,600000000,700000000)</f>
        <v>600000000</v>
      </c>
      <c r="U25" s="10">
        <f>AVERAGE(100000000,300000000,500000000,140000000,150000000,180000000)</f>
        <v>228333333.33333334</v>
      </c>
      <c r="V25" s="10">
        <f>AVERAGE(100000000,100000000,400000000,340000000,320000000,310000000)</f>
        <v>261666666.66666666</v>
      </c>
      <c r="W25" s="11">
        <f>U25/(V25+U25)</f>
        <v>0.46598639455782315</v>
      </c>
      <c r="X25" s="11">
        <f>V25/(V25+U25)</f>
        <v>0.5340136054421768</v>
      </c>
      <c r="Y25" s="12">
        <f t="shared" si="8"/>
        <v>9.6801120751485605</v>
      </c>
      <c r="Z25" s="12">
        <f t="shared" si="8"/>
        <v>9.0315863430578336</v>
      </c>
      <c r="AB25" s="16"/>
      <c r="AC25" s="16"/>
      <c r="AD25" s="16"/>
    </row>
    <row r="26" spans="1:30" x14ac:dyDescent="0.3">
      <c r="A26" s="9" t="s">
        <v>50</v>
      </c>
      <c r="B26" s="10">
        <f>AVERAGE(600000000,500000000,400000000)</f>
        <v>500000000</v>
      </c>
      <c r="C26" s="10">
        <f>AVERAGE(500000000,400000000,400000000)</f>
        <v>433333333.33333331</v>
      </c>
      <c r="D26" s="10">
        <f>AVERAGE(200000000,200000000,100000000,130000000,150000000,180000000)</f>
        <v>160000000</v>
      </c>
      <c r="E26" s="11">
        <f t="shared" ref="E26:E29" si="9">C26/(D26+C26)</f>
        <v>0.73033707865168551</v>
      </c>
      <c r="F26" s="11">
        <f t="shared" ref="F26:F28" si="10">D26/(D26+C26)</f>
        <v>0.26966292134831465</v>
      </c>
      <c r="G26" s="12">
        <f t="shared" si="6"/>
        <v>11.616593235078579</v>
      </c>
      <c r="H26" s="12">
        <f t="shared" si="6"/>
        <v>10.091315166745945</v>
      </c>
      <c r="J26" s="9" t="s">
        <v>50</v>
      </c>
      <c r="K26" s="10">
        <f>AVERAGE(300000000,400000000,200000000)</f>
        <v>300000000</v>
      </c>
      <c r="L26" s="10">
        <f>AVERAGE(200000000,200000000,200000000,170000000,160000000,180000000)</f>
        <v>185000000</v>
      </c>
      <c r="M26" s="10">
        <f>AVERAGE(200000000,200000000,300000000,200000000,100000000,160000000)</f>
        <v>193333333.33333334</v>
      </c>
      <c r="N26" s="11">
        <f t="shared" ref="N26:N29" si="11">L26/(M26+L26)</f>
        <v>0.48898678414096913</v>
      </c>
      <c r="O26" s="11">
        <f t="shared" ref="O26:O28" si="12">M26/(M26+L26)</f>
        <v>0.51101321585903081</v>
      </c>
      <c r="P26" s="12">
        <f t="shared" si="7"/>
        <v>9.8678091250987894</v>
      </c>
      <c r="Q26" s="12">
        <f t="shared" si="7"/>
        <v>9.2768708199020224</v>
      </c>
      <c r="S26" s="9" t="s">
        <v>50</v>
      </c>
      <c r="T26" s="10">
        <f>AVERAGE(700000000,500000000,800000000)</f>
        <v>666666666.66666663</v>
      </c>
      <c r="U26" s="10">
        <f>AVERAGE(900000000,700000000,600000000)</f>
        <v>733333333.33333337</v>
      </c>
      <c r="V26" s="10">
        <f>AVERAGE(400000000,300000000,500000000)</f>
        <v>400000000</v>
      </c>
      <c r="W26" s="11">
        <f t="shared" ref="W26:W29" si="13">U26/(V26+U26)</f>
        <v>0.64705882352941169</v>
      </c>
      <c r="X26" s="11">
        <f t="shared" ref="X26:X28" si="14">V26/(V26+U26)</f>
        <v>0.3529411764705882</v>
      </c>
      <c r="Y26" s="12">
        <f t="shared" si="8"/>
        <v>11.939789076129143</v>
      </c>
      <c r="Z26" s="12">
        <f t="shared" si="8"/>
        <v>9.7433918633256393</v>
      </c>
      <c r="AB26" s="16"/>
      <c r="AC26" s="16"/>
      <c r="AD26" s="16"/>
    </row>
    <row r="27" spans="1:30" x14ac:dyDescent="0.3">
      <c r="A27" s="9" t="s">
        <v>51</v>
      </c>
      <c r="B27" s="10">
        <f>AVERAGE(300000000,400000000,400000000)</f>
        <v>366666666.66666669</v>
      </c>
      <c r="C27" s="10">
        <f>AVERAGE(100000000,300000000,240000000,160000000,400000000,270000000)</f>
        <v>245000000</v>
      </c>
      <c r="D27" s="10">
        <f>AVERAGE(10000000,10000000,12000000,11000000,11000000)</f>
        <v>10800000</v>
      </c>
      <c r="E27" s="11">
        <f t="shared" si="9"/>
        <v>0.95777951524628613</v>
      </c>
      <c r="F27" s="11">
        <f t="shared" si="10"/>
        <v>4.2220484753713837E-2</v>
      </c>
      <c r="G27" s="12">
        <f t="shared" si="6"/>
        <v>9.3840969159737924</v>
      </c>
      <c r="H27" s="12">
        <f t="shared" si="6"/>
        <v>8.1382161417149739</v>
      </c>
      <c r="J27" s="9" t="s">
        <v>51</v>
      </c>
      <c r="K27" s="10">
        <f>AVERAGE(100000000,100000000,300000000,120000000,150000000,190000000)</f>
        <v>160000000</v>
      </c>
      <c r="L27" s="10">
        <f>AVERAGE(300000000,200000000,200000000,220000000,140000000,160000000)</f>
        <v>203333333.33333334</v>
      </c>
      <c r="M27" s="10">
        <f>AVERAGE(200000000,100000000,500000000,30000000,50000000)</f>
        <v>176000000</v>
      </c>
      <c r="N27" s="11">
        <f t="shared" si="11"/>
        <v>0.53602811950790863</v>
      </c>
      <c r="O27" s="11">
        <f t="shared" si="12"/>
        <v>0.46397188049209132</v>
      </c>
      <c r="P27" s="12">
        <f t="shared" si="7"/>
        <v>10.18227610455885</v>
      </c>
      <c r="Q27" s="12">
        <f t="shared" si="7"/>
        <v>11.459431618637296</v>
      </c>
      <c r="S27" s="9" t="s">
        <v>51</v>
      </c>
      <c r="T27" s="10">
        <f>AVERAGE(100000000,100000000,400000000,160000000,240000000,230000000)</f>
        <v>205000000</v>
      </c>
      <c r="U27" s="10">
        <f>AVERAGE(200000000,200000000,300000000,140000000,190000000,160000000)</f>
        <v>198333333.33333334</v>
      </c>
      <c r="V27" s="10">
        <f>AVERAGE(200000000,100000000,120000000,140000000,80000000)</f>
        <v>128000000</v>
      </c>
      <c r="W27" s="11">
        <f t="shared" si="13"/>
        <v>0.60776302349336053</v>
      </c>
      <c r="X27" s="11">
        <f t="shared" si="14"/>
        <v>0.39223697650663936</v>
      </c>
      <c r="Y27" s="12">
        <f t="shared" si="8"/>
        <v>10.337040091913018</v>
      </c>
      <c r="Z27" s="12">
        <f t="shared" si="8"/>
        <v>9.2515387669959654</v>
      </c>
      <c r="AB27" s="16"/>
      <c r="AC27" s="16"/>
      <c r="AD27" s="16"/>
    </row>
    <row r="28" spans="1:30" x14ac:dyDescent="0.3">
      <c r="A28" s="9" t="s">
        <v>52</v>
      </c>
      <c r="B28" s="10">
        <f>AVERAGE(500000000,500000000,600000000)</f>
        <v>533333333.33333331</v>
      </c>
      <c r="C28" s="10">
        <f>AVERAGE(300000000,500000000,600000000,260000000,220000000,190000000)</f>
        <v>345000000</v>
      </c>
      <c r="D28" s="10">
        <f>AVERAGE(200000000,100000000,100000000,150000000,200000000,240000000)</f>
        <v>165000000</v>
      </c>
      <c r="E28" s="11">
        <f t="shared" si="9"/>
        <v>0.67647058823529416</v>
      </c>
      <c r="F28" s="11">
        <f t="shared" si="10"/>
        <v>0.3235294117647059</v>
      </c>
      <c r="G28" s="12">
        <f t="shared" si="6"/>
        <v>10.328354364046794</v>
      </c>
      <c r="H28" s="12">
        <f t="shared" si="6"/>
        <v>9.5290517142839253</v>
      </c>
      <c r="J28" s="9" t="s">
        <v>52</v>
      </c>
      <c r="K28" s="10">
        <f>AVERAGE(800000000,400000000,600000000)</f>
        <v>600000000</v>
      </c>
      <c r="L28" s="10">
        <f>AVERAGE(100000000,200000000,200000000,340000000,240000000,230000000)</f>
        <v>218333333.33333334</v>
      </c>
      <c r="M28" s="10">
        <f>AVERAGE(200000000,200000000,180000000,320000000,190000000)</f>
        <v>218000000</v>
      </c>
      <c r="N28" s="11">
        <f t="shared" si="11"/>
        <v>0.5003819709702062</v>
      </c>
      <c r="O28" s="11">
        <f t="shared" si="12"/>
        <v>0.49961802902979369</v>
      </c>
      <c r="P28" s="12">
        <f t="shared" si="7"/>
        <v>9.8699242692545717</v>
      </c>
      <c r="Q28" s="12">
        <f t="shared" si="7"/>
        <v>8.9526088959143522</v>
      </c>
      <c r="S28" s="9" t="s">
        <v>52</v>
      </c>
      <c r="T28" s="10">
        <f>AVERAGE(900000000,900000000,800000000)</f>
        <v>866666666.66666663</v>
      </c>
      <c r="U28" s="10">
        <f>AVERAGE(100000000,200000000,300000000,190000000,210000000,200000000)</f>
        <v>200000000</v>
      </c>
      <c r="V28" s="10">
        <f>AVERAGE(400000000,400000000,200000000,270000000,300000000,330000000)</f>
        <v>316666666.66666669</v>
      </c>
      <c r="W28" s="11">
        <f t="shared" si="13"/>
        <v>0.38709677419354838</v>
      </c>
      <c r="X28" s="11">
        <f t="shared" si="14"/>
        <v>0.61290322580645162</v>
      </c>
      <c r="Y28" s="12">
        <f t="shared" si="8"/>
        <v>9.9419375427077199</v>
      </c>
      <c r="Z28" s="12">
        <f t="shared" si="8"/>
        <v>9.7542801794683758</v>
      </c>
      <c r="AB28" s="16"/>
      <c r="AC28" s="16"/>
      <c r="AD28" s="16"/>
    </row>
    <row r="29" spans="1:30" x14ac:dyDescent="0.3">
      <c r="A29" s="9" t="s">
        <v>53</v>
      </c>
      <c r="B29" s="10">
        <f>AVERAGE(300000000,200000000,100000000,260000000,280000000,360000000)</f>
        <v>250000000</v>
      </c>
      <c r="C29" s="10">
        <f>AVERAGE(100000000,300000000,500000000,260000000,240000000,280000000)</f>
        <v>280000000</v>
      </c>
      <c r="D29" s="10">
        <f>AVERAGE(200000000,200000000,100000000,110000000,80000000,110000000)</f>
        <v>133333333.33333333</v>
      </c>
      <c r="E29" s="11">
        <f t="shared" si="9"/>
        <v>0.67741935483870974</v>
      </c>
      <c r="F29" s="11">
        <f>D29/(D29+C29)</f>
        <v>0.32258064516129031</v>
      </c>
      <c r="G29" s="12">
        <f t="shared" si="6"/>
        <v>9.1292830169449655</v>
      </c>
      <c r="H29" s="12">
        <f t="shared" si="6"/>
        <v>8.6082322800440032</v>
      </c>
      <c r="J29" s="9" t="s">
        <v>53</v>
      </c>
      <c r="K29" s="10">
        <f>AVERAGE(500000000,700000000,1000000000)</f>
        <v>733333333.33333337</v>
      </c>
      <c r="L29" s="10">
        <f>AVERAGE(200000000,200000000,200000000,260000000,240000000,230000000)</f>
        <v>221666666.66666666</v>
      </c>
      <c r="M29" s="10">
        <f>AVERAGE(300000000,400000000,400000000,220000000,210000000,260000000)</f>
        <v>298333333.33333331</v>
      </c>
      <c r="N29" s="11">
        <f t="shared" si="11"/>
        <v>0.42628205128205127</v>
      </c>
      <c r="O29" s="11">
        <f>M29/(M29+L29)</f>
        <v>0.57371794871794868</v>
      </c>
      <c r="P29" s="12">
        <f t="shared" si="7"/>
        <v>10.099820831577688</v>
      </c>
      <c r="Q29" s="12">
        <f t="shared" si="7"/>
        <v>9.5916190667987706</v>
      </c>
      <c r="S29" s="9" t="s">
        <v>53</v>
      </c>
      <c r="T29" s="10">
        <f>AVERAGE(600000000,500000000,600000000)</f>
        <v>566666666.66666663</v>
      </c>
      <c r="U29" s="10">
        <f>AVERAGE(200000000,300000000,500000000,270000000,280000000,210000000)</f>
        <v>293333333.33333331</v>
      </c>
      <c r="V29" s="10">
        <f>AVERAGE(200000000,200000000,200000000,270000000,200000000,230000000)</f>
        <v>216666666.66666666</v>
      </c>
      <c r="W29" s="11">
        <f t="shared" si="13"/>
        <v>0.57516339869281041</v>
      </c>
      <c r="X29" s="11">
        <f>V29/(V29+U29)</f>
        <v>0.42483660130718953</v>
      </c>
      <c r="Y29" s="12">
        <f t="shared" si="8"/>
        <v>10.139813684437136</v>
      </c>
      <c r="Z29" s="12">
        <f t="shared" si="8"/>
        <v>9.2067923841658814</v>
      </c>
      <c r="AB29" s="16"/>
      <c r="AC29" s="16"/>
      <c r="AD29" s="16"/>
    </row>
    <row r="30" spans="1:30" x14ac:dyDescent="0.3">
      <c r="A30" s="9" t="s">
        <v>54</v>
      </c>
      <c r="B30" s="10">
        <f>AVERAGE(300000000,400000000,200000000)</f>
        <v>300000000</v>
      </c>
      <c r="C30" s="10">
        <f>AVERAGE(100000000,200000000,200000000,330000000,320000000,270000000)</f>
        <v>236666666.66666666</v>
      </c>
      <c r="D30" s="10">
        <f>AVERAGE(30000000,60000000,10000000)</f>
        <v>33333333.333333332</v>
      </c>
      <c r="E30" s="11">
        <f>C30/(D30+C30)</f>
        <v>0.87654320987654322</v>
      </c>
      <c r="F30" s="11">
        <f>D30/(D30+C30)</f>
        <v>0.12345679012345678</v>
      </c>
      <c r="G30" s="12">
        <f t="shared" si="6"/>
        <v>9.6156855170835627</v>
      </c>
      <c r="H30" s="12">
        <f t="shared" si="6"/>
        <v>8.8447688837007217</v>
      </c>
      <c r="J30" s="9" t="s">
        <v>54</v>
      </c>
      <c r="K30" s="10">
        <f>AVERAGE(300000000,400000000,400000000)</f>
        <v>366666666.66666669</v>
      </c>
      <c r="L30" s="10">
        <f>AVERAGE(200000000,200000000,400000000,200000000,220000000,210000000)</f>
        <v>238333333.33333334</v>
      </c>
      <c r="M30" s="10">
        <f>AVERAGE(200000000,100000000,100000000,120000000,130000000,140000000)</f>
        <v>131666666.66666667</v>
      </c>
      <c r="N30" s="11">
        <f>L30/(M30+L30)</f>
        <v>0.64414414414414423</v>
      </c>
      <c r="O30" s="11">
        <f>M30/(M30+L30)</f>
        <v>0.35585585585585588</v>
      </c>
      <c r="P30" s="12">
        <f t="shared" si="7"/>
        <v>9.2187650258319582</v>
      </c>
      <c r="Q30" s="12">
        <f t="shared" si="7"/>
        <v>8.7617703926404946</v>
      </c>
      <c r="S30" s="9" t="s">
        <v>54</v>
      </c>
      <c r="T30" s="10">
        <f>AVERAGE(500000000,300000000,1200000000)</f>
        <v>666666666.66666663</v>
      </c>
      <c r="U30" s="10">
        <f>AVERAGE(300000000,300000000,400000000)</f>
        <v>333333333.33333331</v>
      </c>
      <c r="V30" s="10">
        <f>AVERAGE(100000000,500000000,600000000,250000000,240000000,210000000)</f>
        <v>316666666.66666669</v>
      </c>
      <c r="W30" s="11">
        <f>U30/(V30+U30)</f>
        <v>0.51282051282051277</v>
      </c>
      <c r="X30" s="11">
        <f>V30/(V30+U30)</f>
        <v>0.48717948717948723</v>
      </c>
      <c r="Y30" s="12">
        <f t="shared" si="8"/>
        <v>10.117787378107137</v>
      </c>
      <c r="Z30" s="12">
        <f t="shared" si="8"/>
        <v>9.2137117981056722</v>
      </c>
      <c r="AB30" s="16"/>
      <c r="AC30" s="16"/>
      <c r="AD30" s="16"/>
    </row>
    <row r="31" spans="1:30" x14ac:dyDescent="0.3">
      <c r="A31" s="9" t="s">
        <v>55</v>
      </c>
      <c r="B31" s="10">
        <f>AVERAGE(300000000,100000000,170000000,150000000,200000000)</f>
        <v>184000000</v>
      </c>
      <c r="C31" s="10">
        <f>AVERAGE(100000000,190000000,210000000,130000000)</f>
        <v>157500000</v>
      </c>
      <c r="D31" s="10">
        <f>AVERAGE(10000,20000,30000,12000,16000,17000)</f>
        <v>17500</v>
      </c>
      <c r="E31" s="11">
        <f>C31/(D31+C31)</f>
        <v>0.99988890123319629</v>
      </c>
      <c r="F31" s="17">
        <f>D31/(D31+C31)</f>
        <v>1.1109876680368848E-4</v>
      </c>
      <c r="G31" s="12">
        <f t="shared" si="6"/>
        <v>9.8556013669116638</v>
      </c>
      <c r="H31" s="12">
        <f t="shared" si="6"/>
        <v>2.8239378062532081</v>
      </c>
      <c r="J31" s="9" t="s">
        <v>55</v>
      </c>
      <c r="K31" s="10">
        <f>AVERAGE(400000000,300000000,600000000)</f>
        <v>433333333.33333331</v>
      </c>
      <c r="L31" s="10">
        <f>AVERAGE(400000000,500000000,800000000)</f>
        <v>566666666.66666663</v>
      </c>
      <c r="M31" s="10">
        <f>AVERAGE(300000,200000,500000,140000,170000,200000)</f>
        <v>251666.66666666666</v>
      </c>
      <c r="N31" s="11">
        <f>L31/(M31+L31)</f>
        <v>0.99955607950586656</v>
      </c>
      <c r="O31" s="17">
        <f>M31/(M31+L31)</f>
        <v>4.4392049413348781E-4</v>
      </c>
      <c r="P31" s="12">
        <f t="shared" si="7"/>
        <v>11.008853006553972</v>
      </c>
      <c r="Q31" s="12">
        <f t="shared" si="7"/>
        <v>6.9280646187129271</v>
      </c>
      <c r="S31" s="9" t="s">
        <v>55</v>
      </c>
      <c r="T31" s="10">
        <f>AVERAGE(200000000,200000000,300000000,140000000,170000000,140000000)</f>
        <v>191666666.66666666</v>
      </c>
      <c r="U31" s="10">
        <f>AVERAGE(100000000,100000000,200000000,210000000,160000000,170000000)</f>
        <v>156666666.66666666</v>
      </c>
      <c r="V31" s="10">
        <f>AVERAGE(2000000,3000000,7000000)</f>
        <v>4000000</v>
      </c>
      <c r="W31" s="11">
        <f>U31/(V31+U31)</f>
        <v>0.975103734439834</v>
      </c>
      <c r="X31" s="17">
        <f>V31/(V31+U31)</f>
        <v>2.4896265560165977E-2</v>
      </c>
      <c r="Y31" s="12">
        <f t="shared" si="8"/>
        <v>9.4118486795615564</v>
      </c>
      <c r="Z31" s="12">
        <f t="shared" si="8"/>
        <v>12.024677973715656</v>
      </c>
      <c r="AB31" s="16"/>
      <c r="AC31" s="16"/>
      <c r="AD31" s="16"/>
    </row>
    <row r="32" spans="1:30" x14ac:dyDescent="0.3">
      <c r="F32" s="15"/>
      <c r="O32" s="15"/>
      <c r="X32" s="15"/>
    </row>
    <row r="33" spans="1:26" x14ac:dyDescent="0.3">
      <c r="A33" t="s">
        <v>29</v>
      </c>
      <c r="G33" s="5" t="s">
        <v>13</v>
      </c>
      <c r="H33" s="5"/>
      <c r="J33" t="s">
        <v>29</v>
      </c>
      <c r="P33" s="5" t="s">
        <v>13</v>
      </c>
      <c r="Q33" s="5"/>
      <c r="S33" t="s">
        <v>29</v>
      </c>
      <c r="Y33" s="5" t="s">
        <v>13</v>
      </c>
      <c r="Z33" s="5"/>
    </row>
    <row r="34" spans="1:26" ht="15.6" x14ac:dyDescent="0.3">
      <c r="A34" s="32" t="s">
        <v>14</v>
      </c>
      <c r="B34" s="33" t="s">
        <v>15</v>
      </c>
      <c r="C34" s="33" t="s">
        <v>46</v>
      </c>
      <c r="D34" s="33" t="s">
        <v>17</v>
      </c>
      <c r="E34" s="33" t="s">
        <v>47</v>
      </c>
      <c r="F34" s="33" t="s">
        <v>48</v>
      </c>
      <c r="G34" s="33" t="s">
        <v>44</v>
      </c>
      <c r="H34" s="33" t="s">
        <v>45</v>
      </c>
      <c r="J34" s="32" t="s">
        <v>14</v>
      </c>
      <c r="K34" s="33" t="s">
        <v>15</v>
      </c>
      <c r="L34" s="33" t="s">
        <v>46</v>
      </c>
      <c r="M34" s="33" t="s">
        <v>17</v>
      </c>
      <c r="N34" s="33" t="s">
        <v>47</v>
      </c>
      <c r="O34" s="33" t="s">
        <v>48</v>
      </c>
      <c r="P34" s="33" t="s">
        <v>44</v>
      </c>
      <c r="Q34" s="33" t="s">
        <v>45</v>
      </c>
      <c r="S34" s="32" t="s">
        <v>14</v>
      </c>
      <c r="T34" s="33" t="s">
        <v>15</v>
      </c>
      <c r="U34" s="33" t="s">
        <v>46</v>
      </c>
      <c r="V34" s="33" t="s">
        <v>17</v>
      </c>
      <c r="W34" s="33" t="s">
        <v>47</v>
      </c>
      <c r="X34" s="33" t="s">
        <v>48</v>
      </c>
      <c r="Y34" s="33" t="s">
        <v>44</v>
      </c>
      <c r="Z34" s="33" t="s">
        <v>45</v>
      </c>
    </row>
    <row r="35" spans="1:26" x14ac:dyDescent="0.3">
      <c r="A35" s="9" t="s">
        <v>20</v>
      </c>
      <c r="B35" s="10">
        <f>AVERAGE(900000000,500000000,400000000)</f>
        <v>600000000</v>
      </c>
      <c r="C35" s="10">
        <f>AVERAGE(500000000,600000000,600000000)</f>
        <v>566666666.66666663</v>
      </c>
      <c r="D35" s="10">
        <f>AVERAGE(600000000,500000000,300000000,170000000,180000000,190000000)</f>
        <v>323333333.33333331</v>
      </c>
      <c r="E35" s="11">
        <f>C35/(D35+C35)</f>
        <v>0.63670411985018727</v>
      </c>
      <c r="F35" s="11">
        <f>D35/(D35+C35)</f>
        <v>0.36329588014981273</v>
      </c>
      <c r="G35" s="14">
        <f t="shared" ref="G35:H42" si="15">LOG10(C35/(C24/1000))/LOG10(2)</f>
        <v>11.235623868400996</v>
      </c>
      <c r="H35" s="12">
        <f t="shared" si="15"/>
        <v>10.385788036834279</v>
      </c>
      <c r="J35" s="9" t="s">
        <v>20</v>
      </c>
      <c r="K35" s="10">
        <f>AVERAGE(500000000,700000000,500000000)</f>
        <v>566666666.66666663</v>
      </c>
      <c r="L35" s="10">
        <f>AVERAGE(100000000,200000000,400000000,150000000,200000000,190000000)</f>
        <v>206666666.66666666</v>
      </c>
      <c r="M35" s="10">
        <f>AVERAGE(200000000,300000000,500000000,230000000,240000000,260000000)</f>
        <v>288333333.33333331</v>
      </c>
      <c r="N35" s="11">
        <f>L35/(M35+L35)</f>
        <v>0.4175084175084175</v>
      </c>
      <c r="O35" s="11">
        <f>M35/(M35+L35)</f>
        <v>0.5824915824915825</v>
      </c>
      <c r="P35" s="14">
        <f t="shared" ref="P35:Q42" si="16">LOG10(L35/(L24/1000))/LOG10(2)</f>
        <v>10.061999599921389</v>
      </c>
      <c r="Q35" s="12">
        <f t="shared" si="16"/>
        <v>9.6125099529073808</v>
      </c>
      <c r="S35" s="9" t="s">
        <v>20</v>
      </c>
      <c r="T35" s="10">
        <f>AVERAGE(400000000,800000000,1100000000)</f>
        <v>766666666.66666663</v>
      </c>
      <c r="U35" s="10">
        <f>AVERAGE(200000000,200000000,200000000,170000000,250000000,210000000)</f>
        <v>205000000</v>
      </c>
      <c r="V35" s="10">
        <f>AVERAGE(400000000,500000000,400000000)</f>
        <v>433333333.33333331</v>
      </c>
      <c r="W35" s="11">
        <f>U35/(V35+U35)</f>
        <v>0.3211488250652742</v>
      </c>
      <c r="X35" s="11">
        <f>V35/(V35+U35)</f>
        <v>0.67885117493472591</v>
      </c>
      <c r="Y35" s="14">
        <f t="shared" ref="Y35:Z42" si="17">LOG10(U35/(U24/1000))/LOG10(2)</f>
        <v>9.5773819118867092</v>
      </c>
      <c r="Z35" s="12">
        <f t="shared" si="17"/>
        <v>10.344295907915818</v>
      </c>
    </row>
    <row r="36" spans="1:26" x14ac:dyDescent="0.3">
      <c r="A36" s="9" t="s">
        <v>49</v>
      </c>
      <c r="B36" s="10">
        <f>AVERAGE(800000000,700000000,800000000)</f>
        <v>766666666.66666663</v>
      </c>
      <c r="C36" s="10">
        <f>AVERAGE(200000000,400000000,600000000)</f>
        <v>400000000</v>
      </c>
      <c r="D36" s="10">
        <f>AVERAGE(200000000,100000000,500000000,120000000,130000000,180000000)</f>
        <v>205000000</v>
      </c>
      <c r="E36" s="11">
        <f>C36/(D36+C36)</f>
        <v>0.66115702479338845</v>
      </c>
      <c r="F36" s="11">
        <f>D36/(D36+C36)</f>
        <v>0.33884297520661155</v>
      </c>
      <c r="G36" s="12">
        <f t="shared" si="15"/>
        <v>9.5507467853832431</v>
      </c>
      <c r="H36" s="12">
        <f t="shared" si="15"/>
        <v>9.7893577172778183</v>
      </c>
      <c r="J36" s="9" t="s">
        <v>49</v>
      </c>
      <c r="K36" s="10">
        <f>AVERAGE(900000000,700000000,600000000)</f>
        <v>733333333.33333337</v>
      </c>
      <c r="L36" s="10">
        <f>AVERAGE(100000000,200000000,190000000,170000000,170000000)</f>
        <v>166000000</v>
      </c>
      <c r="M36" s="10">
        <f>AVERAGE(400000000,500000000,500000000,180000000,330000000,200000000)</f>
        <v>351666666.66666669</v>
      </c>
      <c r="N36" s="11">
        <f>L36/(M36+L36)</f>
        <v>0.32066967160334836</v>
      </c>
      <c r="O36" s="11">
        <f>M36/(M36+L36)</f>
        <v>0.67933032839665164</v>
      </c>
      <c r="P36" s="12">
        <f t="shared" si="16"/>
        <v>9.6613436165035651</v>
      </c>
      <c r="Q36" s="12">
        <f t="shared" si="16"/>
        <v>10.567942400645764</v>
      </c>
      <c r="S36" s="9" t="s">
        <v>49</v>
      </c>
      <c r="T36" s="10">
        <f>AVERAGE(1200000000,600000000,800000000)</f>
        <v>866666666.66666663</v>
      </c>
      <c r="U36" s="10">
        <f>AVERAGE(300000000,200000000,300000000,190000000,170000000,140000000)</f>
        <v>216666666.66666666</v>
      </c>
      <c r="V36" s="10">
        <f>AVERAGE(200000000,300000000,500000000)</f>
        <v>333333333.33333331</v>
      </c>
      <c r="W36" s="11">
        <f>U36/(V36+U36)</f>
        <v>0.39393939393939392</v>
      </c>
      <c r="X36" s="11">
        <f>V36/(V36+U36)</f>
        <v>0.60606060606060608</v>
      </c>
      <c r="Y36" s="12">
        <f t="shared" si="17"/>
        <v>9.8901200147300141</v>
      </c>
      <c r="Z36" s="12">
        <f t="shared" si="17"/>
        <v>10.315019725545186</v>
      </c>
    </row>
    <row r="37" spans="1:26" x14ac:dyDescent="0.3">
      <c r="A37" s="9" t="s">
        <v>50</v>
      </c>
      <c r="B37" s="10">
        <f>AVERAGE(600000000,500000000,300000000)</f>
        <v>466666666.66666669</v>
      </c>
      <c r="C37" s="10">
        <f>AVERAGE(200000000,500000000,500000000)</f>
        <v>400000000</v>
      </c>
      <c r="D37" s="10">
        <f>AVERAGE(100000000,100000000,100000000,150000000,120000000,160000000)</f>
        <v>121666666.66666667</v>
      </c>
      <c r="E37" s="11">
        <f t="shared" ref="E37:E40" si="18">C37/(D37+C37)</f>
        <v>0.76677316293929709</v>
      </c>
      <c r="F37" s="11">
        <f t="shared" ref="F37:F40" si="19">D37/(D37+C37)</f>
        <v>0.23322683706070288</v>
      </c>
      <c r="G37" s="12">
        <f t="shared" si="15"/>
        <v>9.8503070672421522</v>
      </c>
      <c r="H37" s="12">
        <f t="shared" si="15"/>
        <v>9.5706463428209485</v>
      </c>
      <c r="J37" s="9" t="s">
        <v>50</v>
      </c>
      <c r="K37" s="10">
        <f>AVERAGE(200000000,600000000,700000000)</f>
        <v>500000000</v>
      </c>
      <c r="L37" s="10">
        <f>AVERAGE(100000000,300000000,300000000,180000000,190000000,200000000)</f>
        <v>211666666.66666666</v>
      </c>
      <c r="M37" s="10">
        <f>AVERAGE(100000000,200000000,400000000,220000000,210000000,280000000)</f>
        <v>235000000</v>
      </c>
      <c r="N37" s="11">
        <f t="shared" ref="N37:N40" si="20">L37/(M37+L37)</f>
        <v>0.47388059701492541</v>
      </c>
      <c r="O37" s="11">
        <f t="shared" ref="O37:O40" si="21">M37/(M37+L37)</f>
        <v>0.52611940298507465</v>
      </c>
      <c r="P37" s="12">
        <f t="shared" si="16"/>
        <v>10.160053105084145</v>
      </c>
      <c r="Q37" s="12">
        <f t="shared" si="16"/>
        <v>10.247354641933308</v>
      </c>
      <c r="S37" s="9" t="s">
        <v>50</v>
      </c>
      <c r="T37" s="10">
        <f>AVERAGE(1100000000,900000000,800000000)</f>
        <v>933333333.33333337</v>
      </c>
      <c r="U37" s="10">
        <f>AVERAGE(500000000,400000000,600000000)</f>
        <v>500000000</v>
      </c>
      <c r="V37" s="10">
        <f>AVERAGE(400000000,400000000,300000000)</f>
        <v>366666666.66666669</v>
      </c>
      <c r="W37" s="11">
        <f t="shared" ref="W37:W40" si="22">U37/(V37+U37)</f>
        <v>0.57692307692307687</v>
      </c>
      <c r="X37" s="11">
        <f t="shared" ref="X37:X40" si="23">V37/(V37+U37)</f>
        <v>0.42307692307692307</v>
      </c>
      <c r="Y37" s="12">
        <f t="shared" si="17"/>
        <v>9.4132432616333084</v>
      </c>
      <c r="Z37" s="12">
        <f t="shared" si="17"/>
        <v>9.8402534025782273</v>
      </c>
    </row>
    <row r="38" spans="1:26" x14ac:dyDescent="0.3">
      <c r="A38" s="9" t="s">
        <v>51</v>
      </c>
      <c r="B38" s="10">
        <f>AVERAGE(400000000,300000000,200000000)</f>
        <v>300000000</v>
      </c>
      <c r="C38" s="10">
        <f>AVERAGE(500000000,400000000,400000000)</f>
        <v>433333333.33333331</v>
      </c>
      <c r="D38" s="10">
        <f>AVERAGE(20000000,20000000,30000000,11000000,14000000,21000000)</f>
        <v>19333333.333333332</v>
      </c>
      <c r="E38" s="11">
        <f t="shared" si="18"/>
        <v>0.95729013254786455</v>
      </c>
      <c r="F38" s="11">
        <f t="shared" si="19"/>
        <v>4.2709867452135494E-2</v>
      </c>
      <c r="G38" s="12">
        <f t="shared" si="15"/>
        <v>10.788479752854176</v>
      </c>
      <c r="H38" s="12">
        <f t="shared" si="15"/>
        <v>10.805843371792397</v>
      </c>
      <c r="J38" s="9" t="s">
        <v>51</v>
      </c>
      <c r="K38" s="10">
        <f>AVERAGE(100000000,600000000,600000000)</f>
        <v>433333333.33333331</v>
      </c>
      <c r="L38" s="10">
        <f>AVERAGE(500000000,400000000,100000000,200000000,260000000,270000000)</f>
        <v>288333333.33333331</v>
      </c>
      <c r="M38" s="10">
        <f>AVERAGE(100000000,100000000,20000000,70000000,60000000)</f>
        <v>70000000</v>
      </c>
      <c r="N38" s="11">
        <f t="shared" si="20"/>
        <v>0.8046511627906977</v>
      </c>
      <c r="O38" s="11">
        <f t="shared" si="21"/>
        <v>0.19534883720930232</v>
      </c>
      <c r="P38" s="12">
        <f t="shared" si="16"/>
        <v>10.469675174735926</v>
      </c>
      <c r="Q38" s="12">
        <f t="shared" si="16"/>
        <v>8.635635682969756</v>
      </c>
      <c r="S38" s="9" t="s">
        <v>51</v>
      </c>
      <c r="T38" s="10">
        <f>AVERAGE(100000000,100000000,170000000,260000000,180000000)</f>
        <v>162000000</v>
      </c>
      <c r="U38" s="10">
        <f>AVERAGE(200000000,400000000,500000000,220000000,180000000,100000000)</f>
        <v>266666666.66666666</v>
      </c>
      <c r="V38" s="10">
        <f>AVERAGE(70000000,20000000,10000000)</f>
        <v>33333333.333333332</v>
      </c>
      <c r="W38" s="11">
        <f t="shared" si="22"/>
        <v>0.88888888888888884</v>
      </c>
      <c r="X38" s="11">
        <f t="shared" si="23"/>
        <v>0.1111111111111111</v>
      </c>
      <c r="Y38" s="12">
        <f t="shared" si="17"/>
        <v>10.392894616241506</v>
      </c>
      <c r="Z38" s="12">
        <f t="shared" si="17"/>
        <v>8.0246779737156544</v>
      </c>
    </row>
    <row r="39" spans="1:26" x14ac:dyDescent="0.3">
      <c r="A39" s="9" t="s">
        <v>52</v>
      </c>
      <c r="B39" s="10">
        <f>AVERAGE(1000000000,700000000,600000000)</f>
        <v>766666666.66666663</v>
      </c>
      <c r="C39" s="10">
        <f>AVERAGE(300000000,400000000,500000000)</f>
        <v>400000000</v>
      </c>
      <c r="D39" s="10">
        <f>AVERAGE(300000000,200000000,400000000,190000000,180000000,200000000)</f>
        <v>245000000</v>
      </c>
      <c r="E39" s="11">
        <f t="shared" si="18"/>
        <v>0.62015503875968991</v>
      </c>
      <c r="F39" s="11">
        <f t="shared" si="19"/>
        <v>0.37984496124031009</v>
      </c>
      <c r="G39" s="12">
        <f t="shared" si="15"/>
        <v>10.17918792277128</v>
      </c>
      <c r="H39" s="12">
        <f t="shared" si="15"/>
        <v>10.536100009418842</v>
      </c>
      <c r="J39" s="9" t="s">
        <v>52</v>
      </c>
      <c r="K39" s="10">
        <f>AVERAGE(600000000,700000000,1000000000)</f>
        <v>766666666.66666663</v>
      </c>
      <c r="L39" s="10">
        <f>AVERAGE(200000000,400000000,600000000,280000000,340000000,330000000)</f>
        <v>358333333.33333331</v>
      </c>
      <c r="M39" s="10">
        <f>AVERAGE(300000000,300000000,400000000)</f>
        <v>333333333.33333331</v>
      </c>
      <c r="N39" s="11">
        <f t="shared" si="20"/>
        <v>0.51807228915662651</v>
      </c>
      <c r="O39" s="11">
        <f t="shared" si="21"/>
        <v>0.48192771084337349</v>
      </c>
      <c r="P39" s="12">
        <f t="shared" si="16"/>
        <v>10.680554132714096</v>
      </c>
      <c r="Q39" s="12">
        <f t="shared" si="16"/>
        <v>10.578421743826091</v>
      </c>
      <c r="S39" s="9" t="s">
        <v>52</v>
      </c>
      <c r="T39" s="10">
        <f>AVERAGE(1100000000,600000000,800000000)</f>
        <v>833333333.33333337</v>
      </c>
      <c r="U39" s="10">
        <f>AVERAGE(300000000,400000000,400000000,190000000,270000000,200000000)</f>
        <v>293333333.33333331</v>
      </c>
      <c r="V39" s="10">
        <f>AVERAGE(500000000,500000000,200000000)</f>
        <v>400000000</v>
      </c>
      <c r="W39" s="11">
        <f t="shared" si="22"/>
        <v>0.42307692307692307</v>
      </c>
      <c r="X39" s="11">
        <f t="shared" si="23"/>
        <v>0.57692307692307698</v>
      </c>
      <c r="Y39" s="12">
        <f t="shared" si="17"/>
        <v>10.518325307690866</v>
      </c>
      <c r="Z39" s="12">
        <f t="shared" si="17"/>
        <v>10.302819271939658</v>
      </c>
    </row>
    <row r="40" spans="1:26" x14ac:dyDescent="0.3">
      <c r="A40" s="9" t="s">
        <v>53</v>
      </c>
      <c r="B40" s="10">
        <f>AVERAGE(800000000,300000000,1000000000)</f>
        <v>700000000</v>
      </c>
      <c r="C40" s="10">
        <f>AVERAGE(300000000,500000000,500000000)</f>
        <v>433333333.33333331</v>
      </c>
      <c r="D40" s="10">
        <f>AVERAGE(300000000,400000000,500000000,140000000,180000000,220000000)</f>
        <v>290000000</v>
      </c>
      <c r="E40" s="11">
        <f t="shared" si="18"/>
        <v>0.59907834101382496</v>
      </c>
      <c r="F40" s="11">
        <f t="shared" si="19"/>
        <v>0.40092165898617516</v>
      </c>
      <c r="G40" s="12">
        <f t="shared" si="15"/>
        <v>10.59583467491178</v>
      </c>
      <c r="H40" s="12">
        <f t="shared" si="15"/>
        <v>11.086799685623452</v>
      </c>
      <c r="J40" s="9" t="s">
        <v>53</v>
      </c>
      <c r="K40" s="10">
        <f>AVERAGE(400000000,600000000,600000000)</f>
        <v>533333333.33333331</v>
      </c>
      <c r="L40" s="10">
        <f>AVERAGE(300000000,400000000,600000000,230000000,270000000,220000000)</f>
        <v>336666666.66666669</v>
      </c>
      <c r="M40" s="10">
        <f>AVERAGE(300000000,300000000,300000000,260000000,230000000,280000000)</f>
        <v>278333333.33333331</v>
      </c>
      <c r="N40" s="11">
        <f t="shared" si="20"/>
        <v>0.54742547425474253</v>
      </c>
      <c r="O40" s="11">
        <f t="shared" si="21"/>
        <v>0.45257452574525742</v>
      </c>
      <c r="P40" s="12">
        <f t="shared" si="16"/>
        <v>10.568713331912692</v>
      </c>
      <c r="Q40" s="12">
        <f t="shared" si="16"/>
        <v>9.8656727998718825</v>
      </c>
      <c r="S40" s="9" t="s">
        <v>53</v>
      </c>
      <c r="T40" s="10">
        <f>AVERAGE(1200000000,500000000,800000000)</f>
        <v>833333333.33333337</v>
      </c>
      <c r="U40" s="10">
        <f>AVERAGE(400000000,400000000,800000000,280000000,300000000,260000000)</f>
        <v>406666666.66666669</v>
      </c>
      <c r="V40" s="10">
        <f>AVERAGE(400000000,500000000,600000000)</f>
        <v>500000000</v>
      </c>
      <c r="W40" s="11">
        <f t="shared" si="22"/>
        <v>0.44852941176470584</v>
      </c>
      <c r="X40" s="11">
        <f t="shared" si="23"/>
        <v>0.55147058823529405</v>
      </c>
      <c r="Y40" s="12">
        <f t="shared" si="17"/>
        <v>10.437090003587675</v>
      </c>
      <c r="Z40" s="12">
        <f t="shared" si="17"/>
        <v>11.172235162129514</v>
      </c>
    </row>
    <row r="41" spans="1:26" x14ac:dyDescent="0.3">
      <c r="A41" s="9" t="s">
        <v>54</v>
      </c>
      <c r="B41" s="10">
        <f>AVERAGE(600000000,500000000,400000000)</f>
        <v>500000000</v>
      </c>
      <c r="C41" s="10">
        <f>AVERAGE(400000000,400000000,500000000)</f>
        <v>433333333.33333331</v>
      </c>
      <c r="D41" s="10">
        <f>AVERAGE(10000000,20000000,40000000,9000000,19000000,22000000)</f>
        <v>20000000</v>
      </c>
      <c r="E41" s="11">
        <f>C41/(D41+C41)</f>
        <v>0.95588235294117652</v>
      </c>
      <c r="F41" s="11">
        <f>D41/(D41+C41)</f>
        <v>4.4117647058823532E-2</v>
      </c>
      <c r="G41" s="12">
        <f t="shared" si="15"/>
        <v>10.83840497818586</v>
      </c>
      <c r="H41" s="12">
        <f t="shared" si="15"/>
        <v>9.2288186904958813</v>
      </c>
      <c r="J41" s="9" t="s">
        <v>54</v>
      </c>
      <c r="K41" s="10">
        <f>AVERAGE(300000000,900000000,1000000000)</f>
        <v>733333333.33333337</v>
      </c>
      <c r="L41" s="10">
        <f>AVERAGE(300000000,400000000,900000000)</f>
        <v>533333333.33333331</v>
      </c>
      <c r="M41" s="10">
        <f>AVERAGE(100000000,100000000,400000000,170000000,220000000,130000000)</f>
        <v>186666666.66666666</v>
      </c>
      <c r="N41" s="11">
        <f>L41/(M41+L41)</f>
        <v>0.7407407407407407</v>
      </c>
      <c r="O41" s="11">
        <f>M41/(M41+L41)</f>
        <v>0.25925925925925924</v>
      </c>
      <c r="P41" s="12">
        <f t="shared" si="16"/>
        <v>11.12784104277106</v>
      </c>
      <c r="Q41" s="12">
        <f t="shared" si="16"/>
        <v>10.469358458542589</v>
      </c>
      <c r="S41" s="9" t="s">
        <v>54</v>
      </c>
      <c r="T41" s="10">
        <f>AVERAGE(800000000,900000000,700000000)</f>
        <v>800000000</v>
      </c>
      <c r="U41" s="10">
        <f>AVERAGE(400000000,400000000,500000000)</f>
        <v>433333333.33333331</v>
      </c>
      <c r="V41" s="10">
        <f>AVERAGE(500000000,200000000,300000000,200000000,270000000,290000000)</f>
        <v>293333333.33333331</v>
      </c>
      <c r="W41" s="11">
        <f>U41/(V41+U41)</f>
        <v>0.59633027522935778</v>
      </c>
      <c r="X41" s="11">
        <f>V41/(V41+U41)</f>
        <v>0.40366972477064222</v>
      </c>
      <c r="Y41" s="12">
        <f t="shared" si="17"/>
        <v>10.344295907915818</v>
      </c>
      <c r="Z41" s="12">
        <f t="shared" si="17"/>
        <v>9.8553602949684365</v>
      </c>
    </row>
    <row r="42" spans="1:26" x14ac:dyDescent="0.3">
      <c r="A42" s="9" t="s">
        <v>55</v>
      </c>
      <c r="B42" s="10">
        <f>AVERAGE(100000000,900000000,700000000)</f>
        <v>566666666.66666663</v>
      </c>
      <c r="C42" s="10">
        <f>AVERAGE(600000000,400000000,600000000,260000000,240000000)</f>
        <v>420000000</v>
      </c>
      <c r="D42" s="10">
        <f>AVERAGE(10000,10000,20000,9000,5000,10000)</f>
        <v>10666.666666666666</v>
      </c>
      <c r="E42" s="11">
        <f>C42/(D42+C42)</f>
        <v>0.99997460381958547</v>
      </c>
      <c r="F42" s="17">
        <f>D42/(D42+C42)</f>
        <v>2.539618041446566E-5</v>
      </c>
      <c r="G42" s="12">
        <f t="shared" si="15"/>
        <v>11.380821783940931</v>
      </c>
      <c r="H42" s="12">
        <f t="shared" si="15"/>
        <v>9.2515387669959654</v>
      </c>
      <c r="J42" s="9" t="s">
        <v>55</v>
      </c>
      <c r="K42" s="10">
        <f>AVERAGE(200000000,300000000,400000000,220000000,240000000,190000000)</f>
        <v>258333333.33333334</v>
      </c>
      <c r="L42" s="10">
        <f>AVERAGE(200000000,400000000,400000000,270000000,240000000,230000000)</f>
        <v>290000000</v>
      </c>
      <c r="M42" s="10">
        <f>AVERAGE(100000,200000,200000,130000,130000,80000)</f>
        <v>140000</v>
      </c>
      <c r="N42" s="11">
        <f>L42/(M42+L42)</f>
        <v>0.99951747432274074</v>
      </c>
      <c r="O42" s="17">
        <f>M42/(M42+L42)</f>
        <v>4.8252567725925414E-4</v>
      </c>
      <c r="P42" s="12">
        <f t="shared" si="16"/>
        <v>8.9993368443731132</v>
      </c>
      <c r="Q42" s="12">
        <f t="shared" si="16"/>
        <v>9.1196969681157682</v>
      </c>
      <c r="S42" s="9" t="s">
        <v>55</v>
      </c>
      <c r="T42" s="10">
        <f>AVERAGE(600000000,200000000,300000000)</f>
        <v>366666666.66666669</v>
      </c>
      <c r="U42" s="10">
        <f>AVERAGE(200000000,200000000,100000000,200000000,230000000,270000000)</f>
        <v>200000000</v>
      </c>
      <c r="V42" s="10">
        <f>AVERAGE(300000,400000,600000,260000,240000,220000)</f>
        <v>336666.66666666669</v>
      </c>
      <c r="W42" s="11">
        <f>U42/(V42+U42)</f>
        <v>0.99831949551588162</v>
      </c>
      <c r="X42" s="17">
        <f>V42/(V42+U42)</f>
        <v>1.6805044841184009E-3</v>
      </c>
      <c r="Y42" s="12">
        <f t="shared" si="17"/>
        <v>10.318086028592969</v>
      </c>
      <c r="Z42" s="12">
        <f t="shared" si="17"/>
        <v>6.3951770769180012</v>
      </c>
    </row>
    <row r="43" spans="1:26" x14ac:dyDescent="0.3">
      <c r="F43" s="15"/>
      <c r="O43" s="15"/>
      <c r="X43" s="15"/>
    </row>
    <row r="44" spans="1:26" x14ac:dyDescent="0.3">
      <c r="A44" t="s">
        <v>30</v>
      </c>
      <c r="G44" s="5" t="s">
        <v>13</v>
      </c>
      <c r="H44" s="5"/>
      <c r="J44" t="s">
        <v>30</v>
      </c>
      <c r="P44" s="5" t="s">
        <v>13</v>
      </c>
      <c r="Q44" s="5"/>
      <c r="S44" t="s">
        <v>30</v>
      </c>
      <c r="Y44" s="5" t="s">
        <v>13</v>
      </c>
      <c r="Z44" s="5"/>
    </row>
    <row r="45" spans="1:26" ht="15.6" x14ac:dyDescent="0.3">
      <c r="A45" s="32" t="s">
        <v>14</v>
      </c>
      <c r="B45" s="33" t="s">
        <v>15</v>
      </c>
      <c r="C45" s="33" t="s">
        <v>46</v>
      </c>
      <c r="D45" s="33" t="s">
        <v>17</v>
      </c>
      <c r="E45" s="33" t="s">
        <v>47</v>
      </c>
      <c r="F45" s="33" t="s">
        <v>48</v>
      </c>
      <c r="G45" s="33" t="s">
        <v>44</v>
      </c>
      <c r="H45" s="33" t="s">
        <v>45</v>
      </c>
      <c r="J45" s="32" t="s">
        <v>14</v>
      </c>
      <c r="K45" s="33" t="s">
        <v>15</v>
      </c>
      <c r="L45" s="33" t="s">
        <v>46</v>
      </c>
      <c r="M45" s="33" t="s">
        <v>17</v>
      </c>
      <c r="N45" s="33" t="s">
        <v>47</v>
      </c>
      <c r="O45" s="33" t="s">
        <v>48</v>
      </c>
      <c r="P45" s="33" t="s">
        <v>44</v>
      </c>
      <c r="Q45" s="33" t="s">
        <v>45</v>
      </c>
      <c r="S45" s="32" t="s">
        <v>14</v>
      </c>
      <c r="T45" s="33" t="s">
        <v>15</v>
      </c>
      <c r="U45" s="33" t="s">
        <v>46</v>
      </c>
      <c r="V45" s="33" t="s">
        <v>17</v>
      </c>
      <c r="W45" s="33" t="s">
        <v>47</v>
      </c>
      <c r="X45" s="33" t="s">
        <v>48</v>
      </c>
      <c r="Y45" s="33" t="s">
        <v>44</v>
      </c>
      <c r="Z45" s="33" t="s">
        <v>45</v>
      </c>
    </row>
    <row r="46" spans="1:26" x14ac:dyDescent="0.3">
      <c r="A46" s="9" t="s">
        <v>20</v>
      </c>
      <c r="B46" s="10">
        <f>AVERAGE(500000000,500000000,1000000000)</f>
        <v>666666666.66666663</v>
      </c>
      <c r="C46" s="10">
        <f>AVERAGE(500000000,500000000,300000000)</f>
        <v>433333333.33333331</v>
      </c>
      <c r="D46" s="10">
        <f>AVERAGE(100000000,300000000,200000000,260000000,210000000,200000000)</f>
        <v>211666666.66666666</v>
      </c>
      <c r="E46" s="11">
        <f>C46/(D46+C46)</f>
        <v>0.67183462532299743</v>
      </c>
      <c r="F46" s="11">
        <f>D46/(D46+C46)</f>
        <v>0.32816537467700257</v>
      </c>
      <c r="G46" s="14">
        <f t="shared" ref="G46:H53" si="24">LOG10(C46/(C35/1000))/LOG10(2)</f>
        <v>9.5787611615528405</v>
      </c>
      <c r="H46" s="12">
        <f t="shared" si="24"/>
        <v>9.3545561292471255</v>
      </c>
      <c r="J46" s="9" t="s">
        <v>20</v>
      </c>
      <c r="K46" s="10">
        <f>AVERAGE(700000000,600000000,600000000)</f>
        <v>633333333.33333337</v>
      </c>
      <c r="L46" s="10">
        <f>AVERAGE(200000000,200000000,300000000,180000000,260000000,220000000)</f>
        <v>226666666.66666666</v>
      </c>
      <c r="M46" s="10">
        <f>AVERAGE(600000000,500000000,700000000)</f>
        <v>600000000</v>
      </c>
      <c r="N46" s="11">
        <f>L46/(M46+L46)</f>
        <v>0.27419354838709675</v>
      </c>
      <c r="O46" s="11">
        <f>M46/(M46+L46)</f>
        <v>0.72580645161290325</v>
      </c>
      <c r="P46" s="14">
        <f t="shared" ref="P46:Q53" si="25">LOG10(L46/(L35/1000))/LOG10(2)</f>
        <v>10.099050815525551</v>
      </c>
      <c r="Q46" s="12">
        <f t="shared" si="25"/>
        <v>11.023009153355037</v>
      </c>
      <c r="S46" s="9" t="s">
        <v>20</v>
      </c>
      <c r="T46" s="10">
        <f>AVERAGE(700000000,800000000,800000000)</f>
        <v>766666666.66666663</v>
      </c>
      <c r="U46" s="10">
        <f>AVERAGE(100000000,200000000,170000000,170000000,140000000)</f>
        <v>156000000</v>
      </c>
      <c r="V46" s="10">
        <f>AVERAGE(200000000,400000000,800000000)</f>
        <v>466666666.66666669</v>
      </c>
      <c r="W46" s="11">
        <f>U46/(V46+U46)</f>
        <v>0.25053533190578153</v>
      </c>
      <c r="X46" s="11">
        <f>V46/(V46+U46)</f>
        <v>0.7494646680942183</v>
      </c>
      <c r="Y46" s="14">
        <f t="shared" ref="Y46:Z53" si="26">LOG10(U46/(U35/1000))/LOG10(2)</f>
        <v>9.5717064040188902</v>
      </c>
      <c r="Z46" s="12">
        <f t="shared" si="26"/>
        <v>10.072699488578598</v>
      </c>
    </row>
    <row r="47" spans="1:26" x14ac:dyDescent="0.3">
      <c r="A47" s="9" t="s">
        <v>49</v>
      </c>
      <c r="B47" s="10">
        <f>AVERAGE(400000000,700000000,600000000)</f>
        <v>566666666.66666663</v>
      </c>
      <c r="C47" s="10">
        <f>AVERAGE(300000000,500000000,700000000)</f>
        <v>500000000</v>
      </c>
      <c r="D47" s="10">
        <f>AVERAGE(100000000,200000000,220000000,180000000,240000000)</f>
        <v>188000000</v>
      </c>
      <c r="E47" s="11">
        <f>C47/(D47+C47)</f>
        <v>0.72674418604651159</v>
      </c>
      <c r="F47" s="11">
        <f>D47/(D47+C47)</f>
        <v>0.27325581395348836</v>
      </c>
      <c r="G47" s="14">
        <f t="shared" si="24"/>
        <v>10.287712379549449</v>
      </c>
      <c r="H47" s="12">
        <f t="shared" si="24"/>
        <v>9.8408930368342773</v>
      </c>
      <c r="J47" s="9" t="s">
        <v>49</v>
      </c>
      <c r="K47" s="10">
        <f>AVERAGE(900000000,500000000,800000000)</f>
        <v>733333333.33333337</v>
      </c>
      <c r="L47" s="10">
        <f>AVERAGE(100000000,200000000,200000000,180000000,190000000)</f>
        <v>174000000</v>
      </c>
      <c r="M47" s="10">
        <f>AVERAGE(400000000,400000000,200000000,200000000,280000000,240000000)</f>
        <v>286666666.66666669</v>
      </c>
      <c r="N47" s="11">
        <f>L47/(M47+L47)</f>
        <v>0.37771345875542689</v>
      </c>
      <c r="O47" s="11">
        <f>M47/(M47+L47)</f>
        <v>0.62228654124457305</v>
      </c>
      <c r="P47" s="14">
        <f t="shared" si="25"/>
        <v>10.03368834916389</v>
      </c>
      <c r="Q47" s="12">
        <f t="shared" si="25"/>
        <v>9.6709498506569993</v>
      </c>
      <c r="S47" s="9" t="s">
        <v>49</v>
      </c>
      <c r="T47" s="10">
        <f>AVERAGE(300000000,500000000,1000000000)</f>
        <v>600000000</v>
      </c>
      <c r="U47" s="10">
        <f>AVERAGE(300000000,200000000,300000000,180000000,190000000,170000000)</f>
        <v>223333333.33333334</v>
      </c>
      <c r="V47" s="10">
        <f>AVERAGE(200000000,300000000,300000000,330000000,290000000,300000000)</f>
        <v>286666666.66666669</v>
      </c>
      <c r="W47" s="11">
        <f>U47/(V47+U47)</f>
        <v>0.43790849673202614</v>
      </c>
      <c r="X47" s="11">
        <f>V47/(V47+U47)</f>
        <v>0.56209150326797386</v>
      </c>
      <c r="Y47" s="14">
        <f t="shared" si="26"/>
        <v>10.009505662091405</v>
      </c>
      <c r="Z47" s="12">
        <f t="shared" si="26"/>
        <v>9.7481928495894614</v>
      </c>
    </row>
    <row r="48" spans="1:26" x14ac:dyDescent="0.3">
      <c r="A48" s="9" t="s">
        <v>50</v>
      </c>
      <c r="B48" s="10">
        <f>AVERAGE(400000000,500000000,600000000)</f>
        <v>500000000</v>
      </c>
      <c r="C48" s="10">
        <f>AVERAGE(1100000000,600000000,700000000)</f>
        <v>800000000</v>
      </c>
      <c r="D48" s="10">
        <f>AVERAGE(200000000,200000000,300000000,120000000,130000000,140000000)</f>
        <v>181666666.66666666</v>
      </c>
      <c r="E48" s="11">
        <f t="shared" ref="E48:E51" si="27">C48/(D48+C48)</f>
        <v>0.81494057724957558</v>
      </c>
      <c r="F48" s="11">
        <f t="shared" ref="F48:F51" si="28">D48/(D48+C48)</f>
        <v>0.18505942275042445</v>
      </c>
      <c r="G48" s="12">
        <f t="shared" si="24"/>
        <v>10.965784284662087</v>
      </c>
      <c r="H48" s="12">
        <f t="shared" si="24"/>
        <v>10.544144050558996</v>
      </c>
      <c r="J48" s="9" t="s">
        <v>50</v>
      </c>
      <c r="K48" s="10">
        <f>AVERAGE(400000000,500000000,600000000)</f>
        <v>500000000</v>
      </c>
      <c r="L48" s="10">
        <f>AVERAGE(100000000,200000000,400000000,190000000,200000000,180000000)</f>
        <v>211666666.66666666</v>
      </c>
      <c r="M48" s="10">
        <f>AVERAGE(300000000,300000000,280000000,170000000,220000000)</f>
        <v>254000000</v>
      </c>
      <c r="N48" s="11">
        <f t="shared" ref="N48:N51" si="29">L48/(M48+L48)</f>
        <v>0.45454545454545459</v>
      </c>
      <c r="O48" s="11">
        <f t="shared" ref="O48:O51" si="30">M48/(M48+L48)</f>
        <v>0.54545454545454553</v>
      </c>
      <c r="P48" s="12">
        <f t="shared" si="25"/>
        <v>9.965784284662087</v>
      </c>
      <c r="Q48" s="12">
        <f t="shared" si="25"/>
        <v>10.077952024869253</v>
      </c>
      <c r="S48" s="9" t="s">
        <v>50</v>
      </c>
      <c r="T48" s="10">
        <f>AVERAGE(400000000,300000000,400000000)</f>
        <v>366666666.66666669</v>
      </c>
      <c r="U48" s="10">
        <f>AVERAGE(200000000,300000000,400000000,230000000,170000000,190000000)</f>
        <v>248333333.33333334</v>
      </c>
      <c r="V48" s="10">
        <f>AVERAGE(400000000,400000000,800000000,220000000,220000000,180000000)</f>
        <v>370000000</v>
      </c>
      <c r="W48" s="11">
        <f t="shared" ref="W48:W51" si="31">U48/(V48+U48)</f>
        <v>0.40161725067385445</v>
      </c>
      <c r="X48" s="11">
        <f t="shared" ref="X48:X51" si="32">V48/(V48+U48)</f>
        <v>0.59838274932614555</v>
      </c>
      <c r="Y48" s="12">
        <f t="shared" si="26"/>
        <v>8.9561341146283677</v>
      </c>
      <c r="Z48" s="12">
        <f t="shared" si="26"/>
        <v>9.9788404374875324</v>
      </c>
    </row>
    <row r="49" spans="1:26" x14ac:dyDescent="0.3">
      <c r="A49" s="9" t="s">
        <v>51</v>
      </c>
      <c r="B49" s="10">
        <f>AVERAGE(100000000,400000000,500000000)</f>
        <v>333333333.33333331</v>
      </c>
      <c r="C49" s="10">
        <f>AVERAGE(300000000,500000000,600000000)</f>
        <v>466666666.66666669</v>
      </c>
      <c r="D49" s="10">
        <f>AVERAGE(10000000,40000000,40000000,18000000,16000000,20000000)</f>
        <v>24000000</v>
      </c>
      <c r="E49" s="11">
        <f t="shared" si="27"/>
        <v>0.95108695652173914</v>
      </c>
      <c r="F49" s="11">
        <f t="shared" si="28"/>
        <v>4.8913043478260865E-2</v>
      </c>
      <c r="G49" s="12">
        <f t="shared" si="24"/>
        <v>10.072699488578598</v>
      </c>
      <c r="H49" s="12">
        <f t="shared" si="24"/>
        <v>10.277728290976826</v>
      </c>
      <c r="J49" s="9" t="s">
        <v>51</v>
      </c>
      <c r="K49" s="10">
        <f>AVERAGE(200000000,300000000,400000000)</f>
        <v>300000000</v>
      </c>
      <c r="L49" s="10">
        <f>AVERAGE(400000000,300000000,200000000,260000000,250000000,330000000)</f>
        <v>290000000</v>
      </c>
      <c r="M49" s="10">
        <f>AVERAGE(30000000,20000000,50000000,30000000,29000000,21000000)</f>
        <v>30000000</v>
      </c>
      <c r="N49" s="11">
        <f t="shared" si="29"/>
        <v>0.90625</v>
      </c>
      <c r="O49" s="11">
        <f t="shared" si="30"/>
        <v>9.375E-2</v>
      </c>
      <c r="P49" s="12">
        <f t="shared" si="25"/>
        <v>9.9740995528740903</v>
      </c>
      <c r="Q49" s="12">
        <f t="shared" si="25"/>
        <v>8.7433918633256393</v>
      </c>
      <c r="S49" s="9" t="s">
        <v>51</v>
      </c>
      <c r="T49" s="10">
        <f>AVERAGE(1100000000,1300000000,1200000000)</f>
        <v>1200000000</v>
      </c>
      <c r="U49" s="10">
        <f>AVERAGE(800000000,700000000,900000000)</f>
        <v>800000000</v>
      </c>
      <c r="V49" s="10">
        <f>AVERAGE(200000000,300000000,500000000,130000000,120000000,110000000)</f>
        <v>226666666.66666666</v>
      </c>
      <c r="W49" s="11">
        <f t="shared" si="31"/>
        <v>0.77922077922077926</v>
      </c>
      <c r="X49" s="11">
        <f t="shared" si="32"/>
        <v>0.22077922077922077</v>
      </c>
      <c r="Y49" s="12">
        <f t="shared" si="26"/>
        <v>11.550746785383243</v>
      </c>
      <c r="Z49" s="12">
        <f t="shared" si="26"/>
        <v>12.731319031025064</v>
      </c>
    </row>
    <row r="50" spans="1:26" x14ac:dyDescent="0.3">
      <c r="A50" s="9" t="s">
        <v>52</v>
      </c>
      <c r="B50" s="10">
        <f>AVERAGE(800000000,1300000000,1500000000)</f>
        <v>1200000000</v>
      </c>
      <c r="C50" s="10">
        <f>AVERAGE(500000000,800000000,700000000)</f>
        <v>666666666.66666663</v>
      </c>
      <c r="D50" s="10">
        <f>AVERAGE(200000000,200000000,400000000,170000000,190000000,190000000)</f>
        <v>225000000</v>
      </c>
      <c r="E50" s="11">
        <f t="shared" si="27"/>
        <v>0.74766355140186913</v>
      </c>
      <c r="F50" s="11">
        <f t="shared" si="28"/>
        <v>0.25233644859813087</v>
      </c>
      <c r="G50" s="12">
        <f t="shared" si="24"/>
        <v>10.702749878828293</v>
      </c>
      <c r="H50" s="12">
        <f t="shared" si="24"/>
        <v>9.8429275368765534</v>
      </c>
      <c r="J50" s="9" t="s">
        <v>52</v>
      </c>
      <c r="K50" s="10">
        <f>AVERAGE(800000000,700000000,1200000000)</f>
        <v>900000000</v>
      </c>
      <c r="L50" s="10">
        <f>AVERAGE(400000000,600000000,800000000,270000000,260000000,270000000)</f>
        <v>433333333.33333331</v>
      </c>
      <c r="M50" s="10">
        <f>AVERAGE(400000000,600000000,800000000,280000000,270000000,330000000)</f>
        <v>446666666.66666669</v>
      </c>
      <c r="N50" s="11">
        <f t="shared" si="29"/>
        <v>0.49242424242424238</v>
      </c>
      <c r="O50" s="11">
        <f t="shared" si="30"/>
        <v>0.50757575757575757</v>
      </c>
      <c r="P50" s="12">
        <f t="shared" si="25"/>
        <v>10.239959248101082</v>
      </c>
      <c r="Q50" s="12">
        <f t="shared" si="25"/>
        <v>10.388017285345136</v>
      </c>
      <c r="S50" s="9" t="s">
        <v>52</v>
      </c>
      <c r="T50" s="10">
        <f>AVERAGE(800000000,200000000,800000000)</f>
        <v>600000000</v>
      </c>
      <c r="U50" s="10">
        <f>AVERAGE(300000000,500000000,600000000,210000000,260000000,260000000)</f>
        <v>355000000</v>
      </c>
      <c r="V50" s="10">
        <f>AVERAGE(400000000,700000000,500000000,260000000,290000000,280000000)</f>
        <v>405000000</v>
      </c>
      <c r="W50" s="11">
        <f t="shared" si="31"/>
        <v>0.46710526315789475</v>
      </c>
      <c r="X50" s="11">
        <f t="shared" si="32"/>
        <v>0.53289473684210531</v>
      </c>
      <c r="Y50" s="12">
        <f t="shared" si="26"/>
        <v>10.241062286250628</v>
      </c>
      <c r="Z50" s="12">
        <f t="shared" si="26"/>
        <v>9.9837061926593496</v>
      </c>
    </row>
    <row r="51" spans="1:26" x14ac:dyDescent="0.3">
      <c r="A51" s="9" t="s">
        <v>53</v>
      </c>
      <c r="B51" s="10">
        <f>AVERAGE(900000000,800000000,700000000)</f>
        <v>800000000</v>
      </c>
      <c r="C51" s="10">
        <f>AVERAGE(500000000,500000000,800000000)</f>
        <v>600000000</v>
      </c>
      <c r="D51" s="10">
        <f>AVERAGE(100000000,100000000,100000000,120000000,150000000,150000000)</f>
        <v>120000000</v>
      </c>
      <c r="E51" s="11">
        <f t="shared" si="27"/>
        <v>0.83333333333333337</v>
      </c>
      <c r="F51" s="11">
        <f t="shared" si="28"/>
        <v>0.16666666666666666</v>
      </c>
      <c r="G51" s="12">
        <f t="shared" si="24"/>
        <v>10.435269567963308</v>
      </c>
      <c r="H51" s="14">
        <f t="shared" si="24"/>
        <v>8.6927657902556703</v>
      </c>
      <c r="J51" s="9" t="s">
        <v>53</v>
      </c>
      <c r="K51" s="10">
        <f>AVERAGE(800000000,700000000,600000000)</f>
        <v>700000000</v>
      </c>
      <c r="L51" s="10">
        <f>AVERAGE(400000000,300000000,200000000,270000000,340000000,310000000)</f>
        <v>303333333.33333331</v>
      </c>
      <c r="M51" s="10">
        <f>AVERAGE(300000000,500000000,500000000,240000000,210000000,280000000)</f>
        <v>338333333.33333331</v>
      </c>
      <c r="N51" s="11">
        <f t="shared" si="29"/>
        <v>0.47272727272727272</v>
      </c>
      <c r="O51" s="11">
        <f t="shared" si="30"/>
        <v>0.52727272727272723</v>
      </c>
      <c r="P51" s="12">
        <f t="shared" si="25"/>
        <v>9.8153674421089878</v>
      </c>
      <c r="Q51" s="14">
        <f t="shared" si="25"/>
        <v>10.247415909373212</v>
      </c>
      <c r="S51" s="9" t="s">
        <v>53</v>
      </c>
      <c r="T51" s="10">
        <f>AVERAGE(600000000,600000000,600000000)</f>
        <v>600000000</v>
      </c>
      <c r="U51" s="10">
        <f>AVERAGE(300000000,200000000,400000000)</f>
        <v>300000000</v>
      </c>
      <c r="V51" s="10">
        <f>AVERAGE(300000000,400000000,200000000,240000000,190000000,270000000)</f>
        <v>266666666.66666666</v>
      </c>
      <c r="W51" s="11">
        <f t="shared" si="31"/>
        <v>0.52941176470588236</v>
      </c>
      <c r="X51" s="11">
        <f t="shared" si="32"/>
        <v>0.47058823529411764</v>
      </c>
      <c r="Y51" s="12">
        <f t="shared" si="26"/>
        <v>9.526900043428876</v>
      </c>
      <c r="Z51" s="14">
        <f t="shared" si="26"/>
        <v>9.0588936890535692</v>
      </c>
    </row>
    <row r="52" spans="1:26" x14ac:dyDescent="0.3">
      <c r="A52" s="9" t="s">
        <v>54</v>
      </c>
      <c r="B52" s="10">
        <f>AVERAGE(900000000,800000000,600000000)</f>
        <v>766666666.66666663</v>
      </c>
      <c r="C52" s="10">
        <f>AVERAGE(700000000,800000000,600000000)</f>
        <v>700000000</v>
      </c>
      <c r="D52" s="10">
        <f>AVERAGE(20000000,20000000,14000000,30000000,19000000,16000000)</f>
        <v>19833333.333333332</v>
      </c>
      <c r="E52" s="11">
        <f>C52/(D52+C52)</f>
        <v>0.97244732576985404</v>
      </c>
      <c r="F52" s="11">
        <f>D52/(D52+C52)</f>
        <v>2.7552674230145863E-2</v>
      </c>
      <c r="G52" s="12">
        <f t="shared" si="24"/>
        <v>10.657661989299756</v>
      </c>
      <c r="H52" s="12">
        <f t="shared" si="24"/>
        <v>9.953711452361512</v>
      </c>
      <c r="J52" s="9" t="s">
        <v>54</v>
      </c>
      <c r="K52" s="10">
        <f>AVERAGE(700000000,500000000,400000000)</f>
        <v>533333333.33333331</v>
      </c>
      <c r="L52" s="10">
        <f>AVERAGE(200000000,400000000,400000000)</f>
        <v>333333333.33333331</v>
      </c>
      <c r="M52" s="10">
        <f>AVERAGE(100000000,100000000,300000000,190000000,140000000,100000000)</f>
        <v>155000000</v>
      </c>
      <c r="N52" s="11">
        <f>L52/(M52+L52)</f>
        <v>0.68259385665529004</v>
      </c>
      <c r="O52" s="11">
        <f>M52/(M52+L52)</f>
        <v>0.3174061433447099</v>
      </c>
      <c r="P52" s="12">
        <f t="shared" si="25"/>
        <v>9.2877123795494505</v>
      </c>
      <c r="Q52" s="12">
        <f t="shared" si="25"/>
        <v>9.6975881737125142</v>
      </c>
      <c r="S52" s="9" t="s">
        <v>54</v>
      </c>
      <c r="T52" s="10">
        <f>AVERAGE(1100000000,1400000000,1400000000)</f>
        <v>1300000000</v>
      </c>
      <c r="U52" s="10">
        <f>AVERAGE(800000000,700000000,800000000)</f>
        <v>766666666.66666663</v>
      </c>
      <c r="V52" s="10">
        <f>AVERAGE(300000000,400000000,400000000)</f>
        <v>366666666.66666669</v>
      </c>
      <c r="W52" s="11">
        <f>U52/(V52+U52)</f>
        <v>0.67647058823529416</v>
      </c>
      <c r="X52" s="11">
        <f>V52/(V52+U52)</f>
        <v>0.3235294117647059</v>
      </c>
      <c r="Y52" s="12">
        <f t="shared" si="26"/>
        <v>10.788906522578008</v>
      </c>
      <c r="Z52" s="12">
        <f t="shared" si="26"/>
        <v>10.287712379549451</v>
      </c>
    </row>
    <row r="53" spans="1:26" x14ac:dyDescent="0.3">
      <c r="A53" s="9" t="s">
        <v>55</v>
      </c>
      <c r="B53" s="10">
        <f>AVERAGE(1000000000,800000000,700000000)</f>
        <v>833333333.33333337</v>
      </c>
      <c r="C53" s="10">
        <f>AVERAGE(400000000,1000000000,700000000)</f>
        <v>700000000</v>
      </c>
      <c r="D53" s="10">
        <f>AVERAGE(10000,7000,5000,8000)</f>
        <v>7500</v>
      </c>
      <c r="E53" s="11">
        <f>C53/(D53+C53)</f>
        <v>0.99998928582908042</v>
      </c>
      <c r="F53" s="17">
        <f>D53/(D53+C53)</f>
        <v>1.071417091959729E-5</v>
      </c>
      <c r="G53" s="14">
        <f t="shared" si="24"/>
        <v>10.702749878828294</v>
      </c>
      <c r="H53" s="14">
        <f t="shared" si="24"/>
        <v>9.4576373809917609</v>
      </c>
      <c r="J53" s="9" t="s">
        <v>55</v>
      </c>
      <c r="K53" s="10">
        <f>AVERAGE(300000000,200000000,200000000,230000000,230000000,310000000)</f>
        <v>245000000</v>
      </c>
      <c r="L53" s="10">
        <f>AVERAGE(300000000,300000000,400000000,230000000,240000000,320000000)</f>
        <v>298333333.33333331</v>
      </c>
      <c r="M53" s="10">
        <f>AVERAGE(90000,100000,60000)</f>
        <v>83333.333333333328</v>
      </c>
      <c r="N53" s="11">
        <f>L53/(M53+L53)</f>
        <v>0.99972074839430336</v>
      </c>
      <c r="O53" s="17">
        <f>M53/(M53+L53)</f>
        <v>2.7925160569673279E-4</v>
      </c>
      <c r="P53" s="14">
        <f t="shared" si="25"/>
        <v>10.006656566077615</v>
      </c>
      <c r="Q53" s="14">
        <f t="shared" si="25"/>
        <v>9.2173230516580507</v>
      </c>
      <c r="S53" s="9" t="s">
        <v>55</v>
      </c>
      <c r="T53" s="10">
        <f>AVERAGE(300000000,400000000,200000000)</f>
        <v>300000000</v>
      </c>
      <c r="U53" s="10">
        <f>AVERAGE(100000000,100000000,400000000,250000000,240000000,290000000)</f>
        <v>230000000</v>
      </c>
      <c r="V53" s="10">
        <f>AVERAGE(100000,100000,200000,100000,160000,110000)</f>
        <v>128333.33333333333</v>
      </c>
      <c r="W53" s="11">
        <f>U53/(V53+U53)</f>
        <v>0.99944234014354305</v>
      </c>
      <c r="X53" s="17">
        <f>V53/(V53+U53)</f>
        <v>5.5765985645690448E-4</v>
      </c>
      <c r="Y53" s="14">
        <f t="shared" si="26"/>
        <v>10.167418145831737</v>
      </c>
      <c r="Z53" s="14">
        <f t="shared" si="26"/>
        <v>8.5743593426051934</v>
      </c>
    </row>
    <row r="54" spans="1:26" x14ac:dyDescent="0.3">
      <c r="F54" s="15"/>
      <c r="O54" s="15"/>
      <c r="X54" s="15"/>
    </row>
    <row r="55" spans="1:26" ht="15.6" x14ac:dyDescent="0.3">
      <c r="I55" s="1"/>
      <c r="J55" s="1"/>
      <c r="K55" s="8"/>
    </row>
    <row r="56" spans="1:26" ht="15.6" x14ac:dyDescent="0.3">
      <c r="B56" s="18"/>
      <c r="C56" s="18"/>
      <c r="D56" s="18"/>
      <c r="E56" s="18"/>
      <c r="G56" s="18" t="s">
        <v>32</v>
      </c>
      <c r="H56" s="18"/>
      <c r="P56" s="18"/>
      <c r="Q56" s="18"/>
      <c r="Y56" s="18" t="s">
        <v>32</v>
      </c>
      <c r="Z56" s="18"/>
    </row>
    <row r="57" spans="1:26" ht="21" x14ac:dyDescent="0.4">
      <c r="A57" s="19"/>
      <c r="B57" s="19"/>
      <c r="C57" s="19"/>
      <c r="D57" s="19"/>
      <c r="E57" s="1"/>
      <c r="G57" s="34" t="s">
        <v>44</v>
      </c>
      <c r="H57" s="34" t="s">
        <v>45</v>
      </c>
      <c r="K57" s="31" t="s">
        <v>39</v>
      </c>
      <c r="L57" s="16"/>
      <c r="M57" s="16"/>
      <c r="N57" s="16"/>
      <c r="O57" s="28"/>
      <c r="P57" s="28"/>
      <c r="Q57" s="30"/>
      <c r="R57" s="30"/>
      <c r="Y57" s="34" t="s">
        <v>44</v>
      </c>
      <c r="Z57" s="34" t="s">
        <v>45</v>
      </c>
    </row>
    <row r="58" spans="1:26" x14ac:dyDescent="0.3">
      <c r="A58" s="22"/>
      <c r="B58" s="16"/>
      <c r="C58" s="16"/>
      <c r="D58" s="16"/>
      <c r="E58" s="2"/>
      <c r="G58" s="23">
        <f t="shared" ref="G58:H65" si="33">SUM(G13,G24,G35,G46)</f>
        <v>46.207433046564169</v>
      </c>
      <c r="H58" s="23">
        <f t="shared" si="33"/>
        <v>45.17374992030787</v>
      </c>
      <c r="P58" s="16"/>
      <c r="Y58" s="23">
        <f>SUM(Y13,Y24,Y35,Y46)</f>
        <v>45.411573763344393</v>
      </c>
      <c r="Z58" s="23">
        <f>SUM(Z13,Z24,Z35,Z46)</f>
        <v>46.360151940093807</v>
      </c>
    </row>
    <row r="59" spans="1:26" ht="15.6" x14ac:dyDescent="0.3">
      <c r="A59" s="22"/>
      <c r="B59" s="16"/>
      <c r="C59" s="16"/>
      <c r="D59" s="16"/>
      <c r="E59" s="2"/>
      <c r="G59" s="23">
        <f t="shared" si="33"/>
        <v>46.413883924031587</v>
      </c>
      <c r="H59" s="23">
        <f t="shared" si="33"/>
        <v>45.002688491047138</v>
      </c>
      <c r="K59" s="24" t="s">
        <v>31</v>
      </c>
      <c r="L59" s="25"/>
      <c r="M59" s="9"/>
      <c r="N59" s="9"/>
      <c r="O59" s="9"/>
      <c r="P59" s="9"/>
      <c r="Q59" s="22"/>
      <c r="R59" s="22"/>
      <c r="Y59" s="23">
        <f t="shared" ref="Y59:Z65" si="34">SUM(Y14,Y25,Y36,Y47)</f>
        <v>45.929226329106122</v>
      </c>
      <c r="Z59" s="23">
        <f t="shared" si="34"/>
        <v>45.657133677850936</v>
      </c>
    </row>
    <row r="60" spans="1:26" ht="15.6" x14ac:dyDescent="0.3">
      <c r="A60" s="22"/>
      <c r="B60" s="22"/>
      <c r="C60" s="16"/>
      <c r="D60" s="16"/>
      <c r="E60" s="2"/>
      <c r="G60" s="23">
        <f t="shared" si="33"/>
        <v>47.091955829144233</v>
      </c>
      <c r="H60" s="23">
        <f t="shared" si="33"/>
        <v>44.953249558312642</v>
      </c>
      <c r="K60" s="9" t="s">
        <v>33</v>
      </c>
      <c r="L60" s="9"/>
      <c r="M60" s="9"/>
      <c r="N60" s="9"/>
      <c r="O60" s="9"/>
      <c r="P60" s="9"/>
      <c r="Q60" s="37"/>
      <c r="R60" s="37"/>
      <c r="Y60" s="23">
        <f t="shared" si="34"/>
        <v>46.082305659110517</v>
      </c>
      <c r="Z60" s="23">
        <f t="shared" si="34"/>
        <v>46.02528478949894</v>
      </c>
    </row>
    <row r="61" spans="1:26" ht="15.6" x14ac:dyDescent="0.3">
      <c r="A61" s="22"/>
      <c r="B61" s="16"/>
      <c r="C61" s="16"/>
      <c r="D61" s="16"/>
      <c r="E61" s="2"/>
      <c r="G61" s="23">
        <f t="shared" si="33"/>
        <v>46.314348250480677</v>
      </c>
      <c r="H61" s="23">
        <f t="shared" si="33"/>
        <v>42.033062140090657</v>
      </c>
      <c r="K61" s="32" t="s">
        <v>14</v>
      </c>
      <c r="L61" s="9" t="s">
        <v>34</v>
      </c>
      <c r="M61" s="9" t="s">
        <v>35</v>
      </c>
      <c r="N61" s="9" t="s">
        <v>36</v>
      </c>
      <c r="O61" s="26" t="s">
        <v>37</v>
      </c>
      <c r="P61" s="26" t="s">
        <v>38</v>
      </c>
      <c r="Q61" s="19"/>
      <c r="R61" s="19"/>
      <c r="Y61" s="23">
        <f t="shared" si="34"/>
        <v>47.770027734256871</v>
      </c>
      <c r="Z61" s="23">
        <f t="shared" si="34"/>
        <v>45.318331764399176</v>
      </c>
    </row>
    <row r="62" spans="1:26" x14ac:dyDescent="0.3">
      <c r="A62" s="22"/>
      <c r="B62" s="16"/>
      <c r="C62" s="16"/>
      <c r="D62" s="16"/>
      <c r="E62" s="2"/>
      <c r="G62" s="23">
        <f t="shared" si="33"/>
        <v>46.828921423310433</v>
      </c>
      <c r="H62" s="23">
        <f t="shared" si="33"/>
        <v>45.261880830586541</v>
      </c>
      <c r="K62" s="9" t="s">
        <v>20</v>
      </c>
      <c r="L62" s="10">
        <f>C46/D46</f>
        <v>2.0472440944881889</v>
      </c>
      <c r="M62" s="10">
        <f>L46/M46</f>
        <v>0.37777777777777777</v>
      </c>
      <c r="N62" s="10">
        <f>U46/V46</f>
        <v>0.3342857142857143</v>
      </c>
      <c r="O62" s="27">
        <f>AVERAGE(L62:N62)</f>
        <v>0.91976919551722691</v>
      </c>
      <c r="P62" s="39">
        <f>STDEV(L62:N62)/SQRT(3)</f>
        <v>0.56387724011345031</v>
      </c>
      <c r="Q62" s="38"/>
      <c r="R62" s="22"/>
      <c r="Y62" s="23">
        <f t="shared" si="34"/>
        <v>46.597846758874184</v>
      </c>
      <c r="Z62" s="23">
        <f t="shared" si="34"/>
        <v>46.155681426754619</v>
      </c>
    </row>
    <row r="63" spans="1:26" x14ac:dyDescent="0.3">
      <c r="A63" s="22"/>
      <c r="B63" s="22"/>
      <c r="C63" s="16"/>
      <c r="D63" s="16"/>
      <c r="E63" s="2"/>
      <c r="G63" s="23">
        <f t="shared" si="33"/>
        <v>46.67691832986538</v>
      </c>
      <c r="H63" s="23">
        <f t="shared" si="33"/>
        <v>44.354990234978018</v>
      </c>
      <c r="K63" s="9" t="s">
        <v>49</v>
      </c>
      <c r="L63" s="10">
        <f t="shared" ref="L63:L69" si="35">C47/D47</f>
        <v>2.6595744680851063</v>
      </c>
      <c r="M63" s="10">
        <f t="shared" ref="M63:M69" si="36">L47/M47</f>
        <v>0.60697674418604652</v>
      </c>
      <c r="N63" s="10">
        <f t="shared" ref="N63:N69" si="37">U47/V47</f>
        <v>0.77906976744186041</v>
      </c>
      <c r="O63" s="27">
        <f t="shared" ref="O63:O69" si="38">AVERAGE(L63:N63)</f>
        <v>1.3485403265710045</v>
      </c>
      <c r="P63" s="39">
        <f t="shared" ref="P63:P69" si="39">STDEV(L63:N63)/SQRT(3)</f>
        <v>0.65739685941979886</v>
      </c>
      <c r="Q63" s="23"/>
      <c r="Y63" s="23">
        <f t="shared" si="34"/>
        <v>46.354990234978025</v>
      </c>
      <c r="Z63" s="23">
        <f t="shared" si="34"/>
        <v>45.552797018036195</v>
      </c>
    </row>
    <row r="64" spans="1:26" x14ac:dyDescent="0.3">
      <c r="A64" s="22"/>
      <c r="B64" s="22"/>
      <c r="C64" s="16"/>
      <c r="D64" s="16"/>
      <c r="E64" s="2"/>
      <c r="G64" s="23">
        <f t="shared" si="33"/>
        <v>46.899310751201831</v>
      </c>
      <c r="H64" s="23">
        <f t="shared" si="33"/>
        <v>41.757954901956296</v>
      </c>
      <c r="K64" s="9" t="s">
        <v>50</v>
      </c>
      <c r="L64" s="10">
        <f t="shared" si="35"/>
        <v>4.4036697247706424</v>
      </c>
      <c r="M64" s="10">
        <f t="shared" si="36"/>
        <v>0.83333333333333326</v>
      </c>
      <c r="N64" s="10">
        <f t="shared" si="37"/>
        <v>0.6711711711711712</v>
      </c>
      <c r="O64" s="27">
        <f t="shared" si="38"/>
        <v>1.9693914097583824</v>
      </c>
      <c r="P64" s="39">
        <f t="shared" si="39"/>
        <v>1.2180390426026952</v>
      </c>
      <c r="Q64" s="23"/>
      <c r="Y64" s="23">
        <f t="shared" si="34"/>
        <v>47.708627189592725</v>
      </c>
      <c r="Z64" s="23">
        <f t="shared" si="34"/>
        <v>46.012228636673498</v>
      </c>
    </row>
    <row r="65" spans="1:26" x14ac:dyDescent="0.3">
      <c r="A65" s="22"/>
      <c r="B65" s="22"/>
      <c r="C65" s="16"/>
      <c r="D65" s="16"/>
      <c r="E65" s="2"/>
      <c r="G65" s="23">
        <f t="shared" si="33"/>
        <v>46.899310751201831</v>
      </c>
      <c r="H65" s="23">
        <f t="shared" si="33"/>
        <v>30.38920595031594</v>
      </c>
      <c r="K65" s="9" t="s">
        <v>51</v>
      </c>
      <c r="L65" s="10">
        <f t="shared" si="35"/>
        <v>19.444444444444446</v>
      </c>
      <c r="M65" s="10">
        <f t="shared" si="36"/>
        <v>9.6666666666666661</v>
      </c>
      <c r="N65" s="10">
        <f t="shared" si="37"/>
        <v>3.5294117647058827</v>
      </c>
      <c r="O65" s="27">
        <f t="shared" si="38"/>
        <v>10.880174291938999</v>
      </c>
      <c r="P65" s="39">
        <f t="shared" si="39"/>
        <v>4.6341671983479475</v>
      </c>
      <c r="Q65" s="23"/>
      <c r="Y65" s="23">
        <f t="shared" si="34"/>
        <v>45.971661595426518</v>
      </c>
      <c r="Z65" s="23">
        <f t="shared" si="34"/>
        <v>34.53187117918165</v>
      </c>
    </row>
    <row r="66" spans="1:26" x14ac:dyDescent="0.3">
      <c r="A66" s="22"/>
      <c r="B66" s="22"/>
      <c r="C66" s="22"/>
      <c r="D66" s="22"/>
      <c r="K66" s="9" t="s">
        <v>52</v>
      </c>
      <c r="L66" s="10">
        <f t="shared" si="35"/>
        <v>2.9629629629629628</v>
      </c>
      <c r="M66" s="10">
        <f t="shared" si="36"/>
        <v>0.9701492537313432</v>
      </c>
      <c r="N66" s="10">
        <f t="shared" si="37"/>
        <v>0.87654320987654322</v>
      </c>
      <c r="O66" s="27">
        <f t="shared" si="38"/>
        <v>1.6032184755236163</v>
      </c>
      <c r="P66" s="39">
        <f t="shared" si="39"/>
        <v>0.68040902556300753</v>
      </c>
    </row>
    <row r="67" spans="1:26" x14ac:dyDescent="0.3">
      <c r="A67" s="22"/>
      <c r="B67" s="22"/>
      <c r="C67" s="22"/>
      <c r="D67" s="22"/>
      <c r="K67" s="9" t="s">
        <v>53</v>
      </c>
      <c r="L67" s="10">
        <f t="shared" si="35"/>
        <v>5</v>
      </c>
      <c r="M67" s="10">
        <f t="shared" si="36"/>
        <v>0.89655172413793105</v>
      </c>
      <c r="N67" s="10">
        <f t="shared" si="37"/>
        <v>1.125</v>
      </c>
      <c r="O67" s="27">
        <f t="shared" si="38"/>
        <v>2.3405172413793101</v>
      </c>
      <c r="P67" s="39">
        <f t="shared" si="39"/>
        <v>1.3313756746609406</v>
      </c>
    </row>
    <row r="68" spans="1:26" x14ac:dyDescent="0.3">
      <c r="A68" s="22"/>
      <c r="B68" s="22"/>
      <c r="C68" s="22"/>
      <c r="D68" s="22"/>
      <c r="K68" s="9" t="s">
        <v>54</v>
      </c>
      <c r="L68" s="10">
        <f t="shared" si="35"/>
        <v>35.294117647058826</v>
      </c>
      <c r="M68" s="10">
        <f t="shared" si="36"/>
        <v>2.150537634408602</v>
      </c>
      <c r="N68" s="10">
        <f t="shared" si="37"/>
        <v>2.0909090909090908</v>
      </c>
      <c r="O68" s="27">
        <f t="shared" si="38"/>
        <v>13.178521457458841</v>
      </c>
      <c r="P68" s="39">
        <f t="shared" si="39"/>
        <v>11.057811492438081</v>
      </c>
    </row>
    <row r="69" spans="1:26" x14ac:dyDescent="0.3">
      <c r="A69" s="22"/>
      <c r="B69" s="16"/>
      <c r="C69" s="22"/>
      <c r="D69" s="22"/>
      <c r="K69" s="9" t="s">
        <v>55</v>
      </c>
      <c r="L69" s="10">
        <f t="shared" si="35"/>
        <v>93333.333333333328</v>
      </c>
      <c r="M69" s="10">
        <f t="shared" si="36"/>
        <v>3580</v>
      </c>
      <c r="N69" s="10">
        <f t="shared" si="37"/>
        <v>1792.2077922077922</v>
      </c>
      <c r="O69" s="27">
        <f t="shared" si="38"/>
        <v>32901.847041847039</v>
      </c>
      <c r="P69" s="39">
        <f t="shared" si="39"/>
        <v>30220.150296301381</v>
      </c>
    </row>
    <row r="70" spans="1:26" x14ac:dyDescent="0.3">
      <c r="A70" s="22"/>
      <c r="B70" s="16"/>
      <c r="C70" s="22"/>
      <c r="D70" s="22"/>
      <c r="O70" s="21" t="s">
        <v>57</v>
      </c>
    </row>
    <row r="71" spans="1:26" x14ac:dyDescent="0.3">
      <c r="A71" s="22"/>
      <c r="B71" s="16"/>
      <c r="C71" s="22"/>
      <c r="D71" s="22"/>
    </row>
    <row r="72" spans="1:26" x14ac:dyDescent="0.3">
      <c r="A72" s="22"/>
      <c r="B72" s="16"/>
      <c r="C72" s="22"/>
      <c r="D72" s="22"/>
    </row>
    <row r="73" spans="1:26" x14ac:dyDescent="0.3">
      <c r="A73" s="22"/>
      <c r="B73" s="22"/>
      <c r="C73" s="22"/>
      <c r="D73" s="22"/>
    </row>
  </sheetData>
  <mergeCells count="17">
    <mergeCell ref="B56:E56"/>
    <mergeCell ref="G56:H56"/>
    <mergeCell ref="P56:Q56"/>
    <mergeCell ref="Y56:Z56"/>
    <mergeCell ref="Q60:R60"/>
    <mergeCell ref="G33:H33"/>
    <mergeCell ref="P33:Q33"/>
    <mergeCell ref="Y33:Z33"/>
    <mergeCell ref="G44:H44"/>
    <mergeCell ref="P44:Q44"/>
    <mergeCell ref="Y44:Z44"/>
    <mergeCell ref="G11:H11"/>
    <mergeCell ref="P11:Q11"/>
    <mergeCell ref="Y11:Z11"/>
    <mergeCell ref="G22:H22"/>
    <mergeCell ref="P22:Q22"/>
    <mergeCell ref="Y22:Z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Kamba+Strep</vt:lpstr>
      <vt:lpstr>Rup+Tet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Brigitta</dc:creator>
  <cp:lastModifiedBy>Brigitta</cp:lastModifiedBy>
  <dcterms:created xsi:type="dcterms:W3CDTF">2018-04-30T22:07:56Z</dcterms:created>
  <dcterms:modified xsi:type="dcterms:W3CDTF">2018-04-30T22:20:01Z</dcterms:modified>
</cp:coreProperties>
</file>