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403\Documents\Genetics\Kelpie\PeerJ\"/>
    </mc:Choice>
  </mc:AlternateContent>
  <bookViews>
    <workbookView xWindow="0" yWindow="0" windowWidth="18320" windowHeight="260" activeTab="13"/>
  </bookViews>
  <sheets>
    <sheet name="AESS summary" sheetId="19" r:id="rId1"/>
    <sheet name="AESS-all" sheetId="1" r:id="rId2"/>
    <sheet name=" AESS-all noLineage" sheetId="44" r:id="rId3"/>
    <sheet name="AESS-all Pct" sheetId="2" r:id="rId4"/>
    <sheet name="AESS-W1" sheetId="3" r:id="rId5"/>
    <sheet name="AESS-W2" sheetId="4" r:id="rId6"/>
    <sheet name="AESS-W3" sheetId="5" r:id="rId7"/>
    <sheet name="AE summary" sheetId="41" r:id="rId8"/>
    <sheet name="AE-All" sheetId="33" r:id="rId9"/>
    <sheet name="AE sample" sheetId="40" r:id="rId10"/>
    <sheet name="AE-W1" sheetId="11" r:id="rId11"/>
    <sheet name="AE-W2" sheetId="13" r:id="rId12"/>
    <sheet name="AE-W3" sheetId="14" r:id="rId13"/>
    <sheet name="K-A W1" sheetId="45" r:id="rId14"/>
    <sheet name="K-A W2" sheetId="46" r:id="rId15"/>
    <sheet name="K-A W3" sheetId="47" r:id="rId16"/>
    <sheet name="All MECSM samples" sheetId="16" r:id="rId17"/>
    <sheet name="Kelpie stats" sheetId="30" r:id="rId18"/>
    <sheet name="Identity K-A all" sheetId="36" state="hidden" r:id="rId19"/>
    <sheet name="Identity K-A W1" sheetId="37" state="hidden" r:id="rId20"/>
    <sheet name="Identity K-A W2" sheetId="38" state="hidden" r:id="rId21"/>
    <sheet name="Identity K-A W3" sheetId="39" state="hidden" r:id="rId22"/>
    <sheet name="MetaPhlAn" sheetId="20" state="hidden" r:id="rId23"/>
    <sheet name="MPA species" sheetId="21" state="hidden" r:id="rId24"/>
    <sheet name="MPA genus" sheetId="22" state="hidden" r:id="rId25"/>
    <sheet name="AESS genus" sheetId="24" state="hidden" r:id="rId26"/>
    <sheet name="W1 genus" sheetId="27" state="hidden" r:id="rId27"/>
    <sheet name="W2 genus" sheetId="28" state="hidden" r:id="rId28"/>
    <sheet name="W3 genus" sheetId="29" state="hidden" r:id="rId29"/>
  </sheets>
  <externalReferences>
    <externalReference r:id="rId30"/>
  </externalReferences>
  <definedNames>
    <definedName name="_xlnm._FilterDatabase" localSheetId="8" hidden="1">'AE-All'!$P$1:$P$229</definedName>
    <definedName name="_xlnm._FilterDatabase" localSheetId="24" hidden="1">'MPA genus'!$A$21:$F$60</definedName>
    <definedName name="_xlnm._FilterDatabase" localSheetId="23" hidden="1">'MPA species'!$A$22:$G$71</definedName>
    <definedName name="_xlnm.Extract" localSheetId="24">'MPA genus'!$I$21:$N$21</definedName>
    <definedName name="_xlnm.Extract" localSheetId="23">'MPA species'!$J$22:$P$22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9" l="1"/>
  <c r="AB14" i="19"/>
  <c r="AB13" i="19"/>
  <c r="AB12" i="19"/>
  <c r="AB7" i="19"/>
  <c r="AB6" i="19"/>
  <c r="AB5" i="19"/>
  <c r="AB4" i="19"/>
  <c r="U13" i="19"/>
  <c r="U14" i="19"/>
  <c r="U15" i="19"/>
  <c r="U12" i="19"/>
  <c r="U5" i="19"/>
  <c r="U6" i="19"/>
  <c r="U7" i="19"/>
  <c r="U4" i="19"/>
  <c r="T15" i="19"/>
  <c r="T14" i="19"/>
  <c r="T13" i="19"/>
  <c r="T12" i="19"/>
  <c r="AA15" i="19"/>
  <c r="AA14" i="19"/>
  <c r="AA13" i="19"/>
  <c r="AA12" i="19"/>
  <c r="AA7" i="19"/>
  <c r="AA6" i="19"/>
  <c r="AA5" i="19"/>
  <c r="AA4" i="19"/>
  <c r="T5" i="19"/>
  <c r="T6" i="19"/>
  <c r="T7" i="19"/>
  <c r="T4" i="19"/>
  <c r="Q5" i="19"/>
  <c r="N124" i="47" l="1"/>
  <c r="N123" i="47"/>
  <c r="N122" i="47"/>
  <c r="N121" i="47"/>
  <c r="N120" i="47"/>
  <c r="N119" i="47"/>
  <c r="N118" i="47"/>
  <c r="N117" i="47"/>
  <c r="N116" i="47"/>
  <c r="N115" i="47"/>
  <c r="N114" i="47"/>
  <c r="N113" i="47"/>
  <c r="N112" i="47"/>
  <c r="N111" i="47"/>
  <c r="N110" i="47"/>
  <c r="N109" i="47"/>
  <c r="N108" i="47"/>
  <c r="N107" i="47"/>
  <c r="N106" i="47"/>
  <c r="N105" i="47"/>
  <c r="N104" i="47"/>
  <c r="N103" i="47"/>
  <c r="N102" i="47"/>
  <c r="N101" i="47"/>
  <c r="N100" i="47"/>
  <c r="N99" i="47"/>
  <c r="N98" i="47"/>
  <c r="N97" i="47"/>
  <c r="N96" i="47"/>
  <c r="N95" i="47"/>
  <c r="N94" i="47"/>
  <c r="N93" i="47"/>
  <c r="N92" i="47"/>
  <c r="N91" i="47"/>
  <c r="N90" i="47"/>
  <c r="N89" i="47"/>
  <c r="N88" i="47"/>
  <c r="N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C59" i="47"/>
  <c r="N58" i="47"/>
  <c r="C58" i="47"/>
  <c r="N57" i="47"/>
  <c r="C57" i="47"/>
  <c r="N56" i="47"/>
  <c r="C56" i="47"/>
  <c r="N55" i="47"/>
  <c r="C55" i="47"/>
  <c r="N54" i="47"/>
  <c r="C54" i="47"/>
  <c r="N53" i="47"/>
  <c r="C53" i="47"/>
  <c r="N52" i="47"/>
  <c r="C52" i="47"/>
  <c r="N51" i="47"/>
  <c r="C51" i="47"/>
  <c r="N50" i="47"/>
  <c r="C50" i="47"/>
  <c r="N49" i="47"/>
  <c r="C49" i="47"/>
  <c r="N48" i="47"/>
  <c r="C48" i="47"/>
  <c r="N47" i="47"/>
  <c r="C47" i="47"/>
  <c r="N46" i="47"/>
  <c r="C46" i="47"/>
  <c r="N45" i="47"/>
  <c r="C45" i="47"/>
  <c r="N44" i="47"/>
  <c r="C44" i="47"/>
  <c r="N43" i="47"/>
  <c r="C43" i="47"/>
  <c r="N42" i="47"/>
  <c r="C42" i="47"/>
  <c r="N41" i="47"/>
  <c r="C41" i="47"/>
  <c r="N40" i="47"/>
  <c r="C40" i="47"/>
  <c r="N39" i="47"/>
  <c r="C39" i="47"/>
  <c r="N38" i="47"/>
  <c r="C38" i="47"/>
  <c r="N37" i="47"/>
  <c r="C37" i="47"/>
  <c r="N36" i="47"/>
  <c r="C36" i="47"/>
  <c r="N35" i="47"/>
  <c r="C35" i="47"/>
  <c r="N34" i="47"/>
  <c r="C34" i="47"/>
  <c r="N33" i="47"/>
  <c r="C33" i="47"/>
  <c r="N32" i="47"/>
  <c r="C32" i="47"/>
  <c r="N31" i="47"/>
  <c r="C31" i="47"/>
  <c r="N30" i="47"/>
  <c r="C30" i="47"/>
  <c r="N29" i="47"/>
  <c r="C29" i="47"/>
  <c r="N28" i="47"/>
  <c r="C28" i="47"/>
  <c r="N27" i="47"/>
  <c r="C27" i="47"/>
  <c r="N26" i="47"/>
  <c r="C26" i="47"/>
  <c r="N25" i="47"/>
  <c r="C25" i="47"/>
  <c r="N24" i="47"/>
  <c r="C24" i="47"/>
  <c r="N23" i="47"/>
  <c r="C23" i="47"/>
  <c r="N22" i="47"/>
  <c r="C22" i="47"/>
  <c r="N21" i="47"/>
  <c r="C21" i="47"/>
  <c r="N20" i="47"/>
  <c r="C20" i="47"/>
  <c r="N19" i="47"/>
  <c r="C19" i="47"/>
  <c r="N18" i="47"/>
  <c r="C18" i="47"/>
  <c r="N17" i="47"/>
  <c r="C17" i="47"/>
  <c r="N16" i="47"/>
  <c r="C16" i="47"/>
  <c r="N15" i="47"/>
  <c r="C15" i="47"/>
  <c r="N14" i="47"/>
  <c r="C14" i="47"/>
  <c r="N13" i="47"/>
  <c r="C13" i="47"/>
  <c r="N12" i="47"/>
  <c r="C12" i="47"/>
  <c r="N11" i="47"/>
  <c r="C11" i="47"/>
  <c r="N10" i="47"/>
  <c r="C10" i="47"/>
  <c r="N9" i="47"/>
  <c r="C9" i="47"/>
  <c r="N8" i="47"/>
  <c r="C8" i="47"/>
  <c r="N7" i="47"/>
  <c r="C7" i="47"/>
  <c r="N6" i="47"/>
  <c r="C6" i="47"/>
  <c r="N5" i="47"/>
  <c r="C5" i="47"/>
  <c r="N4" i="47"/>
  <c r="C4" i="47"/>
  <c r="N3" i="47"/>
  <c r="C3" i="47"/>
  <c r="N105" i="46"/>
  <c r="N104" i="46"/>
  <c r="N103" i="46"/>
  <c r="N102" i="46"/>
  <c r="N101" i="46"/>
  <c r="N100" i="46"/>
  <c r="N99" i="46"/>
  <c r="N98" i="46"/>
  <c r="N97" i="46"/>
  <c r="N96" i="46"/>
  <c r="N95" i="46"/>
  <c r="N94" i="46"/>
  <c r="N93" i="46"/>
  <c r="N92" i="46"/>
  <c r="N91" i="46"/>
  <c r="N90" i="46"/>
  <c r="N89" i="46"/>
  <c r="N88" i="46"/>
  <c r="N87" i="46"/>
  <c r="N86" i="46"/>
  <c r="N85" i="46"/>
  <c r="N84" i="46"/>
  <c r="N83" i="46"/>
  <c r="N82" i="46"/>
  <c r="N81" i="46"/>
  <c r="N80" i="46"/>
  <c r="N79" i="46"/>
  <c r="N78" i="46"/>
  <c r="N77" i="46"/>
  <c r="N76" i="46"/>
  <c r="N75" i="46"/>
  <c r="N74" i="46"/>
  <c r="N73" i="46"/>
  <c r="N72" i="46"/>
  <c r="N71" i="46"/>
  <c r="N70" i="46"/>
  <c r="N69" i="46"/>
  <c r="N68" i="46"/>
  <c r="N67" i="46"/>
  <c r="N66" i="46"/>
  <c r="N65" i="46"/>
  <c r="N64" i="46"/>
  <c r="N63" i="46"/>
  <c r="N62" i="46"/>
  <c r="N61" i="46"/>
  <c r="N60" i="46"/>
  <c r="N59" i="46"/>
  <c r="N58" i="46"/>
  <c r="N57" i="46"/>
  <c r="N56" i="46"/>
  <c r="N55" i="46"/>
  <c r="N54" i="46"/>
  <c r="N53" i="46"/>
  <c r="N52" i="46"/>
  <c r="N51" i="46"/>
  <c r="N50" i="46"/>
  <c r="N49" i="46"/>
  <c r="N48" i="46"/>
  <c r="N47" i="46"/>
  <c r="N46" i="46"/>
  <c r="N45" i="46"/>
  <c r="N44" i="46"/>
  <c r="N43" i="46"/>
  <c r="N42" i="46"/>
  <c r="N41" i="46"/>
  <c r="N40" i="46"/>
  <c r="N39" i="46"/>
  <c r="N38" i="46"/>
  <c r="N37" i="46"/>
  <c r="N36" i="46"/>
  <c r="N35" i="46"/>
  <c r="N34" i="46"/>
  <c r="N33" i="46"/>
  <c r="N32" i="46"/>
  <c r="C32" i="46"/>
  <c r="N31" i="46"/>
  <c r="E31" i="46"/>
  <c r="C31" i="46"/>
  <c r="N30" i="46"/>
  <c r="C30" i="46"/>
  <c r="E30" i="46" s="1"/>
  <c r="N29" i="46"/>
  <c r="E29" i="46"/>
  <c r="C29" i="46"/>
  <c r="N28" i="46"/>
  <c r="C28" i="46"/>
  <c r="N27" i="46"/>
  <c r="E27" i="46"/>
  <c r="C27" i="46"/>
  <c r="N26" i="46"/>
  <c r="C26" i="46"/>
  <c r="E26" i="46" s="1"/>
  <c r="N25" i="46"/>
  <c r="E25" i="46"/>
  <c r="C25" i="46"/>
  <c r="N24" i="46"/>
  <c r="C24" i="46"/>
  <c r="N23" i="46"/>
  <c r="E23" i="46"/>
  <c r="C23" i="46"/>
  <c r="N22" i="46"/>
  <c r="C22" i="46"/>
  <c r="E22" i="46" s="1"/>
  <c r="N21" i="46"/>
  <c r="E21" i="46"/>
  <c r="C21" i="46"/>
  <c r="N20" i="46"/>
  <c r="C20" i="46"/>
  <c r="N19" i="46"/>
  <c r="E19" i="46"/>
  <c r="C19" i="46"/>
  <c r="N18" i="46"/>
  <c r="C18" i="46"/>
  <c r="E18" i="46" s="1"/>
  <c r="N17" i="46"/>
  <c r="E17" i="46"/>
  <c r="C17" i="46"/>
  <c r="N16" i="46"/>
  <c r="C16" i="46"/>
  <c r="N15" i="46"/>
  <c r="E15" i="46"/>
  <c r="C15" i="46"/>
  <c r="N14" i="46"/>
  <c r="C14" i="46"/>
  <c r="E14" i="46" s="1"/>
  <c r="N13" i="46"/>
  <c r="E13" i="46"/>
  <c r="C13" i="46"/>
  <c r="N12" i="46"/>
  <c r="C12" i="46"/>
  <c r="N11" i="46"/>
  <c r="E11" i="46"/>
  <c r="C11" i="46"/>
  <c r="N10" i="46"/>
  <c r="C10" i="46"/>
  <c r="E10" i="46" s="1"/>
  <c r="N9" i="46"/>
  <c r="E9" i="46"/>
  <c r="C9" i="46"/>
  <c r="N8" i="46"/>
  <c r="C8" i="46"/>
  <c r="N7" i="46"/>
  <c r="E7" i="46"/>
  <c r="C7" i="46"/>
  <c r="N6" i="46"/>
  <c r="C6" i="46"/>
  <c r="E6" i="46" s="1"/>
  <c r="N5" i="46"/>
  <c r="E5" i="46"/>
  <c r="C5" i="46"/>
  <c r="N4" i="46"/>
  <c r="E4" i="46"/>
  <c r="C4" i="46"/>
  <c r="F4" i="46" s="1"/>
  <c r="N3" i="46"/>
  <c r="E3" i="46"/>
  <c r="C3" i="46"/>
  <c r="F3" i="46" s="1"/>
  <c r="N122" i="45"/>
  <c r="N121" i="45"/>
  <c r="N120" i="45"/>
  <c r="N119" i="45"/>
  <c r="N118" i="45"/>
  <c r="N117" i="45"/>
  <c r="N116" i="45"/>
  <c r="N115" i="45"/>
  <c r="N114" i="45"/>
  <c r="N113" i="45"/>
  <c r="N112" i="45"/>
  <c r="N111" i="45"/>
  <c r="N110" i="45"/>
  <c r="N109" i="45"/>
  <c r="N108" i="45"/>
  <c r="N107" i="45"/>
  <c r="N106" i="45"/>
  <c r="N105" i="45"/>
  <c r="N104" i="45"/>
  <c r="N103" i="45"/>
  <c r="N102" i="45"/>
  <c r="N101" i="45"/>
  <c r="N100" i="45"/>
  <c r="N99" i="45"/>
  <c r="N98" i="45"/>
  <c r="N97" i="45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N80" i="45"/>
  <c r="N79" i="45"/>
  <c r="N78" i="45"/>
  <c r="N77" i="45"/>
  <c r="N76" i="45"/>
  <c r="N75" i="45"/>
  <c r="N74" i="45"/>
  <c r="N73" i="45"/>
  <c r="N72" i="45"/>
  <c r="N71" i="45"/>
  <c r="N70" i="45"/>
  <c r="N69" i="45"/>
  <c r="N68" i="45"/>
  <c r="N67" i="45"/>
  <c r="N66" i="45"/>
  <c r="N65" i="45"/>
  <c r="N64" i="45"/>
  <c r="N63" i="45"/>
  <c r="N62" i="45"/>
  <c r="N61" i="45"/>
  <c r="N60" i="45"/>
  <c r="N59" i="45"/>
  <c r="N58" i="45"/>
  <c r="N57" i="45"/>
  <c r="N56" i="45"/>
  <c r="N55" i="45"/>
  <c r="N54" i="45"/>
  <c r="N53" i="45"/>
  <c r="N52" i="45"/>
  <c r="N51" i="45"/>
  <c r="N50" i="45"/>
  <c r="N49" i="45"/>
  <c r="N48" i="45"/>
  <c r="N47" i="45"/>
  <c r="N46" i="45"/>
  <c r="N45" i="45"/>
  <c r="N44" i="45"/>
  <c r="N43" i="45"/>
  <c r="N42" i="45"/>
  <c r="N41" i="45"/>
  <c r="C41" i="45"/>
  <c r="E41" i="45" s="1"/>
  <c r="N40" i="45"/>
  <c r="C40" i="45"/>
  <c r="E40" i="45" s="1"/>
  <c r="N39" i="45"/>
  <c r="C39" i="45"/>
  <c r="E39" i="45" s="1"/>
  <c r="N38" i="45"/>
  <c r="C38" i="45"/>
  <c r="E38" i="45" s="1"/>
  <c r="N37" i="45"/>
  <c r="C37" i="45"/>
  <c r="E37" i="45" s="1"/>
  <c r="N36" i="45"/>
  <c r="C36" i="45"/>
  <c r="E36" i="45" s="1"/>
  <c r="N35" i="45"/>
  <c r="C35" i="45"/>
  <c r="E35" i="45" s="1"/>
  <c r="N34" i="45"/>
  <c r="C34" i="45"/>
  <c r="E34" i="45" s="1"/>
  <c r="N33" i="45"/>
  <c r="C33" i="45"/>
  <c r="E33" i="45" s="1"/>
  <c r="N32" i="45"/>
  <c r="C32" i="45"/>
  <c r="E32" i="45" s="1"/>
  <c r="N31" i="45"/>
  <c r="C31" i="45"/>
  <c r="E31" i="45" s="1"/>
  <c r="N30" i="45"/>
  <c r="C30" i="45"/>
  <c r="E30" i="45" s="1"/>
  <c r="N29" i="45"/>
  <c r="C29" i="45"/>
  <c r="E29" i="45" s="1"/>
  <c r="N28" i="45"/>
  <c r="C28" i="45"/>
  <c r="E28" i="45" s="1"/>
  <c r="N27" i="45"/>
  <c r="C27" i="45"/>
  <c r="E27" i="45" s="1"/>
  <c r="N26" i="45"/>
  <c r="C26" i="45"/>
  <c r="E26" i="45" s="1"/>
  <c r="N25" i="45"/>
  <c r="C25" i="45"/>
  <c r="E25" i="45" s="1"/>
  <c r="N24" i="45"/>
  <c r="C24" i="45"/>
  <c r="E24" i="45" s="1"/>
  <c r="N23" i="45"/>
  <c r="C23" i="45"/>
  <c r="E23" i="45" s="1"/>
  <c r="N22" i="45"/>
  <c r="C22" i="45"/>
  <c r="E22" i="45" s="1"/>
  <c r="N21" i="45"/>
  <c r="C21" i="45"/>
  <c r="E21" i="45" s="1"/>
  <c r="N20" i="45"/>
  <c r="C20" i="45"/>
  <c r="E20" i="45" s="1"/>
  <c r="N19" i="45"/>
  <c r="C19" i="45"/>
  <c r="E19" i="45" s="1"/>
  <c r="N18" i="45"/>
  <c r="C18" i="45"/>
  <c r="E18" i="45" s="1"/>
  <c r="N17" i="45"/>
  <c r="C17" i="45"/>
  <c r="E17" i="45" s="1"/>
  <c r="N16" i="45"/>
  <c r="C16" i="45"/>
  <c r="E16" i="45" s="1"/>
  <c r="N15" i="45"/>
  <c r="C15" i="45"/>
  <c r="E15" i="45" s="1"/>
  <c r="N14" i="45"/>
  <c r="C14" i="45"/>
  <c r="E14" i="45" s="1"/>
  <c r="N13" i="45"/>
  <c r="C13" i="45"/>
  <c r="E13" i="45" s="1"/>
  <c r="N12" i="45"/>
  <c r="C12" i="45"/>
  <c r="E12" i="45" s="1"/>
  <c r="N11" i="45"/>
  <c r="C11" i="45"/>
  <c r="E11" i="45" s="1"/>
  <c r="N10" i="45"/>
  <c r="C10" i="45"/>
  <c r="E10" i="45" s="1"/>
  <c r="N9" i="45"/>
  <c r="C9" i="45"/>
  <c r="E9" i="45" s="1"/>
  <c r="N8" i="45"/>
  <c r="C8" i="45"/>
  <c r="E8" i="45" s="1"/>
  <c r="N7" i="45"/>
  <c r="C7" i="45"/>
  <c r="E7" i="45" s="1"/>
  <c r="N6" i="45"/>
  <c r="F6" i="45"/>
  <c r="C6" i="45"/>
  <c r="E6" i="45" s="1"/>
  <c r="N5" i="45"/>
  <c r="C5" i="45"/>
  <c r="E5" i="45" s="1"/>
  <c r="N4" i="45"/>
  <c r="F4" i="45"/>
  <c r="C4" i="45"/>
  <c r="E4" i="45" s="1"/>
  <c r="T3" i="45"/>
  <c r="R3" i="45"/>
  <c r="N3" i="45"/>
  <c r="F3" i="45" s="1"/>
  <c r="E3" i="45"/>
  <c r="R7" i="45" s="1"/>
  <c r="S7" i="45" s="1"/>
  <c r="C3" i="45"/>
  <c r="R4" i="45" l="1"/>
  <c r="F5" i="45"/>
  <c r="F7" i="45"/>
  <c r="F5" i="46"/>
  <c r="F9" i="46"/>
  <c r="F13" i="46"/>
  <c r="F17" i="46"/>
  <c r="F21" i="46"/>
  <c r="F25" i="46"/>
  <c r="F29" i="46"/>
  <c r="F9" i="45"/>
  <c r="F10" i="45"/>
  <c r="F12" i="45"/>
  <c r="F14" i="45"/>
  <c r="F16" i="45"/>
  <c r="F18" i="45"/>
  <c r="F20" i="45"/>
  <c r="F23" i="45"/>
  <c r="F24" i="45"/>
  <c r="F27" i="45"/>
  <c r="F29" i="45"/>
  <c r="F30" i="45"/>
  <c r="F32" i="45"/>
  <c r="F34" i="45"/>
  <c r="F36" i="45"/>
  <c r="F38" i="45"/>
  <c r="F40" i="45"/>
  <c r="F41" i="45"/>
  <c r="F8" i="46"/>
  <c r="F12" i="46"/>
  <c r="F16" i="46"/>
  <c r="F20" i="46"/>
  <c r="F24" i="46"/>
  <c r="F28" i="46"/>
  <c r="F32" i="46"/>
  <c r="F3" i="47"/>
  <c r="E3" i="47"/>
  <c r="F5" i="47"/>
  <c r="E5" i="47"/>
  <c r="F7" i="47"/>
  <c r="E7" i="47"/>
  <c r="F9" i="47"/>
  <c r="E9" i="47"/>
  <c r="F11" i="47"/>
  <c r="E11" i="47"/>
  <c r="F13" i="47"/>
  <c r="E13" i="47"/>
  <c r="F15" i="47"/>
  <c r="E15" i="47"/>
  <c r="F17" i="47"/>
  <c r="E17" i="47"/>
  <c r="F19" i="47"/>
  <c r="E19" i="47"/>
  <c r="F21" i="47"/>
  <c r="E21" i="47"/>
  <c r="F23" i="47"/>
  <c r="E23" i="47"/>
  <c r="F25" i="47"/>
  <c r="E25" i="47"/>
  <c r="F27" i="47"/>
  <c r="E27" i="47"/>
  <c r="F29" i="47"/>
  <c r="E29" i="47"/>
  <c r="F31" i="47"/>
  <c r="E31" i="47"/>
  <c r="F33" i="47"/>
  <c r="E33" i="47"/>
  <c r="F35" i="47"/>
  <c r="E35" i="47"/>
  <c r="F37" i="47"/>
  <c r="E37" i="47"/>
  <c r="F39" i="47"/>
  <c r="E39" i="47"/>
  <c r="F41" i="47"/>
  <c r="E41" i="47"/>
  <c r="F43" i="47"/>
  <c r="E43" i="47"/>
  <c r="F45" i="47"/>
  <c r="E45" i="47"/>
  <c r="F47" i="47"/>
  <c r="E47" i="47"/>
  <c r="F49" i="47"/>
  <c r="E49" i="47"/>
  <c r="F51" i="47"/>
  <c r="E51" i="47"/>
  <c r="F53" i="47"/>
  <c r="F55" i="47"/>
  <c r="F57" i="47"/>
  <c r="F59" i="47"/>
  <c r="F8" i="45"/>
  <c r="F11" i="45"/>
  <c r="F13" i="45"/>
  <c r="F15" i="45"/>
  <c r="F17" i="45"/>
  <c r="F19" i="45"/>
  <c r="F21" i="45"/>
  <c r="F22" i="45"/>
  <c r="F25" i="45"/>
  <c r="F26" i="45"/>
  <c r="F28" i="45"/>
  <c r="F31" i="45"/>
  <c r="F33" i="45"/>
  <c r="F35" i="45"/>
  <c r="F37" i="45"/>
  <c r="F39" i="45"/>
  <c r="F7" i="46"/>
  <c r="E8" i="46"/>
  <c r="T4" i="45" s="1"/>
  <c r="F11" i="46"/>
  <c r="E12" i="46"/>
  <c r="F15" i="46"/>
  <c r="E16" i="46"/>
  <c r="F19" i="46"/>
  <c r="E20" i="46"/>
  <c r="F23" i="46"/>
  <c r="E24" i="46"/>
  <c r="F27" i="46"/>
  <c r="E28" i="46"/>
  <c r="F31" i="46"/>
  <c r="E32" i="46"/>
  <c r="F6" i="46"/>
  <c r="F10" i="46"/>
  <c r="F14" i="46"/>
  <c r="F18" i="46"/>
  <c r="F22" i="46"/>
  <c r="F26" i="46"/>
  <c r="F30" i="46"/>
  <c r="F4" i="47"/>
  <c r="E4" i="47"/>
  <c r="F6" i="47"/>
  <c r="E6" i="47"/>
  <c r="F8" i="47"/>
  <c r="E8" i="47"/>
  <c r="F10" i="47"/>
  <c r="E10" i="47"/>
  <c r="F12" i="47"/>
  <c r="E12" i="47"/>
  <c r="F14" i="47"/>
  <c r="E14" i="47"/>
  <c r="F16" i="47"/>
  <c r="E16" i="47"/>
  <c r="F18" i="47"/>
  <c r="E18" i="47"/>
  <c r="F20" i="47"/>
  <c r="E20" i="47"/>
  <c r="F22" i="47"/>
  <c r="E22" i="47"/>
  <c r="F24" i="47"/>
  <c r="E24" i="47"/>
  <c r="F26" i="47"/>
  <c r="E26" i="47"/>
  <c r="F28" i="47"/>
  <c r="E28" i="47"/>
  <c r="F30" i="47"/>
  <c r="E30" i="47"/>
  <c r="F32" i="47"/>
  <c r="E32" i="47"/>
  <c r="F34" i="47"/>
  <c r="E34" i="47"/>
  <c r="F36" i="47"/>
  <c r="E36" i="47"/>
  <c r="F38" i="47"/>
  <c r="E38" i="47"/>
  <c r="F40" i="47"/>
  <c r="E40" i="47"/>
  <c r="F42" i="47"/>
  <c r="E42" i="47"/>
  <c r="F44" i="47"/>
  <c r="E44" i="47"/>
  <c r="F46" i="47"/>
  <c r="E46" i="47"/>
  <c r="F48" i="47"/>
  <c r="E48" i="47"/>
  <c r="F50" i="47"/>
  <c r="E50" i="47"/>
  <c r="F52" i="47"/>
  <c r="E52" i="47"/>
  <c r="F54" i="47"/>
  <c r="F56" i="47"/>
  <c r="F58" i="47"/>
  <c r="E53" i="47"/>
  <c r="E54" i="47"/>
  <c r="E55" i="47"/>
  <c r="E56" i="47"/>
  <c r="E57" i="47"/>
  <c r="E58" i="47"/>
  <c r="E59" i="47"/>
  <c r="U4" i="45" l="1"/>
  <c r="T5" i="45"/>
  <c r="U5" i="45" s="1"/>
  <c r="V3" i="45"/>
  <c r="V7" i="45"/>
  <c r="W7" i="45" s="1"/>
  <c r="V4" i="45"/>
  <c r="R5" i="45"/>
  <c r="S5" i="45" s="1"/>
  <c r="S4" i="45"/>
  <c r="R6" i="45"/>
  <c r="S6" i="45" s="1"/>
  <c r="T7" i="45"/>
  <c r="U7" i="45" s="1"/>
  <c r="T6" i="45" l="1"/>
  <c r="U6" i="45" s="1"/>
  <c r="W4" i="45"/>
  <c r="V5" i="45"/>
  <c r="W5" i="45" s="1"/>
  <c r="V6" i="45" l="1"/>
  <c r="W6" i="45" s="1"/>
  <c r="AI4" i="33" l="1"/>
  <c r="B2" i="44" l="1"/>
  <c r="S223" i="44" s="1"/>
  <c r="Q1" i="44"/>
  <c r="P1" i="44"/>
  <c r="O1" i="44"/>
  <c r="N1" i="44"/>
  <c r="M1" i="44"/>
  <c r="L1" i="44"/>
  <c r="K1" i="44"/>
  <c r="J1" i="44"/>
  <c r="I1" i="44"/>
  <c r="H1" i="44"/>
  <c r="G1" i="44"/>
  <c r="F1" i="44"/>
  <c r="S6" i="44" l="1"/>
  <c r="S14" i="44"/>
  <c r="S100" i="44"/>
  <c r="S164" i="44"/>
  <c r="S8" i="44"/>
  <c r="S16" i="44"/>
  <c r="S111" i="44"/>
  <c r="S175" i="44"/>
  <c r="S10" i="44"/>
  <c r="S69" i="44"/>
  <c r="S132" i="44"/>
  <c r="S196" i="44"/>
  <c r="S4" i="44"/>
  <c r="T4" i="44" s="1"/>
  <c r="S12" i="44"/>
  <c r="S79" i="44"/>
  <c r="S143" i="44"/>
  <c r="S207" i="44"/>
  <c r="S20" i="44"/>
  <c r="S24" i="44"/>
  <c r="S28" i="44"/>
  <c r="S32" i="44"/>
  <c r="S36" i="44"/>
  <c r="S40" i="44"/>
  <c r="S44" i="44"/>
  <c r="S48" i="44"/>
  <c r="S52" i="44"/>
  <c r="S56" i="44"/>
  <c r="S60" i="44"/>
  <c r="S71" i="44"/>
  <c r="S92" i="44"/>
  <c r="S103" i="44"/>
  <c r="S124" i="44"/>
  <c r="S135" i="44"/>
  <c r="S156" i="44"/>
  <c r="S167" i="44"/>
  <c r="S188" i="44"/>
  <c r="S199" i="44"/>
  <c r="S220" i="44"/>
  <c r="S5" i="44"/>
  <c r="S7" i="44"/>
  <c r="S9" i="44"/>
  <c r="S11" i="44"/>
  <c r="S13" i="44"/>
  <c r="S15" i="44"/>
  <c r="S61" i="44"/>
  <c r="S66" i="44"/>
  <c r="S84" i="44"/>
  <c r="S95" i="44"/>
  <c r="S116" i="44"/>
  <c r="S127" i="44"/>
  <c r="S148" i="44"/>
  <c r="S159" i="44"/>
  <c r="S180" i="44"/>
  <c r="S191" i="44"/>
  <c r="S212" i="44"/>
  <c r="S228" i="44"/>
  <c r="S225" i="44"/>
  <c r="S222" i="44"/>
  <c r="S217" i="44"/>
  <c r="S214" i="44"/>
  <c r="S209" i="44"/>
  <c r="S206" i="44"/>
  <c r="S201" i="44"/>
  <c r="S198" i="44"/>
  <c r="S193" i="44"/>
  <c r="S190" i="44"/>
  <c r="S185" i="44"/>
  <c r="S182" i="44"/>
  <c r="S177" i="44"/>
  <c r="S174" i="44"/>
  <c r="S169" i="44"/>
  <c r="S166" i="44"/>
  <c r="S161" i="44"/>
  <c r="S158" i="44"/>
  <c r="S153" i="44"/>
  <c r="S150" i="44"/>
  <c r="S145" i="44"/>
  <c r="S142" i="44"/>
  <c r="S137" i="44"/>
  <c r="S134" i="44"/>
  <c r="S129" i="44"/>
  <c r="S126" i="44"/>
  <c r="S121" i="44"/>
  <c r="S118" i="44"/>
  <c r="S113" i="44"/>
  <c r="S110" i="44"/>
  <c r="S105" i="44"/>
  <c r="S102" i="44"/>
  <c r="S97" i="44"/>
  <c r="S94" i="44"/>
  <c r="S89" i="44"/>
  <c r="S86" i="44"/>
  <c r="S81" i="44"/>
  <c r="S78" i="44"/>
  <c r="S73" i="44"/>
  <c r="S70" i="44"/>
  <c r="S65" i="44"/>
  <c r="S62" i="44"/>
  <c r="S227" i="44"/>
  <c r="S224" i="44"/>
  <c r="S219" i="44"/>
  <c r="S216" i="44"/>
  <c r="S211" i="44"/>
  <c r="S208" i="44"/>
  <c r="S203" i="44"/>
  <c r="S200" i="44"/>
  <c r="S195" i="44"/>
  <c r="S192" i="44"/>
  <c r="S187" i="44"/>
  <c r="S184" i="44"/>
  <c r="S179" i="44"/>
  <c r="S176" i="44"/>
  <c r="S171" i="44"/>
  <c r="S168" i="44"/>
  <c r="S163" i="44"/>
  <c r="S160" i="44"/>
  <c r="S155" i="44"/>
  <c r="S152" i="44"/>
  <c r="S147" i="44"/>
  <c r="S144" i="44"/>
  <c r="S139" i="44"/>
  <c r="S136" i="44"/>
  <c r="S131" i="44"/>
  <c r="S128" i="44"/>
  <c r="S123" i="44"/>
  <c r="S120" i="44"/>
  <c r="S115" i="44"/>
  <c r="S112" i="44"/>
  <c r="S107" i="44"/>
  <c r="S104" i="44"/>
  <c r="S99" i="44"/>
  <c r="S96" i="44"/>
  <c r="S91" i="44"/>
  <c r="S88" i="44"/>
  <c r="S83" i="44"/>
  <c r="S80" i="44"/>
  <c r="S75" i="44"/>
  <c r="S72" i="44"/>
  <c r="S67" i="44"/>
  <c r="S64" i="44"/>
  <c r="S59" i="44"/>
  <c r="S57" i="44"/>
  <c r="S55" i="44"/>
  <c r="S53" i="44"/>
  <c r="S51" i="44"/>
  <c r="S49" i="44"/>
  <c r="S47" i="44"/>
  <c r="S45" i="44"/>
  <c r="S43" i="44"/>
  <c r="S41" i="44"/>
  <c r="S39" i="44"/>
  <c r="S37" i="44"/>
  <c r="S35" i="44"/>
  <c r="S33" i="44"/>
  <c r="S31" i="44"/>
  <c r="S29" i="44"/>
  <c r="S27" i="44"/>
  <c r="S25" i="44"/>
  <c r="S23" i="44"/>
  <c r="S21" i="44"/>
  <c r="S19" i="44"/>
  <c r="S17" i="44"/>
  <c r="S226" i="44"/>
  <c r="S221" i="44"/>
  <c r="S218" i="44"/>
  <c r="S213" i="44"/>
  <c r="S210" i="44"/>
  <c r="S205" i="44"/>
  <c r="S202" i="44"/>
  <c r="S197" i="44"/>
  <c r="S194" i="44"/>
  <c r="S189" i="44"/>
  <c r="S186" i="44"/>
  <c r="S181" i="44"/>
  <c r="S178" i="44"/>
  <c r="S173" i="44"/>
  <c r="S170" i="44"/>
  <c r="S165" i="44"/>
  <c r="S162" i="44"/>
  <c r="S157" i="44"/>
  <c r="S154" i="44"/>
  <c r="S149" i="44"/>
  <c r="S146" i="44"/>
  <c r="S141" i="44"/>
  <c r="S138" i="44"/>
  <c r="S133" i="44"/>
  <c r="S130" i="44"/>
  <c r="S125" i="44"/>
  <c r="S122" i="44"/>
  <c r="S117" i="44"/>
  <c r="S114" i="44"/>
  <c r="S109" i="44"/>
  <c r="S106" i="44"/>
  <c r="S101" i="44"/>
  <c r="S98" i="44"/>
  <c r="S93" i="44"/>
  <c r="S90" i="44"/>
  <c r="S85" i="44"/>
  <c r="S82" i="44"/>
  <c r="S77" i="44"/>
  <c r="S74" i="44"/>
  <c r="S18" i="44"/>
  <c r="S22" i="44"/>
  <c r="S26" i="44"/>
  <c r="S30" i="44"/>
  <c r="S34" i="44"/>
  <c r="S38" i="44"/>
  <c r="S42" i="44"/>
  <c r="S46" i="44"/>
  <c r="S50" i="44"/>
  <c r="S54" i="44"/>
  <c r="S58" i="44"/>
  <c r="S63" i="44"/>
  <c r="S68" i="44"/>
  <c r="S76" i="44"/>
  <c r="S87" i="44"/>
  <c r="S108" i="44"/>
  <c r="S119" i="44"/>
  <c r="S140" i="44"/>
  <c r="S151" i="44"/>
  <c r="S172" i="44"/>
  <c r="S183" i="44"/>
  <c r="S204" i="44"/>
  <c r="S215" i="44"/>
  <c r="T5" i="44" l="1"/>
  <c r="T6" i="44" s="1"/>
  <c r="T7" i="44" s="1"/>
  <c r="T8" i="44" s="1"/>
  <c r="T9" i="44" s="1"/>
  <c r="T10" i="44" s="1"/>
  <c r="T11" i="44" s="1"/>
  <c r="T12" i="44" s="1"/>
  <c r="T13" i="44" s="1"/>
  <c r="T14" i="44" s="1"/>
  <c r="T15" i="44" s="1"/>
  <c r="T16" i="44" s="1"/>
  <c r="T17" i="44" s="1"/>
  <c r="T18" i="44" s="1"/>
  <c r="T19" i="44" s="1"/>
  <c r="T20" i="44" s="1"/>
  <c r="T21" i="44" s="1"/>
  <c r="T22" i="44" s="1"/>
  <c r="T23" i="44" s="1"/>
  <c r="T24" i="44" s="1"/>
  <c r="T25" i="44" s="1"/>
  <c r="T26" i="44" s="1"/>
  <c r="T27" i="44" s="1"/>
  <c r="T28" i="44" s="1"/>
  <c r="T29" i="44" s="1"/>
  <c r="T30" i="44" s="1"/>
  <c r="T31" i="44" s="1"/>
  <c r="T32" i="44" s="1"/>
  <c r="T33" i="44" s="1"/>
  <c r="T34" i="44" s="1"/>
  <c r="T35" i="44" s="1"/>
  <c r="T36" i="44" s="1"/>
  <c r="T37" i="44" s="1"/>
  <c r="T38" i="44" s="1"/>
  <c r="T39" i="44" s="1"/>
  <c r="T40" i="44" s="1"/>
  <c r="T41" i="44" s="1"/>
  <c r="T42" i="44" s="1"/>
  <c r="T43" i="44" s="1"/>
  <c r="T44" i="44" s="1"/>
  <c r="T45" i="44" s="1"/>
  <c r="T46" i="44" s="1"/>
  <c r="T47" i="44" s="1"/>
  <c r="T48" i="44" s="1"/>
  <c r="T49" i="44" s="1"/>
  <c r="T50" i="44" s="1"/>
  <c r="T51" i="44" s="1"/>
  <c r="T52" i="44" s="1"/>
  <c r="T53" i="44" s="1"/>
  <c r="T54" i="44" s="1"/>
  <c r="T55" i="44" s="1"/>
  <c r="T56" i="44" s="1"/>
  <c r="T57" i="44" s="1"/>
  <c r="T58" i="44" s="1"/>
  <c r="T59" i="44" s="1"/>
  <c r="T60" i="44" s="1"/>
  <c r="T61" i="44" s="1"/>
  <c r="T62" i="44" s="1"/>
  <c r="T63" i="44" s="1"/>
  <c r="T64" i="44" s="1"/>
  <c r="T65" i="44" s="1"/>
  <c r="T66" i="44" s="1"/>
  <c r="T67" i="44" s="1"/>
  <c r="T68" i="44" s="1"/>
  <c r="T69" i="44" s="1"/>
  <c r="T70" i="44" s="1"/>
  <c r="T71" i="44" s="1"/>
  <c r="T72" i="44" s="1"/>
  <c r="T73" i="44" s="1"/>
  <c r="T74" i="44" s="1"/>
  <c r="T75" i="44" s="1"/>
  <c r="T76" i="44" s="1"/>
  <c r="T77" i="44" s="1"/>
  <c r="T78" i="44" s="1"/>
  <c r="T79" i="44" s="1"/>
  <c r="T80" i="44" s="1"/>
  <c r="T81" i="44" s="1"/>
  <c r="T82" i="44" s="1"/>
  <c r="T83" i="44" s="1"/>
  <c r="T84" i="44" s="1"/>
  <c r="T85" i="44" s="1"/>
  <c r="T86" i="44" s="1"/>
  <c r="T87" i="44" s="1"/>
  <c r="T88" i="44" s="1"/>
  <c r="T89" i="44" s="1"/>
  <c r="T90" i="44" s="1"/>
  <c r="T91" i="44" s="1"/>
  <c r="T92" i="44" s="1"/>
  <c r="T93" i="44" s="1"/>
  <c r="T94" i="44" s="1"/>
  <c r="T95" i="44" s="1"/>
  <c r="T96" i="44" s="1"/>
  <c r="T97" i="44" s="1"/>
  <c r="T98" i="44" s="1"/>
  <c r="T99" i="44" s="1"/>
  <c r="T100" i="44" s="1"/>
  <c r="T101" i="44" s="1"/>
  <c r="T102" i="44" s="1"/>
  <c r="T103" i="44" s="1"/>
  <c r="T104" i="44" s="1"/>
  <c r="T105" i="44" s="1"/>
  <c r="T106" i="44" s="1"/>
  <c r="T107" i="44" s="1"/>
  <c r="T108" i="44" s="1"/>
  <c r="T109" i="44" s="1"/>
  <c r="T110" i="44" s="1"/>
  <c r="T111" i="44" s="1"/>
  <c r="T112" i="44" s="1"/>
  <c r="T113" i="44" s="1"/>
  <c r="T114" i="44" s="1"/>
  <c r="T115" i="44" s="1"/>
  <c r="T116" i="44" s="1"/>
  <c r="T117" i="44" s="1"/>
  <c r="T118" i="44" s="1"/>
  <c r="T119" i="44" s="1"/>
  <c r="T120" i="44" s="1"/>
  <c r="T121" i="44" s="1"/>
  <c r="T122" i="44" s="1"/>
  <c r="T123" i="44" s="1"/>
  <c r="T124" i="44" s="1"/>
  <c r="T125" i="44" s="1"/>
  <c r="T126" i="44" s="1"/>
  <c r="T127" i="44" s="1"/>
  <c r="T128" i="44" s="1"/>
  <c r="T129" i="44" s="1"/>
  <c r="T130" i="44" s="1"/>
  <c r="T131" i="44" s="1"/>
  <c r="T132" i="44" s="1"/>
  <c r="T133" i="44" s="1"/>
  <c r="T134" i="44" s="1"/>
  <c r="T135" i="44" s="1"/>
  <c r="T136" i="44" s="1"/>
  <c r="T137" i="44" s="1"/>
  <c r="T138" i="44" s="1"/>
  <c r="T139" i="44" s="1"/>
  <c r="T140" i="44" s="1"/>
  <c r="T141" i="44" s="1"/>
  <c r="T142" i="44" s="1"/>
  <c r="T143" i="44" s="1"/>
  <c r="T144" i="44" s="1"/>
  <c r="T145" i="44" s="1"/>
  <c r="T146" i="44" s="1"/>
  <c r="T147" i="44" s="1"/>
  <c r="T148" i="44" s="1"/>
  <c r="T149" i="44" s="1"/>
  <c r="T150" i="44" s="1"/>
  <c r="T151" i="44" s="1"/>
  <c r="T152" i="44" s="1"/>
  <c r="T153" i="44" s="1"/>
  <c r="T154" i="44" s="1"/>
  <c r="T155" i="44" s="1"/>
  <c r="T156" i="44" s="1"/>
  <c r="T157" i="44" s="1"/>
  <c r="T158" i="44" s="1"/>
  <c r="T159" i="44" s="1"/>
  <c r="T160" i="44" s="1"/>
  <c r="T161" i="44" s="1"/>
  <c r="T162" i="44" s="1"/>
  <c r="T163" i="44" s="1"/>
  <c r="T164" i="44" s="1"/>
  <c r="T165" i="44" s="1"/>
  <c r="T166" i="44" s="1"/>
  <c r="T167" i="44" s="1"/>
  <c r="T168" i="44" s="1"/>
  <c r="T169" i="44" s="1"/>
  <c r="T170" i="44" s="1"/>
  <c r="T171" i="44" s="1"/>
  <c r="T172" i="44" s="1"/>
  <c r="T173" i="44" s="1"/>
  <c r="T174" i="44" s="1"/>
  <c r="T175" i="44" s="1"/>
  <c r="T176" i="44" s="1"/>
  <c r="T177" i="44" s="1"/>
  <c r="T178" i="44" s="1"/>
  <c r="T179" i="44" s="1"/>
  <c r="T180" i="44" s="1"/>
  <c r="T181" i="44" s="1"/>
  <c r="T182" i="44" s="1"/>
  <c r="T183" i="44" s="1"/>
  <c r="T184" i="44" s="1"/>
  <c r="T185" i="44" s="1"/>
  <c r="T186" i="44" s="1"/>
  <c r="T187" i="44" s="1"/>
  <c r="T188" i="44" s="1"/>
  <c r="T189" i="44" s="1"/>
  <c r="T190" i="44" s="1"/>
  <c r="T191" i="44" s="1"/>
  <c r="T192" i="44" s="1"/>
  <c r="T193" i="44" s="1"/>
  <c r="T194" i="44" s="1"/>
  <c r="T195" i="44" s="1"/>
  <c r="T196" i="44" s="1"/>
  <c r="T197" i="44" s="1"/>
  <c r="T198" i="44" s="1"/>
  <c r="T199" i="44" s="1"/>
  <c r="T200" i="44" s="1"/>
  <c r="T201" i="44" s="1"/>
  <c r="T202" i="44" s="1"/>
  <c r="T203" i="44" s="1"/>
  <c r="T204" i="44" s="1"/>
  <c r="T205" i="44" s="1"/>
  <c r="T206" i="44" s="1"/>
  <c r="T207" i="44" s="1"/>
  <c r="T208" i="44" s="1"/>
  <c r="T209" i="44" s="1"/>
  <c r="T210" i="44" s="1"/>
  <c r="T211" i="44" s="1"/>
  <c r="T212" i="44" s="1"/>
  <c r="T213" i="44" s="1"/>
  <c r="T214" i="44" s="1"/>
  <c r="T215" i="44" s="1"/>
  <c r="T216" i="44" s="1"/>
  <c r="T217" i="44" s="1"/>
  <c r="T218" i="44" s="1"/>
  <c r="T219" i="44" s="1"/>
  <c r="T220" i="44" s="1"/>
  <c r="T221" i="44" s="1"/>
  <c r="T222" i="44" s="1"/>
  <c r="T223" i="44" s="1"/>
  <c r="T224" i="44" s="1"/>
  <c r="T225" i="44" s="1"/>
  <c r="T226" i="44" s="1"/>
  <c r="T227" i="44" s="1"/>
  <c r="T228" i="44" s="1"/>
  <c r="E3" i="36" l="1"/>
  <c r="F3" i="36"/>
  <c r="A1" i="2"/>
  <c r="B3" i="19" l="1"/>
  <c r="K14" i="30" l="1"/>
  <c r="L14" i="30"/>
  <c r="M14" i="30"/>
  <c r="K15" i="30"/>
  <c r="L15" i="30"/>
  <c r="M15" i="30"/>
  <c r="K16" i="30"/>
  <c r="L16" i="30"/>
  <c r="M16" i="30"/>
  <c r="K17" i="30"/>
  <c r="L17" i="30"/>
  <c r="M17" i="30"/>
  <c r="J15" i="30"/>
  <c r="J16" i="30"/>
  <c r="J17" i="30"/>
  <c r="J14" i="30"/>
  <c r="B22" i="30"/>
  <c r="M4" i="19"/>
  <c r="L4" i="19"/>
  <c r="K4" i="19"/>
  <c r="J4" i="19"/>
  <c r="T1" i="33"/>
  <c r="U1" i="33"/>
  <c r="V1" i="33"/>
  <c r="W1" i="33"/>
  <c r="X1" i="33"/>
  <c r="S1" i="33"/>
  <c r="T1" i="1"/>
  <c r="U1" i="1"/>
  <c r="V1" i="1"/>
  <c r="W1" i="1"/>
  <c r="X1" i="1"/>
  <c r="Y1" i="1"/>
  <c r="Z1" i="1"/>
  <c r="AA1" i="1"/>
  <c r="AB1" i="1"/>
  <c r="AC1" i="1"/>
  <c r="AD1" i="1"/>
  <c r="S1" i="1"/>
  <c r="G3" i="41" l="1"/>
  <c r="G11" i="41" s="1"/>
  <c r="G16" i="41" s="1"/>
  <c r="S6" i="37"/>
  <c r="V6" i="37" s="1"/>
  <c r="R6" i="37"/>
  <c r="U6" i="37" s="1"/>
  <c r="R3" i="37"/>
  <c r="U4" i="37"/>
  <c r="V4" i="37"/>
  <c r="U5" i="37"/>
  <c r="V5" i="37"/>
  <c r="T5" i="37"/>
  <c r="T6" i="37"/>
  <c r="Q6" i="37"/>
  <c r="T4" i="37"/>
  <c r="S5" i="37"/>
  <c r="R5" i="37"/>
  <c r="Q5" i="37"/>
  <c r="Q4" i="37"/>
  <c r="S4" i="37"/>
  <c r="R4" i="37"/>
  <c r="S3" i="37"/>
  <c r="Q3" i="37"/>
  <c r="F4" i="39"/>
  <c r="F5" i="39"/>
  <c r="F6" i="39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3" i="39"/>
  <c r="F4" i="38"/>
  <c r="F5" i="38"/>
  <c r="F6" i="38"/>
  <c r="F7" i="38"/>
  <c r="F8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" i="38"/>
  <c r="F4" i="37"/>
  <c r="F5" i="37"/>
  <c r="F6" i="37"/>
  <c r="F7" i="37"/>
  <c r="F8" i="37"/>
  <c r="F9" i="37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8" i="37"/>
  <c r="F39" i="37"/>
  <c r="F40" i="37"/>
  <c r="F41" i="37"/>
  <c r="F3" i="37"/>
  <c r="F5" i="41"/>
  <c r="F13" i="41" s="1"/>
  <c r="S12" i="41" s="1"/>
  <c r="AD5" i="41" s="1"/>
  <c r="G5" i="41"/>
  <c r="G13" i="41" s="1"/>
  <c r="S13" i="41" s="1"/>
  <c r="AD7" i="41" s="1"/>
  <c r="G4" i="41"/>
  <c r="M5" i="41" s="1"/>
  <c r="F4" i="41"/>
  <c r="F12" i="41" s="1"/>
  <c r="M12" i="41" s="1"/>
  <c r="X5" i="41" s="1"/>
  <c r="E5" i="41"/>
  <c r="E13" i="41" s="1"/>
  <c r="R13" i="41" s="1"/>
  <c r="AC7" i="41" s="1"/>
  <c r="E4" i="41"/>
  <c r="L5" i="41" s="1"/>
  <c r="D5" i="41"/>
  <c r="D13" i="41" s="1"/>
  <c r="R12" i="41" s="1"/>
  <c r="AC5" i="41" s="1"/>
  <c r="D4" i="41"/>
  <c r="D12" i="41" s="1"/>
  <c r="L12" i="41" s="1"/>
  <c r="W5" i="41" s="1"/>
  <c r="C5" i="41"/>
  <c r="C13" i="41" s="1"/>
  <c r="Q13" i="41" s="1"/>
  <c r="AB7" i="41" s="1"/>
  <c r="C4" i="41"/>
  <c r="V6" i="41" s="1"/>
  <c r="F3" i="41"/>
  <c r="F11" i="41" s="1"/>
  <c r="F16" i="41" s="1"/>
  <c r="E3" i="41"/>
  <c r="E11" i="41" s="1"/>
  <c r="E16" i="41" s="1"/>
  <c r="D3" i="41"/>
  <c r="D11" i="41" s="1"/>
  <c r="D16" i="41" s="1"/>
  <c r="C3" i="41"/>
  <c r="C11" i="41" s="1"/>
  <c r="C16" i="41" s="1"/>
  <c r="B3" i="41"/>
  <c r="B11" i="41" s="1"/>
  <c r="B16" i="41" s="1"/>
  <c r="B5" i="41"/>
  <c r="Q4" i="41" s="1"/>
  <c r="B4" i="41"/>
  <c r="B12" i="41" s="1"/>
  <c r="K12" i="41" s="1"/>
  <c r="V5" i="41" s="1"/>
  <c r="A13" i="41"/>
  <c r="A12" i="41"/>
  <c r="AC6" i="41" l="1"/>
  <c r="AC4" i="41"/>
  <c r="AD6" i="41"/>
  <c r="AB4" i="41"/>
  <c r="C12" i="41"/>
  <c r="K13" i="41" s="1"/>
  <c r="V7" i="41" s="1"/>
  <c r="AD4" i="41"/>
  <c r="AB6" i="41"/>
  <c r="W6" i="41"/>
  <c r="V4" i="41"/>
  <c r="W4" i="41"/>
  <c r="X6" i="41"/>
  <c r="X4" i="41"/>
  <c r="B13" i="41"/>
  <c r="Q12" i="41" s="1"/>
  <c r="AB5" i="41" s="1"/>
  <c r="R4" i="41"/>
  <c r="S4" i="41"/>
  <c r="K4" i="41"/>
  <c r="M4" i="41"/>
  <c r="K5" i="41"/>
  <c r="R5" i="41"/>
  <c r="E12" i="41"/>
  <c r="L13" i="41" s="1"/>
  <c r="W7" i="41" s="1"/>
  <c r="G12" i="41"/>
  <c r="M13" i="41" s="1"/>
  <c r="X7" i="41" s="1"/>
  <c r="S5" i="41"/>
  <c r="L4" i="41"/>
  <c r="Q5" i="41"/>
  <c r="E4" i="38" l="1"/>
  <c r="E5" i="38"/>
  <c r="E6" i="38"/>
  <c r="E7" i="38"/>
  <c r="E8" i="38"/>
  <c r="E9" i="38"/>
  <c r="E10" i="38"/>
  <c r="E11" i="38"/>
  <c r="E12" i="38"/>
  <c r="E13" i="38"/>
  <c r="E14" i="38"/>
  <c r="E15" i="38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" i="38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42" i="39"/>
  <c r="E43" i="39"/>
  <c r="E44" i="39"/>
  <c r="E45" i="39"/>
  <c r="E46" i="39"/>
  <c r="E47" i="39"/>
  <c r="E48" i="39"/>
  <c r="E49" i="39"/>
  <c r="E50" i="39"/>
  <c r="E51" i="39"/>
  <c r="E52" i="39"/>
  <c r="E53" i="39"/>
  <c r="E54" i="39"/>
  <c r="E55" i="39"/>
  <c r="E56" i="39"/>
  <c r="E57" i="39"/>
  <c r="E58" i="39"/>
  <c r="E59" i="39"/>
  <c r="E3" i="39"/>
  <c r="N4" i="39"/>
  <c r="N5" i="39"/>
  <c r="N6" i="39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8" i="39"/>
  <c r="N39" i="39"/>
  <c r="N40" i="39"/>
  <c r="N41" i="39"/>
  <c r="N42" i="39"/>
  <c r="N43" i="39"/>
  <c r="N44" i="39"/>
  <c r="N45" i="39"/>
  <c r="N46" i="39"/>
  <c r="N47" i="39"/>
  <c r="N48" i="39"/>
  <c r="N49" i="39"/>
  <c r="N50" i="39"/>
  <c r="N51" i="39"/>
  <c r="N52" i="39"/>
  <c r="N53" i="39"/>
  <c r="N54" i="39"/>
  <c r="N55" i="39"/>
  <c r="N56" i="39"/>
  <c r="N57" i="39"/>
  <c r="N58" i="39"/>
  <c r="N59" i="39"/>
  <c r="N60" i="39"/>
  <c r="N61" i="39"/>
  <c r="N62" i="39"/>
  <c r="N63" i="39"/>
  <c r="N64" i="39"/>
  <c r="N65" i="39"/>
  <c r="N66" i="39"/>
  <c r="N67" i="39"/>
  <c r="N68" i="39"/>
  <c r="N69" i="39"/>
  <c r="N70" i="39"/>
  <c r="N71" i="39"/>
  <c r="N72" i="39"/>
  <c r="N73" i="39"/>
  <c r="N74" i="39"/>
  <c r="N75" i="39"/>
  <c r="N76" i="39"/>
  <c r="N77" i="39"/>
  <c r="N78" i="39"/>
  <c r="N79" i="39"/>
  <c r="N80" i="39"/>
  <c r="N81" i="39"/>
  <c r="N82" i="39"/>
  <c r="N83" i="39"/>
  <c r="N84" i="39"/>
  <c r="N85" i="39"/>
  <c r="N86" i="39"/>
  <c r="N87" i="39"/>
  <c r="N88" i="39"/>
  <c r="N89" i="39"/>
  <c r="N90" i="39"/>
  <c r="N91" i="39"/>
  <c r="N92" i="39"/>
  <c r="N93" i="39"/>
  <c r="N94" i="39"/>
  <c r="N95" i="39"/>
  <c r="N96" i="39"/>
  <c r="N97" i="39"/>
  <c r="N98" i="39"/>
  <c r="N99" i="39"/>
  <c r="N100" i="39"/>
  <c r="N101" i="39"/>
  <c r="N102" i="39"/>
  <c r="N103" i="39"/>
  <c r="N104" i="39"/>
  <c r="N105" i="39"/>
  <c r="N106" i="39"/>
  <c r="N107" i="39"/>
  <c r="N108" i="39"/>
  <c r="N109" i="39"/>
  <c r="N110" i="39"/>
  <c r="N111" i="39"/>
  <c r="N112" i="39"/>
  <c r="N113" i="39"/>
  <c r="N114" i="39"/>
  <c r="N115" i="39"/>
  <c r="N116" i="39"/>
  <c r="N117" i="39"/>
  <c r="N118" i="39"/>
  <c r="N119" i="39"/>
  <c r="N120" i="39"/>
  <c r="N121" i="39"/>
  <c r="N122" i="39"/>
  <c r="N123" i="39"/>
  <c r="N124" i="39"/>
  <c r="N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3" i="39"/>
  <c r="N4" i="38"/>
  <c r="N5" i="38"/>
  <c r="N6" i="38"/>
  <c r="N7" i="38"/>
  <c r="N8" i="38"/>
  <c r="N9" i="38"/>
  <c r="N10" i="38"/>
  <c r="N11" i="38"/>
  <c r="N12" i="38"/>
  <c r="N13" i="38"/>
  <c r="N14" i="38"/>
  <c r="N15" i="38"/>
  <c r="N16" i="38"/>
  <c r="N17" i="38"/>
  <c r="N18" i="38"/>
  <c r="N19" i="38"/>
  <c r="N20" i="38"/>
  <c r="N21" i="38"/>
  <c r="N22" i="38"/>
  <c r="N23" i="38"/>
  <c r="N24" i="38"/>
  <c r="N25" i="38"/>
  <c r="N26" i="38"/>
  <c r="N27" i="38"/>
  <c r="N28" i="38"/>
  <c r="N29" i="38"/>
  <c r="N30" i="38"/>
  <c r="N31" i="38"/>
  <c r="N32" i="38"/>
  <c r="N33" i="38"/>
  <c r="N34" i="38"/>
  <c r="N35" i="38"/>
  <c r="N36" i="38"/>
  <c r="N37" i="38"/>
  <c r="N38" i="38"/>
  <c r="N39" i="38"/>
  <c r="N40" i="38"/>
  <c r="N41" i="38"/>
  <c r="N42" i="38"/>
  <c r="N43" i="38"/>
  <c r="N44" i="38"/>
  <c r="N45" i="38"/>
  <c r="N46" i="38"/>
  <c r="N47" i="38"/>
  <c r="N48" i="38"/>
  <c r="N49" i="38"/>
  <c r="N50" i="38"/>
  <c r="N51" i="38"/>
  <c r="N52" i="38"/>
  <c r="N53" i="38"/>
  <c r="N54" i="38"/>
  <c r="N55" i="38"/>
  <c r="N56" i="38"/>
  <c r="N57" i="38"/>
  <c r="N58" i="38"/>
  <c r="N59" i="38"/>
  <c r="N60" i="38"/>
  <c r="N61" i="38"/>
  <c r="N62" i="38"/>
  <c r="N63" i="38"/>
  <c r="N64" i="38"/>
  <c r="N65" i="38"/>
  <c r="N66" i="38"/>
  <c r="N67" i="38"/>
  <c r="N68" i="38"/>
  <c r="N69" i="38"/>
  <c r="N70" i="38"/>
  <c r="N71" i="38"/>
  <c r="N72" i="38"/>
  <c r="N73" i="38"/>
  <c r="N74" i="38"/>
  <c r="N75" i="38"/>
  <c r="N76" i="38"/>
  <c r="N77" i="38"/>
  <c r="N78" i="38"/>
  <c r="N79" i="38"/>
  <c r="N80" i="38"/>
  <c r="N81" i="38"/>
  <c r="N82" i="38"/>
  <c r="N83" i="38"/>
  <c r="N84" i="38"/>
  <c r="N85" i="38"/>
  <c r="N86" i="38"/>
  <c r="N87" i="38"/>
  <c r="N88" i="38"/>
  <c r="N89" i="38"/>
  <c r="N90" i="38"/>
  <c r="N91" i="38"/>
  <c r="N92" i="38"/>
  <c r="N93" i="38"/>
  <c r="N94" i="38"/>
  <c r="N95" i="38"/>
  <c r="N96" i="38"/>
  <c r="N97" i="38"/>
  <c r="N98" i="38"/>
  <c r="N99" i="38"/>
  <c r="N100" i="38"/>
  <c r="N101" i="38"/>
  <c r="N102" i="38"/>
  <c r="N103" i="38"/>
  <c r="N104" i="38"/>
  <c r="N105" i="38"/>
  <c r="C4" i="38"/>
  <c r="C5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N3" i="38"/>
  <c r="C3" i="38"/>
  <c r="C4" i="37"/>
  <c r="C5" i="37"/>
  <c r="C6" i="37"/>
  <c r="E6" i="37" s="1"/>
  <c r="C7" i="37"/>
  <c r="E7" i="37" s="1"/>
  <c r="C8" i="37"/>
  <c r="C9" i="37"/>
  <c r="C10" i="37"/>
  <c r="E10" i="37" s="1"/>
  <c r="C11" i="37"/>
  <c r="E11" i="37" s="1"/>
  <c r="C12" i="37"/>
  <c r="C13" i="37"/>
  <c r="C14" i="37"/>
  <c r="E14" i="37" s="1"/>
  <c r="C15" i="37"/>
  <c r="E15" i="37" s="1"/>
  <c r="C16" i="37"/>
  <c r="C17" i="37"/>
  <c r="C18" i="37"/>
  <c r="E18" i="37" s="1"/>
  <c r="C19" i="37"/>
  <c r="E19" i="37" s="1"/>
  <c r="C20" i="37"/>
  <c r="C21" i="37"/>
  <c r="C22" i="37"/>
  <c r="E22" i="37" s="1"/>
  <c r="C23" i="37"/>
  <c r="E23" i="37" s="1"/>
  <c r="C24" i="37"/>
  <c r="C25" i="37"/>
  <c r="C26" i="37"/>
  <c r="E26" i="37" s="1"/>
  <c r="C27" i="37"/>
  <c r="E27" i="37" s="1"/>
  <c r="C28" i="37"/>
  <c r="C29" i="37"/>
  <c r="C30" i="37"/>
  <c r="E30" i="37" s="1"/>
  <c r="C31" i="37"/>
  <c r="E31" i="37" s="1"/>
  <c r="C32" i="37"/>
  <c r="C33" i="37"/>
  <c r="C34" i="37"/>
  <c r="E34" i="37" s="1"/>
  <c r="C35" i="37"/>
  <c r="E35" i="37" s="1"/>
  <c r="C36" i="37"/>
  <c r="C37" i="37"/>
  <c r="C38" i="37"/>
  <c r="E38" i="37" s="1"/>
  <c r="C39" i="37"/>
  <c r="E39" i="37" s="1"/>
  <c r="C40" i="37"/>
  <c r="C41" i="37"/>
  <c r="E3" i="37"/>
  <c r="E4" i="37"/>
  <c r="E5" i="37"/>
  <c r="E8" i="37"/>
  <c r="E9" i="37"/>
  <c r="E12" i="37"/>
  <c r="E13" i="37"/>
  <c r="E16" i="37"/>
  <c r="E17" i="37"/>
  <c r="E20" i="37"/>
  <c r="E21" i="37"/>
  <c r="E24" i="37"/>
  <c r="E25" i="37"/>
  <c r="E28" i="37"/>
  <c r="E29" i="37"/>
  <c r="E32" i="37"/>
  <c r="E33" i="37"/>
  <c r="E36" i="37"/>
  <c r="E37" i="37"/>
  <c r="E40" i="37"/>
  <c r="E41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45" i="37"/>
  <c r="N46" i="37"/>
  <c r="N47" i="37"/>
  <c r="N48" i="37"/>
  <c r="N49" i="37"/>
  <c r="N50" i="37"/>
  <c r="N51" i="37"/>
  <c r="N52" i="37"/>
  <c r="N53" i="37"/>
  <c r="N54" i="37"/>
  <c r="N55" i="37"/>
  <c r="N56" i="37"/>
  <c r="N57" i="37"/>
  <c r="N58" i="37"/>
  <c r="N59" i="37"/>
  <c r="N60" i="37"/>
  <c r="N61" i="37"/>
  <c r="N62" i="37"/>
  <c r="N63" i="37"/>
  <c r="N64" i="37"/>
  <c r="N65" i="37"/>
  <c r="N66" i="37"/>
  <c r="N67" i="37"/>
  <c r="N68" i="37"/>
  <c r="N69" i="37"/>
  <c r="N70" i="37"/>
  <c r="N71" i="37"/>
  <c r="N72" i="37"/>
  <c r="N73" i="37"/>
  <c r="N74" i="37"/>
  <c r="N75" i="37"/>
  <c r="N76" i="37"/>
  <c r="N77" i="37"/>
  <c r="N78" i="37"/>
  <c r="N79" i="37"/>
  <c r="N80" i="37"/>
  <c r="N81" i="37"/>
  <c r="N82" i="37"/>
  <c r="N83" i="37"/>
  <c r="N84" i="37"/>
  <c r="N85" i="37"/>
  <c r="N86" i="37"/>
  <c r="N87" i="37"/>
  <c r="N88" i="37"/>
  <c r="N89" i="37"/>
  <c r="N90" i="37"/>
  <c r="N91" i="37"/>
  <c r="N92" i="37"/>
  <c r="N93" i="37"/>
  <c r="N94" i="37"/>
  <c r="N95" i="37"/>
  <c r="N96" i="37"/>
  <c r="N97" i="37"/>
  <c r="N98" i="37"/>
  <c r="N99" i="37"/>
  <c r="N100" i="37"/>
  <c r="N101" i="37"/>
  <c r="N102" i="37"/>
  <c r="N103" i="37"/>
  <c r="N104" i="37"/>
  <c r="N105" i="37"/>
  <c r="N106" i="37"/>
  <c r="N107" i="37"/>
  <c r="N108" i="37"/>
  <c r="N109" i="37"/>
  <c r="N110" i="37"/>
  <c r="N111" i="37"/>
  <c r="N112" i="37"/>
  <c r="N113" i="37"/>
  <c r="N114" i="37"/>
  <c r="N115" i="37"/>
  <c r="N116" i="37"/>
  <c r="N117" i="37"/>
  <c r="N118" i="37"/>
  <c r="N119" i="37"/>
  <c r="N120" i="37"/>
  <c r="N121" i="37"/>
  <c r="N122" i="37"/>
  <c r="N3" i="37"/>
  <c r="C3" i="37"/>
  <c r="Z1" i="33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A229" i="2"/>
  <c r="T228" i="2"/>
  <c r="U228" i="2"/>
  <c r="V228" i="2"/>
  <c r="W228" i="2"/>
  <c r="X228" i="2"/>
  <c r="Y228" i="2"/>
  <c r="Z229" i="2"/>
  <c r="AA228" i="2"/>
  <c r="AB228" i="2"/>
  <c r="AC228" i="2"/>
  <c r="AD229" i="2"/>
  <c r="S228" i="2"/>
  <c r="N4" i="36"/>
  <c r="N5" i="36"/>
  <c r="N6" i="36"/>
  <c r="N7" i="36"/>
  <c r="N8" i="36"/>
  <c r="N9" i="36"/>
  <c r="N10" i="36"/>
  <c r="N11" i="36"/>
  <c r="N12" i="36"/>
  <c r="N13" i="36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3" i="36"/>
  <c r="N164" i="36"/>
  <c r="N165" i="36"/>
  <c r="N166" i="36"/>
  <c r="N167" i="36"/>
  <c r="N168" i="36"/>
  <c r="N169" i="36"/>
  <c r="N170" i="36"/>
  <c r="N171" i="36"/>
  <c r="N172" i="36"/>
  <c r="N173" i="36"/>
  <c r="N174" i="36"/>
  <c r="N175" i="36"/>
  <c r="N176" i="36"/>
  <c r="N177" i="36"/>
  <c r="N178" i="36"/>
  <c r="N179" i="36"/>
  <c r="N180" i="36"/>
  <c r="N181" i="36"/>
  <c r="N182" i="36"/>
  <c r="N183" i="36"/>
  <c r="N184" i="36"/>
  <c r="N185" i="36"/>
  <c r="N186" i="36"/>
  <c r="N187" i="36"/>
  <c r="N188" i="36"/>
  <c r="N189" i="36"/>
  <c r="N190" i="36"/>
  <c r="N191" i="36"/>
  <c r="N192" i="36"/>
  <c r="N193" i="36"/>
  <c r="N194" i="36"/>
  <c r="N195" i="36"/>
  <c r="N196" i="36"/>
  <c r="N197" i="36"/>
  <c r="N198" i="36"/>
  <c r="N199" i="36"/>
  <c r="N200" i="36"/>
  <c r="N201" i="36"/>
  <c r="N202" i="36"/>
  <c r="N203" i="36"/>
  <c r="N204" i="36"/>
  <c r="N205" i="36"/>
  <c r="N206" i="36"/>
  <c r="N207" i="36"/>
  <c r="N208" i="36"/>
  <c r="N209" i="36"/>
  <c r="N210" i="36"/>
  <c r="N211" i="36"/>
  <c r="N212" i="36"/>
  <c r="N213" i="36"/>
  <c r="N214" i="36"/>
  <c r="N215" i="36"/>
  <c r="N216" i="36"/>
  <c r="N217" i="36"/>
  <c r="N218" i="36"/>
  <c r="N219" i="36"/>
  <c r="N220" i="36"/>
  <c r="N221" i="36"/>
  <c r="N222" i="36"/>
  <c r="N3" i="36"/>
  <c r="C4" i="36"/>
  <c r="C5" i="36"/>
  <c r="C6" i="36"/>
  <c r="C7" i="36"/>
  <c r="F7" i="36" s="1"/>
  <c r="C8" i="36"/>
  <c r="E8" i="36" s="1"/>
  <c r="C9" i="36"/>
  <c r="C10" i="36"/>
  <c r="C11" i="36"/>
  <c r="F11" i="36" s="1"/>
  <c r="C12" i="36"/>
  <c r="E4" i="36" s="1"/>
  <c r="C13" i="36"/>
  <c r="E9" i="36" s="1"/>
  <c r="C14" i="36"/>
  <c r="E14" i="36" s="1"/>
  <c r="C15" i="36"/>
  <c r="E11" i="36" s="1"/>
  <c r="C16" i="36"/>
  <c r="E16" i="36" s="1"/>
  <c r="C17" i="36"/>
  <c r="E13" i="36" s="1"/>
  <c r="C18" i="36"/>
  <c r="E18" i="36" s="1"/>
  <c r="C19" i="36"/>
  <c r="E15" i="36" s="1"/>
  <c r="C20" i="36"/>
  <c r="C21" i="36"/>
  <c r="E19" i="36" s="1"/>
  <c r="C22" i="36"/>
  <c r="C23" i="36"/>
  <c r="F23" i="36" s="1"/>
  <c r="C24" i="36"/>
  <c r="C25" i="36"/>
  <c r="E22" i="36" s="1"/>
  <c r="C26" i="36"/>
  <c r="C27" i="36"/>
  <c r="F27" i="36" s="1"/>
  <c r="C28" i="36"/>
  <c r="E28" i="36" s="1"/>
  <c r="C29" i="36"/>
  <c r="E25" i="36" s="1"/>
  <c r="C30" i="36"/>
  <c r="C31" i="36"/>
  <c r="E27" i="36" s="1"/>
  <c r="C32" i="36"/>
  <c r="E32" i="36" s="1"/>
  <c r="C33" i="36"/>
  <c r="C34" i="36"/>
  <c r="E34" i="36" s="1"/>
  <c r="C35" i="36"/>
  <c r="E31" i="36" s="1"/>
  <c r="C36" i="36"/>
  <c r="C37" i="36"/>
  <c r="E33" i="36" s="1"/>
  <c r="C38" i="36"/>
  <c r="C39" i="36"/>
  <c r="F39" i="36" s="1"/>
  <c r="C40" i="36"/>
  <c r="C41" i="36"/>
  <c r="E36" i="36" s="1"/>
  <c r="C42" i="36"/>
  <c r="C43" i="36"/>
  <c r="E38" i="36" s="1"/>
  <c r="C44" i="36"/>
  <c r="C45" i="36"/>
  <c r="E41" i="36" s="1"/>
  <c r="C46" i="36"/>
  <c r="C47" i="36"/>
  <c r="E42" i="36" s="1"/>
  <c r="C48" i="36"/>
  <c r="C49" i="36"/>
  <c r="E44" i="36" s="1"/>
  <c r="C50" i="36"/>
  <c r="C51" i="36"/>
  <c r="E46" i="36" s="1"/>
  <c r="C52" i="36"/>
  <c r="C53" i="36"/>
  <c r="E50" i="36" s="1"/>
  <c r="C54" i="36"/>
  <c r="C55" i="36"/>
  <c r="E54" i="36" s="1"/>
  <c r="C56" i="36"/>
  <c r="C57" i="36"/>
  <c r="E56" i="36" s="1"/>
  <c r="C58" i="36"/>
  <c r="C59" i="36"/>
  <c r="E58" i="36" s="1"/>
  <c r="C60" i="36"/>
  <c r="C61" i="36"/>
  <c r="E60" i="36" s="1"/>
  <c r="C62" i="36"/>
  <c r="C63" i="36"/>
  <c r="F63" i="36" s="1"/>
  <c r="C64" i="36"/>
  <c r="C65" i="36"/>
  <c r="E66" i="36" s="1"/>
  <c r="C66" i="36"/>
  <c r="C67" i="36"/>
  <c r="E67" i="36" s="1"/>
  <c r="C68" i="36"/>
  <c r="E68" i="36" s="1"/>
  <c r="C69" i="36"/>
  <c r="C70" i="36"/>
  <c r="E70" i="36" s="1"/>
  <c r="C71" i="36"/>
  <c r="E71" i="36" s="1"/>
  <c r="C72" i="36"/>
  <c r="C73" i="36"/>
  <c r="E72" i="36" s="1"/>
  <c r="C74" i="36"/>
  <c r="E74" i="36" s="1"/>
  <c r="C75" i="36"/>
  <c r="F75" i="36" s="1"/>
  <c r="C76" i="36"/>
  <c r="E78" i="36" s="1"/>
  <c r="C77" i="36"/>
  <c r="C78" i="36"/>
  <c r="C79" i="36"/>
  <c r="F79" i="36" s="1"/>
  <c r="C80" i="36"/>
  <c r="C81" i="36"/>
  <c r="C82" i="36"/>
  <c r="C83" i="36"/>
  <c r="E90" i="36" s="1"/>
  <c r="C84" i="36"/>
  <c r="E82" i="36" s="1"/>
  <c r="C85" i="36"/>
  <c r="E83" i="36" s="1"/>
  <c r="C86" i="36"/>
  <c r="E86" i="36" s="1"/>
  <c r="C87" i="36"/>
  <c r="E87" i="36" s="1"/>
  <c r="C88" i="36"/>
  <c r="E88" i="36" s="1"/>
  <c r="C89" i="36"/>
  <c r="E91" i="36" s="1"/>
  <c r="C90" i="36"/>
  <c r="C91" i="36"/>
  <c r="E94" i="36" s="1"/>
  <c r="C92" i="36"/>
  <c r="E98" i="36" s="1"/>
  <c r="C93" i="36"/>
  <c r="E96" i="36" s="1"/>
  <c r="C94" i="36"/>
  <c r="C95" i="36"/>
  <c r="F95" i="36" s="1"/>
  <c r="C96" i="36"/>
  <c r="C97" i="36"/>
  <c r="E103" i="36" s="1"/>
  <c r="C98" i="36"/>
  <c r="C99" i="36"/>
  <c r="F99" i="36" s="1"/>
  <c r="C100" i="36"/>
  <c r="C101" i="36"/>
  <c r="E104" i="36" s="1"/>
  <c r="C102" i="36"/>
  <c r="C103" i="36"/>
  <c r="F103" i="36" s="1"/>
  <c r="C104" i="36"/>
  <c r="C105" i="36"/>
  <c r="E7" i="36" s="1"/>
  <c r="C3" i="36"/>
  <c r="C22" i="30"/>
  <c r="D22" i="30"/>
  <c r="M5" i="19"/>
  <c r="Z7" i="19" s="1"/>
  <c r="L5" i="19"/>
  <c r="Z6" i="19" s="1"/>
  <c r="K5" i="19"/>
  <c r="K13" i="19" s="1"/>
  <c r="Z13" i="19" s="1"/>
  <c r="J5" i="19"/>
  <c r="Z4" i="19" s="1"/>
  <c r="S7" i="19"/>
  <c r="S6" i="19"/>
  <c r="S5" i="19"/>
  <c r="S4" i="19"/>
  <c r="AD228" i="2" l="1"/>
  <c r="Z228" i="2"/>
  <c r="V229" i="2"/>
  <c r="AC229" i="2"/>
  <c r="Y229" i="2"/>
  <c r="U229" i="2"/>
  <c r="AB229" i="2"/>
  <c r="X229" i="2"/>
  <c r="T229" i="2"/>
  <c r="AA229" i="2"/>
  <c r="W229" i="2"/>
  <c r="S229" i="2"/>
  <c r="F102" i="36"/>
  <c r="F94" i="36"/>
  <c r="F90" i="36"/>
  <c r="F82" i="36"/>
  <c r="F78" i="36"/>
  <c r="F66" i="36"/>
  <c r="F62" i="36"/>
  <c r="F58" i="36"/>
  <c r="F54" i="36"/>
  <c r="F50" i="36"/>
  <c r="F46" i="36"/>
  <c r="F42" i="36"/>
  <c r="F38" i="36"/>
  <c r="F30" i="36"/>
  <c r="F26" i="36"/>
  <c r="F22" i="36"/>
  <c r="F10" i="36"/>
  <c r="F6" i="36"/>
  <c r="F9" i="36"/>
  <c r="F98" i="36"/>
  <c r="F81" i="36"/>
  <c r="F77" i="36"/>
  <c r="F104" i="36"/>
  <c r="F100" i="36"/>
  <c r="F96" i="36"/>
  <c r="F80" i="36"/>
  <c r="F72" i="36"/>
  <c r="F64" i="36"/>
  <c r="F60" i="36"/>
  <c r="F56" i="36"/>
  <c r="F52" i="36"/>
  <c r="F48" i="36"/>
  <c r="F44" i="36"/>
  <c r="F40" i="36"/>
  <c r="F36" i="36"/>
  <c r="F24" i="36"/>
  <c r="F20" i="36"/>
  <c r="F4" i="36"/>
  <c r="E63" i="36"/>
  <c r="E30" i="36"/>
  <c r="E10" i="36"/>
  <c r="F91" i="36"/>
  <c r="F87" i="36"/>
  <c r="F83" i="36"/>
  <c r="F71" i="36"/>
  <c r="F67" i="36"/>
  <c r="F59" i="36"/>
  <c r="F55" i="36"/>
  <c r="F51" i="36"/>
  <c r="F47" i="36"/>
  <c r="F43" i="36"/>
  <c r="F35" i="36"/>
  <c r="F31" i="36"/>
  <c r="F19" i="36"/>
  <c r="F15" i="36"/>
  <c r="E55" i="36"/>
  <c r="E26" i="36"/>
  <c r="F86" i="36"/>
  <c r="F74" i="36"/>
  <c r="F70" i="36"/>
  <c r="F34" i="36"/>
  <c r="F18" i="36"/>
  <c r="F14" i="36"/>
  <c r="E75" i="36"/>
  <c r="E35" i="36"/>
  <c r="E62" i="36"/>
  <c r="E47" i="36"/>
  <c r="F105" i="36"/>
  <c r="F101" i="36"/>
  <c r="F97" i="36"/>
  <c r="F93" i="36"/>
  <c r="F89" i="36"/>
  <c r="F85" i="36"/>
  <c r="F73" i="36"/>
  <c r="F69" i="36"/>
  <c r="F65" i="36"/>
  <c r="F61" i="36"/>
  <c r="F57" i="36"/>
  <c r="F53" i="36"/>
  <c r="F49" i="36"/>
  <c r="F45" i="36"/>
  <c r="F41" i="36"/>
  <c r="F37" i="36"/>
  <c r="F33" i="36"/>
  <c r="F29" i="36"/>
  <c r="F25" i="36"/>
  <c r="F21" i="36"/>
  <c r="F17" i="36"/>
  <c r="F13" i="36"/>
  <c r="F5" i="36"/>
  <c r="E12" i="36"/>
  <c r="F92" i="36"/>
  <c r="F88" i="36"/>
  <c r="F84" i="36"/>
  <c r="F76" i="36"/>
  <c r="F68" i="36"/>
  <c r="F32" i="36"/>
  <c r="F28" i="36"/>
  <c r="F16" i="36"/>
  <c r="F12" i="36"/>
  <c r="F8" i="36"/>
  <c r="Z5" i="19"/>
  <c r="E53" i="36"/>
  <c r="E45" i="36"/>
  <c r="E80" i="36"/>
  <c r="E77" i="36"/>
  <c r="E61" i="36"/>
  <c r="E48" i="36"/>
  <c r="E89" i="36"/>
  <c r="E93" i="36"/>
  <c r="E73" i="36"/>
  <c r="E85" i="36"/>
  <c r="E65" i="36"/>
  <c r="E100" i="36"/>
  <c r="E76" i="36"/>
  <c r="E21" i="36"/>
  <c r="E81" i="36"/>
  <c r="E5" i="36"/>
  <c r="E101" i="36"/>
  <c r="E99" i="36"/>
  <c r="E24" i="36"/>
  <c r="E20" i="36"/>
  <c r="E95" i="36"/>
  <c r="E40" i="36"/>
  <c r="E105" i="36"/>
  <c r="E79" i="36"/>
  <c r="E59" i="36"/>
  <c r="E51" i="36"/>
  <c r="E43" i="36"/>
  <c r="E102" i="36"/>
  <c r="E92" i="36"/>
  <c r="E64" i="36"/>
  <c r="E52" i="36"/>
  <c r="E37" i="36"/>
  <c r="E23" i="36"/>
  <c r="E17" i="36"/>
  <c r="E84" i="36"/>
  <c r="E29" i="36"/>
  <c r="E97" i="36"/>
  <c r="E69" i="36"/>
  <c r="E57" i="36"/>
  <c r="E49" i="36"/>
  <c r="E39" i="36"/>
  <c r="E6" i="36"/>
  <c r="AI130" i="5"/>
  <c r="AJ130" i="5"/>
  <c r="AK130" i="5"/>
  <c r="AA130" i="5"/>
  <c r="AB130" i="5"/>
  <c r="AC130" i="5"/>
  <c r="K5" i="30"/>
  <c r="L5" i="30"/>
  <c r="M5" i="30"/>
  <c r="K6" i="30"/>
  <c r="L6" i="30"/>
  <c r="M6" i="30"/>
  <c r="K7" i="30"/>
  <c r="L7" i="30"/>
  <c r="M7" i="30"/>
  <c r="K8" i="30"/>
  <c r="L8" i="30"/>
  <c r="M8" i="30"/>
  <c r="K9" i="30"/>
  <c r="L9" i="30"/>
  <c r="M9" i="30"/>
  <c r="K10" i="30"/>
  <c r="L10" i="30"/>
  <c r="M10" i="30"/>
  <c r="K11" i="30"/>
  <c r="L11" i="30"/>
  <c r="M11" i="30"/>
  <c r="L4" i="30"/>
  <c r="M4" i="30"/>
  <c r="P4" i="30" s="1"/>
  <c r="K4" i="30"/>
  <c r="L3" i="30"/>
  <c r="O9" i="30" s="1"/>
  <c r="M3" i="30"/>
  <c r="K3" i="30"/>
  <c r="N3" i="30" s="1"/>
  <c r="L2" i="30"/>
  <c r="M2" i="30"/>
  <c r="P3" i="30" s="1"/>
  <c r="K2" i="30"/>
  <c r="C18" i="30"/>
  <c r="C19" i="30" s="1"/>
  <c r="D18" i="30"/>
  <c r="D19" i="30" s="1"/>
  <c r="AG226" i="33"/>
  <c r="AI226" i="33"/>
  <c r="AJ226" i="33"/>
  <c r="AG227" i="33"/>
  <c r="AI227" i="33"/>
  <c r="AJ227" i="33"/>
  <c r="P10" i="30"/>
  <c r="P6" i="30"/>
  <c r="O10" i="30" l="1"/>
  <c r="O6" i="30"/>
  <c r="P9" i="30"/>
  <c r="K13" i="30"/>
  <c r="N13" i="30" s="1"/>
  <c r="O11" i="30"/>
  <c r="P8" i="30"/>
  <c r="O8" i="30"/>
  <c r="O5" i="30"/>
  <c r="O3" i="30"/>
  <c r="P11" i="30"/>
  <c r="O4" i="30"/>
  <c r="N10" i="30"/>
  <c r="L13" i="30"/>
  <c r="O13" i="30" s="1"/>
  <c r="P5" i="30"/>
  <c r="N6" i="30"/>
  <c r="N5" i="30"/>
  <c r="O7" i="30"/>
  <c r="N7" i="30"/>
  <c r="N4" i="30"/>
  <c r="N8" i="30"/>
  <c r="N11" i="30"/>
  <c r="N9" i="30"/>
  <c r="M13" i="30"/>
  <c r="P13" i="30" s="1"/>
  <c r="P7" i="30"/>
  <c r="AH5" i="14" l="1"/>
  <c r="AI5" i="14"/>
  <c r="AH6" i="14"/>
  <c r="AI6" i="14"/>
  <c r="AJ6" i="14" s="1"/>
  <c r="AH7" i="14"/>
  <c r="AI7" i="14"/>
  <c r="AH8" i="14"/>
  <c r="AI8" i="14"/>
  <c r="AH9" i="14"/>
  <c r="AI9" i="14"/>
  <c r="AH10" i="14"/>
  <c r="AI10" i="14"/>
  <c r="AH11" i="14"/>
  <c r="AI11" i="14"/>
  <c r="AH12" i="14"/>
  <c r="AI12" i="14"/>
  <c r="AH13" i="14"/>
  <c r="AI13" i="14"/>
  <c r="AH14" i="14"/>
  <c r="AI14" i="14"/>
  <c r="AH15" i="14"/>
  <c r="AI15" i="14"/>
  <c r="AH16" i="14"/>
  <c r="AI16" i="14"/>
  <c r="AH17" i="14"/>
  <c r="AI17" i="14"/>
  <c r="AH18" i="14"/>
  <c r="AI18" i="14"/>
  <c r="AH19" i="14"/>
  <c r="AI19" i="14"/>
  <c r="AH20" i="14"/>
  <c r="AI20" i="14"/>
  <c r="AH21" i="14"/>
  <c r="AI21" i="14"/>
  <c r="AH22" i="14"/>
  <c r="AI22" i="14"/>
  <c r="AH23" i="14"/>
  <c r="AI23" i="14"/>
  <c r="AH24" i="14"/>
  <c r="AI24" i="14"/>
  <c r="AH25" i="14"/>
  <c r="AI25" i="14"/>
  <c r="AH26" i="14"/>
  <c r="AI26" i="14"/>
  <c r="AH27" i="14"/>
  <c r="AI27" i="14"/>
  <c r="AH28" i="14"/>
  <c r="AI28" i="14"/>
  <c r="AH29" i="14"/>
  <c r="AI29" i="14"/>
  <c r="AH30" i="14"/>
  <c r="AI30" i="14"/>
  <c r="AH31" i="14"/>
  <c r="AI31" i="14"/>
  <c r="AH32" i="14"/>
  <c r="AI32" i="14"/>
  <c r="AH33" i="14"/>
  <c r="AI33" i="14"/>
  <c r="AH34" i="14"/>
  <c r="AI34" i="14"/>
  <c r="AH35" i="14"/>
  <c r="AI35" i="14"/>
  <c r="AH36" i="14"/>
  <c r="AI36" i="14"/>
  <c r="AH37" i="14"/>
  <c r="AI37" i="14"/>
  <c r="AH38" i="14"/>
  <c r="AI38" i="14"/>
  <c r="AH39" i="14"/>
  <c r="AI39" i="14"/>
  <c r="AH40" i="14"/>
  <c r="AI40" i="14"/>
  <c r="AH41" i="14"/>
  <c r="AI41" i="14"/>
  <c r="AH42" i="14"/>
  <c r="AI42" i="14"/>
  <c r="AH43" i="14"/>
  <c r="AI43" i="14"/>
  <c r="AH44" i="14"/>
  <c r="AI44" i="14"/>
  <c r="AH45" i="14"/>
  <c r="AI45" i="14"/>
  <c r="AH46" i="14"/>
  <c r="AI46" i="14"/>
  <c r="AH47" i="14"/>
  <c r="AI47" i="14"/>
  <c r="AH48" i="14"/>
  <c r="AI48" i="14"/>
  <c r="AH49" i="14"/>
  <c r="AI49" i="14"/>
  <c r="AH50" i="14"/>
  <c r="AI50" i="14"/>
  <c r="AH51" i="14"/>
  <c r="AI51" i="14"/>
  <c r="AH52" i="14"/>
  <c r="AI52" i="14"/>
  <c r="AH53" i="14"/>
  <c r="AI53" i="14"/>
  <c r="AH54" i="14"/>
  <c r="AI54" i="14"/>
  <c r="AH55" i="14"/>
  <c r="AI55" i="14"/>
  <c r="AH56" i="14"/>
  <c r="AI56" i="14"/>
  <c r="AH57" i="14"/>
  <c r="AI57" i="14"/>
  <c r="AH58" i="14"/>
  <c r="AI58" i="14"/>
  <c r="AH59" i="14"/>
  <c r="AI59" i="14"/>
  <c r="AH60" i="14"/>
  <c r="AI60" i="14"/>
  <c r="AH61" i="14"/>
  <c r="AI61" i="14"/>
  <c r="AH62" i="14"/>
  <c r="AI62" i="14"/>
  <c r="AH63" i="14"/>
  <c r="AI63" i="14"/>
  <c r="AH64" i="14"/>
  <c r="AI64" i="14"/>
  <c r="AH65" i="14"/>
  <c r="AI65" i="14"/>
  <c r="AH66" i="14"/>
  <c r="AI66" i="14"/>
  <c r="AH67" i="14"/>
  <c r="AI67" i="14"/>
  <c r="AH68" i="14"/>
  <c r="AI68" i="14"/>
  <c r="AH69" i="14"/>
  <c r="AI69" i="14"/>
  <c r="AH70" i="14"/>
  <c r="AI70" i="14"/>
  <c r="AH71" i="14"/>
  <c r="AI71" i="14"/>
  <c r="AH72" i="14"/>
  <c r="AI72" i="14"/>
  <c r="AH73" i="14"/>
  <c r="AI73" i="14"/>
  <c r="AH74" i="14"/>
  <c r="AI74" i="14"/>
  <c r="AH75" i="14"/>
  <c r="AI75" i="14"/>
  <c r="AH76" i="14"/>
  <c r="AI76" i="14"/>
  <c r="AH77" i="14"/>
  <c r="AI77" i="14"/>
  <c r="AH78" i="14"/>
  <c r="AI78" i="14"/>
  <c r="AH79" i="14"/>
  <c r="AI79" i="14"/>
  <c r="AH80" i="14"/>
  <c r="AI80" i="14"/>
  <c r="AH81" i="14"/>
  <c r="AI81" i="14"/>
  <c r="AH82" i="14"/>
  <c r="AI82" i="14"/>
  <c r="AH83" i="14"/>
  <c r="AI83" i="14"/>
  <c r="AH84" i="14"/>
  <c r="AI84" i="14"/>
  <c r="AH85" i="14"/>
  <c r="AI85" i="14"/>
  <c r="AH86" i="14"/>
  <c r="AI86" i="14"/>
  <c r="AH87" i="14"/>
  <c r="AI87" i="14"/>
  <c r="AH88" i="14"/>
  <c r="AI88" i="14"/>
  <c r="AH89" i="14"/>
  <c r="AI89" i="14"/>
  <c r="AH90" i="14"/>
  <c r="AI90" i="14"/>
  <c r="AH91" i="14"/>
  <c r="AI91" i="14"/>
  <c r="AH92" i="14"/>
  <c r="AI92" i="14"/>
  <c r="AH93" i="14"/>
  <c r="AI93" i="14"/>
  <c r="AH94" i="14"/>
  <c r="AI94" i="14"/>
  <c r="AH95" i="14"/>
  <c r="AI95" i="14"/>
  <c r="AH96" i="14"/>
  <c r="AI96" i="14"/>
  <c r="AH97" i="14"/>
  <c r="AI97" i="14"/>
  <c r="AH98" i="14"/>
  <c r="AI98" i="14"/>
  <c r="AH99" i="14"/>
  <c r="AI99" i="14"/>
  <c r="AH100" i="14"/>
  <c r="AI100" i="14"/>
  <c r="AH101" i="14"/>
  <c r="AI101" i="14"/>
  <c r="AH102" i="14"/>
  <c r="AI102" i="14"/>
  <c r="AH103" i="14"/>
  <c r="AI103" i="14"/>
  <c r="AH104" i="14"/>
  <c r="AI104" i="14"/>
  <c r="AH105" i="14"/>
  <c r="AI105" i="14"/>
  <c r="AH106" i="14"/>
  <c r="AI106" i="14"/>
  <c r="AH107" i="14"/>
  <c r="AI107" i="14"/>
  <c r="AH108" i="14"/>
  <c r="AI108" i="14"/>
  <c r="AH109" i="14"/>
  <c r="AI109" i="14"/>
  <c r="AH110" i="14"/>
  <c r="AI110" i="14"/>
  <c r="AH111" i="14"/>
  <c r="AI111" i="14"/>
  <c r="AH112" i="14"/>
  <c r="AI112" i="14"/>
  <c r="AH113" i="14"/>
  <c r="AI113" i="14"/>
  <c r="AH114" i="14"/>
  <c r="AI114" i="14"/>
  <c r="AH115" i="14"/>
  <c r="AI115" i="14"/>
  <c r="AH116" i="14"/>
  <c r="AI116" i="14"/>
  <c r="AH117" i="14"/>
  <c r="AI117" i="14"/>
  <c r="AH118" i="14"/>
  <c r="AI118" i="14"/>
  <c r="AH119" i="14"/>
  <c r="AI119" i="14"/>
  <c r="AH120" i="14"/>
  <c r="AI120" i="14"/>
  <c r="AH121" i="14"/>
  <c r="AI121" i="14"/>
  <c r="AH122" i="14"/>
  <c r="AI122" i="14"/>
  <c r="AH123" i="14"/>
  <c r="AI123" i="14"/>
  <c r="AH124" i="14"/>
  <c r="AI124" i="14"/>
  <c r="AH125" i="14"/>
  <c r="AI125" i="14"/>
  <c r="AH126" i="14"/>
  <c r="AI126" i="14"/>
  <c r="AH127" i="14"/>
  <c r="AI127" i="14"/>
  <c r="AH128" i="14"/>
  <c r="AI128" i="14"/>
  <c r="AI4" i="14"/>
  <c r="AH4" i="14"/>
  <c r="AJ3" i="14"/>
  <c r="AH5" i="13"/>
  <c r="AI5" i="13"/>
  <c r="AH6" i="13"/>
  <c r="AI6" i="13"/>
  <c r="AH7" i="13"/>
  <c r="AI7" i="13"/>
  <c r="AH8" i="13"/>
  <c r="AI8" i="13"/>
  <c r="AH9" i="13"/>
  <c r="AI9" i="13"/>
  <c r="AH10" i="13"/>
  <c r="AI10" i="13"/>
  <c r="AH11" i="13"/>
  <c r="AI11" i="13"/>
  <c r="AH12" i="13"/>
  <c r="AI12" i="13"/>
  <c r="AH13" i="13"/>
  <c r="AI13" i="13"/>
  <c r="AH14" i="13"/>
  <c r="AI14" i="13"/>
  <c r="AH15" i="13"/>
  <c r="AI15" i="13"/>
  <c r="AH16" i="13"/>
  <c r="AI16" i="13"/>
  <c r="AH17" i="13"/>
  <c r="AI17" i="13"/>
  <c r="AH18" i="13"/>
  <c r="AI18" i="13"/>
  <c r="AH19" i="13"/>
  <c r="AI19" i="13"/>
  <c r="AH20" i="13"/>
  <c r="AI20" i="13"/>
  <c r="AH21" i="13"/>
  <c r="AI21" i="13"/>
  <c r="AH22" i="13"/>
  <c r="AI22" i="13"/>
  <c r="AH23" i="13"/>
  <c r="AI23" i="13"/>
  <c r="AH24" i="13"/>
  <c r="AI24" i="13"/>
  <c r="AH25" i="13"/>
  <c r="AI25" i="13"/>
  <c r="AH26" i="13"/>
  <c r="AI26" i="13"/>
  <c r="AH27" i="13"/>
  <c r="AI27" i="13"/>
  <c r="AH28" i="13"/>
  <c r="AI28" i="13"/>
  <c r="AH29" i="13"/>
  <c r="AI29" i="13"/>
  <c r="AH30" i="13"/>
  <c r="AI30" i="13"/>
  <c r="AH31" i="13"/>
  <c r="AI31" i="13"/>
  <c r="AH32" i="13"/>
  <c r="AI32" i="13"/>
  <c r="AH33" i="13"/>
  <c r="AI33" i="13"/>
  <c r="AH34" i="13"/>
  <c r="AI34" i="13"/>
  <c r="AH35" i="13"/>
  <c r="AI35" i="13"/>
  <c r="AH36" i="13"/>
  <c r="AI36" i="13"/>
  <c r="AH37" i="13"/>
  <c r="AI37" i="13"/>
  <c r="AH38" i="13"/>
  <c r="AI38" i="13"/>
  <c r="AH39" i="13"/>
  <c r="AI39" i="13"/>
  <c r="AH40" i="13"/>
  <c r="AI40" i="13"/>
  <c r="AH41" i="13"/>
  <c r="AI41" i="13"/>
  <c r="AH42" i="13"/>
  <c r="AI42" i="13"/>
  <c r="AH43" i="13"/>
  <c r="AI43" i="13"/>
  <c r="AH44" i="13"/>
  <c r="AI44" i="13"/>
  <c r="AH45" i="13"/>
  <c r="AI45" i="13"/>
  <c r="AH46" i="13"/>
  <c r="AI46" i="13"/>
  <c r="AH47" i="13"/>
  <c r="AI47" i="13"/>
  <c r="AH48" i="13"/>
  <c r="AI48" i="13"/>
  <c r="AH49" i="13"/>
  <c r="AI49" i="13"/>
  <c r="AH50" i="13"/>
  <c r="AI50" i="13"/>
  <c r="AH51" i="13"/>
  <c r="AI51" i="13"/>
  <c r="AH52" i="13"/>
  <c r="AI52" i="13"/>
  <c r="AH53" i="13"/>
  <c r="AI53" i="13"/>
  <c r="AH54" i="13"/>
  <c r="AI54" i="13"/>
  <c r="AH55" i="13"/>
  <c r="AI55" i="13"/>
  <c r="AH56" i="13"/>
  <c r="AI56" i="13"/>
  <c r="AH57" i="13"/>
  <c r="AI57" i="13"/>
  <c r="AH58" i="13"/>
  <c r="AI58" i="13"/>
  <c r="AH59" i="13"/>
  <c r="AI59" i="13"/>
  <c r="AH60" i="13"/>
  <c r="AI60" i="13"/>
  <c r="AH61" i="13"/>
  <c r="AI61" i="13"/>
  <c r="AH62" i="13"/>
  <c r="AI62" i="13"/>
  <c r="AH63" i="13"/>
  <c r="AI63" i="13"/>
  <c r="AH64" i="13"/>
  <c r="AI64" i="13"/>
  <c r="AH65" i="13"/>
  <c r="AI65" i="13"/>
  <c r="AH66" i="13"/>
  <c r="AI66" i="13"/>
  <c r="AH67" i="13"/>
  <c r="AI67" i="13"/>
  <c r="AH68" i="13"/>
  <c r="AI68" i="13"/>
  <c r="AH69" i="13"/>
  <c r="AI69" i="13"/>
  <c r="AH70" i="13"/>
  <c r="AI70" i="13"/>
  <c r="AH71" i="13"/>
  <c r="AI71" i="13"/>
  <c r="AH72" i="13"/>
  <c r="AI72" i="13"/>
  <c r="AH73" i="13"/>
  <c r="AI73" i="13"/>
  <c r="AH74" i="13"/>
  <c r="AI74" i="13"/>
  <c r="AH75" i="13"/>
  <c r="AI75" i="13"/>
  <c r="AH76" i="13"/>
  <c r="AI76" i="13"/>
  <c r="AH77" i="13"/>
  <c r="AI77" i="13"/>
  <c r="AH78" i="13"/>
  <c r="AI78" i="13"/>
  <c r="AH79" i="13"/>
  <c r="AI79" i="13"/>
  <c r="AH80" i="13"/>
  <c r="AI80" i="13"/>
  <c r="AH81" i="13"/>
  <c r="AI81" i="13"/>
  <c r="AH82" i="13"/>
  <c r="AI82" i="13"/>
  <c r="AH83" i="13"/>
  <c r="AI83" i="13"/>
  <c r="AH84" i="13"/>
  <c r="AI84" i="13"/>
  <c r="AH85" i="13"/>
  <c r="AI85" i="13"/>
  <c r="AH86" i="13"/>
  <c r="AI86" i="13"/>
  <c r="AH87" i="13"/>
  <c r="AI87" i="13"/>
  <c r="AH88" i="13"/>
  <c r="AI88" i="13"/>
  <c r="AH89" i="13"/>
  <c r="AI89" i="13"/>
  <c r="AH90" i="13"/>
  <c r="AI90" i="13"/>
  <c r="AH91" i="13"/>
  <c r="AI91" i="13"/>
  <c r="AH92" i="13"/>
  <c r="AI92" i="13"/>
  <c r="AH93" i="13"/>
  <c r="AI93" i="13"/>
  <c r="AH94" i="13"/>
  <c r="AI94" i="13"/>
  <c r="AH95" i="13"/>
  <c r="AI95" i="13"/>
  <c r="AH96" i="13"/>
  <c r="AI96" i="13"/>
  <c r="AH97" i="13"/>
  <c r="AI97" i="13"/>
  <c r="AH98" i="13"/>
  <c r="AI98" i="13"/>
  <c r="AH99" i="13"/>
  <c r="AI99" i="13"/>
  <c r="AH100" i="13"/>
  <c r="AI100" i="13"/>
  <c r="AH101" i="13"/>
  <c r="AI101" i="13"/>
  <c r="AH102" i="13"/>
  <c r="AI102" i="13"/>
  <c r="AH103" i="13"/>
  <c r="AI103" i="13"/>
  <c r="AH104" i="13"/>
  <c r="AI104" i="13"/>
  <c r="AH105" i="13"/>
  <c r="AI105" i="13"/>
  <c r="AI4" i="13"/>
  <c r="AH4" i="13"/>
  <c r="AJ3" i="13"/>
  <c r="AH5" i="11"/>
  <c r="AJ5" i="11" s="1"/>
  <c r="AI5" i="11"/>
  <c r="AH6" i="11"/>
  <c r="AI6" i="11"/>
  <c r="AH7" i="11"/>
  <c r="AI7" i="11"/>
  <c r="AH8" i="11"/>
  <c r="AI8" i="11"/>
  <c r="AH9" i="11"/>
  <c r="AI9" i="11"/>
  <c r="AH10" i="11"/>
  <c r="AI10" i="11"/>
  <c r="AH11" i="11"/>
  <c r="AI11" i="11"/>
  <c r="AH12" i="11"/>
  <c r="AI12" i="11"/>
  <c r="AH13" i="11"/>
  <c r="AI13" i="11"/>
  <c r="AH14" i="11"/>
  <c r="AI14" i="11"/>
  <c r="AH15" i="11"/>
  <c r="AI15" i="11"/>
  <c r="AH16" i="11"/>
  <c r="AI16" i="11"/>
  <c r="AH17" i="11"/>
  <c r="AI17" i="11"/>
  <c r="AH18" i="11"/>
  <c r="AI18" i="11"/>
  <c r="AH19" i="11"/>
  <c r="AI19" i="11"/>
  <c r="AH20" i="11"/>
  <c r="AI20" i="11"/>
  <c r="AH21" i="11"/>
  <c r="AI21" i="11"/>
  <c r="AH22" i="11"/>
  <c r="AI22" i="11"/>
  <c r="AH23" i="11"/>
  <c r="AI23" i="11"/>
  <c r="AH24" i="11"/>
  <c r="AI24" i="11"/>
  <c r="AH25" i="11"/>
  <c r="AI25" i="11"/>
  <c r="AH26" i="11"/>
  <c r="AI26" i="11"/>
  <c r="AH27" i="11"/>
  <c r="AI27" i="11"/>
  <c r="AH28" i="11"/>
  <c r="AI28" i="11"/>
  <c r="AH29" i="11"/>
  <c r="AI29" i="11"/>
  <c r="AH30" i="11"/>
  <c r="AI30" i="11"/>
  <c r="AH31" i="11"/>
  <c r="AI31" i="11"/>
  <c r="AH32" i="11"/>
  <c r="AI32" i="11"/>
  <c r="AH33" i="11"/>
  <c r="AI33" i="11"/>
  <c r="AH34" i="11"/>
  <c r="AI34" i="11"/>
  <c r="AH35" i="11"/>
  <c r="AI35" i="11"/>
  <c r="AH36" i="11"/>
  <c r="AI36" i="11"/>
  <c r="AH37" i="11"/>
  <c r="AI37" i="11"/>
  <c r="AH38" i="11"/>
  <c r="AI38" i="11"/>
  <c r="AH39" i="11"/>
  <c r="AI39" i="11"/>
  <c r="AH40" i="11"/>
  <c r="AI40" i="11"/>
  <c r="AH41" i="11"/>
  <c r="AI41" i="11"/>
  <c r="AH42" i="11"/>
  <c r="AI42" i="11"/>
  <c r="AH43" i="11"/>
  <c r="AI43" i="11"/>
  <c r="AH44" i="11"/>
  <c r="AI44" i="11"/>
  <c r="AH45" i="11"/>
  <c r="AI45" i="11"/>
  <c r="AH46" i="11"/>
  <c r="AI46" i="11"/>
  <c r="AH47" i="11"/>
  <c r="AI47" i="11"/>
  <c r="AH48" i="11"/>
  <c r="AI48" i="11"/>
  <c r="AH49" i="11"/>
  <c r="AI49" i="11"/>
  <c r="AH50" i="11"/>
  <c r="AI50" i="11"/>
  <c r="AH51" i="11"/>
  <c r="AI51" i="11"/>
  <c r="AH52" i="11"/>
  <c r="AI52" i="11"/>
  <c r="AH53" i="11"/>
  <c r="AI53" i="11"/>
  <c r="AH54" i="11"/>
  <c r="AI54" i="11"/>
  <c r="AH55" i="11"/>
  <c r="AI55" i="11"/>
  <c r="AH56" i="11"/>
  <c r="AI56" i="11"/>
  <c r="AH57" i="11"/>
  <c r="AI57" i="11"/>
  <c r="AH58" i="11"/>
  <c r="AI58" i="11"/>
  <c r="AH59" i="11"/>
  <c r="AI59" i="11"/>
  <c r="AH60" i="11"/>
  <c r="AI60" i="11"/>
  <c r="AH61" i="11"/>
  <c r="AI61" i="11"/>
  <c r="AH62" i="11"/>
  <c r="AI62" i="11"/>
  <c r="AH63" i="11"/>
  <c r="AI63" i="11"/>
  <c r="AH64" i="11"/>
  <c r="AI64" i="11"/>
  <c r="AH65" i="11"/>
  <c r="AI65" i="11"/>
  <c r="AH66" i="11"/>
  <c r="AI66" i="11"/>
  <c r="AH67" i="11"/>
  <c r="AI67" i="11"/>
  <c r="AH68" i="11"/>
  <c r="AI68" i="11"/>
  <c r="AH69" i="11"/>
  <c r="AI69" i="11"/>
  <c r="AH70" i="11"/>
  <c r="AI70" i="11"/>
  <c r="AH71" i="11"/>
  <c r="AI71" i="11"/>
  <c r="AH72" i="11"/>
  <c r="AI72" i="11"/>
  <c r="AH73" i="11"/>
  <c r="AI73" i="11"/>
  <c r="AH74" i="11"/>
  <c r="AI74" i="11"/>
  <c r="AH75" i="11"/>
  <c r="AI75" i="11"/>
  <c r="AH76" i="11"/>
  <c r="AI76" i="11"/>
  <c r="AH77" i="11"/>
  <c r="AI77" i="11"/>
  <c r="AH78" i="11"/>
  <c r="AI78" i="11"/>
  <c r="AH79" i="11"/>
  <c r="AI79" i="11"/>
  <c r="AH80" i="11"/>
  <c r="AI80" i="11"/>
  <c r="AH81" i="11"/>
  <c r="AI81" i="11"/>
  <c r="AH82" i="11"/>
  <c r="AI82" i="11"/>
  <c r="AH83" i="11"/>
  <c r="AI83" i="11"/>
  <c r="AH84" i="11"/>
  <c r="AI84" i="11"/>
  <c r="AH85" i="11"/>
  <c r="AI85" i="11"/>
  <c r="AH86" i="11"/>
  <c r="AI86" i="11"/>
  <c r="AH87" i="11"/>
  <c r="AI87" i="11"/>
  <c r="AH88" i="11"/>
  <c r="AI88" i="11"/>
  <c r="AH89" i="11"/>
  <c r="AI89" i="11"/>
  <c r="AH90" i="11"/>
  <c r="AI90" i="11"/>
  <c r="AH91" i="11"/>
  <c r="AI91" i="11"/>
  <c r="AH92" i="11"/>
  <c r="AI92" i="11"/>
  <c r="AH93" i="11"/>
  <c r="AI93" i="11"/>
  <c r="AH94" i="11"/>
  <c r="AI94" i="11"/>
  <c r="AH95" i="11"/>
  <c r="AI95" i="11"/>
  <c r="AH96" i="11"/>
  <c r="AI96" i="11"/>
  <c r="AH97" i="11"/>
  <c r="AI97" i="11"/>
  <c r="AH98" i="11"/>
  <c r="AI98" i="11"/>
  <c r="AH99" i="11"/>
  <c r="AI99" i="11"/>
  <c r="AH100" i="11"/>
  <c r="AI100" i="11"/>
  <c r="AH101" i="11"/>
  <c r="AI101" i="11"/>
  <c r="AH102" i="11"/>
  <c r="AI102" i="11"/>
  <c r="AH103" i="11"/>
  <c r="AI103" i="11"/>
  <c r="AH104" i="11"/>
  <c r="AI104" i="11"/>
  <c r="AH105" i="11"/>
  <c r="AI105" i="11"/>
  <c r="AH106" i="11"/>
  <c r="AI106" i="11"/>
  <c r="AH107" i="11"/>
  <c r="AI107" i="11"/>
  <c r="AH108" i="11"/>
  <c r="AI108" i="11"/>
  <c r="AH109" i="11"/>
  <c r="AI109" i="11"/>
  <c r="AH110" i="11"/>
  <c r="AI110" i="11"/>
  <c r="AH111" i="11"/>
  <c r="AI111" i="11"/>
  <c r="AH112" i="11"/>
  <c r="AI112" i="11"/>
  <c r="AH113" i="11"/>
  <c r="AI113" i="11"/>
  <c r="AH114" i="11"/>
  <c r="AI114" i="11"/>
  <c r="AH115" i="11"/>
  <c r="AI115" i="11"/>
  <c r="AH116" i="11"/>
  <c r="AI116" i="11"/>
  <c r="AH117" i="11"/>
  <c r="AI117" i="11"/>
  <c r="AH118" i="11"/>
  <c r="AI118" i="11"/>
  <c r="AH119" i="11"/>
  <c r="AI119" i="11"/>
  <c r="AH120" i="11"/>
  <c r="AI120" i="11"/>
  <c r="AH121" i="11"/>
  <c r="AI121" i="11"/>
  <c r="AH122" i="11"/>
  <c r="AI122" i="11"/>
  <c r="AH123" i="11"/>
  <c r="AI123" i="11"/>
  <c r="AH124" i="11"/>
  <c r="AI124" i="11"/>
  <c r="AI4" i="11"/>
  <c r="AH4" i="11"/>
  <c r="AJ3" i="11"/>
  <c r="AK5" i="3"/>
  <c r="AG5" i="33"/>
  <c r="AG6" i="33"/>
  <c r="AG7" i="33"/>
  <c r="AG8" i="33"/>
  <c r="AG9" i="33"/>
  <c r="AG10" i="33"/>
  <c r="AG11" i="33"/>
  <c r="AG12" i="33"/>
  <c r="AG13" i="33"/>
  <c r="AG14" i="33"/>
  <c r="AG15" i="33"/>
  <c r="AG16" i="33"/>
  <c r="AG17" i="33"/>
  <c r="AG18" i="33"/>
  <c r="AG19" i="33"/>
  <c r="AG20" i="33"/>
  <c r="AG21" i="33"/>
  <c r="AG22" i="33"/>
  <c r="AG23" i="33"/>
  <c r="AG24" i="33"/>
  <c r="AG25" i="33"/>
  <c r="AG26" i="33"/>
  <c r="AG27" i="33"/>
  <c r="AG28" i="33"/>
  <c r="AG29" i="33"/>
  <c r="AG30" i="33"/>
  <c r="AG31" i="33"/>
  <c r="AG32" i="33"/>
  <c r="AG33" i="33"/>
  <c r="AG34" i="33"/>
  <c r="AG35" i="33"/>
  <c r="AG36" i="33"/>
  <c r="AG37" i="33"/>
  <c r="AG38" i="33"/>
  <c r="AG39" i="33"/>
  <c r="AG40" i="33"/>
  <c r="AG41" i="33"/>
  <c r="AG42" i="33"/>
  <c r="AG43" i="33"/>
  <c r="AG44" i="33"/>
  <c r="AG45" i="33"/>
  <c r="AG46" i="33"/>
  <c r="AG47" i="33"/>
  <c r="AG48" i="33"/>
  <c r="AG49" i="33"/>
  <c r="AG50" i="33"/>
  <c r="AG51" i="33"/>
  <c r="AG52" i="33"/>
  <c r="AG53" i="33"/>
  <c r="AG54" i="33"/>
  <c r="AG55" i="33"/>
  <c r="AG56" i="33"/>
  <c r="AG57" i="33"/>
  <c r="AG58" i="33"/>
  <c r="AG59" i="33"/>
  <c r="AG60" i="33"/>
  <c r="AG61" i="33"/>
  <c r="AG62" i="33"/>
  <c r="AG63" i="33"/>
  <c r="AG64" i="33"/>
  <c r="AG65" i="33"/>
  <c r="AG66" i="33"/>
  <c r="AG67" i="33"/>
  <c r="AG68" i="33"/>
  <c r="AG69" i="33"/>
  <c r="AG70" i="33"/>
  <c r="AG71" i="33"/>
  <c r="AG72" i="33"/>
  <c r="AG73" i="33"/>
  <c r="AG74" i="33"/>
  <c r="AG75" i="33"/>
  <c r="AG76" i="33"/>
  <c r="AG77" i="33"/>
  <c r="AG78" i="33"/>
  <c r="AG79" i="33"/>
  <c r="AG80" i="33"/>
  <c r="AG81" i="33"/>
  <c r="AG82" i="33"/>
  <c r="AG83" i="33"/>
  <c r="AG84" i="33"/>
  <c r="AG85" i="33"/>
  <c r="AG86" i="33"/>
  <c r="AG87" i="33"/>
  <c r="AG88" i="33"/>
  <c r="AG89" i="33"/>
  <c r="AG90" i="33"/>
  <c r="AG91" i="33"/>
  <c r="AG92" i="33"/>
  <c r="AG93" i="33"/>
  <c r="AG94" i="33"/>
  <c r="AG95" i="33"/>
  <c r="AG96" i="33"/>
  <c r="AG97" i="33"/>
  <c r="AG98" i="33"/>
  <c r="AG99" i="33"/>
  <c r="AG100" i="33"/>
  <c r="AG101" i="33"/>
  <c r="AG102" i="33"/>
  <c r="AG103" i="33"/>
  <c r="AG104" i="33"/>
  <c r="AG105" i="33"/>
  <c r="AG106" i="33"/>
  <c r="AG107" i="33"/>
  <c r="AG108" i="33"/>
  <c r="AG109" i="33"/>
  <c r="AG110" i="33"/>
  <c r="AG111" i="33"/>
  <c r="AG112" i="33"/>
  <c r="AG113" i="33"/>
  <c r="AG114" i="33"/>
  <c r="AG115" i="33"/>
  <c r="AG116" i="33"/>
  <c r="AG117" i="33"/>
  <c r="AG118" i="33"/>
  <c r="AG119" i="33"/>
  <c r="AG120" i="33"/>
  <c r="AG121" i="33"/>
  <c r="AG122" i="33"/>
  <c r="AG123" i="33"/>
  <c r="AG124" i="33"/>
  <c r="AG125" i="33"/>
  <c r="AG126" i="33"/>
  <c r="AG127" i="33"/>
  <c r="AG128" i="33"/>
  <c r="AG129" i="33"/>
  <c r="AG130" i="33"/>
  <c r="AG131" i="33"/>
  <c r="AG132" i="33"/>
  <c r="AG133" i="33"/>
  <c r="AG134" i="33"/>
  <c r="AG135" i="33"/>
  <c r="AG136" i="33"/>
  <c r="AG137" i="33"/>
  <c r="AG138" i="33"/>
  <c r="AG139" i="33"/>
  <c r="AG140" i="33"/>
  <c r="AG141" i="33"/>
  <c r="AG142" i="33"/>
  <c r="AG143" i="33"/>
  <c r="AG144" i="33"/>
  <c r="AG145" i="33"/>
  <c r="AG146" i="33"/>
  <c r="AG147" i="33"/>
  <c r="AG148" i="33"/>
  <c r="AG149" i="33"/>
  <c r="AG150" i="33"/>
  <c r="AG151" i="33"/>
  <c r="AG152" i="33"/>
  <c r="AG153" i="33"/>
  <c r="AG154" i="33"/>
  <c r="AG155" i="33"/>
  <c r="AG156" i="33"/>
  <c r="AG157" i="33"/>
  <c r="AG158" i="33"/>
  <c r="AG159" i="33"/>
  <c r="AG160" i="33"/>
  <c r="AG161" i="33"/>
  <c r="AG162" i="33"/>
  <c r="AG163" i="33"/>
  <c r="AG164" i="33"/>
  <c r="AG165" i="33"/>
  <c r="AG166" i="33"/>
  <c r="AG167" i="33"/>
  <c r="AG168" i="33"/>
  <c r="AG169" i="33"/>
  <c r="AG170" i="33"/>
  <c r="AG171" i="33"/>
  <c r="AG172" i="33"/>
  <c r="AG173" i="33"/>
  <c r="AG174" i="33"/>
  <c r="AG175" i="33"/>
  <c r="AG176" i="33"/>
  <c r="AG177" i="33"/>
  <c r="AG178" i="33"/>
  <c r="AG179" i="33"/>
  <c r="AG180" i="33"/>
  <c r="AG181" i="33"/>
  <c r="AG182" i="33"/>
  <c r="AG183" i="33"/>
  <c r="AG184" i="33"/>
  <c r="AG185" i="33"/>
  <c r="AG186" i="33"/>
  <c r="AG187" i="33"/>
  <c r="AG188" i="33"/>
  <c r="AG189" i="33"/>
  <c r="AG190" i="33"/>
  <c r="AG191" i="33"/>
  <c r="AG192" i="33"/>
  <c r="AG193" i="33"/>
  <c r="AG194" i="33"/>
  <c r="AG195" i="33"/>
  <c r="AG196" i="33"/>
  <c r="AG197" i="33"/>
  <c r="AG198" i="33"/>
  <c r="AG199" i="33"/>
  <c r="AG200" i="33"/>
  <c r="AG201" i="33"/>
  <c r="AG202" i="33"/>
  <c r="AG203" i="33"/>
  <c r="AG204" i="33"/>
  <c r="AG205" i="33"/>
  <c r="AG206" i="33"/>
  <c r="AG207" i="33"/>
  <c r="AG208" i="33"/>
  <c r="AG209" i="33"/>
  <c r="AG210" i="33"/>
  <c r="AG211" i="33"/>
  <c r="AG212" i="33"/>
  <c r="AG213" i="33"/>
  <c r="AG214" i="33"/>
  <c r="AG215" i="33"/>
  <c r="AG216" i="33"/>
  <c r="AG217" i="33"/>
  <c r="AG218" i="33"/>
  <c r="AG219" i="33"/>
  <c r="AG220" i="33"/>
  <c r="AG221" i="33"/>
  <c r="AG222" i="33"/>
  <c r="AG223" i="33"/>
  <c r="AG224" i="33"/>
  <c r="AG225" i="33"/>
  <c r="AG4" i="33"/>
  <c r="AJ225" i="33"/>
  <c r="AI225" i="33"/>
  <c r="AJ224" i="33"/>
  <c r="AI224" i="33"/>
  <c r="AJ223" i="33"/>
  <c r="AI223" i="33"/>
  <c r="AJ222" i="33"/>
  <c r="AI222" i="33"/>
  <c r="AJ221" i="33"/>
  <c r="AI221" i="33"/>
  <c r="AJ220" i="33"/>
  <c r="AI220" i="33"/>
  <c r="AJ219" i="33"/>
  <c r="AI219" i="33"/>
  <c r="AJ218" i="33"/>
  <c r="AI218" i="33"/>
  <c r="AJ217" i="33"/>
  <c r="AI217" i="33"/>
  <c r="AJ216" i="33"/>
  <c r="AI216" i="33"/>
  <c r="AJ215" i="33"/>
  <c r="AI215" i="33"/>
  <c r="AJ214" i="33"/>
  <c r="AI214" i="33"/>
  <c r="AJ213" i="33"/>
  <c r="AI213" i="33"/>
  <c r="AJ212" i="33"/>
  <c r="AI212" i="33"/>
  <c r="AJ211" i="33"/>
  <c r="AI211" i="33"/>
  <c r="AJ210" i="33"/>
  <c r="AI210" i="33"/>
  <c r="AJ209" i="33"/>
  <c r="AI209" i="33"/>
  <c r="AJ208" i="33"/>
  <c r="AI208" i="33"/>
  <c r="AJ207" i="33"/>
  <c r="AI207" i="33"/>
  <c r="AJ206" i="33"/>
  <c r="AI206" i="33"/>
  <c r="AJ205" i="33"/>
  <c r="AI205" i="33"/>
  <c r="AJ204" i="33"/>
  <c r="AI204" i="33"/>
  <c r="AJ203" i="33"/>
  <c r="AI203" i="33"/>
  <c r="AJ202" i="33"/>
  <c r="AI202" i="33"/>
  <c r="AJ201" i="33"/>
  <c r="AI201" i="33"/>
  <c r="AJ200" i="33"/>
  <c r="AI200" i="33"/>
  <c r="AJ199" i="33"/>
  <c r="AI199" i="33"/>
  <c r="AJ198" i="33"/>
  <c r="AI198" i="33"/>
  <c r="AJ197" i="33"/>
  <c r="AI197" i="33"/>
  <c r="AJ196" i="33"/>
  <c r="AI196" i="33"/>
  <c r="AJ195" i="33"/>
  <c r="AI195" i="33"/>
  <c r="AJ194" i="33"/>
  <c r="AI194" i="33"/>
  <c r="AJ193" i="33"/>
  <c r="AI193" i="33"/>
  <c r="AJ192" i="33"/>
  <c r="AI192" i="33"/>
  <c r="AJ191" i="33"/>
  <c r="AI191" i="33"/>
  <c r="AJ190" i="33"/>
  <c r="AI190" i="33"/>
  <c r="AJ189" i="33"/>
  <c r="AI189" i="33"/>
  <c r="AJ188" i="33"/>
  <c r="AI188" i="33"/>
  <c r="AJ187" i="33"/>
  <c r="AI187" i="33"/>
  <c r="AJ186" i="33"/>
  <c r="AI186" i="33"/>
  <c r="AJ185" i="33"/>
  <c r="AI185" i="33"/>
  <c r="AJ184" i="33"/>
  <c r="AI184" i="33"/>
  <c r="AJ183" i="33"/>
  <c r="AI183" i="33"/>
  <c r="AJ182" i="33"/>
  <c r="AI182" i="33"/>
  <c r="AJ181" i="33"/>
  <c r="AI181" i="33"/>
  <c r="AJ180" i="33"/>
  <c r="AI180" i="33"/>
  <c r="AJ179" i="33"/>
  <c r="AI179" i="33"/>
  <c r="AJ178" i="33"/>
  <c r="AI178" i="33"/>
  <c r="AJ177" i="33"/>
  <c r="AI177" i="33"/>
  <c r="AJ176" i="33"/>
  <c r="AI176" i="33"/>
  <c r="AJ175" i="33"/>
  <c r="AI175" i="33"/>
  <c r="AJ174" i="33"/>
  <c r="AI174" i="33"/>
  <c r="AJ173" i="33"/>
  <c r="AI173" i="33"/>
  <c r="AJ172" i="33"/>
  <c r="AI172" i="33"/>
  <c r="AJ171" i="33"/>
  <c r="AI171" i="33"/>
  <c r="AJ170" i="33"/>
  <c r="AI170" i="33"/>
  <c r="AJ169" i="33"/>
  <c r="AI169" i="33"/>
  <c r="AJ168" i="33"/>
  <c r="AI168" i="33"/>
  <c r="AJ167" i="33"/>
  <c r="AI167" i="33"/>
  <c r="AJ166" i="33"/>
  <c r="AI166" i="33"/>
  <c r="AJ165" i="33"/>
  <c r="AI165" i="33"/>
  <c r="AJ164" i="33"/>
  <c r="AI164" i="33"/>
  <c r="AJ163" i="33"/>
  <c r="AI163" i="33"/>
  <c r="AJ162" i="33"/>
  <c r="AI162" i="33"/>
  <c r="AJ161" i="33"/>
  <c r="AI161" i="33"/>
  <c r="AJ160" i="33"/>
  <c r="AI160" i="33"/>
  <c r="AJ159" i="33"/>
  <c r="AI159" i="33"/>
  <c r="AJ158" i="33"/>
  <c r="AI158" i="33"/>
  <c r="AJ157" i="33"/>
  <c r="AI157" i="33"/>
  <c r="AJ156" i="33"/>
  <c r="AI156" i="33"/>
  <c r="AJ155" i="33"/>
  <c r="AI155" i="33"/>
  <c r="AJ154" i="33"/>
  <c r="AI154" i="33"/>
  <c r="AJ153" i="33"/>
  <c r="AI153" i="33"/>
  <c r="AJ152" i="33"/>
  <c r="AI152" i="33"/>
  <c r="AJ151" i="33"/>
  <c r="AI151" i="33"/>
  <c r="AJ150" i="33"/>
  <c r="AI150" i="33"/>
  <c r="AJ149" i="33"/>
  <c r="AI149" i="33"/>
  <c r="AJ148" i="33"/>
  <c r="AI148" i="33"/>
  <c r="AJ147" i="33"/>
  <c r="AI147" i="33"/>
  <c r="AJ146" i="33"/>
  <c r="AI146" i="33"/>
  <c r="AJ145" i="33"/>
  <c r="AI145" i="33"/>
  <c r="AJ144" i="33"/>
  <c r="AI144" i="33"/>
  <c r="AJ143" i="33"/>
  <c r="AI143" i="33"/>
  <c r="AJ142" i="33"/>
  <c r="AI142" i="33"/>
  <c r="AJ141" i="33"/>
  <c r="AI141" i="33"/>
  <c r="AJ140" i="33"/>
  <c r="AI140" i="33"/>
  <c r="AJ139" i="33"/>
  <c r="AI139" i="33"/>
  <c r="AJ138" i="33"/>
  <c r="AI138" i="33"/>
  <c r="AJ137" i="33"/>
  <c r="AI137" i="33"/>
  <c r="AJ136" i="33"/>
  <c r="AI136" i="33"/>
  <c r="AJ135" i="33"/>
  <c r="AI135" i="33"/>
  <c r="AJ134" i="33"/>
  <c r="AI134" i="33"/>
  <c r="AJ133" i="33"/>
  <c r="AI133" i="33"/>
  <c r="AJ132" i="33"/>
  <c r="AI132" i="33"/>
  <c r="AJ131" i="33"/>
  <c r="AI131" i="33"/>
  <c r="AJ130" i="33"/>
  <c r="AI130" i="33"/>
  <c r="AJ129" i="33"/>
  <c r="AI129" i="33"/>
  <c r="AJ128" i="33"/>
  <c r="AI128" i="33"/>
  <c r="AJ127" i="33"/>
  <c r="AI127" i="33"/>
  <c r="AJ126" i="33"/>
  <c r="AI126" i="33"/>
  <c r="AJ125" i="33"/>
  <c r="AI125" i="33"/>
  <c r="AJ124" i="33"/>
  <c r="AI124" i="33"/>
  <c r="AJ123" i="33"/>
  <c r="AI123" i="33"/>
  <c r="AJ122" i="33"/>
  <c r="AI122" i="33"/>
  <c r="AJ121" i="33"/>
  <c r="AI121" i="33"/>
  <c r="AJ120" i="33"/>
  <c r="AI120" i="33"/>
  <c r="AJ119" i="33"/>
  <c r="AI119" i="33"/>
  <c r="AJ118" i="33"/>
  <c r="AI118" i="33"/>
  <c r="AJ117" i="33"/>
  <c r="AI117" i="33"/>
  <c r="AJ116" i="33"/>
  <c r="AI116" i="33"/>
  <c r="AJ115" i="33"/>
  <c r="AI115" i="33"/>
  <c r="AJ114" i="33"/>
  <c r="AI114" i="33"/>
  <c r="AJ113" i="33"/>
  <c r="AI113" i="33"/>
  <c r="AJ112" i="33"/>
  <c r="AI112" i="33"/>
  <c r="AJ111" i="33"/>
  <c r="AI111" i="33"/>
  <c r="AJ110" i="33"/>
  <c r="AI110" i="33"/>
  <c r="AJ109" i="33"/>
  <c r="AI109" i="33"/>
  <c r="AJ108" i="33"/>
  <c r="AI108" i="33"/>
  <c r="AJ107" i="33"/>
  <c r="AI107" i="33"/>
  <c r="AJ106" i="33"/>
  <c r="AI106" i="33"/>
  <c r="AJ105" i="33"/>
  <c r="AI105" i="33"/>
  <c r="AJ104" i="33"/>
  <c r="AI104" i="33"/>
  <c r="AJ103" i="33"/>
  <c r="AI103" i="33"/>
  <c r="AJ102" i="33"/>
  <c r="AI102" i="33"/>
  <c r="AJ101" i="33"/>
  <c r="AI101" i="33"/>
  <c r="AJ100" i="33"/>
  <c r="AI100" i="33"/>
  <c r="AJ99" i="33"/>
  <c r="AI99" i="33"/>
  <c r="AJ98" i="33"/>
  <c r="AI98" i="33"/>
  <c r="AJ97" i="33"/>
  <c r="AI97" i="33"/>
  <c r="AJ96" i="33"/>
  <c r="AI96" i="33"/>
  <c r="AJ95" i="33"/>
  <c r="AI95" i="33"/>
  <c r="AJ94" i="33"/>
  <c r="AI94" i="33"/>
  <c r="AJ93" i="33"/>
  <c r="AI93" i="33"/>
  <c r="AJ92" i="33"/>
  <c r="AI92" i="33"/>
  <c r="AJ91" i="33"/>
  <c r="AI91" i="33"/>
  <c r="AJ90" i="33"/>
  <c r="AI90" i="33"/>
  <c r="AJ89" i="33"/>
  <c r="AI89" i="33"/>
  <c r="AJ88" i="33"/>
  <c r="AI88" i="33"/>
  <c r="AJ87" i="33"/>
  <c r="AI87" i="33"/>
  <c r="AJ86" i="33"/>
  <c r="AI86" i="33"/>
  <c r="AJ85" i="33"/>
  <c r="AI85" i="33"/>
  <c r="AJ84" i="33"/>
  <c r="AI84" i="33"/>
  <c r="AJ83" i="33"/>
  <c r="AI83" i="33"/>
  <c r="AJ82" i="33"/>
  <c r="AI82" i="33"/>
  <c r="AJ81" i="33"/>
  <c r="AI81" i="33"/>
  <c r="AJ80" i="33"/>
  <c r="AI80" i="33"/>
  <c r="AJ79" i="33"/>
  <c r="AI79" i="33"/>
  <c r="AJ78" i="33"/>
  <c r="AI78" i="33"/>
  <c r="AJ77" i="33"/>
  <c r="AI77" i="33"/>
  <c r="AJ76" i="33"/>
  <c r="AI76" i="33"/>
  <c r="AJ75" i="33"/>
  <c r="AI75" i="33"/>
  <c r="AJ74" i="33"/>
  <c r="AI74" i="33"/>
  <c r="AJ73" i="33"/>
  <c r="AI73" i="33"/>
  <c r="AJ72" i="33"/>
  <c r="AI72" i="33"/>
  <c r="AJ71" i="33"/>
  <c r="AI71" i="33"/>
  <c r="AJ70" i="33"/>
  <c r="AI70" i="33"/>
  <c r="AJ69" i="33"/>
  <c r="AI69" i="33"/>
  <c r="AJ68" i="33"/>
  <c r="AI68" i="33"/>
  <c r="AJ67" i="33"/>
  <c r="AI67" i="33"/>
  <c r="AJ66" i="33"/>
  <c r="AI66" i="33"/>
  <c r="AJ65" i="33"/>
  <c r="AI65" i="33"/>
  <c r="AJ64" i="33"/>
  <c r="AI64" i="33"/>
  <c r="AJ63" i="33"/>
  <c r="AI63" i="33"/>
  <c r="AJ62" i="33"/>
  <c r="AI62" i="33"/>
  <c r="AJ61" i="33"/>
  <c r="AI61" i="33"/>
  <c r="AJ60" i="33"/>
  <c r="AI60" i="33"/>
  <c r="AJ59" i="33"/>
  <c r="AI59" i="33"/>
  <c r="AJ58" i="33"/>
  <c r="AI58" i="33"/>
  <c r="AJ57" i="33"/>
  <c r="AI57" i="33"/>
  <c r="AJ56" i="33"/>
  <c r="AI56" i="33"/>
  <c r="AJ55" i="33"/>
  <c r="AI55" i="33"/>
  <c r="AJ54" i="33"/>
  <c r="AI54" i="33"/>
  <c r="AJ53" i="33"/>
  <c r="AI53" i="33"/>
  <c r="AJ52" i="33"/>
  <c r="AI52" i="33"/>
  <c r="AJ51" i="33"/>
  <c r="AI51" i="33"/>
  <c r="AJ50" i="33"/>
  <c r="AI50" i="33"/>
  <c r="AJ49" i="33"/>
  <c r="AI49" i="33"/>
  <c r="AJ48" i="33"/>
  <c r="AI48" i="33"/>
  <c r="AJ47" i="33"/>
  <c r="AI47" i="33"/>
  <c r="AJ46" i="33"/>
  <c r="AI46" i="33"/>
  <c r="AJ45" i="33"/>
  <c r="AI45" i="33"/>
  <c r="AJ44" i="33"/>
  <c r="AI44" i="33"/>
  <c r="AJ43" i="33"/>
  <c r="AI43" i="33"/>
  <c r="AJ42" i="33"/>
  <c r="AI42" i="33"/>
  <c r="AJ41" i="33"/>
  <c r="AI41" i="33"/>
  <c r="AJ40" i="33"/>
  <c r="AI40" i="33"/>
  <c r="AJ39" i="33"/>
  <c r="AI39" i="33"/>
  <c r="AJ38" i="33"/>
  <c r="AI38" i="33"/>
  <c r="AJ37" i="33"/>
  <c r="AI37" i="33"/>
  <c r="AJ36" i="33"/>
  <c r="AI36" i="33"/>
  <c r="AJ35" i="33"/>
  <c r="AI35" i="33"/>
  <c r="AJ34" i="33"/>
  <c r="AI34" i="33"/>
  <c r="AJ33" i="33"/>
  <c r="AI33" i="33"/>
  <c r="AJ32" i="33"/>
  <c r="AI32" i="33"/>
  <c r="AJ31" i="33"/>
  <c r="AI31" i="33"/>
  <c r="AJ30" i="33"/>
  <c r="AI30" i="33"/>
  <c r="AJ29" i="33"/>
  <c r="AI29" i="33"/>
  <c r="AJ28" i="33"/>
  <c r="AI28" i="33"/>
  <c r="AJ27" i="33"/>
  <c r="AI27" i="33"/>
  <c r="AJ26" i="33"/>
  <c r="AI26" i="33"/>
  <c r="AJ25" i="33"/>
  <c r="AI25" i="33"/>
  <c r="AJ24" i="33"/>
  <c r="AI24" i="33"/>
  <c r="AJ23" i="33"/>
  <c r="AI23" i="33"/>
  <c r="AJ22" i="33"/>
  <c r="AI22" i="33"/>
  <c r="AJ21" i="33"/>
  <c r="AI21" i="33"/>
  <c r="AJ20" i="33"/>
  <c r="AI20" i="33"/>
  <c r="AJ19" i="33"/>
  <c r="AI19" i="33"/>
  <c r="AJ18" i="33"/>
  <c r="AI18" i="33"/>
  <c r="AJ17" i="33"/>
  <c r="AI17" i="33"/>
  <c r="AJ16" i="33"/>
  <c r="AI16" i="33"/>
  <c r="AJ15" i="33"/>
  <c r="AI15" i="33"/>
  <c r="AJ14" i="33"/>
  <c r="AI14" i="33"/>
  <c r="AJ13" i="33"/>
  <c r="AI13" i="33"/>
  <c r="AJ12" i="33"/>
  <c r="AI12" i="33"/>
  <c r="AJ11" i="33"/>
  <c r="AI11" i="33"/>
  <c r="AJ10" i="33"/>
  <c r="AI10" i="33"/>
  <c r="AJ9" i="33"/>
  <c r="AI9" i="33"/>
  <c r="AJ8" i="33"/>
  <c r="AI8" i="33"/>
  <c r="AJ7" i="33"/>
  <c r="AI7" i="33"/>
  <c r="AJ6" i="33"/>
  <c r="AI6" i="33"/>
  <c r="AJ5" i="33"/>
  <c r="AI5" i="33"/>
  <c r="AJ4" i="33"/>
  <c r="AH6" i="5"/>
  <c r="AI6" i="5"/>
  <c r="AJ6" i="5"/>
  <c r="AK6" i="5"/>
  <c r="AH7" i="5"/>
  <c r="AI7" i="5"/>
  <c r="AJ7" i="5"/>
  <c r="AK7" i="5"/>
  <c r="AH8" i="5"/>
  <c r="AI8" i="5"/>
  <c r="AJ8" i="5"/>
  <c r="AK8" i="5"/>
  <c r="AH9" i="5"/>
  <c r="AI9" i="5"/>
  <c r="AJ9" i="5"/>
  <c r="AK9" i="5"/>
  <c r="AH10" i="5"/>
  <c r="AI10" i="5"/>
  <c r="AJ10" i="5"/>
  <c r="AK10" i="5"/>
  <c r="AH11" i="5"/>
  <c r="AI11" i="5"/>
  <c r="AJ11" i="5"/>
  <c r="AK11" i="5"/>
  <c r="AH12" i="5"/>
  <c r="AI12" i="5"/>
  <c r="AJ12" i="5"/>
  <c r="AK12" i="5"/>
  <c r="AH13" i="5"/>
  <c r="AI13" i="5"/>
  <c r="AJ13" i="5"/>
  <c r="AK13" i="5"/>
  <c r="AH14" i="5"/>
  <c r="AI14" i="5"/>
  <c r="AJ14" i="5"/>
  <c r="AK14" i="5"/>
  <c r="AH15" i="5"/>
  <c r="AI15" i="5"/>
  <c r="AJ15" i="5"/>
  <c r="AK15" i="5"/>
  <c r="AH16" i="5"/>
  <c r="AI16" i="5"/>
  <c r="AJ16" i="5"/>
  <c r="AK16" i="5"/>
  <c r="AH17" i="5"/>
  <c r="AI17" i="5"/>
  <c r="AJ17" i="5"/>
  <c r="AK17" i="5"/>
  <c r="AH18" i="5"/>
  <c r="AI18" i="5"/>
  <c r="AJ18" i="5"/>
  <c r="AK18" i="5"/>
  <c r="AH19" i="5"/>
  <c r="AI19" i="5"/>
  <c r="AJ19" i="5"/>
  <c r="AK19" i="5"/>
  <c r="AH20" i="5"/>
  <c r="AI20" i="5"/>
  <c r="AJ20" i="5"/>
  <c r="AK20" i="5"/>
  <c r="AH21" i="5"/>
  <c r="AI21" i="5"/>
  <c r="AJ21" i="5"/>
  <c r="AK21" i="5"/>
  <c r="AH22" i="5"/>
  <c r="AI22" i="5"/>
  <c r="AJ22" i="5"/>
  <c r="AK22" i="5"/>
  <c r="AH23" i="5"/>
  <c r="AI23" i="5"/>
  <c r="AJ23" i="5"/>
  <c r="AK23" i="5"/>
  <c r="AH24" i="5"/>
  <c r="AI24" i="5"/>
  <c r="AJ24" i="5"/>
  <c r="AK24" i="5"/>
  <c r="AH25" i="5"/>
  <c r="AI25" i="5"/>
  <c r="AJ25" i="5"/>
  <c r="AK25" i="5"/>
  <c r="AH26" i="5"/>
  <c r="AI26" i="5"/>
  <c r="AJ26" i="5"/>
  <c r="AK26" i="5"/>
  <c r="AH27" i="5"/>
  <c r="AI27" i="5"/>
  <c r="AJ27" i="5"/>
  <c r="AK27" i="5"/>
  <c r="AH28" i="5"/>
  <c r="AI28" i="5"/>
  <c r="AJ28" i="5"/>
  <c r="AK28" i="5"/>
  <c r="AH29" i="5"/>
  <c r="AI29" i="5"/>
  <c r="AJ29" i="5"/>
  <c r="AK29" i="5"/>
  <c r="AH30" i="5"/>
  <c r="AI30" i="5"/>
  <c r="AJ30" i="5"/>
  <c r="AK30" i="5"/>
  <c r="AH31" i="5"/>
  <c r="AI31" i="5"/>
  <c r="AJ31" i="5"/>
  <c r="AK31" i="5"/>
  <c r="AH32" i="5"/>
  <c r="AI32" i="5"/>
  <c r="AJ32" i="5"/>
  <c r="AK32" i="5"/>
  <c r="AH33" i="5"/>
  <c r="AI33" i="5"/>
  <c r="AJ33" i="5"/>
  <c r="AK33" i="5"/>
  <c r="AH34" i="5"/>
  <c r="AI34" i="5"/>
  <c r="AJ34" i="5"/>
  <c r="AK34" i="5"/>
  <c r="AH35" i="5"/>
  <c r="AI35" i="5"/>
  <c r="AJ35" i="5"/>
  <c r="AK35" i="5"/>
  <c r="AH36" i="5"/>
  <c r="AI36" i="5"/>
  <c r="AJ36" i="5"/>
  <c r="AK36" i="5"/>
  <c r="AH37" i="5"/>
  <c r="AI37" i="5"/>
  <c r="AJ37" i="5"/>
  <c r="AK37" i="5"/>
  <c r="AH38" i="5"/>
  <c r="AI38" i="5"/>
  <c r="AJ38" i="5"/>
  <c r="AK38" i="5"/>
  <c r="AH39" i="5"/>
  <c r="AI39" i="5"/>
  <c r="AJ39" i="5"/>
  <c r="AK39" i="5"/>
  <c r="AH40" i="5"/>
  <c r="AI40" i="5"/>
  <c r="AJ40" i="5"/>
  <c r="AK40" i="5"/>
  <c r="AH41" i="5"/>
  <c r="AI41" i="5"/>
  <c r="AJ41" i="5"/>
  <c r="AK41" i="5"/>
  <c r="AH42" i="5"/>
  <c r="AI42" i="5"/>
  <c r="AJ42" i="5"/>
  <c r="AK42" i="5"/>
  <c r="AH43" i="5"/>
  <c r="AI43" i="5"/>
  <c r="AJ43" i="5"/>
  <c r="AK43" i="5"/>
  <c r="AH44" i="5"/>
  <c r="AI44" i="5"/>
  <c r="AJ44" i="5"/>
  <c r="AK44" i="5"/>
  <c r="AH45" i="5"/>
  <c r="AI45" i="5"/>
  <c r="AJ45" i="5"/>
  <c r="AK45" i="5"/>
  <c r="AH46" i="5"/>
  <c r="AI46" i="5"/>
  <c r="AJ46" i="5"/>
  <c r="AK46" i="5"/>
  <c r="AH47" i="5"/>
  <c r="AI47" i="5"/>
  <c r="AJ47" i="5"/>
  <c r="AK47" i="5"/>
  <c r="AH48" i="5"/>
  <c r="AI48" i="5"/>
  <c r="AJ48" i="5"/>
  <c r="AK48" i="5"/>
  <c r="AH49" i="5"/>
  <c r="AI49" i="5"/>
  <c r="AJ49" i="5"/>
  <c r="AK49" i="5"/>
  <c r="AH50" i="5"/>
  <c r="AI50" i="5"/>
  <c r="AJ50" i="5"/>
  <c r="AK50" i="5"/>
  <c r="AH51" i="5"/>
  <c r="AI51" i="5"/>
  <c r="AJ51" i="5"/>
  <c r="AK51" i="5"/>
  <c r="AH52" i="5"/>
  <c r="AI52" i="5"/>
  <c r="AJ52" i="5"/>
  <c r="AK52" i="5"/>
  <c r="AH53" i="5"/>
  <c r="AI53" i="5"/>
  <c r="AJ53" i="5"/>
  <c r="AK53" i="5"/>
  <c r="AH54" i="5"/>
  <c r="AI54" i="5"/>
  <c r="AJ54" i="5"/>
  <c r="AK54" i="5"/>
  <c r="AH55" i="5"/>
  <c r="AI55" i="5"/>
  <c r="AJ55" i="5"/>
  <c r="AK55" i="5"/>
  <c r="AH56" i="5"/>
  <c r="AI56" i="5"/>
  <c r="AJ56" i="5"/>
  <c r="AK56" i="5"/>
  <c r="AH57" i="5"/>
  <c r="AI57" i="5"/>
  <c r="AJ57" i="5"/>
  <c r="AK57" i="5"/>
  <c r="AH58" i="5"/>
  <c r="AI58" i="5"/>
  <c r="AJ58" i="5"/>
  <c r="AK58" i="5"/>
  <c r="AH59" i="5"/>
  <c r="AI59" i="5"/>
  <c r="AJ59" i="5"/>
  <c r="AK59" i="5"/>
  <c r="AH60" i="5"/>
  <c r="AI60" i="5"/>
  <c r="AJ60" i="5"/>
  <c r="AK60" i="5"/>
  <c r="AH61" i="5"/>
  <c r="AI61" i="5"/>
  <c r="AJ61" i="5"/>
  <c r="AK61" i="5"/>
  <c r="AH62" i="5"/>
  <c r="AI62" i="5"/>
  <c r="AJ62" i="5"/>
  <c r="AK62" i="5"/>
  <c r="AH63" i="5"/>
  <c r="AI63" i="5"/>
  <c r="AJ63" i="5"/>
  <c r="AK63" i="5"/>
  <c r="AH64" i="5"/>
  <c r="AI64" i="5"/>
  <c r="AJ64" i="5"/>
  <c r="AK64" i="5"/>
  <c r="AH65" i="5"/>
  <c r="AI65" i="5"/>
  <c r="AJ65" i="5"/>
  <c r="AK65" i="5"/>
  <c r="AH66" i="5"/>
  <c r="AI66" i="5"/>
  <c r="AJ66" i="5"/>
  <c r="AK66" i="5"/>
  <c r="AH67" i="5"/>
  <c r="AI67" i="5"/>
  <c r="AJ67" i="5"/>
  <c r="AK67" i="5"/>
  <c r="AH68" i="5"/>
  <c r="AI68" i="5"/>
  <c r="AJ68" i="5"/>
  <c r="AK68" i="5"/>
  <c r="AH69" i="5"/>
  <c r="AI69" i="5"/>
  <c r="AJ69" i="5"/>
  <c r="AK69" i="5"/>
  <c r="AH70" i="5"/>
  <c r="AI70" i="5"/>
  <c r="AJ70" i="5"/>
  <c r="AK70" i="5"/>
  <c r="AH71" i="5"/>
  <c r="AI71" i="5"/>
  <c r="AJ71" i="5"/>
  <c r="AK71" i="5"/>
  <c r="AH72" i="5"/>
  <c r="AI72" i="5"/>
  <c r="AJ72" i="5"/>
  <c r="AK72" i="5"/>
  <c r="AH73" i="5"/>
  <c r="AI73" i="5"/>
  <c r="AJ73" i="5"/>
  <c r="AK73" i="5"/>
  <c r="AH74" i="5"/>
  <c r="AI74" i="5"/>
  <c r="AJ74" i="5"/>
  <c r="AK74" i="5"/>
  <c r="AH75" i="5"/>
  <c r="AI75" i="5"/>
  <c r="AJ75" i="5"/>
  <c r="AK75" i="5"/>
  <c r="AH76" i="5"/>
  <c r="AI76" i="5"/>
  <c r="AJ76" i="5"/>
  <c r="AK76" i="5"/>
  <c r="AH77" i="5"/>
  <c r="AI77" i="5"/>
  <c r="AJ77" i="5"/>
  <c r="AK77" i="5"/>
  <c r="AH78" i="5"/>
  <c r="AI78" i="5"/>
  <c r="AJ78" i="5"/>
  <c r="AK78" i="5"/>
  <c r="AH79" i="5"/>
  <c r="AI79" i="5"/>
  <c r="AJ79" i="5"/>
  <c r="AK79" i="5"/>
  <c r="AH80" i="5"/>
  <c r="AI80" i="5"/>
  <c r="AJ80" i="5"/>
  <c r="AK80" i="5"/>
  <c r="AH81" i="5"/>
  <c r="AI81" i="5"/>
  <c r="AJ81" i="5"/>
  <c r="AK81" i="5"/>
  <c r="AH82" i="5"/>
  <c r="AI82" i="5"/>
  <c r="AJ82" i="5"/>
  <c r="AK82" i="5"/>
  <c r="AH83" i="5"/>
  <c r="AI83" i="5"/>
  <c r="AJ83" i="5"/>
  <c r="AK83" i="5"/>
  <c r="AH84" i="5"/>
  <c r="AI84" i="5"/>
  <c r="AJ84" i="5"/>
  <c r="AK84" i="5"/>
  <c r="AH85" i="5"/>
  <c r="AI85" i="5"/>
  <c r="AJ85" i="5"/>
  <c r="AK85" i="5"/>
  <c r="AH86" i="5"/>
  <c r="AI86" i="5"/>
  <c r="AJ86" i="5"/>
  <c r="AK86" i="5"/>
  <c r="AH87" i="5"/>
  <c r="AI87" i="5"/>
  <c r="AJ87" i="5"/>
  <c r="AK87" i="5"/>
  <c r="AH88" i="5"/>
  <c r="AI88" i="5"/>
  <c r="AJ88" i="5"/>
  <c r="AK88" i="5"/>
  <c r="AH89" i="5"/>
  <c r="AI89" i="5"/>
  <c r="AJ89" i="5"/>
  <c r="AK89" i="5"/>
  <c r="AH90" i="5"/>
  <c r="AI90" i="5"/>
  <c r="AJ90" i="5"/>
  <c r="AK90" i="5"/>
  <c r="AH91" i="5"/>
  <c r="AI91" i="5"/>
  <c r="AJ91" i="5"/>
  <c r="AK91" i="5"/>
  <c r="AH92" i="5"/>
  <c r="AI92" i="5"/>
  <c r="AJ92" i="5"/>
  <c r="AK92" i="5"/>
  <c r="AH93" i="5"/>
  <c r="AI93" i="5"/>
  <c r="AJ93" i="5"/>
  <c r="AK93" i="5"/>
  <c r="AH94" i="5"/>
  <c r="AI94" i="5"/>
  <c r="AJ94" i="5"/>
  <c r="AK94" i="5"/>
  <c r="AH95" i="5"/>
  <c r="AI95" i="5"/>
  <c r="AJ95" i="5"/>
  <c r="AK95" i="5"/>
  <c r="AH96" i="5"/>
  <c r="AI96" i="5"/>
  <c r="AJ96" i="5"/>
  <c r="AK96" i="5"/>
  <c r="AH97" i="5"/>
  <c r="AI97" i="5"/>
  <c r="AJ97" i="5"/>
  <c r="AK97" i="5"/>
  <c r="AH98" i="5"/>
  <c r="AI98" i="5"/>
  <c r="AJ98" i="5"/>
  <c r="AK98" i="5"/>
  <c r="AH99" i="5"/>
  <c r="AI99" i="5"/>
  <c r="AJ99" i="5"/>
  <c r="AK99" i="5"/>
  <c r="AH100" i="5"/>
  <c r="AI100" i="5"/>
  <c r="AJ100" i="5"/>
  <c r="AK100" i="5"/>
  <c r="AH101" i="5"/>
  <c r="AI101" i="5"/>
  <c r="AJ101" i="5"/>
  <c r="AK101" i="5"/>
  <c r="AH102" i="5"/>
  <c r="AI102" i="5"/>
  <c r="AJ102" i="5"/>
  <c r="AK102" i="5"/>
  <c r="AH103" i="5"/>
  <c r="AI103" i="5"/>
  <c r="AJ103" i="5"/>
  <c r="AK103" i="5"/>
  <c r="AH104" i="5"/>
  <c r="AI104" i="5"/>
  <c r="AJ104" i="5"/>
  <c r="AK104" i="5"/>
  <c r="AH105" i="5"/>
  <c r="AI105" i="5"/>
  <c r="AJ105" i="5"/>
  <c r="AK105" i="5"/>
  <c r="AH106" i="5"/>
  <c r="AI106" i="5"/>
  <c r="AJ106" i="5"/>
  <c r="AK106" i="5"/>
  <c r="AH107" i="5"/>
  <c r="AI107" i="5"/>
  <c r="AJ107" i="5"/>
  <c r="AK107" i="5"/>
  <c r="AH108" i="5"/>
  <c r="AI108" i="5"/>
  <c r="AJ108" i="5"/>
  <c r="AK108" i="5"/>
  <c r="AH109" i="5"/>
  <c r="AI109" i="5"/>
  <c r="AJ109" i="5"/>
  <c r="AK109" i="5"/>
  <c r="AH110" i="5"/>
  <c r="AI110" i="5"/>
  <c r="AJ110" i="5"/>
  <c r="AK110" i="5"/>
  <c r="AH111" i="5"/>
  <c r="AI111" i="5"/>
  <c r="AJ111" i="5"/>
  <c r="AK111" i="5"/>
  <c r="AH112" i="5"/>
  <c r="AI112" i="5"/>
  <c r="AJ112" i="5"/>
  <c r="AK112" i="5"/>
  <c r="AH113" i="5"/>
  <c r="AI113" i="5"/>
  <c r="AJ113" i="5"/>
  <c r="AK113" i="5"/>
  <c r="AH114" i="5"/>
  <c r="AI114" i="5"/>
  <c r="AJ114" i="5"/>
  <c r="AK114" i="5"/>
  <c r="AH115" i="5"/>
  <c r="AI115" i="5"/>
  <c r="AJ115" i="5"/>
  <c r="AK115" i="5"/>
  <c r="AH116" i="5"/>
  <c r="AI116" i="5"/>
  <c r="AJ116" i="5"/>
  <c r="AK116" i="5"/>
  <c r="AH117" i="5"/>
  <c r="AI117" i="5"/>
  <c r="AJ117" i="5"/>
  <c r="AK117" i="5"/>
  <c r="AH118" i="5"/>
  <c r="AI118" i="5"/>
  <c r="AJ118" i="5"/>
  <c r="AK118" i="5"/>
  <c r="AH119" i="5"/>
  <c r="AI119" i="5"/>
  <c r="AJ119" i="5"/>
  <c r="AK119" i="5"/>
  <c r="AH120" i="5"/>
  <c r="AI120" i="5"/>
  <c r="AJ120" i="5"/>
  <c r="AK120" i="5"/>
  <c r="AH121" i="5"/>
  <c r="AI121" i="5"/>
  <c r="AJ121" i="5"/>
  <c r="AK121" i="5"/>
  <c r="AH122" i="5"/>
  <c r="AI122" i="5"/>
  <c r="AJ122" i="5"/>
  <c r="AK122" i="5"/>
  <c r="AH123" i="5"/>
  <c r="AI123" i="5"/>
  <c r="AJ123" i="5"/>
  <c r="AK123" i="5"/>
  <c r="AH124" i="5"/>
  <c r="AI124" i="5"/>
  <c r="AJ124" i="5"/>
  <c r="AK124" i="5"/>
  <c r="AH125" i="5"/>
  <c r="AI125" i="5"/>
  <c r="AJ125" i="5"/>
  <c r="AK125" i="5"/>
  <c r="AH126" i="5"/>
  <c r="AI126" i="5"/>
  <c r="AJ126" i="5"/>
  <c r="AK126" i="5"/>
  <c r="AH127" i="5"/>
  <c r="AI127" i="5"/>
  <c r="AJ127" i="5"/>
  <c r="AK127" i="5"/>
  <c r="AH128" i="5"/>
  <c r="AI128" i="5"/>
  <c r="AJ128" i="5"/>
  <c r="AK128" i="5"/>
  <c r="AH129" i="5"/>
  <c r="AI129" i="5"/>
  <c r="AJ129" i="5"/>
  <c r="AK129" i="5"/>
  <c r="AK5" i="5"/>
  <c r="AJ5" i="5"/>
  <c r="AI5" i="5"/>
  <c r="AH5" i="5"/>
  <c r="AN4" i="5"/>
  <c r="AM4" i="5"/>
  <c r="AL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5" i="5"/>
  <c r="AH6" i="4"/>
  <c r="AI6" i="4"/>
  <c r="AJ6" i="4"/>
  <c r="AK6" i="4"/>
  <c r="AH7" i="4"/>
  <c r="AI7" i="4"/>
  <c r="AJ7" i="4"/>
  <c r="AK7" i="4"/>
  <c r="AH8" i="4"/>
  <c r="AI8" i="4"/>
  <c r="AJ8" i="4"/>
  <c r="AK8" i="4"/>
  <c r="AH9" i="4"/>
  <c r="AI9" i="4"/>
  <c r="AJ9" i="4"/>
  <c r="AK9" i="4"/>
  <c r="AH10" i="4"/>
  <c r="AI10" i="4"/>
  <c r="AJ10" i="4"/>
  <c r="AK10" i="4"/>
  <c r="AH11" i="4"/>
  <c r="AI11" i="4"/>
  <c r="AJ11" i="4"/>
  <c r="AK11" i="4"/>
  <c r="AH12" i="4"/>
  <c r="AI12" i="4"/>
  <c r="AJ12" i="4"/>
  <c r="AK12" i="4"/>
  <c r="AH13" i="4"/>
  <c r="AI13" i="4"/>
  <c r="AJ13" i="4"/>
  <c r="AK13" i="4"/>
  <c r="AH14" i="4"/>
  <c r="AI14" i="4"/>
  <c r="AJ14" i="4"/>
  <c r="AK14" i="4"/>
  <c r="AH15" i="4"/>
  <c r="AI15" i="4"/>
  <c r="AJ15" i="4"/>
  <c r="AK15" i="4"/>
  <c r="AH16" i="4"/>
  <c r="AI16" i="4"/>
  <c r="AJ16" i="4"/>
  <c r="AK16" i="4"/>
  <c r="AH17" i="4"/>
  <c r="AI17" i="4"/>
  <c r="AJ17" i="4"/>
  <c r="AK17" i="4"/>
  <c r="AH18" i="4"/>
  <c r="AI18" i="4"/>
  <c r="AJ18" i="4"/>
  <c r="AK18" i="4"/>
  <c r="AH19" i="4"/>
  <c r="AI19" i="4"/>
  <c r="AJ19" i="4"/>
  <c r="AK19" i="4"/>
  <c r="AH20" i="4"/>
  <c r="AI20" i="4"/>
  <c r="AJ20" i="4"/>
  <c r="AK20" i="4"/>
  <c r="AH21" i="4"/>
  <c r="AI21" i="4"/>
  <c r="AJ21" i="4"/>
  <c r="AK21" i="4"/>
  <c r="AH22" i="4"/>
  <c r="AI22" i="4"/>
  <c r="AJ22" i="4"/>
  <c r="AK22" i="4"/>
  <c r="AH23" i="4"/>
  <c r="AI23" i="4"/>
  <c r="AJ23" i="4"/>
  <c r="AK23" i="4"/>
  <c r="AH24" i="4"/>
  <c r="AI24" i="4"/>
  <c r="AJ24" i="4"/>
  <c r="AK24" i="4"/>
  <c r="AH25" i="4"/>
  <c r="AI25" i="4"/>
  <c r="AJ25" i="4"/>
  <c r="AK25" i="4"/>
  <c r="AH26" i="4"/>
  <c r="AI26" i="4"/>
  <c r="AJ26" i="4"/>
  <c r="AK26" i="4"/>
  <c r="AH27" i="4"/>
  <c r="AI27" i="4"/>
  <c r="AJ27" i="4"/>
  <c r="AK27" i="4"/>
  <c r="AH28" i="4"/>
  <c r="AI28" i="4"/>
  <c r="AJ28" i="4"/>
  <c r="AK28" i="4"/>
  <c r="AH29" i="4"/>
  <c r="AI29" i="4"/>
  <c r="AJ29" i="4"/>
  <c r="AK29" i="4"/>
  <c r="AH30" i="4"/>
  <c r="AI30" i="4"/>
  <c r="AJ30" i="4"/>
  <c r="AK30" i="4"/>
  <c r="AH31" i="4"/>
  <c r="AI31" i="4"/>
  <c r="AJ31" i="4"/>
  <c r="AK31" i="4"/>
  <c r="AH32" i="4"/>
  <c r="AI32" i="4"/>
  <c r="AJ32" i="4"/>
  <c r="AK32" i="4"/>
  <c r="AH33" i="4"/>
  <c r="AI33" i="4"/>
  <c r="AJ33" i="4"/>
  <c r="AK33" i="4"/>
  <c r="AH34" i="4"/>
  <c r="AI34" i="4"/>
  <c r="AJ34" i="4"/>
  <c r="AK34" i="4"/>
  <c r="AH35" i="4"/>
  <c r="AI35" i="4"/>
  <c r="AJ35" i="4"/>
  <c r="AK35" i="4"/>
  <c r="AH36" i="4"/>
  <c r="AI36" i="4"/>
  <c r="AJ36" i="4"/>
  <c r="AK36" i="4"/>
  <c r="AH37" i="4"/>
  <c r="AI37" i="4"/>
  <c r="AJ37" i="4"/>
  <c r="AK37" i="4"/>
  <c r="AH38" i="4"/>
  <c r="AI38" i="4"/>
  <c r="AJ38" i="4"/>
  <c r="AK38" i="4"/>
  <c r="AH39" i="4"/>
  <c r="AI39" i="4"/>
  <c r="AJ39" i="4"/>
  <c r="AK39" i="4"/>
  <c r="AH40" i="4"/>
  <c r="AI40" i="4"/>
  <c r="AJ40" i="4"/>
  <c r="AK40" i="4"/>
  <c r="AH41" i="4"/>
  <c r="AI41" i="4"/>
  <c r="AJ41" i="4"/>
  <c r="AK41" i="4"/>
  <c r="AH42" i="4"/>
  <c r="AI42" i="4"/>
  <c r="AJ42" i="4"/>
  <c r="AK42" i="4"/>
  <c r="AH43" i="4"/>
  <c r="AI43" i="4"/>
  <c r="AJ43" i="4"/>
  <c r="AK43" i="4"/>
  <c r="AH44" i="4"/>
  <c r="AI44" i="4"/>
  <c r="AJ44" i="4"/>
  <c r="AK44" i="4"/>
  <c r="AH45" i="4"/>
  <c r="AI45" i="4"/>
  <c r="AJ45" i="4"/>
  <c r="AK45" i="4"/>
  <c r="AH46" i="4"/>
  <c r="AI46" i="4"/>
  <c r="AJ46" i="4"/>
  <c r="AK46" i="4"/>
  <c r="AH47" i="4"/>
  <c r="AI47" i="4"/>
  <c r="AJ47" i="4"/>
  <c r="AK47" i="4"/>
  <c r="AH48" i="4"/>
  <c r="AI48" i="4"/>
  <c r="AJ48" i="4"/>
  <c r="AK48" i="4"/>
  <c r="AH49" i="4"/>
  <c r="AI49" i="4"/>
  <c r="AJ49" i="4"/>
  <c r="AK49" i="4"/>
  <c r="AH50" i="4"/>
  <c r="AI50" i="4"/>
  <c r="AJ50" i="4"/>
  <c r="AK50" i="4"/>
  <c r="AH51" i="4"/>
  <c r="AI51" i="4"/>
  <c r="AJ51" i="4"/>
  <c r="AK51" i="4"/>
  <c r="AH52" i="4"/>
  <c r="AI52" i="4"/>
  <c r="AJ52" i="4"/>
  <c r="AK52" i="4"/>
  <c r="AH53" i="4"/>
  <c r="AI53" i="4"/>
  <c r="AJ53" i="4"/>
  <c r="AK53" i="4"/>
  <c r="AH54" i="4"/>
  <c r="AI54" i="4"/>
  <c r="AJ54" i="4"/>
  <c r="AK54" i="4"/>
  <c r="AH55" i="4"/>
  <c r="AI55" i="4"/>
  <c r="AJ55" i="4"/>
  <c r="AK55" i="4"/>
  <c r="AH56" i="4"/>
  <c r="AI56" i="4"/>
  <c r="AJ56" i="4"/>
  <c r="AK56" i="4"/>
  <c r="AH57" i="4"/>
  <c r="AI57" i="4"/>
  <c r="AJ57" i="4"/>
  <c r="AK57" i="4"/>
  <c r="AH58" i="4"/>
  <c r="AI58" i="4"/>
  <c r="AJ58" i="4"/>
  <c r="AK58" i="4"/>
  <c r="AH59" i="4"/>
  <c r="AI59" i="4"/>
  <c r="AJ59" i="4"/>
  <c r="AK59" i="4"/>
  <c r="AH60" i="4"/>
  <c r="AI60" i="4"/>
  <c r="AJ60" i="4"/>
  <c r="AK60" i="4"/>
  <c r="AH61" i="4"/>
  <c r="AI61" i="4"/>
  <c r="AJ61" i="4"/>
  <c r="AK61" i="4"/>
  <c r="AH62" i="4"/>
  <c r="AI62" i="4"/>
  <c r="AJ62" i="4"/>
  <c r="AK62" i="4"/>
  <c r="AH63" i="4"/>
  <c r="AI63" i="4"/>
  <c r="AJ63" i="4"/>
  <c r="AK63" i="4"/>
  <c r="AH64" i="4"/>
  <c r="AI64" i="4"/>
  <c r="AJ64" i="4"/>
  <c r="AK64" i="4"/>
  <c r="AH65" i="4"/>
  <c r="AI65" i="4"/>
  <c r="AJ65" i="4"/>
  <c r="AK65" i="4"/>
  <c r="AH66" i="4"/>
  <c r="AI66" i="4"/>
  <c r="AJ66" i="4"/>
  <c r="AK66" i="4"/>
  <c r="AH67" i="4"/>
  <c r="AI67" i="4"/>
  <c r="AJ67" i="4"/>
  <c r="AK67" i="4"/>
  <c r="AH68" i="4"/>
  <c r="AI68" i="4"/>
  <c r="AJ68" i="4"/>
  <c r="AK68" i="4"/>
  <c r="AH69" i="4"/>
  <c r="AI69" i="4"/>
  <c r="AJ69" i="4"/>
  <c r="AK69" i="4"/>
  <c r="AH70" i="4"/>
  <c r="AI70" i="4"/>
  <c r="AJ70" i="4"/>
  <c r="AK70" i="4"/>
  <c r="AH71" i="4"/>
  <c r="AI71" i="4"/>
  <c r="AJ71" i="4"/>
  <c r="AK71" i="4"/>
  <c r="AH72" i="4"/>
  <c r="AI72" i="4"/>
  <c r="AJ72" i="4"/>
  <c r="AK72" i="4"/>
  <c r="AH73" i="4"/>
  <c r="AI73" i="4"/>
  <c r="AJ73" i="4"/>
  <c r="AK73" i="4"/>
  <c r="AH74" i="4"/>
  <c r="AI74" i="4"/>
  <c r="AJ74" i="4"/>
  <c r="AK74" i="4"/>
  <c r="AH75" i="4"/>
  <c r="AI75" i="4"/>
  <c r="AJ75" i="4"/>
  <c r="AK75" i="4"/>
  <c r="AH76" i="4"/>
  <c r="AI76" i="4"/>
  <c r="AJ76" i="4"/>
  <c r="AK76" i="4"/>
  <c r="AH77" i="4"/>
  <c r="AI77" i="4"/>
  <c r="AJ77" i="4"/>
  <c r="AK77" i="4"/>
  <c r="AH78" i="4"/>
  <c r="AI78" i="4"/>
  <c r="AJ78" i="4"/>
  <c r="AK78" i="4"/>
  <c r="AH79" i="4"/>
  <c r="AI79" i="4"/>
  <c r="AJ79" i="4"/>
  <c r="AK79" i="4"/>
  <c r="AH80" i="4"/>
  <c r="AI80" i="4"/>
  <c r="AJ80" i="4"/>
  <c r="AK80" i="4"/>
  <c r="AH81" i="4"/>
  <c r="AI81" i="4"/>
  <c r="AJ81" i="4"/>
  <c r="AK81" i="4"/>
  <c r="AH82" i="4"/>
  <c r="AI82" i="4"/>
  <c r="AJ82" i="4"/>
  <c r="AK82" i="4"/>
  <c r="AH83" i="4"/>
  <c r="AI83" i="4"/>
  <c r="AJ83" i="4"/>
  <c r="AK83" i="4"/>
  <c r="AH84" i="4"/>
  <c r="AI84" i="4"/>
  <c r="AJ84" i="4"/>
  <c r="AK84" i="4"/>
  <c r="AH85" i="4"/>
  <c r="AI85" i="4"/>
  <c r="AJ85" i="4"/>
  <c r="AK85" i="4"/>
  <c r="AH86" i="4"/>
  <c r="AI86" i="4"/>
  <c r="AJ86" i="4"/>
  <c r="AK86" i="4"/>
  <c r="AH87" i="4"/>
  <c r="AI87" i="4"/>
  <c r="AJ87" i="4"/>
  <c r="AK87" i="4"/>
  <c r="AH88" i="4"/>
  <c r="AI88" i="4"/>
  <c r="AJ88" i="4"/>
  <c r="AK88" i="4"/>
  <c r="AH89" i="4"/>
  <c r="AI89" i="4"/>
  <c r="AJ89" i="4"/>
  <c r="AK89" i="4"/>
  <c r="AH90" i="4"/>
  <c r="AI90" i="4"/>
  <c r="AJ90" i="4"/>
  <c r="AK90" i="4"/>
  <c r="AH91" i="4"/>
  <c r="AI91" i="4"/>
  <c r="AJ91" i="4"/>
  <c r="AK91" i="4"/>
  <c r="AH92" i="4"/>
  <c r="AI92" i="4"/>
  <c r="AJ92" i="4"/>
  <c r="AK92" i="4"/>
  <c r="AH93" i="4"/>
  <c r="AI93" i="4"/>
  <c r="AJ93" i="4"/>
  <c r="AK93" i="4"/>
  <c r="AH94" i="4"/>
  <c r="AI94" i="4"/>
  <c r="AJ94" i="4"/>
  <c r="AK94" i="4"/>
  <c r="AH95" i="4"/>
  <c r="AI95" i="4"/>
  <c r="AJ95" i="4"/>
  <c r="AK95" i="4"/>
  <c r="AH96" i="4"/>
  <c r="AI96" i="4"/>
  <c r="AJ96" i="4"/>
  <c r="AK96" i="4"/>
  <c r="AH97" i="4"/>
  <c r="AI97" i="4"/>
  <c r="AJ97" i="4"/>
  <c r="AK97" i="4"/>
  <c r="AH98" i="4"/>
  <c r="AI98" i="4"/>
  <c r="AJ98" i="4"/>
  <c r="AK98" i="4"/>
  <c r="AH99" i="4"/>
  <c r="AI99" i="4"/>
  <c r="AJ99" i="4"/>
  <c r="AK99" i="4"/>
  <c r="AH100" i="4"/>
  <c r="AI100" i="4"/>
  <c r="AJ100" i="4"/>
  <c r="AK100" i="4"/>
  <c r="AH101" i="4"/>
  <c r="AI101" i="4"/>
  <c r="AJ101" i="4"/>
  <c r="AK101" i="4"/>
  <c r="AH102" i="4"/>
  <c r="AI102" i="4"/>
  <c r="AJ102" i="4"/>
  <c r="AK102" i="4"/>
  <c r="AH103" i="4"/>
  <c r="AI103" i="4"/>
  <c r="AJ103" i="4"/>
  <c r="AK103" i="4"/>
  <c r="AH104" i="4"/>
  <c r="AI104" i="4"/>
  <c r="AJ104" i="4"/>
  <c r="AK104" i="4"/>
  <c r="AH105" i="4"/>
  <c r="AI105" i="4"/>
  <c r="AJ105" i="4"/>
  <c r="AK105" i="4"/>
  <c r="AH106" i="4"/>
  <c r="AI106" i="4"/>
  <c r="AJ106" i="4"/>
  <c r="AK106" i="4"/>
  <c r="AH107" i="4"/>
  <c r="AI107" i="4"/>
  <c r="AJ107" i="4"/>
  <c r="AK107" i="4"/>
  <c r="AH5" i="4"/>
  <c r="AI5" i="4"/>
  <c r="AJ5" i="4"/>
  <c r="AK5" i="4"/>
  <c r="AN4" i="4"/>
  <c r="AM4" i="4"/>
  <c r="AL4" i="4"/>
  <c r="AH6" i="3"/>
  <c r="AI6" i="3"/>
  <c r="AJ6" i="3"/>
  <c r="AK6" i="3"/>
  <c r="AH7" i="3"/>
  <c r="AI7" i="3"/>
  <c r="AJ7" i="3"/>
  <c r="AK7" i="3"/>
  <c r="AH8" i="3"/>
  <c r="AI8" i="3"/>
  <c r="AJ8" i="3"/>
  <c r="AK8" i="3"/>
  <c r="AH9" i="3"/>
  <c r="AI9" i="3"/>
  <c r="AJ9" i="3"/>
  <c r="AK9" i="3"/>
  <c r="AH10" i="3"/>
  <c r="AI10" i="3"/>
  <c r="AJ10" i="3"/>
  <c r="AK10" i="3"/>
  <c r="AH11" i="3"/>
  <c r="AI11" i="3"/>
  <c r="AJ11" i="3"/>
  <c r="AK11" i="3"/>
  <c r="AH12" i="3"/>
  <c r="AI12" i="3"/>
  <c r="AJ12" i="3"/>
  <c r="AK12" i="3"/>
  <c r="AH13" i="3"/>
  <c r="AI13" i="3"/>
  <c r="AJ13" i="3"/>
  <c r="AK13" i="3"/>
  <c r="AH14" i="3"/>
  <c r="AI14" i="3"/>
  <c r="AJ14" i="3"/>
  <c r="AK14" i="3"/>
  <c r="AH15" i="3"/>
  <c r="AI15" i="3"/>
  <c r="AJ15" i="3"/>
  <c r="AK15" i="3"/>
  <c r="AH16" i="3"/>
  <c r="AI16" i="3"/>
  <c r="AJ16" i="3"/>
  <c r="AK16" i="3"/>
  <c r="AH17" i="3"/>
  <c r="AI17" i="3"/>
  <c r="AJ17" i="3"/>
  <c r="AK17" i="3"/>
  <c r="AH18" i="3"/>
  <c r="AI18" i="3"/>
  <c r="AJ18" i="3"/>
  <c r="AK18" i="3"/>
  <c r="AH19" i="3"/>
  <c r="AI19" i="3"/>
  <c r="AJ19" i="3"/>
  <c r="AK19" i="3"/>
  <c r="AH20" i="3"/>
  <c r="AI20" i="3"/>
  <c r="AJ20" i="3"/>
  <c r="AK20" i="3"/>
  <c r="AH21" i="3"/>
  <c r="AI21" i="3"/>
  <c r="AJ21" i="3"/>
  <c r="AK21" i="3"/>
  <c r="AH22" i="3"/>
  <c r="AI22" i="3"/>
  <c r="AJ22" i="3"/>
  <c r="AK22" i="3"/>
  <c r="AH23" i="3"/>
  <c r="AI23" i="3"/>
  <c r="AJ23" i="3"/>
  <c r="AK23" i="3"/>
  <c r="AH24" i="3"/>
  <c r="AI24" i="3"/>
  <c r="AJ24" i="3"/>
  <c r="AK24" i="3"/>
  <c r="AH25" i="3"/>
  <c r="AI25" i="3"/>
  <c r="AJ25" i="3"/>
  <c r="AK25" i="3"/>
  <c r="AH26" i="3"/>
  <c r="AI26" i="3"/>
  <c r="AJ26" i="3"/>
  <c r="AK26" i="3"/>
  <c r="AH27" i="3"/>
  <c r="AI27" i="3"/>
  <c r="AJ27" i="3"/>
  <c r="AK27" i="3"/>
  <c r="AH28" i="3"/>
  <c r="AI28" i="3"/>
  <c r="AJ28" i="3"/>
  <c r="AK28" i="3"/>
  <c r="AH29" i="3"/>
  <c r="AI29" i="3"/>
  <c r="AJ29" i="3"/>
  <c r="AK29" i="3"/>
  <c r="AH30" i="3"/>
  <c r="AI30" i="3"/>
  <c r="AJ30" i="3"/>
  <c r="AK30" i="3"/>
  <c r="AH31" i="3"/>
  <c r="AI31" i="3"/>
  <c r="AJ31" i="3"/>
  <c r="AK31" i="3"/>
  <c r="AH32" i="3"/>
  <c r="AI32" i="3"/>
  <c r="AJ32" i="3"/>
  <c r="AK32" i="3"/>
  <c r="AH33" i="3"/>
  <c r="AI33" i="3"/>
  <c r="AJ33" i="3"/>
  <c r="AK33" i="3"/>
  <c r="AH34" i="3"/>
  <c r="AI34" i="3"/>
  <c r="AJ34" i="3"/>
  <c r="AK34" i="3"/>
  <c r="AH35" i="3"/>
  <c r="AI35" i="3"/>
  <c r="AJ35" i="3"/>
  <c r="AK35" i="3"/>
  <c r="AH36" i="3"/>
  <c r="AI36" i="3"/>
  <c r="AJ36" i="3"/>
  <c r="AK36" i="3"/>
  <c r="AH37" i="3"/>
  <c r="AI37" i="3"/>
  <c r="AJ37" i="3"/>
  <c r="AK37" i="3"/>
  <c r="AH38" i="3"/>
  <c r="AI38" i="3"/>
  <c r="AJ38" i="3"/>
  <c r="AK38" i="3"/>
  <c r="AH39" i="3"/>
  <c r="AI39" i="3"/>
  <c r="AJ39" i="3"/>
  <c r="AK39" i="3"/>
  <c r="AH40" i="3"/>
  <c r="AI40" i="3"/>
  <c r="AJ40" i="3"/>
  <c r="AK40" i="3"/>
  <c r="AH41" i="3"/>
  <c r="AI41" i="3"/>
  <c r="AJ41" i="3"/>
  <c r="AK41" i="3"/>
  <c r="AH42" i="3"/>
  <c r="AI42" i="3"/>
  <c r="AJ42" i="3"/>
  <c r="AK42" i="3"/>
  <c r="AH43" i="3"/>
  <c r="AI43" i="3"/>
  <c r="AJ43" i="3"/>
  <c r="AK43" i="3"/>
  <c r="AH44" i="3"/>
  <c r="AI44" i="3"/>
  <c r="AJ44" i="3"/>
  <c r="AK44" i="3"/>
  <c r="AH45" i="3"/>
  <c r="AI45" i="3"/>
  <c r="AJ45" i="3"/>
  <c r="AK45" i="3"/>
  <c r="AH46" i="3"/>
  <c r="AI46" i="3"/>
  <c r="AJ46" i="3"/>
  <c r="AK46" i="3"/>
  <c r="AH47" i="3"/>
  <c r="AI47" i="3"/>
  <c r="AJ47" i="3"/>
  <c r="AK47" i="3"/>
  <c r="AH48" i="3"/>
  <c r="AI48" i="3"/>
  <c r="AJ48" i="3"/>
  <c r="AK48" i="3"/>
  <c r="AH49" i="3"/>
  <c r="AI49" i="3"/>
  <c r="AJ49" i="3"/>
  <c r="AK49" i="3"/>
  <c r="AH50" i="3"/>
  <c r="AI50" i="3"/>
  <c r="AJ50" i="3"/>
  <c r="AK50" i="3"/>
  <c r="AH51" i="3"/>
  <c r="AI51" i="3"/>
  <c r="AJ51" i="3"/>
  <c r="AK51" i="3"/>
  <c r="AH52" i="3"/>
  <c r="AI52" i="3"/>
  <c r="AJ52" i="3"/>
  <c r="AK52" i="3"/>
  <c r="AH53" i="3"/>
  <c r="AI53" i="3"/>
  <c r="AJ53" i="3"/>
  <c r="AK53" i="3"/>
  <c r="AH54" i="3"/>
  <c r="AI54" i="3"/>
  <c r="AJ54" i="3"/>
  <c r="AK54" i="3"/>
  <c r="AH55" i="3"/>
  <c r="AI55" i="3"/>
  <c r="AJ55" i="3"/>
  <c r="AK55" i="3"/>
  <c r="AH56" i="3"/>
  <c r="AI56" i="3"/>
  <c r="AJ56" i="3"/>
  <c r="AK56" i="3"/>
  <c r="AH57" i="3"/>
  <c r="AI57" i="3"/>
  <c r="AJ57" i="3"/>
  <c r="AK57" i="3"/>
  <c r="AH58" i="3"/>
  <c r="AI58" i="3"/>
  <c r="AJ58" i="3"/>
  <c r="AK58" i="3"/>
  <c r="AH59" i="3"/>
  <c r="AI59" i="3"/>
  <c r="AJ59" i="3"/>
  <c r="AK59" i="3"/>
  <c r="AH60" i="3"/>
  <c r="AI60" i="3"/>
  <c r="AJ60" i="3"/>
  <c r="AK60" i="3"/>
  <c r="AH61" i="3"/>
  <c r="AI61" i="3"/>
  <c r="AJ61" i="3"/>
  <c r="AK61" i="3"/>
  <c r="AH62" i="3"/>
  <c r="AI62" i="3"/>
  <c r="AJ62" i="3"/>
  <c r="AK62" i="3"/>
  <c r="AH63" i="3"/>
  <c r="AI63" i="3"/>
  <c r="AJ63" i="3"/>
  <c r="AK63" i="3"/>
  <c r="AH64" i="3"/>
  <c r="AI64" i="3"/>
  <c r="AJ64" i="3"/>
  <c r="AK64" i="3"/>
  <c r="AH65" i="3"/>
  <c r="AI65" i="3"/>
  <c r="AJ65" i="3"/>
  <c r="AK65" i="3"/>
  <c r="AH66" i="3"/>
  <c r="AI66" i="3"/>
  <c r="AJ66" i="3"/>
  <c r="AK66" i="3"/>
  <c r="AH67" i="3"/>
  <c r="AI67" i="3"/>
  <c r="AJ67" i="3"/>
  <c r="AK67" i="3"/>
  <c r="AH68" i="3"/>
  <c r="AI68" i="3"/>
  <c r="AJ68" i="3"/>
  <c r="AK68" i="3"/>
  <c r="AH69" i="3"/>
  <c r="AI69" i="3"/>
  <c r="AJ69" i="3"/>
  <c r="AK69" i="3"/>
  <c r="AH70" i="3"/>
  <c r="AI70" i="3"/>
  <c r="AJ70" i="3"/>
  <c r="AK70" i="3"/>
  <c r="AH71" i="3"/>
  <c r="AI71" i="3"/>
  <c r="AJ71" i="3"/>
  <c r="AK71" i="3"/>
  <c r="AH72" i="3"/>
  <c r="AI72" i="3"/>
  <c r="AJ72" i="3"/>
  <c r="AK72" i="3"/>
  <c r="AH73" i="3"/>
  <c r="AI73" i="3"/>
  <c r="AJ73" i="3"/>
  <c r="AK73" i="3"/>
  <c r="AH74" i="3"/>
  <c r="AI74" i="3"/>
  <c r="AJ74" i="3"/>
  <c r="AK74" i="3"/>
  <c r="AH75" i="3"/>
  <c r="AI75" i="3"/>
  <c r="AJ75" i="3"/>
  <c r="AK75" i="3"/>
  <c r="AH76" i="3"/>
  <c r="AI76" i="3"/>
  <c r="AJ76" i="3"/>
  <c r="AK76" i="3"/>
  <c r="AH77" i="3"/>
  <c r="AI77" i="3"/>
  <c r="AJ77" i="3"/>
  <c r="AK77" i="3"/>
  <c r="AH78" i="3"/>
  <c r="AI78" i="3"/>
  <c r="AJ78" i="3"/>
  <c r="AK78" i="3"/>
  <c r="AH79" i="3"/>
  <c r="AI79" i="3"/>
  <c r="AJ79" i="3"/>
  <c r="AK79" i="3"/>
  <c r="AH80" i="3"/>
  <c r="AI80" i="3"/>
  <c r="AJ80" i="3"/>
  <c r="AK80" i="3"/>
  <c r="AH81" i="3"/>
  <c r="AI81" i="3"/>
  <c r="AJ81" i="3"/>
  <c r="AK81" i="3"/>
  <c r="AH82" i="3"/>
  <c r="AI82" i="3"/>
  <c r="AJ82" i="3"/>
  <c r="AK82" i="3"/>
  <c r="AH83" i="3"/>
  <c r="AI83" i="3"/>
  <c r="AJ83" i="3"/>
  <c r="AK83" i="3"/>
  <c r="AH84" i="3"/>
  <c r="AI84" i="3"/>
  <c r="AJ84" i="3"/>
  <c r="AK84" i="3"/>
  <c r="AH85" i="3"/>
  <c r="AI85" i="3"/>
  <c r="AJ85" i="3"/>
  <c r="AK85" i="3"/>
  <c r="AH86" i="3"/>
  <c r="AI86" i="3"/>
  <c r="AJ86" i="3"/>
  <c r="AK86" i="3"/>
  <c r="AH87" i="3"/>
  <c r="AI87" i="3"/>
  <c r="AJ87" i="3"/>
  <c r="AK87" i="3"/>
  <c r="AH88" i="3"/>
  <c r="AI88" i="3"/>
  <c r="AJ88" i="3"/>
  <c r="AK88" i="3"/>
  <c r="AH89" i="3"/>
  <c r="AI89" i="3"/>
  <c r="AJ89" i="3"/>
  <c r="AK89" i="3"/>
  <c r="AH90" i="3"/>
  <c r="AI90" i="3"/>
  <c r="AJ90" i="3"/>
  <c r="AK90" i="3"/>
  <c r="AH91" i="3"/>
  <c r="AI91" i="3"/>
  <c r="AJ91" i="3"/>
  <c r="AK91" i="3"/>
  <c r="AH92" i="3"/>
  <c r="AI92" i="3"/>
  <c r="AJ92" i="3"/>
  <c r="AK92" i="3"/>
  <c r="AH93" i="3"/>
  <c r="AI93" i="3"/>
  <c r="AJ93" i="3"/>
  <c r="AK93" i="3"/>
  <c r="AH94" i="3"/>
  <c r="AI94" i="3"/>
  <c r="AJ94" i="3"/>
  <c r="AK94" i="3"/>
  <c r="AH95" i="3"/>
  <c r="AI95" i="3"/>
  <c r="AJ95" i="3"/>
  <c r="AK95" i="3"/>
  <c r="AH96" i="3"/>
  <c r="AI96" i="3"/>
  <c r="AJ96" i="3"/>
  <c r="AK96" i="3"/>
  <c r="AH97" i="3"/>
  <c r="AI97" i="3"/>
  <c r="AJ97" i="3"/>
  <c r="AK97" i="3"/>
  <c r="AH98" i="3"/>
  <c r="AI98" i="3"/>
  <c r="AJ98" i="3"/>
  <c r="AK98" i="3"/>
  <c r="AH99" i="3"/>
  <c r="AI99" i="3"/>
  <c r="AJ99" i="3"/>
  <c r="AK99" i="3"/>
  <c r="AH100" i="3"/>
  <c r="AI100" i="3"/>
  <c r="AJ100" i="3"/>
  <c r="AK100" i="3"/>
  <c r="AH101" i="3"/>
  <c r="AI101" i="3"/>
  <c r="AJ101" i="3"/>
  <c r="AK101" i="3"/>
  <c r="AH102" i="3"/>
  <c r="AI102" i="3"/>
  <c r="AJ102" i="3"/>
  <c r="AK102" i="3"/>
  <c r="AH103" i="3"/>
  <c r="AI103" i="3"/>
  <c r="AJ103" i="3"/>
  <c r="AK103" i="3"/>
  <c r="AH104" i="3"/>
  <c r="AI104" i="3"/>
  <c r="AJ104" i="3"/>
  <c r="AK104" i="3"/>
  <c r="AH105" i="3"/>
  <c r="AI105" i="3"/>
  <c r="AJ105" i="3"/>
  <c r="AK105" i="3"/>
  <c r="AH106" i="3"/>
  <c r="AI106" i="3"/>
  <c r="AJ106" i="3"/>
  <c r="AK106" i="3"/>
  <c r="AH107" i="3"/>
  <c r="AI107" i="3"/>
  <c r="AJ107" i="3"/>
  <c r="AK107" i="3"/>
  <c r="AH108" i="3"/>
  <c r="AI108" i="3"/>
  <c r="AJ108" i="3"/>
  <c r="AK108" i="3"/>
  <c r="AH109" i="3"/>
  <c r="AI109" i="3"/>
  <c r="AJ109" i="3"/>
  <c r="AK109" i="3"/>
  <c r="AH110" i="3"/>
  <c r="AI110" i="3"/>
  <c r="AJ110" i="3"/>
  <c r="AK110" i="3"/>
  <c r="AH111" i="3"/>
  <c r="AI111" i="3"/>
  <c r="AJ111" i="3"/>
  <c r="AK111" i="3"/>
  <c r="AH112" i="3"/>
  <c r="AI112" i="3"/>
  <c r="AJ112" i="3"/>
  <c r="AK112" i="3"/>
  <c r="AH113" i="3"/>
  <c r="AI113" i="3"/>
  <c r="AJ113" i="3"/>
  <c r="AK113" i="3"/>
  <c r="AH114" i="3"/>
  <c r="AI114" i="3"/>
  <c r="AJ114" i="3"/>
  <c r="AK114" i="3"/>
  <c r="AH115" i="3"/>
  <c r="AI115" i="3"/>
  <c r="AJ115" i="3"/>
  <c r="AK115" i="3"/>
  <c r="AH116" i="3"/>
  <c r="AI116" i="3"/>
  <c r="AJ116" i="3"/>
  <c r="AK116" i="3"/>
  <c r="AH117" i="3"/>
  <c r="AI117" i="3"/>
  <c r="AJ117" i="3"/>
  <c r="AK117" i="3"/>
  <c r="AH118" i="3"/>
  <c r="AI118" i="3"/>
  <c r="AJ118" i="3"/>
  <c r="AK118" i="3"/>
  <c r="AH119" i="3"/>
  <c r="AI119" i="3"/>
  <c r="AJ119" i="3"/>
  <c r="AK119" i="3"/>
  <c r="AH120" i="3"/>
  <c r="AI120" i="3"/>
  <c r="AJ120" i="3"/>
  <c r="AK120" i="3"/>
  <c r="AH121" i="3"/>
  <c r="AI121" i="3"/>
  <c r="AJ121" i="3"/>
  <c r="AK121" i="3"/>
  <c r="AH122" i="3"/>
  <c r="AI122" i="3"/>
  <c r="AJ122" i="3"/>
  <c r="AK122" i="3"/>
  <c r="AH123" i="3"/>
  <c r="AI123" i="3"/>
  <c r="AJ123" i="3"/>
  <c r="AK123" i="3"/>
  <c r="AH124" i="3"/>
  <c r="AI124" i="3"/>
  <c r="AJ124" i="3"/>
  <c r="AK124" i="3"/>
  <c r="AH125" i="3"/>
  <c r="AI125" i="3"/>
  <c r="AJ125" i="3"/>
  <c r="AK125" i="3"/>
  <c r="AH126" i="3"/>
  <c r="AI126" i="3"/>
  <c r="AJ126" i="3"/>
  <c r="AK126" i="3"/>
  <c r="AJ5" i="3"/>
  <c r="AI5" i="3"/>
  <c r="AH5" i="3"/>
  <c r="AL5" i="3" s="1"/>
  <c r="AN4" i="3"/>
  <c r="AM4" i="3"/>
  <c r="AL4" i="3"/>
  <c r="AC5" i="14"/>
  <c r="AC6" i="14"/>
  <c r="AC7" i="14"/>
  <c r="AC8" i="14"/>
  <c r="AC9" i="14"/>
  <c r="AC10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61" i="14"/>
  <c r="AC62" i="14"/>
  <c r="AC63" i="14"/>
  <c r="AC64" i="14"/>
  <c r="AC65" i="14"/>
  <c r="AC66" i="14"/>
  <c r="AC67" i="14"/>
  <c r="AC68" i="14"/>
  <c r="AC69" i="14"/>
  <c r="AC70" i="14"/>
  <c r="AC71" i="14"/>
  <c r="AC72" i="14"/>
  <c r="AC73" i="14"/>
  <c r="AC74" i="14"/>
  <c r="AC75" i="14"/>
  <c r="AC76" i="14"/>
  <c r="AC77" i="14"/>
  <c r="AC78" i="14"/>
  <c r="AC79" i="14"/>
  <c r="AC80" i="14"/>
  <c r="AC81" i="14"/>
  <c r="AC82" i="14"/>
  <c r="AC83" i="14"/>
  <c r="AC84" i="14"/>
  <c r="AC85" i="14"/>
  <c r="AC86" i="14"/>
  <c r="AC87" i="14"/>
  <c r="AC88" i="14"/>
  <c r="AC89" i="14"/>
  <c r="AC90" i="14"/>
  <c r="AC91" i="14"/>
  <c r="AC92" i="14"/>
  <c r="AC93" i="14"/>
  <c r="AC94" i="14"/>
  <c r="AC95" i="14"/>
  <c r="AC96" i="14"/>
  <c r="AC97" i="14"/>
  <c r="AC98" i="14"/>
  <c r="AC99" i="14"/>
  <c r="AC100" i="14"/>
  <c r="AC101" i="14"/>
  <c r="AC102" i="14"/>
  <c r="AC103" i="14"/>
  <c r="AC104" i="14"/>
  <c r="AC105" i="14"/>
  <c r="AC106" i="14"/>
  <c r="AC107" i="14"/>
  <c r="AC108" i="14"/>
  <c r="AC109" i="14"/>
  <c r="AC110" i="14"/>
  <c r="AC111" i="14"/>
  <c r="AC112" i="14"/>
  <c r="AC113" i="14"/>
  <c r="AC114" i="14"/>
  <c r="AC115" i="14"/>
  <c r="AC116" i="14"/>
  <c r="AC117" i="14"/>
  <c r="AC118" i="14"/>
  <c r="AC119" i="14"/>
  <c r="AC120" i="14"/>
  <c r="AC121" i="14"/>
  <c r="AC122" i="14"/>
  <c r="AC123" i="14"/>
  <c r="AC124" i="14"/>
  <c r="AC125" i="14"/>
  <c r="AC126" i="14"/>
  <c r="AC127" i="14"/>
  <c r="AC128" i="14"/>
  <c r="AC4" i="14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100" i="13"/>
  <c r="AC101" i="13"/>
  <c r="AC102" i="13"/>
  <c r="AC103" i="13"/>
  <c r="AC104" i="13"/>
  <c r="AC105" i="13"/>
  <c r="AC4" i="13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4" i="11"/>
  <c r="V3" i="11"/>
  <c r="U3" i="11"/>
  <c r="T1" i="11"/>
  <c r="V6" i="11" s="1"/>
  <c r="S1" i="11"/>
  <c r="U4" i="11" s="1"/>
  <c r="I5" i="19"/>
  <c r="Y7" i="19" s="1"/>
  <c r="H5" i="19"/>
  <c r="Y6" i="19" s="1"/>
  <c r="G5" i="19"/>
  <c r="Y5" i="19" s="1"/>
  <c r="F5" i="19"/>
  <c r="Y4" i="19" s="1"/>
  <c r="E5" i="19"/>
  <c r="X7" i="19" s="1"/>
  <c r="D5" i="19"/>
  <c r="X6" i="19" s="1"/>
  <c r="C5" i="19"/>
  <c r="X5" i="19" s="1"/>
  <c r="B5" i="19"/>
  <c r="X4" i="19" s="1"/>
  <c r="I4" i="19"/>
  <c r="R7" i="19" s="1"/>
  <c r="H4" i="19"/>
  <c r="R6" i="19" s="1"/>
  <c r="G4" i="19"/>
  <c r="R5" i="19" s="1"/>
  <c r="F4" i="19"/>
  <c r="R4" i="19" s="1"/>
  <c r="E4" i="19"/>
  <c r="Q7" i="19" s="1"/>
  <c r="D4" i="19"/>
  <c r="Q6" i="19" s="1"/>
  <c r="C4" i="19"/>
  <c r="B4" i="19"/>
  <c r="Q4" i="19" s="1"/>
  <c r="V2" i="5"/>
  <c r="U2" i="5"/>
  <c r="T2" i="5"/>
  <c r="S2" i="5"/>
  <c r="V3" i="4"/>
  <c r="U3" i="4"/>
  <c r="T3" i="4"/>
  <c r="S3" i="4"/>
  <c r="V2" i="4"/>
  <c r="U2" i="4"/>
  <c r="T2" i="4"/>
  <c r="S2" i="4"/>
  <c r="V2" i="3"/>
  <c r="U2" i="3"/>
  <c r="T2" i="3"/>
  <c r="S2" i="3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C67" i="4"/>
  <c r="AC68" i="4"/>
  <c r="AC69" i="4"/>
  <c r="AC70" i="4"/>
  <c r="AC71" i="4"/>
  <c r="AC72" i="4"/>
  <c r="AC73" i="4"/>
  <c r="AC74" i="4"/>
  <c r="AC75" i="4"/>
  <c r="AC76" i="4"/>
  <c r="AC77" i="4"/>
  <c r="AC78" i="4"/>
  <c r="AC79" i="4"/>
  <c r="AC80" i="4"/>
  <c r="AC81" i="4"/>
  <c r="AC82" i="4"/>
  <c r="AC83" i="4"/>
  <c r="AC84" i="4"/>
  <c r="AC85" i="4"/>
  <c r="AC86" i="4"/>
  <c r="AC87" i="4"/>
  <c r="AC88" i="4"/>
  <c r="AC89" i="4"/>
  <c r="AC90" i="4"/>
  <c r="AC91" i="4"/>
  <c r="AC92" i="4"/>
  <c r="AC93" i="4"/>
  <c r="AC94" i="4"/>
  <c r="AC95" i="4"/>
  <c r="AC96" i="4"/>
  <c r="AC97" i="4"/>
  <c r="AC98" i="4"/>
  <c r="AC99" i="4"/>
  <c r="AC100" i="4"/>
  <c r="AC101" i="4"/>
  <c r="AC102" i="4"/>
  <c r="AC103" i="4"/>
  <c r="AC104" i="4"/>
  <c r="AC105" i="4"/>
  <c r="AC106" i="4"/>
  <c r="AC107" i="4"/>
  <c r="AC5" i="4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5" i="3"/>
  <c r="AD5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58" i="16"/>
  <c r="AD59" i="16"/>
  <c r="AD60" i="16"/>
  <c r="AD61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78" i="16"/>
  <c r="AD79" i="16"/>
  <c r="AD80" i="16"/>
  <c r="AD81" i="16"/>
  <c r="AD82" i="16"/>
  <c r="AD83" i="16"/>
  <c r="AD84" i="16"/>
  <c r="AD85" i="16"/>
  <c r="AD86" i="16"/>
  <c r="AD87" i="16"/>
  <c r="AD88" i="16"/>
  <c r="AD89" i="16"/>
  <c r="AD90" i="16"/>
  <c r="AD91" i="16"/>
  <c r="AD92" i="16"/>
  <c r="AD93" i="16"/>
  <c r="AD94" i="16"/>
  <c r="AD95" i="16"/>
  <c r="AD96" i="16"/>
  <c r="AD97" i="16"/>
  <c r="AD98" i="16"/>
  <c r="AD99" i="16"/>
  <c r="AD100" i="16"/>
  <c r="AD101" i="16"/>
  <c r="AD102" i="16"/>
  <c r="AD103" i="16"/>
  <c r="AD104" i="16"/>
  <c r="AD105" i="16"/>
  <c r="AD106" i="16"/>
  <c r="AD107" i="16"/>
  <c r="AD108" i="16"/>
  <c r="AD109" i="16"/>
  <c r="AD110" i="16"/>
  <c r="AD111" i="16"/>
  <c r="AD112" i="16"/>
  <c r="AD113" i="16"/>
  <c r="AD114" i="16"/>
  <c r="AD115" i="16"/>
  <c r="AD116" i="16"/>
  <c r="AD117" i="16"/>
  <c r="AD118" i="16"/>
  <c r="AD119" i="16"/>
  <c r="AD120" i="16"/>
  <c r="AD121" i="16"/>
  <c r="AD122" i="16"/>
  <c r="AD123" i="16"/>
  <c r="AD124" i="16"/>
  <c r="AD125" i="16"/>
  <c r="AD126" i="16"/>
  <c r="AD127" i="16"/>
  <c r="AD128" i="16"/>
  <c r="AD129" i="16"/>
  <c r="AD130" i="16"/>
  <c r="AD131" i="16"/>
  <c r="AD132" i="16"/>
  <c r="AD133" i="16"/>
  <c r="AD134" i="16"/>
  <c r="AD135" i="16"/>
  <c r="AD136" i="16"/>
  <c r="AD137" i="16"/>
  <c r="AD138" i="16"/>
  <c r="AD139" i="16"/>
  <c r="AD140" i="16"/>
  <c r="AD141" i="16"/>
  <c r="AD142" i="16"/>
  <c r="AD143" i="16"/>
  <c r="AD144" i="16"/>
  <c r="AD145" i="16"/>
  <c r="AD146" i="16"/>
  <c r="AD147" i="16"/>
  <c r="AD148" i="16"/>
  <c r="AD149" i="16"/>
  <c r="AD150" i="16"/>
  <c r="AD151" i="16"/>
  <c r="AD152" i="16"/>
  <c r="AD153" i="16"/>
  <c r="AD154" i="16"/>
  <c r="AD155" i="16"/>
  <c r="AD156" i="16"/>
  <c r="AD157" i="16"/>
  <c r="AD158" i="16"/>
  <c r="AD159" i="16"/>
  <c r="AD160" i="16"/>
  <c r="AD161" i="16"/>
  <c r="AD162" i="16"/>
  <c r="AD163" i="16"/>
  <c r="AD164" i="16"/>
  <c r="AD165" i="16"/>
  <c r="AD166" i="16"/>
  <c r="AD167" i="16"/>
  <c r="AD168" i="16"/>
  <c r="AD169" i="16"/>
  <c r="AD170" i="16"/>
  <c r="AD171" i="16"/>
  <c r="AD172" i="16"/>
  <c r="AD173" i="16"/>
  <c r="AD174" i="16"/>
  <c r="AD175" i="16"/>
  <c r="AD176" i="16"/>
  <c r="AD177" i="16"/>
  <c r="AD178" i="16"/>
  <c r="AD179" i="16"/>
  <c r="AD180" i="16"/>
  <c r="AD181" i="16"/>
  <c r="AD182" i="16"/>
  <c r="AD183" i="16"/>
  <c r="AD184" i="16"/>
  <c r="AD185" i="16"/>
  <c r="AD186" i="16"/>
  <c r="AD187" i="16"/>
  <c r="AD188" i="16"/>
  <c r="AD189" i="16"/>
  <c r="AD190" i="16"/>
  <c r="AD191" i="16"/>
  <c r="AD192" i="16"/>
  <c r="AD193" i="16"/>
  <c r="AD194" i="16"/>
  <c r="AD195" i="16"/>
  <c r="AD196" i="16"/>
  <c r="AD197" i="16"/>
  <c r="AD198" i="16"/>
  <c r="AD199" i="16"/>
  <c r="AD200" i="16"/>
  <c r="AD201" i="16"/>
  <c r="AD202" i="16"/>
  <c r="AD203" i="16"/>
  <c r="AD204" i="16"/>
  <c r="AD205" i="16"/>
  <c r="AD206" i="16"/>
  <c r="AD207" i="16"/>
  <c r="AD208" i="16"/>
  <c r="AD209" i="16"/>
  <c r="AD210" i="16"/>
  <c r="AD211" i="16"/>
  <c r="AD212" i="16"/>
  <c r="AD213" i="16"/>
  <c r="AD214" i="16"/>
  <c r="AD215" i="16"/>
  <c r="AD216" i="16"/>
  <c r="AD217" i="16"/>
  <c r="AD218" i="16"/>
  <c r="AD219" i="16"/>
  <c r="AD220" i="16"/>
  <c r="AD221" i="16"/>
  <c r="AD222" i="16"/>
  <c r="AD223" i="16"/>
  <c r="AD224" i="16"/>
  <c r="AD225" i="16"/>
  <c r="AD226" i="16"/>
  <c r="AD227" i="16"/>
  <c r="AD228" i="16"/>
  <c r="AD229" i="16"/>
  <c r="AD230" i="16"/>
  <c r="AD231" i="16"/>
  <c r="AD232" i="16"/>
  <c r="AD233" i="16"/>
  <c r="AD234" i="16"/>
  <c r="AD235" i="16"/>
  <c r="AD236" i="16"/>
  <c r="AD237" i="16"/>
  <c r="AD238" i="16"/>
  <c r="AD239" i="16"/>
  <c r="AD240" i="16"/>
  <c r="AD241" i="16"/>
  <c r="AD242" i="16"/>
  <c r="AD243" i="16"/>
  <c r="AD244" i="16"/>
  <c r="AD245" i="16"/>
  <c r="AD246" i="16"/>
  <c r="AD247" i="16"/>
  <c r="AD248" i="16"/>
  <c r="AD249" i="16"/>
  <c r="AD250" i="16"/>
  <c r="AD251" i="16"/>
  <c r="AD252" i="16"/>
  <c r="AD253" i="16"/>
  <c r="AD254" i="16"/>
  <c r="AD255" i="16"/>
  <c r="AD256" i="16"/>
  <c r="AD257" i="16"/>
  <c r="AD258" i="16"/>
  <c r="AD259" i="16"/>
  <c r="AD260" i="16"/>
  <c r="AD261" i="16"/>
  <c r="AD262" i="16"/>
  <c r="AD263" i="16"/>
  <c r="AD264" i="16"/>
  <c r="AD265" i="16"/>
  <c r="AD266" i="16"/>
  <c r="AD267" i="16"/>
  <c r="AD268" i="16"/>
  <c r="AD269" i="16"/>
  <c r="AD270" i="16"/>
  <c r="AD271" i="16"/>
  <c r="AD272" i="16"/>
  <c r="AD273" i="16"/>
  <c r="AD274" i="16"/>
  <c r="AD275" i="16"/>
  <c r="AD276" i="16"/>
  <c r="AD277" i="16"/>
  <c r="AD278" i="16"/>
  <c r="AD279" i="16"/>
  <c r="AD280" i="16"/>
  <c r="AD281" i="16"/>
  <c r="AD282" i="16"/>
  <c r="AD283" i="16"/>
  <c r="AD284" i="16"/>
  <c r="AD285" i="16"/>
  <c r="AD286" i="16"/>
  <c r="AD287" i="16"/>
  <c r="AD288" i="16"/>
  <c r="AD289" i="16"/>
  <c r="AD290" i="16"/>
  <c r="AD291" i="16"/>
  <c r="AD292" i="16"/>
  <c r="AD293" i="16"/>
  <c r="AD294" i="16"/>
  <c r="AD295" i="16"/>
  <c r="AD296" i="16"/>
  <c r="AD297" i="16"/>
  <c r="AD298" i="16"/>
  <c r="AD299" i="16"/>
  <c r="AD300" i="16"/>
  <c r="AD301" i="16"/>
  <c r="AD302" i="16"/>
  <c r="AD303" i="16"/>
  <c r="AD304" i="16"/>
  <c r="AD305" i="16"/>
  <c r="AD306" i="16"/>
  <c r="AD307" i="16"/>
  <c r="AD308" i="16"/>
  <c r="AD309" i="16"/>
  <c r="AD310" i="16"/>
  <c r="AD311" i="16"/>
  <c r="AD312" i="16"/>
  <c r="AD313" i="16"/>
  <c r="AD314" i="16"/>
  <c r="AD315" i="16"/>
  <c r="AD316" i="16"/>
  <c r="AD317" i="16"/>
  <c r="AD318" i="16"/>
  <c r="AD319" i="16"/>
  <c r="AD320" i="16"/>
  <c r="AD321" i="16"/>
  <c r="AD322" i="16"/>
  <c r="AD323" i="16"/>
  <c r="AD324" i="16"/>
  <c r="AD325" i="16"/>
  <c r="AD326" i="16"/>
  <c r="AD327" i="16"/>
  <c r="AD328" i="16"/>
  <c r="AD329" i="16"/>
  <c r="AD330" i="16"/>
  <c r="AD331" i="16"/>
  <c r="AD332" i="16"/>
  <c r="AD333" i="16"/>
  <c r="AD334" i="16"/>
  <c r="AD335" i="16"/>
  <c r="AD336" i="16"/>
  <c r="AD337" i="16"/>
  <c r="AD338" i="16"/>
  <c r="AD339" i="16"/>
  <c r="AD340" i="16"/>
  <c r="AD341" i="16"/>
  <c r="AD342" i="16"/>
  <c r="AD343" i="16"/>
  <c r="AD344" i="16"/>
  <c r="AD345" i="16"/>
  <c r="AD346" i="16"/>
  <c r="AD347" i="16"/>
  <c r="AD348" i="16"/>
  <c r="AD349" i="16"/>
  <c r="AD350" i="16"/>
  <c r="AD351" i="16"/>
  <c r="AD352" i="16"/>
  <c r="AD353" i="16"/>
  <c r="AD354" i="16"/>
  <c r="AD355" i="16"/>
  <c r="AD356" i="16"/>
  <c r="AD357" i="16"/>
  <c r="AD358" i="16"/>
  <c r="AD359" i="16"/>
  <c r="AD360" i="16"/>
  <c r="AD361" i="16"/>
  <c r="AD362" i="16"/>
  <c r="AD363" i="16"/>
  <c r="AD364" i="16"/>
  <c r="AD365" i="16"/>
  <c r="AD366" i="16"/>
  <c r="AD367" i="16"/>
  <c r="AD368" i="16"/>
  <c r="AD369" i="16"/>
  <c r="AD370" i="16"/>
  <c r="AD371" i="16"/>
  <c r="AD372" i="16"/>
  <c r="AD373" i="16"/>
  <c r="AD374" i="16"/>
  <c r="AD375" i="16"/>
  <c r="AD376" i="16"/>
  <c r="AD377" i="16"/>
  <c r="AD378" i="16"/>
  <c r="AD379" i="16"/>
  <c r="AD380" i="16"/>
  <c r="AD381" i="16"/>
  <c r="AD382" i="16"/>
  <c r="AD383" i="16"/>
  <c r="AD384" i="16"/>
  <c r="AD385" i="16"/>
  <c r="AD386" i="16"/>
  <c r="AD387" i="16"/>
  <c r="AD388" i="16"/>
  <c r="AD389" i="16"/>
  <c r="AD390" i="16"/>
  <c r="AD391" i="16"/>
  <c r="AD392" i="16"/>
  <c r="AD393" i="16"/>
  <c r="AD394" i="16"/>
  <c r="AD395" i="16"/>
  <c r="AD396" i="16"/>
  <c r="AD397" i="16"/>
  <c r="AD398" i="16"/>
  <c r="AD399" i="16"/>
  <c r="AD400" i="16"/>
  <c r="AD401" i="16"/>
  <c r="AD402" i="16"/>
  <c r="AD403" i="16"/>
  <c r="AD404" i="16"/>
  <c r="AD405" i="16"/>
  <c r="AD406" i="16"/>
  <c r="AD407" i="16"/>
  <c r="AD408" i="16"/>
  <c r="AD409" i="16"/>
  <c r="AD410" i="16"/>
  <c r="AD411" i="16"/>
  <c r="AD412" i="16"/>
  <c r="AD413" i="16"/>
  <c r="AD414" i="16"/>
  <c r="AD415" i="16"/>
  <c r="AD416" i="16"/>
  <c r="AD417" i="16"/>
  <c r="AD418" i="16"/>
  <c r="AD419" i="16"/>
  <c r="AD420" i="16"/>
  <c r="AD421" i="16"/>
  <c r="AD422" i="16"/>
  <c r="AD423" i="16"/>
  <c r="AD424" i="16"/>
  <c r="AD425" i="16"/>
  <c r="AD426" i="16"/>
  <c r="AD427" i="16"/>
  <c r="AD428" i="16"/>
  <c r="AD429" i="16"/>
  <c r="AD430" i="16"/>
  <c r="AD431" i="16"/>
  <c r="AD432" i="16"/>
  <c r="AD433" i="16"/>
  <c r="AD434" i="16"/>
  <c r="AD435" i="16"/>
  <c r="AD436" i="16"/>
  <c r="AD437" i="16"/>
  <c r="AD438" i="16"/>
  <c r="AD439" i="16"/>
  <c r="AD440" i="16"/>
  <c r="AD441" i="16"/>
  <c r="AD442" i="16"/>
  <c r="AD443" i="16"/>
  <c r="AD444" i="16"/>
  <c r="AD445" i="16"/>
  <c r="AD446" i="16"/>
  <c r="AD447" i="16"/>
  <c r="AD448" i="16"/>
  <c r="AD449" i="16"/>
  <c r="AD450" i="16"/>
  <c r="AD451" i="16"/>
  <c r="AD452" i="16"/>
  <c r="AD453" i="16"/>
  <c r="AD454" i="16"/>
  <c r="AD4" i="16"/>
  <c r="V3" i="3"/>
  <c r="U3" i="3"/>
  <c r="T3" i="3"/>
  <c r="S3" i="3"/>
  <c r="AJ12" i="11" l="1"/>
  <c r="AJ28" i="11"/>
  <c r="AK5" i="33"/>
  <c r="AK4" i="33"/>
  <c r="AN5" i="3"/>
  <c r="AJ112" i="11"/>
  <c r="AJ108" i="11"/>
  <c r="AJ44" i="11"/>
  <c r="AJ80" i="11"/>
  <c r="AJ76" i="11"/>
  <c r="AK226" i="33"/>
  <c r="AK227" i="33"/>
  <c r="Z11" i="33"/>
  <c r="Z226" i="33"/>
  <c r="Z227" i="33"/>
  <c r="AJ104" i="14"/>
  <c r="AJ72" i="14"/>
  <c r="AJ40" i="14"/>
  <c r="AJ48" i="14"/>
  <c r="AJ96" i="11"/>
  <c r="AJ92" i="11"/>
  <c r="AJ124" i="11"/>
  <c r="AJ60" i="11"/>
  <c r="AJ104" i="11"/>
  <c r="AJ8" i="11"/>
  <c r="AJ120" i="11"/>
  <c r="AJ116" i="11"/>
  <c r="AJ88" i="11"/>
  <c r="U101" i="11"/>
  <c r="AJ100" i="11"/>
  <c r="AJ24" i="11"/>
  <c r="AL130" i="5"/>
  <c r="AM130" i="5"/>
  <c r="AM12" i="4"/>
  <c r="AL11" i="4"/>
  <c r="AK11" i="33"/>
  <c r="AK218" i="33"/>
  <c r="AK15" i="33"/>
  <c r="Z19" i="33"/>
  <c r="AL5" i="5"/>
  <c r="AN5" i="5" s="1"/>
  <c r="AM5" i="5"/>
  <c r="AL129" i="5"/>
  <c r="AL125" i="5"/>
  <c r="AM129" i="5"/>
  <c r="AL121" i="5"/>
  <c r="AL124" i="5"/>
  <c r="AL115" i="5"/>
  <c r="AL120" i="5"/>
  <c r="AM119" i="5"/>
  <c r="AM117" i="5"/>
  <c r="AM104" i="5"/>
  <c r="AM96" i="5"/>
  <c r="AM88" i="5"/>
  <c r="AM85" i="5"/>
  <c r="AM80" i="5"/>
  <c r="AM77" i="5"/>
  <c r="AM72" i="5"/>
  <c r="AL67" i="5"/>
  <c r="AL68" i="5"/>
  <c r="AM60" i="5"/>
  <c r="AL55" i="5"/>
  <c r="AL48" i="5"/>
  <c r="AM45" i="5"/>
  <c r="AM40" i="5"/>
  <c r="AM41" i="5"/>
  <c r="AL35" i="5"/>
  <c r="AL36" i="5"/>
  <c r="AM28" i="5"/>
  <c r="AL23" i="5"/>
  <c r="AM21" i="5"/>
  <c r="AL16" i="5"/>
  <c r="AM13" i="5"/>
  <c r="AL8" i="5"/>
  <c r="AM128" i="5"/>
  <c r="AM124" i="5"/>
  <c r="AM120" i="5"/>
  <c r="AM121" i="5"/>
  <c r="AM112" i="5"/>
  <c r="AL103" i="5"/>
  <c r="AL95" i="5"/>
  <c r="AL96" i="5"/>
  <c r="AM93" i="5"/>
  <c r="AL87" i="5"/>
  <c r="AL92" i="5"/>
  <c r="AM89" i="5"/>
  <c r="AL79" i="5"/>
  <c r="AL84" i="5"/>
  <c r="AM81" i="5"/>
  <c r="AL72" i="5"/>
  <c r="AM73" i="5"/>
  <c r="AM64" i="5"/>
  <c r="AL59" i="5"/>
  <c r="AL60" i="5"/>
  <c r="AM52" i="5"/>
  <c r="AL47" i="5"/>
  <c r="AL40" i="5"/>
  <c r="AM37" i="5"/>
  <c r="AM32" i="5"/>
  <c r="AM33" i="5"/>
  <c r="AL27" i="5"/>
  <c r="AL28" i="5"/>
  <c r="AM20" i="5"/>
  <c r="AL15" i="5"/>
  <c r="AL7" i="5"/>
  <c r="AL127" i="5"/>
  <c r="AL123" i="5"/>
  <c r="AL128" i="5"/>
  <c r="AM125" i="5"/>
  <c r="AL119" i="5"/>
  <c r="AL122" i="5"/>
  <c r="AL111" i="5"/>
  <c r="AM108" i="5"/>
  <c r="AM100" i="5"/>
  <c r="AM92" i="5"/>
  <c r="AM84" i="5"/>
  <c r="AL80" i="5"/>
  <c r="AM76" i="5"/>
  <c r="AL71" i="5"/>
  <c r="AL64" i="5"/>
  <c r="AM65" i="5"/>
  <c r="AM56" i="5"/>
  <c r="AM57" i="5"/>
  <c r="AL51" i="5"/>
  <c r="AL52" i="5"/>
  <c r="AM44" i="5"/>
  <c r="AL39" i="5"/>
  <c r="AL32" i="5"/>
  <c r="AM29" i="5"/>
  <c r="AM24" i="5"/>
  <c r="AM25" i="5"/>
  <c r="AL19" i="5"/>
  <c r="AL20" i="5"/>
  <c r="AM12" i="5"/>
  <c r="AL12" i="5"/>
  <c r="AM126" i="5"/>
  <c r="AM122" i="5"/>
  <c r="AM116" i="5"/>
  <c r="AL107" i="5"/>
  <c r="AL116" i="5"/>
  <c r="AM113" i="5"/>
  <c r="AL99" i="5"/>
  <c r="AL108" i="5"/>
  <c r="AM105" i="5"/>
  <c r="AL91" i="5"/>
  <c r="AL100" i="5"/>
  <c r="AM97" i="5"/>
  <c r="AL83" i="5"/>
  <c r="AL75" i="5"/>
  <c r="AL76" i="5"/>
  <c r="AM68" i="5"/>
  <c r="AL63" i="5"/>
  <c r="AL56" i="5"/>
  <c r="AM53" i="5"/>
  <c r="AM48" i="5"/>
  <c r="AM49" i="5"/>
  <c r="AL43" i="5"/>
  <c r="AL44" i="5"/>
  <c r="AM36" i="5"/>
  <c r="AL31" i="5"/>
  <c r="AL24" i="5"/>
  <c r="AM16" i="5"/>
  <c r="AM17" i="5"/>
  <c r="AL11" i="5"/>
  <c r="AM8" i="5"/>
  <c r="AM76" i="4"/>
  <c r="AM44" i="4"/>
  <c r="AM72" i="4"/>
  <c r="AL19" i="4"/>
  <c r="AM8" i="4"/>
  <c r="AL5" i="4"/>
  <c r="AL103" i="4"/>
  <c r="AL71" i="4"/>
  <c r="AL39" i="4"/>
  <c r="AM24" i="4"/>
  <c r="AL15" i="4"/>
  <c r="AL7" i="4"/>
  <c r="AL10" i="4"/>
  <c r="AM92" i="4"/>
  <c r="AM60" i="4"/>
  <c r="AM28" i="4"/>
  <c r="AM20" i="4"/>
  <c r="AL6" i="4"/>
  <c r="AL87" i="4"/>
  <c r="AL55" i="4"/>
  <c r="AL23" i="4"/>
  <c r="AL35" i="4"/>
  <c r="AM16" i="4"/>
  <c r="AM11" i="4"/>
  <c r="AJ7" i="13"/>
  <c r="AJ8" i="13"/>
  <c r="AL91" i="3"/>
  <c r="AL59" i="3"/>
  <c r="AJ128" i="14"/>
  <c r="AJ96" i="14"/>
  <c r="AJ64" i="14"/>
  <c r="AJ32" i="14"/>
  <c r="AJ10" i="14"/>
  <c r="AJ9" i="14"/>
  <c r="AJ120" i="14"/>
  <c r="AJ88" i="14"/>
  <c r="AJ56" i="14"/>
  <c r="AJ24" i="14"/>
  <c r="AJ4" i="14"/>
  <c r="AJ112" i="14"/>
  <c r="AJ80" i="14"/>
  <c r="AJ16" i="14"/>
  <c r="AJ7" i="14"/>
  <c r="AJ123" i="14"/>
  <c r="AJ115" i="14"/>
  <c r="AJ107" i="14"/>
  <c r="AJ126" i="14"/>
  <c r="AJ99" i="14"/>
  <c r="AJ122" i="14"/>
  <c r="AJ114" i="14"/>
  <c r="AJ91" i="14"/>
  <c r="AJ102" i="14"/>
  <c r="AJ83" i="14"/>
  <c r="AJ90" i="14"/>
  <c r="AJ75" i="14"/>
  <c r="AJ78" i="14"/>
  <c r="AJ67" i="14"/>
  <c r="AJ70" i="14"/>
  <c r="AJ59" i="14"/>
  <c r="AJ58" i="14"/>
  <c r="AJ51" i="14"/>
  <c r="AJ50" i="14"/>
  <c r="AJ43" i="14"/>
  <c r="AJ41" i="14"/>
  <c r="AJ35" i="14"/>
  <c r="AJ38" i="14"/>
  <c r="AJ30" i="14"/>
  <c r="AJ27" i="14"/>
  <c r="AJ22" i="14"/>
  <c r="AJ19" i="14"/>
  <c r="AJ18" i="14"/>
  <c r="AJ11" i="14"/>
  <c r="AJ124" i="14"/>
  <c r="AJ116" i="14"/>
  <c r="AJ108" i="14"/>
  <c r="AJ100" i="14"/>
  <c r="AJ92" i="14"/>
  <c r="AJ84" i="14"/>
  <c r="AJ76" i="14"/>
  <c r="AJ68" i="14"/>
  <c r="AJ60" i="14"/>
  <c r="AJ52" i="14"/>
  <c r="AJ44" i="14"/>
  <c r="AJ36" i="14"/>
  <c r="AJ28" i="14"/>
  <c r="AJ20" i="14"/>
  <c r="AJ12" i="14"/>
  <c r="AJ127" i="14"/>
  <c r="AJ119" i="14"/>
  <c r="AJ111" i="14"/>
  <c r="AJ103" i="14"/>
  <c r="AJ118" i="14"/>
  <c r="AJ95" i="14"/>
  <c r="AJ106" i="14"/>
  <c r="AJ87" i="14"/>
  <c r="AJ98" i="14"/>
  <c r="AJ79" i="14"/>
  <c r="AJ94" i="14"/>
  <c r="AJ86" i="14"/>
  <c r="AJ71" i="14"/>
  <c r="AJ74" i="14"/>
  <c r="AJ63" i="14"/>
  <c r="AJ66" i="14"/>
  <c r="AJ55" i="14"/>
  <c r="AJ62" i="14"/>
  <c r="AJ54" i="14"/>
  <c r="AJ47" i="14"/>
  <c r="AJ46" i="14"/>
  <c r="AJ39" i="14"/>
  <c r="AJ42" i="14"/>
  <c r="AJ34" i="14"/>
  <c r="AJ31" i="14"/>
  <c r="AJ26" i="14"/>
  <c r="AJ23" i="14"/>
  <c r="AJ15" i="14"/>
  <c r="AJ14" i="14"/>
  <c r="AJ5" i="14"/>
  <c r="AJ103" i="13"/>
  <c r="AJ99" i="13"/>
  <c r="AJ95" i="13"/>
  <c r="AJ91" i="13"/>
  <c r="AJ87" i="13"/>
  <c r="AJ83" i="13"/>
  <c r="AJ79" i="13"/>
  <c r="AJ75" i="13"/>
  <c r="AJ71" i="13"/>
  <c r="AJ67" i="13"/>
  <c r="AJ63" i="13"/>
  <c r="AJ59" i="13"/>
  <c r="AJ55" i="13"/>
  <c r="AJ51" i="13"/>
  <c r="AJ47" i="13"/>
  <c r="AJ43" i="13"/>
  <c r="AJ39" i="13"/>
  <c r="AJ35" i="13"/>
  <c r="AJ31" i="13"/>
  <c r="AJ27" i="13"/>
  <c r="AJ23" i="13"/>
  <c r="AJ19" i="13"/>
  <c r="AJ15" i="13"/>
  <c r="AJ11" i="13"/>
  <c r="AJ102" i="13"/>
  <c r="AJ98" i="13"/>
  <c r="AJ94" i="13"/>
  <c r="AJ90" i="13"/>
  <c r="AJ86" i="13"/>
  <c r="AJ82" i="13"/>
  <c r="AJ78" i="13"/>
  <c r="AJ74" i="13"/>
  <c r="AJ70" i="13"/>
  <c r="AJ66" i="13"/>
  <c r="AJ62" i="13"/>
  <c r="AJ58" i="13"/>
  <c r="AJ54" i="13"/>
  <c r="AJ50" i="13"/>
  <c r="AJ46" i="13"/>
  <c r="AJ42" i="13"/>
  <c r="AJ38" i="13"/>
  <c r="AJ34" i="13"/>
  <c r="AJ30" i="13"/>
  <c r="AJ26" i="13"/>
  <c r="AJ22" i="13"/>
  <c r="AJ18" i="13"/>
  <c r="AJ14" i="13"/>
  <c r="AJ10" i="13"/>
  <c r="AJ6" i="13"/>
  <c r="AJ4" i="13"/>
  <c r="AJ105" i="13"/>
  <c r="AJ101" i="13"/>
  <c r="AJ97" i="13"/>
  <c r="AJ93" i="13"/>
  <c r="AJ89" i="13"/>
  <c r="AJ85" i="13"/>
  <c r="AJ81" i="13"/>
  <c r="AJ77" i="13"/>
  <c r="AJ73" i="13"/>
  <c r="AJ69" i="13"/>
  <c r="AJ65" i="13"/>
  <c r="AJ61" i="13"/>
  <c r="AJ57" i="13"/>
  <c r="AJ53" i="13"/>
  <c r="AJ49" i="13"/>
  <c r="AJ45" i="13"/>
  <c r="AJ41" i="13"/>
  <c r="AJ37" i="13"/>
  <c r="AJ33" i="13"/>
  <c r="AJ29" i="13"/>
  <c r="AJ25" i="13"/>
  <c r="AJ21" i="13"/>
  <c r="AJ17" i="13"/>
  <c r="AJ13" i="13"/>
  <c r="AJ9" i="13"/>
  <c r="AJ5" i="13"/>
  <c r="AJ104" i="13"/>
  <c r="AJ100" i="13"/>
  <c r="AJ96" i="13"/>
  <c r="AJ92" i="13"/>
  <c r="AJ88" i="13"/>
  <c r="AJ84" i="13"/>
  <c r="AJ80" i="13"/>
  <c r="AJ76" i="13"/>
  <c r="AJ72" i="13"/>
  <c r="AJ68" i="13"/>
  <c r="AJ64" i="13"/>
  <c r="AJ60" i="13"/>
  <c r="AJ56" i="13"/>
  <c r="AJ52" i="13"/>
  <c r="AJ48" i="13"/>
  <c r="AJ44" i="13"/>
  <c r="AJ40" i="13"/>
  <c r="AJ36" i="13"/>
  <c r="AJ32" i="13"/>
  <c r="AJ28" i="13"/>
  <c r="AJ24" i="13"/>
  <c r="AJ20" i="13"/>
  <c r="AJ16" i="13"/>
  <c r="AJ12" i="13"/>
  <c r="U85" i="11"/>
  <c r="U47" i="11"/>
  <c r="AJ4" i="11"/>
  <c r="AJ84" i="11"/>
  <c r="AJ68" i="11"/>
  <c r="AJ52" i="11"/>
  <c r="AJ36" i="11"/>
  <c r="AJ20" i="11"/>
  <c r="U117" i="11"/>
  <c r="AJ64" i="11"/>
  <c r="AJ48" i="11"/>
  <c r="AJ32" i="11"/>
  <c r="AJ16" i="11"/>
  <c r="AJ7" i="11"/>
  <c r="AJ72" i="11"/>
  <c r="AJ56" i="11"/>
  <c r="AJ40" i="11"/>
  <c r="AJ8" i="14"/>
  <c r="AJ125" i="14"/>
  <c r="AJ121" i="14"/>
  <c r="AJ117" i="14"/>
  <c r="AJ113" i="14"/>
  <c r="AJ109" i="14"/>
  <c r="AJ105" i="14"/>
  <c r="AJ101" i="14"/>
  <c r="AJ97" i="14"/>
  <c r="AJ93" i="14"/>
  <c r="AJ89" i="14"/>
  <c r="AJ85" i="14"/>
  <c r="AJ81" i="14"/>
  <c r="AJ77" i="14"/>
  <c r="AJ73" i="14"/>
  <c r="AJ69" i="14"/>
  <c r="AJ65" i="14"/>
  <c r="AJ61" i="14"/>
  <c r="AJ57" i="14"/>
  <c r="AJ53" i="14"/>
  <c r="AJ49" i="14"/>
  <c r="AJ45" i="14"/>
  <c r="AJ37" i="14"/>
  <c r="AJ33" i="14"/>
  <c r="AJ29" i="14"/>
  <c r="AJ25" i="14"/>
  <c r="AJ21" i="14"/>
  <c r="AJ17" i="14"/>
  <c r="AJ13" i="14"/>
  <c r="AJ110" i="14"/>
  <c r="AJ82" i="14"/>
  <c r="AL107" i="3"/>
  <c r="AL27" i="3"/>
  <c r="AM64" i="3"/>
  <c r="AL121" i="3"/>
  <c r="AM16" i="3"/>
  <c r="AM126" i="3"/>
  <c r="AM112" i="3"/>
  <c r="AM80" i="3"/>
  <c r="AM48" i="3"/>
  <c r="AL43" i="3"/>
  <c r="AL11" i="3"/>
  <c r="AL23" i="3"/>
  <c r="AL125" i="3"/>
  <c r="AL75" i="3"/>
  <c r="AM32" i="3"/>
  <c r="AM28" i="3"/>
  <c r="AM5" i="3"/>
  <c r="AM122" i="3"/>
  <c r="AM96" i="3"/>
  <c r="AJ113" i="11"/>
  <c r="AJ105" i="11"/>
  <c r="AJ97" i="11"/>
  <c r="AJ85" i="11"/>
  <c r="AJ77" i="11"/>
  <c r="AJ69" i="11"/>
  <c r="AJ41" i="11"/>
  <c r="AJ33" i="11"/>
  <c r="AJ13" i="11"/>
  <c r="AJ122" i="11"/>
  <c r="AJ118" i="11"/>
  <c r="AJ114" i="11"/>
  <c r="AJ110" i="11"/>
  <c r="AJ106" i="11"/>
  <c r="AJ102" i="11"/>
  <c r="AJ98" i="11"/>
  <c r="AJ94" i="11"/>
  <c r="AJ90" i="11"/>
  <c r="AJ86" i="11"/>
  <c r="AJ82" i="11"/>
  <c r="AJ78" i="11"/>
  <c r="AJ74" i="11"/>
  <c r="AJ70" i="11"/>
  <c r="AJ66" i="11"/>
  <c r="AJ62" i="11"/>
  <c r="AJ58" i="11"/>
  <c r="AJ54" i="11"/>
  <c r="AJ50" i="11"/>
  <c r="AJ46" i="11"/>
  <c r="AJ42" i="11"/>
  <c r="AJ38" i="11"/>
  <c r="AJ34" i="11"/>
  <c r="AJ30" i="11"/>
  <c r="AJ26" i="11"/>
  <c r="AJ22" i="11"/>
  <c r="AJ18" i="11"/>
  <c r="AJ14" i="11"/>
  <c r="AJ10" i="11"/>
  <c r="AJ6" i="11"/>
  <c r="AJ121" i="11"/>
  <c r="AJ117" i="11"/>
  <c r="AJ109" i="11"/>
  <c r="AJ101" i="11"/>
  <c r="AJ93" i="11"/>
  <c r="AJ89" i="11"/>
  <c r="AJ81" i="11"/>
  <c r="AJ73" i="11"/>
  <c r="AJ65" i="11"/>
  <c r="AJ61" i="11"/>
  <c r="AJ57" i="11"/>
  <c r="AJ53" i="11"/>
  <c r="AJ49" i="11"/>
  <c r="AJ45" i="11"/>
  <c r="AJ37" i="11"/>
  <c r="AJ29" i="11"/>
  <c r="AJ25" i="11"/>
  <c r="AJ21" i="11"/>
  <c r="AJ17" i="11"/>
  <c r="AJ9" i="11"/>
  <c r="AJ123" i="11"/>
  <c r="AJ119" i="11"/>
  <c r="AJ115" i="11"/>
  <c r="AJ111" i="11"/>
  <c r="AJ107" i="11"/>
  <c r="AJ103" i="11"/>
  <c r="AJ99" i="11"/>
  <c r="AJ95" i="11"/>
  <c r="AJ91" i="11"/>
  <c r="AJ87" i="11"/>
  <c r="AJ83" i="11"/>
  <c r="AJ79" i="11"/>
  <c r="AJ75" i="11"/>
  <c r="AJ71" i="11"/>
  <c r="AJ67" i="11"/>
  <c r="AJ63" i="11"/>
  <c r="AJ59" i="11"/>
  <c r="AJ55" i="11"/>
  <c r="AJ51" i="11"/>
  <c r="AJ47" i="11"/>
  <c r="AJ43" i="11"/>
  <c r="AJ39" i="11"/>
  <c r="AJ35" i="11"/>
  <c r="AJ31" i="11"/>
  <c r="AJ27" i="11"/>
  <c r="AJ23" i="11"/>
  <c r="AJ19" i="11"/>
  <c r="AJ15" i="11"/>
  <c r="AJ11" i="11"/>
  <c r="U113" i="11"/>
  <c r="U97" i="11"/>
  <c r="U79" i="11"/>
  <c r="U31" i="11"/>
  <c r="U109" i="11"/>
  <c r="U93" i="11"/>
  <c r="U71" i="11"/>
  <c r="U15" i="11"/>
  <c r="U121" i="11"/>
  <c r="U105" i="11"/>
  <c r="U89" i="11"/>
  <c r="U63" i="11"/>
  <c r="Z15" i="33"/>
  <c r="AK138" i="33"/>
  <c r="AK103" i="33"/>
  <c r="AK96" i="33"/>
  <c r="AK71" i="33"/>
  <c r="AK48" i="33"/>
  <c r="AK34" i="33"/>
  <c r="AK190" i="33"/>
  <c r="AK170" i="33"/>
  <c r="AK158" i="33"/>
  <c r="AK112" i="33"/>
  <c r="AK104" i="33"/>
  <c r="AK95" i="33"/>
  <c r="AK80" i="33"/>
  <c r="AK64" i="33"/>
  <c r="AK31" i="33"/>
  <c r="AK12" i="33"/>
  <c r="AK8" i="33"/>
  <c r="AK222" i="33"/>
  <c r="AK202" i="33"/>
  <c r="AK126" i="33"/>
  <c r="AK111" i="33"/>
  <c r="AK88" i="33"/>
  <c r="AK87" i="33"/>
  <c r="AK79" i="33"/>
  <c r="AK72" i="33"/>
  <c r="AK63" i="33"/>
  <c r="AK56" i="33"/>
  <c r="AK55" i="33"/>
  <c r="AK47" i="33"/>
  <c r="AK32" i="33"/>
  <c r="AK27" i="33"/>
  <c r="AK7" i="33"/>
  <c r="AK23" i="33"/>
  <c r="Z225" i="33"/>
  <c r="Z221" i="33"/>
  <c r="Z217" i="33"/>
  <c r="Z213" i="33"/>
  <c r="Z209" i="33"/>
  <c r="Z205" i="33"/>
  <c r="Z201" i="33"/>
  <c r="Z197" i="33"/>
  <c r="Z193" i="33"/>
  <c r="Z189" i="33"/>
  <c r="Z185" i="33"/>
  <c r="Z181" i="33"/>
  <c r="Z177" i="33"/>
  <c r="Z173" i="33"/>
  <c r="Z169" i="33"/>
  <c r="Z165" i="33"/>
  <c r="Z161" i="33"/>
  <c r="Z157" i="33"/>
  <c r="Z153" i="33"/>
  <c r="Z149" i="33"/>
  <c r="Z145" i="33"/>
  <c r="Z141" i="33"/>
  <c r="Z137" i="33"/>
  <c r="Z133" i="33"/>
  <c r="Z129" i="33"/>
  <c r="Z125" i="33"/>
  <c r="Z121" i="33"/>
  <c r="Z117" i="33"/>
  <c r="Z224" i="33"/>
  <c r="Z220" i="33"/>
  <c r="Z216" i="33"/>
  <c r="Z212" i="33"/>
  <c r="Z208" i="33"/>
  <c r="Z204" i="33"/>
  <c r="Z200" i="33"/>
  <c r="Z196" i="33"/>
  <c r="Z192" i="33"/>
  <c r="Z188" i="33"/>
  <c r="Z184" i="33"/>
  <c r="Z180" i="33"/>
  <c r="Z176" i="33"/>
  <c r="Z172" i="33"/>
  <c r="Z168" i="33"/>
  <c r="Z164" i="33"/>
  <c r="Z160" i="33"/>
  <c r="Z156" i="33"/>
  <c r="Z152" i="33"/>
  <c r="Z148" i="33"/>
  <c r="Z144" i="33"/>
  <c r="Z140" i="33"/>
  <c r="Z136" i="33"/>
  <c r="Z132" i="33"/>
  <c r="Z128" i="33"/>
  <c r="Z124" i="33"/>
  <c r="Z120" i="33"/>
  <c r="Z116" i="33"/>
  <c r="Z223" i="33"/>
  <c r="Z219" i="33"/>
  <c r="Z215" i="33"/>
  <c r="Z211" i="33"/>
  <c r="Z207" i="33"/>
  <c r="Z203" i="33"/>
  <c r="Z199" i="33"/>
  <c r="Z195" i="33"/>
  <c r="Z191" i="33"/>
  <c r="Z187" i="33"/>
  <c r="Z183" i="33"/>
  <c r="Z179" i="33"/>
  <c r="Z175" i="33"/>
  <c r="Z171" i="33"/>
  <c r="Z167" i="33"/>
  <c r="Z163" i="33"/>
  <c r="Z159" i="33"/>
  <c r="Z155" i="33"/>
  <c r="Z151" i="33"/>
  <c r="Z147" i="33"/>
  <c r="Z143" i="33"/>
  <c r="Z139" i="33"/>
  <c r="Z135" i="33"/>
  <c r="Z131" i="33"/>
  <c r="Z127" i="33"/>
  <c r="Z123" i="33"/>
  <c r="Z119" i="33"/>
  <c r="Z214" i="33"/>
  <c r="Z198" i="33"/>
  <c r="Z182" i="33"/>
  <c r="Z166" i="33"/>
  <c r="Z150" i="33"/>
  <c r="Z134" i="33"/>
  <c r="Z118" i="33"/>
  <c r="Z115" i="33"/>
  <c r="Z110" i="33"/>
  <c r="Z106" i="33"/>
  <c r="Z102" i="33"/>
  <c r="Z98" i="33"/>
  <c r="Z94" i="33"/>
  <c r="Z90" i="33"/>
  <c r="Z86" i="33"/>
  <c r="Z82" i="33"/>
  <c r="Z78" i="33"/>
  <c r="Z74" i="33"/>
  <c r="Z70" i="33"/>
  <c r="Z66" i="33"/>
  <c r="Z62" i="33"/>
  <c r="Z58" i="33"/>
  <c r="Z54" i="33"/>
  <c r="Z50" i="33"/>
  <c r="Z46" i="33"/>
  <c r="Z218" i="33"/>
  <c r="Z202" i="33"/>
  <c r="Z186" i="33"/>
  <c r="Z170" i="33"/>
  <c r="Z154" i="33"/>
  <c r="Z138" i="33"/>
  <c r="Z122" i="33"/>
  <c r="Z114" i="33"/>
  <c r="Z113" i="33"/>
  <c r="Z109" i="33"/>
  <c r="Z105" i="33"/>
  <c r="Z101" i="33"/>
  <c r="Z97" i="33"/>
  <c r="Z93" i="33"/>
  <c r="Z89" i="33"/>
  <c r="Z85" i="33"/>
  <c r="Z81" i="33"/>
  <c r="Z77" i="33"/>
  <c r="Z73" i="33"/>
  <c r="Z69" i="33"/>
  <c r="Z65" i="33"/>
  <c r="Z61" i="33"/>
  <c r="Z57" i="33"/>
  <c r="Z53" i="33"/>
  <c r="Z49" i="33"/>
  <c r="Z45" i="33"/>
  <c r="Z41" i="33"/>
  <c r="Z37" i="33"/>
  <c r="Z33" i="33"/>
  <c r="Z206" i="33"/>
  <c r="Z174" i="33"/>
  <c r="Z142" i="33"/>
  <c r="Z108" i="33"/>
  <c r="Z100" i="33"/>
  <c r="Z92" i="33"/>
  <c r="Z84" i="33"/>
  <c r="Z76" i="33"/>
  <c r="Z68" i="33"/>
  <c r="Z60" i="33"/>
  <c r="Z52" i="33"/>
  <c r="Z44" i="33"/>
  <c r="Z40" i="33"/>
  <c r="Z30" i="33"/>
  <c r="Z26" i="33"/>
  <c r="Z22" i="33"/>
  <c r="Z18" i="33"/>
  <c r="Z14" i="33"/>
  <c r="Z10" i="33"/>
  <c r="Z6" i="33"/>
  <c r="Z130" i="33"/>
  <c r="Z95" i="33"/>
  <c r="Z87" i="33"/>
  <c r="Z55" i="33"/>
  <c r="Z47" i="33"/>
  <c r="Z31" i="33"/>
  <c r="Z210" i="33"/>
  <c r="Z178" i="33"/>
  <c r="Z146" i="33"/>
  <c r="Z107" i="33"/>
  <c r="Z99" i="33"/>
  <c r="Z91" i="33"/>
  <c r="Z83" i="33"/>
  <c r="Z75" i="33"/>
  <c r="Z67" i="33"/>
  <c r="Z59" i="33"/>
  <c r="Z51" i="33"/>
  <c r="Z43" i="33"/>
  <c r="Z42" i="33"/>
  <c r="Z39" i="33"/>
  <c r="Z36" i="33"/>
  <c r="Z29" i="33"/>
  <c r="Z25" i="33"/>
  <c r="Z21" i="33"/>
  <c r="Z17" i="33"/>
  <c r="Z13" i="33"/>
  <c r="Z9" i="33"/>
  <c r="Z5" i="33"/>
  <c r="Z194" i="33"/>
  <c r="Z162" i="33"/>
  <c r="Z111" i="33"/>
  <c r="Z103" i="33"/>
  <c r="Z79" i="33"/>
  <c r="Z63" i="33"/>
  <c r="Z34" i="33"/>
  <c r="Z222" i="33"/>
  <c r="Z190" i="33"/>
  <c r="Z158" i="33"/>
  <c r="Z126" i="33"/>
  <c r="Z112" i="33"/>
  <c r="Z104" i="33"/>
  <c r="Z96" i="33"/>
  <c r="Z88" i="33"/>
  <c r="Z80" i="33"/>
  <c r="Z72" i="33"/>
  <c r="Z64" i="33"/>
  <c r="Z56" i="33"/>
  <c r="Z48" i="33"/>
  <c r="Z38" i="33"/>
  <c r="Z35" i="33"/>
  <c r="Z32" i="33"/>
  <c r="Z28" i="33"/>
  <c r="Z24" i="33"/>
  <c r="Z20" i="33"/>
  <c r="Z16" i="33"/>
  <c r="Z12" i="33"/>
  <c r="Z8" i="33"/>
  <c r="Z4" i="33"/>
  <c r="AA4" i="33" s="1"/>
  <c r="Z71" i="33"/>
  <c r="Z27" i="33"/>
  <c r="Z7" i="33"/>
  <c r="AK19" i="33"/>
  <c r="Z23" i="33"/>
  <c r="AK16" i="33"/>
  <c r="AK20" i="33"/>
  <c r="AK24" i="33"/>
  <c r="AK28" i="33"/>
  <c r="AK35" i="33"/>
  <c r="AK36" i="33"/>
  <c r="AK38" i="33"/>
  <c r="AK9" i="33"/>
  <c r="AK13" i="33"/>
  <c r="AK17" i="33"/>
  <c r="AK21" i="33"/>
  <c r="AK25" i="33"/>
  <c r="AK29" i="33"/>
  <c r="AK39" i="33"/>
  <c r="AK40" i="33"/>
  <c r="AK43" i="33"/>
  <c r="AK44" i="33"/>
  <c r="AK51" i="33"/>
  <c r="AK52" i="33"/>
  <c r="AK59" i="33"/>
  <c r="AK60" i="33"/>
  <c r="AK67" i="33"/>
  <c r="AK68" i="33"/>
  <c r="AK75" i="33"/>
  <c r="AK76" i="33"/>
  <c r="AK83" i="33"/>
  <c r="AK84" i="33"/>
  <c r="AK91" i="33"/>
  <c r="AK92" i="33"/>
  <c r="AK99" i="33"/>
  <c r="AK100" i="33"/>
  <c r="AK107" i="33"/>
  <c r="AK108" i="33"/>
  <c r="AK122" i="33"/>
  <c r="AK142" i="33"/>
  <c r="AK154" i="33"/>
  <c r="AK174" i="33"/>
  <c r="AK186" i="33"/>
  <c r="AK206" i="33"/>
  <c r="AK225" i="33"/>
  <c r="AK221" i="33"/>
  <c r="AK217" i="33"/>
  <c r="AK213" i="33"/>
  <c r="AK209" i="33"/>
  <c r="AK205" i="33"/>
  <c r="AK201" i="33"/>
  <c r="AK197" i="33"/>
  <c r="AK193" i="33"/>
  <c r="AK189" i="33"/>
  <c r="AK185" i="33"/>
  <c r="AK181" i="33"/>
  <c r="AK177" i="33"/>
  <c r="AK173" i="33"/>
  <c r="AK169" i="33"/>
  <c r="AK165" i="33"/>
  <c r="AK161" i="33"/>
  <c r="AK157" i="33"/>
  <c r="AK153" i="33"/>
  <c r="AK149" i="33"/>
  <c r="AK145" i="33"/>
  <c r="AK141" i="33"/>
  <c r="AK137" i="33"/>
  <c r="AK133" i="33"/>
  <c r="AK129" i="33"/>
  <c r="AK125" i="33"/>
  <c r="AK121" i="33"/>
  <c r="AK117" i="33"/>
  <c r="AK113" i="33"/>
  <c r="AK224" i="33"/>
  <c r="AK220" i="33"/>
  <c r="AK216" i="33"/>
  <c r="AK212" i="33"/>
  <c r="AK208" i="33"/>
  <c r="AK204" i="33"/>
  <c r="AK200" i="33"/>
  <c r="AK196" i="33"/>
  <c r="AK192" i="33"/>
  <c r="AK188" i="33"/>
  <c r="AK184" i="33"/>
  <c r="AK180" i="33"/>
  <c r="AK176" i="33"/>
  <c r="AK172" i="33"/>
  <c r="AK168" i="33"/>
  <c r="AK164" i="33"/>
  <c r="AK160" i="33"/>
  <c r="AK156" i="33"/>
  <c r="AK152" i="33"/>
  <c r="AK148" i="33"/>
  <c r="AK144" i="33"/>
  <c r="AK140" i="33"/>
  <c r="AK136" i="33"/>
  <c r="AK132" i="33"/>
  <c r="AK128" i="33"/>
  <c r="AK124" i="33"/>
  <c r="AK120" i="33"/>
  <c r="AK116" i="33"/>
  <c r="AK223" i="33"/>
  <c r="AK219" i="33"/>
  <c r="AK215" i="33"/>
  <c r="AK211" i="33"/>
  <c r="AK207" i="33"/>
  <c r="AK203" i="33"/>
  <c r="AK199" i="33"/>
  <c r="AK195" i="33"/>
  <c r="AK191" i="33"/>
  <c r="AK187" i="33"/>
  <c r="AK183" i="33"/>
  <c r="AK179" i="33"/>
  <c r="AK175" i="33"/>
  <c r="AK171" i="33"/>
  <c r="AK167" i="33"/>
  <c r="AK163" i="33"/>
  <c r="AK159" i="33"/>
  <c r="AK155" i="33"/>
  <c r="AK151" i="33"/>
  <c r="AK147" i="33"/>
  <c r="AK143" i="33"/>
  <c r="AK139" i="33"/>
  <c r="AK135" i="33"/>
  <c r="AK131" i="33"/>
  <c r="AK127" i="33"/>
  <c r="AK123" i="33"/>
  <c r="AK119" i="33"/>
  <c r="AK115" i="33"/>
  <c r="AK210" i="33"/>
  <c r="AK194" i="33"/>
  <c r="AK178" i="33"/>
  <c r="AK162" i="33"/>
  <c r="AK146" i="33"/>
  <c r="AK130" i="33"/>
  <c r="AK110" i="33"/>
  <c r="AK106" i="33"/>
  <c r="AK102" i="33"/>
  <c r="AK98" i="33"/>
  <c r="AK94" i="33"/>
  <c r="AK90" i="33"/>
  <c r="AK86" i="33"/>
  <c r="AK82" i="33"/>
  <c r="AK78" i="33"/>
  <c r="AK74" i="33"/>
  <c r="AK70" i="33"/>
  <c r="AK66" i="33"/>
  <c r="AK62" i="33"/>
  <c r="AK58" i="33"/>
  <c r="AK54" i="33"/>
  <c r="AK50" i="33"/>
  <c r="AK46" i="33"/>
  <c r="AK42" i="33"/>
  <c r="AK214" i="33"/>
  <c r="AK198" i="33"/>
  <c r="AK182" i="33"/>
  <c r="AK166" i="33"/>
  <c r="AK150" i="33"/>
  <c r="AK134" i="33"/>
  <c r="AK118" i="33"/>
  <c r="AK114" i="33"/>
  <c r="AK109" i="33"/>
  <c r="AK105" i="33"/>
  <c r="AK101" i="33"/>
  <c r="AK97" i="33"/>
  <c r="AK93" i="33"/>
  <c r="AK89" i="33"/>
  <c r="AK85" i="33"/>
  <c r="AK81" i="33"/>
  <c r="AK77" i="33"/>
  <c r="AK73" i="33"/>
  <c r="AK69" i="33"/>
  <c r="AK65" i="33"/>
  <c r="AK61" i="33"/>
  <c r="AK57" i="33"/>
  <c r="AK53" i="33"/>
  <c r="AK49" i="33"/>
  <c r="AK45" i="33"/>
  <c r="AK41" i="33"/>
  <c r="AK37" i="33"/>
  <c r="AK33" i="33"/>
  <c r="AK6" i="33"/>
  <c r="AK10" i="33"/>
  <c r="AK14" i="33"/>
  <c r="AK18" i="33"/>
  <c r="AK22" i="33"/>
  <c r="AK26" i="33"/>
  <c r="AK30" i="33"/>
  <c r="AM11" i="5"/>
  <c r="AM15" i="5"/>
  <c r="AM19" i="5"/>
  <c r="AM23" i="5"/>
  <c r="AM27" i="5"/>
  <c r="AM31" i="5"/>
  <c r="AM35" i="5"/>
  <c r="AM39" i="5"/>
  <c r="AM43" i="5"/>
  <c r="AM47" i="5"/>
  <c r="AM51" i="5"/>
  <c r="AM55" i="5"/>
  <c r="AM59" i="5"/>
  <c r="AM63" i="5"/>
  <c r="AM67" i="5"/>
  <c r="AM71" i="5"/>
  <c r="AM75" i="5"/>
  <c r="AM79" i="5"/>
  <c r="AM83" i="5"/>
  <c r="AM87" i="5"/>
  <c r="AM91" i="5"/>
  <c r="AM95" i="5"/>
  <c r="AM99" i="5"/>
  <c r="AM103" i="5"/>
  <c r="AM107" i="5"/>
  <c r="AM111" i="5"/>
  <c r="AM115" i="5"/>
  <c r="AM10" i="5"/>
  <c r="AM14" i="5"/>
  <c r="AM18" i="5"/>
  <c r="AM22" i="5"/>
  <c r="AM26" i="5"/>
  <c r="AM30" i="5"/>
  <c r="AM34" i="5"/>
  <c r="AM38" i="5"/>
  <c r="AM42" i="5"/>
  <c r="AM46" i="5"/>
  <c r="AM50" i="5"/>
  <c r="AM54" i="5"/>
  <c r="AM58" i="5"/>
  <c r="AM62" i="5"/>
  <c r="AM66" i="5"/>
  <c r="AM70" i="5"/>
  <c r="AM74" i="5"/>
  <c r="AM78" i="5"/>
  <c r="AM82" i="5"/>
  <c r="AM86" i="5"/>
  <c r="AM90" i="5"/>
  <c r="AM94" i="5"/>
  <c r="AM98" i="5"/>
  <c r="AM102" i="5"/>
  <c r="AM106" i="5"/>
  <c r="AM110" i="5"/>
  <c r="AM114" i="5"/>
  <c r="AM118" i="5"/>
  <c r="AL6" i="5"/>
  <c r="AM7" i="5"/>
  <c r="AM6" i="5"/>
  <c r="AM127" i="5"/>
  <c r="AL126" i="5"/>
  <c r="AM123" i="5"/>
  <c r="AL112" i="5"/>
  <c r="AM109" i="5"/>
  <c r="AL104" i="5"/>
  <c r="AM101" i="5"/>
  <c r="AL88" i="5"/>
  <c r="AM69" i="5"/>
  <c r="AM61" i="5"/>
  <c r="AL10" i="5"/>
  <c r="AL14" i="5"/>
  <c r="AL18" i="5"/>
  <c r="AL22" i="5"/>
  <c r="AL26" i="5"/>
  <c r="AL30" i="5"/>
  <c r="AL34" i="5"/>
  <c r="AL38" i="5"/>
  <c r="AL42" i="5"/>
  <c r="AL46" i="5"/>
  <c r="AL50" i="5"/>
  <c r="AL54" i="5"/>
  <c r="AL58" i="5"/>
  <c r="AL62" i="5"/>
  <c r="AL66" i="5"/>
  <c r="AL70" i="5"/>
  <c r="AL74" i="5"/>
  <c r="AL78" i="5"/>
  <c r="AL82" i="5"/>
  <c r="AL86" i="5"/>
  <c r="AL90" i="5"/>
  <c r="AL94" i="5"/>
  <c r="AL98" i="5"/>
  <c r="AL102" i="5"/>
  <c r="AL106" i="5"/>
  <c r="AL110" i="5"/>
  <c r="AL114" i="5"/>
  <c r="AL118" i="5"/>
  <c r="AL9" i="5"/>
  <c r="AL13" i="5"/>
  <c r="AL17" i="5"/>
  <c r="AL21" i="5"/>
  <c r="AL25" i="5"/>
  <c r="AL29" i="5"/>
  <c r="AL33" i="5"/>
  <c r="AL37" i="5"/>
  <c r="AL41" i="5"/>
  <c r="AL45" i="5"/>
  <c r="AL49" i="5"/>
  <c r="AL53" i="5"/>
  <c r="AL57" i="5"/>
  <c r="AL61" i="5"/>
  <c r="AL65" i="5"/>
  <c r="AL69" i="5"/>
  <c r="AL73" i="5"/>
  <c r="AL77" i="5"/>
  <c r="AL81" i="5"/>
  <c r="AL85" i="5"/>
  <c r="AL89" i="5"/>
  <c r="AL93" i="5"/>
  <c r="AL97" i="5"/>
  <c r="AL101" i="5"/>
  <c r="AL105" i="5"/>
  <c r="AL109" i="5"/>
  <c r="AL113" i="5"/>
  <c r="AL117" i="5"/>
  <c r="AM9" i="5"/>
  <c r="AL107" i="4"/>
  <c r="AM96" i="4"/>
  <c r="AL91" i="4"/>
  <c r="AM80" i="4"/>
  <c r="AL75" i="4"/>
  <c r="AM64" i="4"/>
  <c r="AL59" i="4"/>
  <c r="AM48" i="4"/>
  <c r="AL43" i="4"/>
  <c r="AM32" i="4"/>
  <c r="AL27" i="4"/>
  <c r="AM100" i="4"/>
  <c r="AL95" i="4"/>
  <c r="AM84" i="4"/>
  <c r="AL79" i="4"/>
  <c r="AM68" i="4"/>
  <c r="AL63" i="4"/>
  <c r="AM52" i="4"/>
  <c r="AL47" i="4"/>
  <c r="AM36" i="4"/>
  <c r="AL31" i="4"/>
  <c r="AN6" i="4"/>
  <c r="AM104" i="4"/>
  <c r="AL99" i="4"/>
  <c r="AM88" i="4"/>
  <c r="AL83" i="4"/>
  <c r="AL67" i="4"/>
  <c r="AM56" i="4"/>
  <c r="AL51" i="4"/>
  <c r="AM40" i="4"/>
  <c r="AM105" i="4"/>
  <c r="AL104" i="4"/>
  <c r="AM101" i="4"/>
  <c r="AL100" i="4"/>
  <c r="AM97" i="4"/>
  <c r="AL96" i="4"/>
  <c r="AM93" i="4"/>
  <c r="AL92" i="4"/>
  <c r="AM89" i="4"/>
  <c r="AL88" i="4"/>
  <c r="AM85" i="4"/>
  <c r="AL84" i="4"/>
  <c r="AM81" i="4"/>
  <c r="AL80" i="4"/>
  <c r="AM77" i="4"/>
  <c r="AL76" i="4"/>
  <c r="AM73" i="4"/>
  <c r="AL72" i="4"/>
  <c r="AM69" i="4"/>
  <c r="AL68" i="4"/>
  <c r="AM65" i="4"/>
  <c r="AL64" i="4"/>
  <c r="AM61" i="4"/>
  <c r="AL60" i="4"/>
  <c r="AM57" i="4"/>
  <c r="AL56" i="4"/>
  <c r="AM53" i="4"/>
  <c r="AL52" i="4"/>
  <c r="AM49" i="4"/>
  <c r="AL48" i="4"/>
  <c r="AM45" i="4"/>
  <c r="AL44" i="4"/>
  <c r="AM41" i="4"/>
  <c r="AL40" i="4"/>
  <c r="AM37" i="4"/>
  <c r="AL36" i="4"/>
  <c r="AM33" i="4"/>
  <c r="AL32" i="4"/>
  <c r="AM29" i="4"/>
  <c r="AL28" i="4"/>
  <c r="AM25" i="4"/>
  <c r="AL24" i="4"/>
  <c r="AM21" i="4"/>
  <c r="AL20" i="4"/>
  <c r="AM17" i="4"/>
  <c r="AL16" i="4"/>
  <c r="AM13" i="4"/>
  <c r="AL12" i="4"/>
  <c r="AM9" i="4"/>
  <c r="AL8" i="4"/>
  <c r="AM102" i="4"/>
  <c r="AL101" i="4"/>
  <c r="AL97" i="4"/>
  <c r="AM94" i="4"/>
  <c r="AL93" i="4"/>
  <c r="AM90" i="4"/>
  <c r="AL89" i="4"/>
  <c r="AM86" i="4"/>
  <c r="AL85" i="4"/>
  <c r="AM82" i="4"/>
  <c r="AL81" i="4"/>
  <c r="AM78" i="4"/>
  <c r="AL77" i="4"/>
  <c r="AM74" i="4"/>
  <c r="AL73" i="4"/>
  <c r="AM70" i="4"/>
  <c r="AL69" i="4"/>
  <c r="AM66" i="4"/>
  <c r="AL65" i="4"/>
  <c r="AM62" i="4"/>
  <c r="AL61" i="4"/>
  <c r="AM58" i="4"/>
  <c r="AL57" i="4"/>
  <c r="AM54" i="4"/>
  <c r="AL53" i="4"/>
  <c r="AM50" i="4"/>
  <c r="AL49" i="4"/>
  <c r="AM46" i="4"/>
  <c r="AL45" i="4"/>
  <c r="AM42" i="4"/>
  <c r="AL41" i="4"/>
  <c r="AM38" i="4"/>
  <c r="AL37" i="4"/>
  <c r="AM34" i="4"/>
  <c r="AL33" i="4"/>
  <c r="AM30" i="4"/>
  <c r="AL29" i="4"/>
  <c r="AM26" i="4"/>
  <c r="AL25" i="4"/>
  <c r="AM22" i="4"/>
  <c r="AL21" i="4"/>
  <c r="AM18" i="4"/>
  <c r="AL17" i="4"/>
  <c r="AM14" i="4"/>
  <c r="AL13" i="4"/>
  <c r="AM10" i="4"/>
  <c r="AL9" i="4"/>
  <c r="AM6" i="4"/>
  <c r="AM106" i="4"/>
  <c r="AL105" i="4"/>
  <c r="AM98" i="4"/>
  <c r="AM107" i="4"/>
  <c r="AL106" i="4"/>
  <c r="AM103" i="4"/>
  <c r="AL102" i="4"/>
  <c r="AM99" i="4"/>
  <c r="AL98" i="4"/>
  <c r="AM95" i="4"/>
  <c r="AL94" i="4"/>
  <c r="AM91" i="4"/>
  <c r="AL90" i="4"/>
  <c r="AM87" i="4"/>
  <c r="AL86" i="4"/>
  <c r="AM83" i="4"/>
  <c r="AL82" i="4"/>
  <c r="AM79" i="4"/>
  <c r="AL78" i="4"/>
  <c r="AM75" i="4"/>
  <c r="AL74" i="4"/>
  <c r="AM71" i="4"/>
  <c r="AL70" i="4"/>
  <c r="AM67" i="4"/>
  <c r="AL66" i="4"/>
  <c r="AM63" i="4"/>
  <c r="AL62" i="4"/>
  <c r="AM59" i="4"/>
  <c r="AL58" i="4"/>
  <c r="AM55" i="4"/>
  <c r="AL54" i="4"/>
  <c r="AM51" i="4"/>
  <c r="AL50" i="4"/>
  <c r="AM47" i="4"/>
  <c r="AL46" i="4"/>
  <c r="AM43" i="4"/>
  <c r="AL42" i="4"/>
  <c r="AM39" i="4"/>
  <c r="AL38" i="4"/>
  <c r="AM35" i="4"/>
  <c r="AL34" i="4"/>
  <c r="AM31" i="4"/>
  <c r="AL30" i="4"/>
  <c r="AM27" i="4"/>
  <c r="AL26" i="4"/>
  <c r="AM23" i="4"/>
  <c r="AL22" i="4"/>
  <c r="AM19" i="4"/>
  <c r="AL18" i="4"/>
  <c r="AM15" i="4"/>
  <c r="AL14" i="4"/>
  <c r="AM7" i="4"/>
  <c r="AN5" i="4"/>
  <c r="AM5" i="4"/>
  <c r="AL6" i="3"/>
  <c r="AM7" i="3"/>
  <c r="AM6" i="3"/>
  <c r="AL126" i="3"/>
  <c r="AM123" i="3"/>
  <c r="AL122" i="3"/>
  <c r="AM119" i="3"/>
  <c r="AM116" i="3"/>
  <c r="AL111" i="3"/>
  <c r="AM100" i="3"/>
  <c r="AL95" i="3"/>
  <c r="AM84" i="3"/>
  <c r="AL79" i="3"/>
  <c r="AM68" i="3"/>
  <c r="AL63" i="3"/>
  <c r="AM52" i="3"/>
  <c r="AL47" i="3"/>
  <c r="AM36" i="3"/>
  <c r="AL31" i="3"/>
  <c r="AM20" i="3"/>
  <c r="AL15" i="3"/>
  <c r="AM11" i="3"/>
  <c r="AM15" i="3"/>
  <c r="AM19" i="3"/>
  <c r="AM23" i="3"/>
  <c r="AM27" i="3"/>
  <c r="AM31" i="3"/>
  <c r="AM35" i="3"/>
  <c r="AM39" i="3"/>
  <c r="AM43" i="3"/>
  <c r="AM47" i="3"/>
  <c r="AM51" i="3"/>
  <c r="AM55" i="3"/>
  <c r="AM59" i="3"/>
  <c r="AM63" i="3"/>
  <c r="AM67" i="3"/>
  <c r="AM71" i="3"/>
  <c r="AM75" i="3"/>
  <c r="AM79" i="3"/>
  <c r="AM83" i="3"/>
  <c r="AM87" i="3"/>
  <c r="AM91" i="3"/>
  <c r="AM95" i="3"/>
  <c r="AM99" i="3"/>
  <c r="AM103" i="3"/>
  <c r="AM107" i="3"/>
  <c r="AM111" i="3"/>
  <c r="AM115" i="3"/>
  <c r="AM10" i="3"/>
  <c r="AM14" i="3"/>
  <c r="AM18" i="3"/>
  <c r="AM22" i="3"/>
  <c r="AM26" i="3"/>
  <c r="AM30" i="3"/>
  <c r="AM34" i="3"/>
  <c r="AM38" i="3"/>
  <c r="AM42" i="3"/>
  <c r="AM46" i="3"/>
  <c r="AM50" i="3"/>
  <c r="AM54" i="3"/>
  <c r="AM58" i="3"/>
  <c r="AM62" i="3"/>
  <c r="AM66" i="3"/>
  <c r="AM70" i="3"/>
  <c r="AM74" i="3"/>
  <c r="AM78" i="3"/>
  <c r="AM82" i="3"/>
  <c r="AM86" i="3"/>
  <c r="AM90" i="3"/>
  <c r="AM94" i="3"/>
  <c r="AM98" i="3"/>
  <c r="AM102" i="3"/>
  <c r="AM106" i="3"/>
  <c r="AM110" i="3"/>
  <c r="AM114" i="3"/>
  <c r="AM118" i="3"/>
  <c r="AM9" i="3"/>
  <c r="AM13" i="3"/>
  <c r="AM17" i="3"/>
  <c r="AM21" i="3"/>
  <c r="AM25" i="3"/>
  <c r="AM29" i="3"/>
  <c r="AM33" i="3"/>
  <c r="AM37" i="3"/>
  <c r="AM41" i="3"/>
  <c r="AM45" i="3"/>
  <c r="AM49" i="3"/>
  <c r="AM53" i="3"/>
  <c r="AM57" i="3"/>
  <c r="AM61" i="3"/>
  <c r="AM65" i="3"/>
  <c r="AM69" i="3"/>
  <c r="AM73" i="3"/>
  <c r="AM77" i="3"/>
  <c r="AM81" i="3"/>
  <c r="AM85" i="3"/>
  <c r="AM89" i="3"/>
  <c r="AM93" i="3"/>
  <c r="AM97" i="3"/>
  <c r="AM101" i="3"/>
  <c r="AM105" i="3"/>
  <c r="AM109" i="3"/>
  <c r="AM113" i="3"/>
  <c r="AM117" i="3"/>
  <c r="AM124" i="3"/>
  <c r="AL123" i="3"/>
  <c r="AM120" i="3"/>
  <c r="AL119" i="3"/>
  <c r="AL115" i="3"/>
  <c r="AM104" i="3"/>
  <c r="AL99" i="3"/>
  <c r="AM88" i="3"/>
  <c r="AL83" i="3"/>
  <c r="AM72" i="3"/>
  <c r="AL67" i="3"/>
  <c r="AM56" i="3"/>
  <c r="AL51" i="3"/>
  <c r="AM40" i="3"/>
  <c r="AL35" i="3"/>
  <c r="AM24" i="3"/>
  <c r="AL19" i="3"/>
  <c r="AM8" i="3"/>
  <c r="AM125" i="3"/>
  <c r="AL124" i="3"/>
  <c r="AM121" i="3"/>
  <c r="AL120" i="3"/>
  <c r="AM108" i="3"/>
  <c r="AL103" i="3"/>
  <c r="AM92" i="3"/>
  <c r="AL87" i="3"/>
  <c r="AM76" i="3"/>
  <c r="AL71" i="3"/>
  <c r="AM60" i="3"/>
  <c r="AL55" i="3"/>
  <c r="AM44" i="3"/>
  <c r="AL39" i="3"/>
  <c r="AM12" i="3"/>
  <c r="AL7" i="3"/>
  <c r="AL10" i="3"/>
  <c r="AL14" i="3"/>
  <c r="AL18" i="3"/>
  <c r="AL22" i="3"/>
  <c r="AL26" i="3"/>
  <c r="AL30" i="3"/>
  <c r="AL34" i="3"/>
  <c r="AL38" i="3"/>
  <c r="AL42" i="3"/>
  <c r="AL46" i="3"/>
  <c r="AL50" i="3"/>
  <c r="AL54" i="3"/>
  <c r="AL58" i="3"/>
  <c r="AL62" i="3"/>
  <c r="AL66" i="3"/>
  <c r="AL70" i="3"/>
  <c r="AL74" i="3"/>
  <c r="AL78" i="3"/>
  <c r="AL82" i="3"/>
  <c r="AL86" i="3"/>
  <c r="AL90" i="3"/>
  <c r="AL94" i="3"/>
  <c r="AL98" i="3"/>
  <c r="AL102" i="3"/>
  <c r="AL106" i="3"/>
  <c r="AL110" i="3"/>
  <c r="AL114" i="3"/>
  <c r="AL118" i="3"/>
  <c r="AL9" i="3"/>
  <c r="AL13" i="3"/>
  <c r="AL17" i="3"/>
  <c r="AL21" i="3"/>
  <c r="AL25" i="3"/>
  <c r="AL29" i="3"/>
  <c r="AL33" i="3"/>
  <c r="AL37" i="3"/>
  <c r="AL41" i="3"/>
  <c r="AL45" i="3"/>
  <c r="AL49" i="3"/>
  <c r="AL53" i="3"/>
  <c r="AL57" i="3"/>
  <c r="AL61" i="3"/>
  <c r="AL65" i="3"/>
  <c r="AL69" i="3"/>
  <c r="AL73" i="3"/>
  <c r="AL77" i="3"/>
  <c r="AL81" i="3"/>
  <c r="AL85" i="3"/>
  <c r="AL89" i="3"/>
  <c r="AL93" i="3"/>
  <c r="AL97" i="3"/>
  <c r="AL101" i="3"/>
  <c r="AL105" i="3"/>
  <c r="AL109" i="3"/>
  <c r="AL113" i="3"/>
  <c r="AL117" i="3"/>
  <c r="AL8" i="3"/>
  <c r="AL12" i="3"/>
  <c r="AL16" i="3"/>
  <c r="AL20" i="3"/>
  <c r="AL24" i="3"/>
  <c r="AL28" i="3"/>
  <c r="AL32" i="3"/>
  <c r="AL36" i="3"/>
  <c r="AL40" i="3"/>
  <c r="AL44" i="3"/>
  <c r="AL48" i="3"/>
  <c r="AL52" i="3"/>
  <c r="AL56" i="3"/>
  <c r="AL60" i="3"/>
  <c r="AL64" i="3"/>
  <c r="AL68" i="3"/>
  <c r="AL72" i="3"/>
  <c r="AL76" i="3"/>
  <c r="AL80" i="3"/>
  <c r="AL84" i="3"/>
  <c r="AL88" i="3"/>
  <c r="AL92" i="3"/>
  <c r="AL96" i="3"/>
  <c r="AL100" i="3"/>
  <c r="AL104" i="3"/>
  <c r="AL108" i="3"/>
  <c r="AL112" i="3"/>
  <c r="AL116" i="3"/>
  <c r="U119" i="11"/>
  <c r="U111" i="11"/>
  <c r="U103" i="11"/>
  <c r="U95" i="11"/>
  <c r="U87" i="11"/>
  <c r="U75" i="11"/>
  <c r="U59" i="11"/>
  <c r="U43" i="11"/>
  <c r="U27" i="11"/>
  <c r="U11" i="11"/>
  <c r="U55" i="11"/>
  <c r="U39" i="11"/>
  <c r="U23" i="11"/>
  <c r="U7" i="11"/>
  <c r="U123" i="11"/>
  <c r="U115" i="11"/>
  <c r="U107" i="11"/>
  <c r="U99" i="11"/>
  <c r="U91" i="11"/>
  <c r="U83" i="11"/>
  <c r="U67" i="11"/>
  <c r="U51" i="11"/>
  <c r="U35" i="11"/>
  <c r="U19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6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5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8" i="11"/>
  <c r="V123" i="11"/>
  <c r="V121" i="11"/>
  <c r="V119" i="11"/>
  <c r="V117" i="11"/>
  <c r="V115" i="11"/>
  <c r="V113" i="11"/>
  <c r="V111" i="11"/>
  <c r="V109" i="11"/>
  <c r="V107" i="11"/>
  <c r="V105" i="11"/>
  <c r="V103" i="11"/>
  <c r="V101" i="11"/>
  <c r="V99" i="11"/>
  <c r="V97" i="11"/>
  <c r="V95" i="11"/>
  <c r="V93" i="11"/>
  <c r="V91" i="11"/>
  <c r="V89" i="11"/>
  <c r="V87" i="11"/>
  <c r="V85" i="11"/>
  <c r="V83" i="11"/>
  <c r="V81" i="11"/>
  <c r="V79" i="11"/>
  <c r="V77" i="11"/>
  <c r="V75" i="11"/>
  <c r="V73" i="11"/>
  <c r="V71" i="11"/>
  <c r="V69" i="11"/>
  <c r="V67" i="11"/>
  <c r="V65" i="11"/>
  <c r="V63" i="11"/>
  <c r="V61" i="11"/>
  <c r="V59" i="11"/>
  <c r="V57" i="11"/>
  <c r="V55" i="11"/>
  <c r="V53" i="11"/>
  <c r="V51" i="11"/>
  <c r="V49" i="11"/>
  <c r="V47" i="11"/>
  <c r="V45" i="11"/>
  <c r="V43" i="11"/>
  <c r="V41" i="11"/>
  <c r="V39" i="11"/>
  <c r="V37" i="11"/>
  <c r="V35" i="11"/>
  <c r="V33" i="11"/>
  <c r="V31" i="11"/>
  <c r="V29" i="11"/>
  <c r="V27" i="11"/>
  <c r="V25" i="11"/>
  <c r="V23" i="11"/>
  <c r="V21" i="11"/>
  <c r="V19" i="11"/>
  <c r="V17" i="11"/>
  <c r="V15" i="11"/>
  <c r="V13" i="11"/>
  <c r="V11" i="11"/>
  <c r="V9" i="11"/>
  <c r="V7" i="11"/>
  <c r="V5" i="11"/>
  <c r="V4" i="11"/>
  <c r="V124" i="11"/>
  <c r="V122" i="11"/>
  <c r="V120" i="11"/>
  <c r="V118" i="11"/>
  <c r="V116" i="11"/>
  <c r="V114" i="11"/>
  <c r="V112" i="11"/>
  <c r="V110" i="11"/>
  <c r="V108" i="11"/>
  <c r="V106" i="11"/>
  <c r="V104" i="11"/>
  <c r="V102" i="11"/>
  <c r="V100" i="11"/>
  <c r="V98" i="11"/>
  <c r="V96" i="11"/>
  <c r="V94" i="11"/>
  <c r="V92" i="11"/>
  <c r="V90" i="11"/>
  <c r="V88" i="11"/>
  <c r="V86" i="11"/>
  <c r="V84" i="11"/>
  <c r="V82" i="11"/>
  <c r="V80" i="11"/>
  <c r="V78" i="11"/>
  <c r="V76" i="11"/>
  <c r="V74" i="11"/>
  <c r="V72" i="11"/>
  <c r="V70" i="11"/>
  <c r="V68" i="11"/>
  <c r="V66" i="11"/>
  <c r="V64" i="11"/>
  <c r="V62" i="11"/>
  <c r="V60" i="11"/>
  <c r="V58" i="11"/>
  <c r="V56" i="11"/>
  <c r="V54" i="11"/>
  <c r="V52" i="11"/>
  <c r="V50" i="11"/>
  <c r="V48" i="11"/>
  <c r="V46" i="11"/>
  <c r="V44" i="11"/>
  <c r="V42" i="11"/>
  <c r="V40" i="11"/>
  <c r="V38" i="11"/>
  <c r="V36" i="11"/>
  <c r="V34" i="11"/>
  <c r="V32" i="11"/>
  <c r="V30" i="11"/>
  <c r="V28" i="11"/>
  <c r="V26" i="11"/>
  <c r="V24" i="11"/>
  <c r="V22" i="11"/>
  <c r="V20" i="11"/>
  <c r="V18" i="11"/>
  <c r="V16" i="11"/>
  <c r="V14" i="11"/>
  <c r="V12" i="11"/>
  <c r="V10" i="11"/>
  <c r="V8" i="11"/>
  <c r="B2" i="1"/>
  <c r="G18" i="30"/>
  <c r="F18" i="30"/>
  <c r="B18" i="30"/>
  <c r="E18" i="30" s="1"/>
  <c r="G16" i="30"/>
  <c r="F16" i="30"/>
  <c r="E16" i="30"/>
  <c r="G15" i="30"/>
  <c r="F15" i="30"/>
  <c r="E15" i="30"/>
  <c r="G14" i="30"/>
  <c r="F14" i="30"/>
  <c r="E14" i="30"/>
  <c r="G13" i="30"/>
  <c r="F13" i="30"/>
  <c r="E13" i="30"/>
  <c r="G12" i="30"/>
  <c r="F12" i="30"/>
  <c r="E12" i="30"/>
  <c r="G11" i="30"/>
  <c r="F11" i="30"/>
  <c r="E11" i="30"/>
  <c r="G10" i="30"/>
  <c r="F10" i="30"/>
  <c r="E10" i="30"/>
  <c r="G9" i="30"/>
  <c r="F9" i="30"/>
  <c r="E9" i="30"/>
  <c r="G8" i="30"/>
  <c r="P17" i="30" s="1"/>
  <c r="F8" i="30"/>
  <c r="O17" i="30" s="1"/>
  <c r="E8" i="30"/>
  <c r="N17" i="30" s="1"/>
  <c r="G7" i="30"/>
  <c r="P16" i="30" s="1"/>
  <c r="F7" i="30"/>
  <c r="O16" i="30" s="1"/>
  <c r="E7" i="30"/>
  <c r="N16" i="30" s="1"/>
  <c r="G6" i="30"/>
  <c r="P15" i="30" s="1"/>
  <c r="F6" i="30"/>
  <c r="O15" i="30" s="1"/>
  <c r="E6" i="30"/>
  <c r="N15" i="30" s="1"/>
  <c r="G5" i="30"/>
  <c r="P14" i="30" s="1"/>
  <c r="F5" i="30"/>
  <c r="O14" i="30" s="1"/>
  <c r="E5" i="30"/>
  <c r="N14" i="30" s="1"/>
  <c r="G4" i="30"/>
  <c r="F4" i="30"/>
  <c r="E4" i="30"/>
  <c r="AF4" i="1" l="1"/>
  <c r="AG4" i="1" s="1"/>
  <c r="AN7" i="4"/>
  <c r="AN130" i="5"/>
  <c r="AN6" i="5"/>
  <c r="AN8" i="5"/>
  <c r="AN20" i="5"/>
  <c r="AN15" i="4"/>
  <c r="AN7" i="5"/>
  <c r="AN22" i="5"/>
  <c r="AN95" i="4"/>
  <c r="AN9" i="3"/>
  <c r="AN89" i="3"/>
  <c r="AA5" i="33"/>
  <c r="AA6" i="33" s="1"/>
  <c r="AA7" i="33" s="1"/>
  <c r="AA8" i="33" s="1"/>
  <c r="AA9" i="33" s="1"/>
  <c r="AA10" i="33" s="1"/>
  <c r="AA11" i="33" s="1"/>
  <c r="AA12" i="33" s="1"/>
  <c r="AA13" i="33" s="1"/>
  <c r="AA14" i="33" s="1"/>
  <c r="AA15" i="33" s="1"/>
  <c r="AA16" i="33" s="1"/>
  <c r="AA17" i="33" s="1"/>
  <c r="AA18" i="33" s="1"/>
  <c r="AA19" i="33" s="1"/>
  <c r="AA20" i="33" s="1"/>
  <c r="AA21" i="33" s="1"/>
  <c r="AA22" i="33" s="1"/>
  <c r="AA23" i="33" s="1"/>
  <c r="AA24" i="33" s="1"/>
  <c r="AA25" i="33" s="1"/>
  <c r="AA26" i="33" s="1"/>
  <c r="AA27" i="33" s="1"/>
  <c r="AA28" i="33" s="1"/>
  <c r="AA29" i="33" s="1"/>
  <c r="AA30" i="33" s="1"/>
  <c r="AA31" i="33" s="1"/>
  <c r="AA32" i="33" s="1"/>
  <c r="AA33" i="33" s="1"/>
  <c r="AA34" i="33" s="1"/>
  <c r="AA35" i="33" s="1"/>
  <c r="AA36" i="33" s="1"/>
  <c r="AA37" i="33" s="1"/>
  <c r="AA38" i="33" s="1"/>
  <c r="AA39" i="33" s="1"/>
  <c r="AA40" i="33" s="1"/>
  <c r="AA41" i="33" s="1"/>
  <c r="AA42" i="33" s="1"/>
  <c r="AA43" i="33" s="1"/>
  <c r="AA44" i="33" s="1"/>
  <c r="AA45" i="33" s="1"/>
  <c r="AA46" i="33" s="1"/>
  <c r="AA47" i="33" s="1"/>
  <c r="AA48" i="33" s="1"/>
  <c r="AA49" i="33" s="1"/>
  <c r="AA50" i="33" s="1"/>
  <c r="AA51" i="33" s="1"/>
  <c r="AA52" i="33" s="1"/>
  <c r="AA53" i="33" s="1"/>
  <c r="AA54" i="33" s="1"/>
  <c r="AA55" i="33" s="1"/>
  <c r="AA56" i="33" s="1"/>
  <c r="AA57" i="33" s="1"/>
  <c r="AA58" i="33" s="1"/>
  <c r="AA59" i="33" s="1"/>
  <c r="AA60" i="33" s="1"/>
  <c r="AA61" i="33" s="1"/>
  <c r="AA62" i="33" s="1"/>
  <c r="AA63" i="33" s="1"/>
  <c r="AA64" i="33" s="1"/>
  <c r="AA65" i="33" s="1"/>
  <c r="AA66" i="33" s="1"/>
  <c r="AA67" i="33" s="1"/>
  <c r="AA68" i="33" s="1"/>
  <c r="AA69" i="33" s="1"/>
  <c r="AA70" i="33" s="1"/>
  <c r="AA71" i="33" s="1"/>
  <c r="AA72" i="33" s="1"/>
  <c r="AA73" i="33" s="1"/>
  <c r="AA74" i="33" s="1"/>
  <c r="AA75" i="33" s="1"/>
  <c r="AA76" i="33" s="1"/>
  <c r="AA77" i="33" s="1"/>
  <c r="AA78" i="33" s="1"/>
  <c r="AA79" i="33" s="1"/>
  <c r="AA80" i="33" s="1"/>
  <c r="AA81" i="33" s="1"/>
  <c r="AA82" i="33" s="1"/>
  <c r="AA83" i="33" s="1"/>
  <c r="AA84" i="33" s="1"/>
  <c r="AA85" i="33" s="1"/>
  <c r="AA86" i="33" s="1"/>
  <c r="AA87" i="33" s="1"/>
  <c r="AA88" i="33" s="1"/>
  <c r="AA89" i="33" s="1"/>
  <c r="AA90" i="33" s="1"/>
  <c r="AA91" i="33" s="1"/>
  <c r="AA92" i="33" s="1"/>
  <c r="AA93" i="33" s="1"/>
  <c r="AA94" i="33" s="1"/>
  <c r="AA95" i="33" s="1"/>
  <c r="AA96" i="33" s="1"/>
  <c r="AA97" i="33" s="1"/>
  <c r="AA98" i="33" s="1"/>
  <c r="AA99" i="33" s="1"/>
  <c r="AA100" i="33" s="1"/>
  <c r="AA101" i="33" s="1"/>
  <c r="AA102" i="33" s="1"/>
  <c r="AA103" i="33" s="1"/>
  <c r="AA104" i="33" s="1"/>
  <c r="AA105" i="33" s="1"/>
  <c r="AA106" i="33" s="1"/>
  <c r="AA107" i="33" s="1"/>
  <c r="AA108" i="33" s="1"/>
  <c r="AA109" i="33" s="1"/>
  <c r="AA110" i="33" s="1"/>
  <c r="AA111" i="33" s="1"/>
  <c r="AA112" i="33" s="1"/>
  <c r="AA113" i="33" s="1"/>
  <c r="AA114" i="33" s="1"/>
  <c r="AA115" i="33" s="1"/>
  <c r="AA116" i="33" s="1"/>
  <c r="AA117" i="33" s="1"/>
  <c r="AA118" i="33" s="1"/>
  <c r="AA119" i="33" s="1"/>
  <c r="AA120" i="33" s="1"/>
  <c r="AA121" i="33" s="1"/>
  <c r="AA122" i="33" s="1"/>
  <c r="AA123" i="33" s="1"/>
  <c r="AA124" i="33" s="1"/>
  <c r="AA125" i="33" s="1"/>
  <c r="AA126" i="33" s="1"/>
  <c r="AA127" i="33" s="1"/>
  <c r="AA128" i="33" s="1"/>
  <c r="AA129" i="33" s="1"/>
  <c r="AA130" i="33" s="1"/>
  <c r="AA131" i="33" s="1"/>
  <c r="AA132" i="33" s="1"/>
  <c r="AA133" i="33" s="1"/>
  <c r="AA134" i="33" s="1"/>
  <c r="AA135" i="33" s="1"/>
  <c r="AA136" i="33" s="1"/>
  <c r="AA137" i="33" s="1"/>
  <c r="AA138" i="33" s="1"/>
  <c r="AA139" i="33" s="1"/>
  <c r="AA140" i="33" s="1"/>
  <c r="AA141" i="33" s="1"/>
  <c r="AA142" i="33" s="1"/>
  <c r="AA143" i="33" s="1"/>
  <c r="AA144" i="33" s="1"/>
  <c r="AA145" i="33" s="1"/>
  <c r="AA146" i="33" s="1"/>
  <c r="AA147" i="33" s="1"/>
  <c r="AA148" i="33" s="1"/>
  <c r="AA149" i="33" s="1"/>
  <c r="AA150" i="33" s="1"/>
  <c r="AA151" i="33" s="1"/>
  <c r="AA152" i="33" s="1"/>
  <c r="AA153" i="33" s="1"/>
  <c r="AA154" i="33" s="1"/>
  <c r="AA155" i="33" s="1"/>
  <c r="AA156" i="33" s="1"/>
  <c r="AA157" i="33" s="1"/>
  <c r="AA158" i="33" s="1"/>
  <c r="AA159" i="33" s="1"/>
  <c r="AA160" i="33" s="1"/>
  <c r="AA161" i="33" s="1"/>
  <c r="AA162" i="33" s="1"/>
  <c r="AA163" i="33" s="1"/>
  <c r="AA164" i="33" s="1"/>
  <c r="AA165" i="33" s="1"/>
  <c r="AA166" i="33" s="1"/>
  <c r="AA167" i="33" s="1"/>
  <c r="AA168" i="33" s="1"/>
  <c r="AA169" i="33" s="1"/>
  <c r="AA170" i="33" s="1"/>
  <c r="AA171" i="33" s="1"/>
  <c r="AA172" i="33" s="1"/>
  <c r="AA173" i="33" s="1"/>
  <c r="AA174" i="33" s="1"/>
  <c r="AA175" i="33" s="1"/>
  <c r="AA176" i="33" s="1"/>
  <c r="AA177" i="33" s="1"/>
  <c r="AA178" i="33" s="1"/>
  <c r="AA179" i="33" s="1"/>
  <c r="AA180" i="33" s="1"/>
  <c r="AA181" i="33" s="1"/>
  <c r="AA182" i="33" s="1"/>
  <c r="AA183" i="33" s="1"/>
  <c r="AA184" i="33" s="1"/>
  <c r="AA185" i="33" s="1"/>
  <c r="AA186" i="33" s="1"/>
  <c r="AA187" i="33" s="1"/>
  <c r="AA188" i="33" s="1"/>
  <c r="AA189" i="33" s="1"/>
  <c r="AA190" i="33" s="1"/>
  <c r="AA191" i="33" s="1"/>
  <c r="AA192" i="33" s="1"/>
  <c r="AA193" i="33" s="1"/>
  <c r="AA194" i="33" s="1"/>
  <c r="AA195" i="33" s="1"/>
  <c r="AA196" i="33" s="1"/>
  <c r="AA197" i="33" s="1"/>
  <c r="AA198" i="33" s="1"/>
  <c r="AA199" i="33" s="1"/>
  <c r="AA200" i="33" s="1"/>
  <c r="AA201" i="33" s="1"/>
  <c r="AA202" i="33" s="1"/>
  <c r="AA203" i="33" s="1"/>
  <c r="AA204" i="33" s="1"/>
  <c r="AA205" i="33" s="1"/>
  <c r="AA206" i="33" s="1"/>
  <c r="AA207" i="33" s="1"/>
  <c r="AA208" i="33" s="1"/>
  <c r="AA209" i="33" s="1"/>
  <c r="AA210" i="33" s="1"/>
  <c r="AA211" i="33" s="1"/>
  <c r="AA212" i="33" s="1"/>
  <c r="AA213" i="33" s="1"/>
  <c r="AA214" i="33" s="1"/>
  <c r="AA215" i="33" s="1"/>
  <c r="AA216" i="33" s="1"/>
  <c r="AA217" i="33" s="1"/>
  <c r="AA218" i="33" s="1"/>
  <c r="AA219" i="33" s="1"/>
  <c r="AA220" i="33" s="1"/>
  <c r="AA221" i="33" s="1"/>
  <c r="AA222" i="33" s="1"/>
  <c r="AA223" i="33" s="1"/>
  <c r="AA224" i="33" s="1"/>
  <c r="AA225" i="33" s="1"/>
  <c r="AA226" i="33" s="1"/>
  <c r="AA227" i="33" s="1"/>
  <c r="AN111" i="5"/>
  <c r="AN95" i="5"/>
  <c r="AN79" i="5"/>
  <c r="AN63" i="5"/>
  <c r="AN47" i="5"/>
  <c r="AN31" i="5"/>
  <c r="AN15" i="5"/>
  <c r="AN112" i="5"/>
  <c r="AN96" i="5"/>
  <c r="AN80" i="5"/>
  <c r="AN64" i="5"/>
  <c r="AN48" i="5"/>
  <c r="AN32" i="5"/>
  <c r="AN16" i="5"/>
  <c r="AN124" i="5"/>
  <c r="AN94" i="5"/>
  <c r="AN118" i="5"/>
  <c r="AN46" i="5"/>
  <c r="AN107" i="5"/>
  <c r="AN91" i="5"/>
  <c r="AN75" i="5"/>
  <c r="AN59" i="5"/>
  <c r="AN43" i="5"/>
  <c r="AN27" i="5"/>
  <c r="AN11" i="5"/>
  <c r="AN108" i="5"/>
  <c r="AN92" i="5"/>
  <c r="AN76" i="5"/>
  <c r="AN60" i="5"/>
  <c r="AN44" i="5"/>
  <c r="AN28" i="5"/>
  <c r="AN12" i="5"/>
  <c r="AN17" i="5"/>
  <c r="AN25" i="5"/>
  <c r="AN33" i="5"/>
  <c r="AN41" i="5"/>
  <c r="AN49" i="5"/>
  <c r="AN57" i="5"/>
  <c r="AN65" i="5"/>
  <c r="AN73" i="5"/>
  <c r="AN81" i="5"/>
  <c r="AN89" i="5"/>
  <c r="AN97" i="5"/>
  <c r="AN105" i="5"/>
  <c r="AN113" i="5"/>
  <c r="AN121" i="5"/>
  <c r="AN125" i="5"/>
  <c r="AN129" i="5"/>
  <c r="AN10" i="5"/>
  <c r="AN18" i="5"/>
  <c r="AN26" i="5"/>
  <c r="AN34" i="5"/>
  <c r="AN42" i="5"/>
  <c r="AN50" i="5"/>
  <c r="AN58" i="5"/>
  <c r="AN66" i="5"/>
  <c r="AN74" i="5"/>
  <c r="AN82" i="5"/>
  <c r="AN90" i="5"/>
  <c r="AN98" i="5"/>
  <c r="AN106" i="5"/>
  <c r="AN114" i="5"/>
  <c r="AN13" i="5"/>
  <c r="AN21" i="5"/>
  <c r="AN29" i="5"/>
  <c r="AN37" i="5"/>
  <c r="AN45" i="5"/>
  <c r="AN53" i="5"/>
  <c r="AN61" i="5"/>
  <c r="AN69" i="5"/>
  <c r="AN77" i="5"/>
  <c r="AN85" i="5"/>
  <c r="AN93" i="5"/>
  <c r="AN101" i="5"/>
  <c r="AN109" i="5"/>
  <c r="AN117" i="5"/>
  <c r="AN119" i="5"/>
  <c r="AN123" i="5"/>
  <c r="AN127" i="5"/>
  <c r="AN30" i="5"/>
  <c r="AN9" i="5"/>
  <c r="AN122" i="5"/>
  <c r="AN78" i="5"/>
  <c r="AN54" i="5"/>
  <c r="AN103" i="5"/>
  <c r="AN87" i="5"/>
  <c r="AN71" i="5"/>
  <c r="AN55" i="5"/>
  <c r="AN39" i="5"/>
  <c r="AN23" i="5"/>
  <c r="AN104" i="5"/>
  <c r="AN88" i="5"/>
  <c r="AN72" i="5"/>
  <c r="AN56" i="5"/>
  <c r="AN40" i="5"/>
  <c r="AN24" i="5"/>
  <c r="AN120" i="5"/>
  <c r="AN62" i="5"/>
  <c r="AN38" i="5"/>
  <c r="AN128" i="5"/>
  <c r="AN102" i="5"/>
  <c r="AN126" i="5"/>
  <c r="AN115" i="5"/>
  <c r="AN99" i="5"/>
  <c r="AN83" i="5"/>
  <c r="AN67" i="5"/>
  <c r="AN51" i="5"/>
  <c r="AN35" i="5"/>
  <c r="AN19" i="5"/>
  <c r="AN116" i="5"/>
  <c r="AN100" i="5"/>
  <c r="AN84" i="5"/>
  <c r="AN68" i="5"/>
  <c r="AN52" i="5"/>
  <c r="AN36" i="5"/>
  <c r="AN86" i="5"/>
  <c r="AN70" i="5"/>
  <c r="AN14" i="5"/>
  <c r="AN110" i="5"/>
  <c r="AN92" i="4"/>
  <c r="AN63" i="4"/>
  <c r="AN49" i="4"/>
  <c r="AN97" i="4"/>
  <c r="AN33" i="4"/>
  <c r="AN65" i="4"/>
  <c r="AN81" i="4"/>
  <c r="AN50" i="4"/>
  <c r="AN66" i="4"/>
  <c r="AN98" i="4"/>
  <c r="AN40" i="4"/>
  <c r="AN56" i="4"/>
  <c r="AN72" i="4"/>
  <c r="AN88" i="4"/>
  <c r="AN104" i="4"/>
  <c r="AN99" i="4"/>
  <c r="AN107" i="4"/>
  <c r="AN11" i="4"/>
  <c r="AN27" i="4"/>
  <c r="AN43" i="4"/>
  <c r="AN59" i="4"/>
  <c r="AN75" i="4"/>
  <c r="AN91" i="4"/>
  <c r="AN14" i="4"/>
  <c r="AN30" i="4"/>
  <c r="AN46" i="4"/>
  <c r="AN62" i="4"/>
  <c r="AN78" i="4"/>
  <c r="AN94" i="4"/>
  <c r="AN45" i="4"/>
  <c r="AN93" i="4"/>
  <c r="AN13" i="4"/>
  <c r="AN8" i="4"/>
  <c r="AN41" i="4"/>
  <c r="AN105" i="4"/>
  <c r="AN85" i="4"/>
  <c r="AN76" i="4"/>
  <c r="AN31" i="4"/>
  <c r="AN18" i="4"/>
  <c r="AN57" i="4"/>
  <c r="AN37" i="4"/>
  <c r="AN101" i="4"/>
  <c r="AN24" i="4"/>
  <c r="AN20" i="4"/>
  <c r="AN36" i="4"/>
  <c r="AN52" i="4"/>
  <c r="AN68" i="4"/>
  <c r="AN84" i="4"/>
  <c r="AN100" i="4"/>
  <c r="AN103" i="4"/>
  <c r="AN23" i="4"/>
  <c r="AN39" i="4"/>
  <c r="AN55" i="4"/>
  <c r="AN71" i="4"/>
  <c r="AN87" i="4"/>
  <c r="AN10" i="4"/>
  <c r="AN26" i="4"/>
  <c r="AN42" i="4"/>
  <c r="AN58" i="4"/>
  <c r="AN74" i="4"/>
  <c r="AN90" i="4"/>
  <c r="AN106" i="4"/>
  <c r="AN77" i="4"/>
  <c r="AN9" i="4"/>
  <c r="AN25" i="4"/>
  <c r="AN89" i="4"/>
  <c r="AN69" i="4"/>
  <c r="AN29" i="4"/>
  <c r="AN28" i="4"/>
  <c r="AN44" i="4"/>
  <c r="AN60" i="4"/>
  <c r="AN47" i="4"/>
  <c r="AN79" i="4"/>
  <c r="AN34" i="4"/>
  <c r="AN82" i="4"/>
  <c r="AN61" i="4"/>
  <c r="AN17" i="4"/>
  <c r="AN16" i="4"/>
  <c r="AN32" i="4"/>
  <c r="AN48" i="4"/>
  <c r="AN64" i="4"/>
  <c r="AN80" i="4"/>
  <c r="AN96" i="4"/>
  <c r="AN19" i="4"/>
  <c r="AN35" i="4"/>
  <c r="AN51" i="4"/>
  <c r="AN67" i="4"/>
  <c r="AN83" i="4"/>
  <c r="AN22" i="4"/>
  <c r="AN38" i="4"/>
  <c r="AN54" i="4"/>
  <c r="AN70" i="4"/>
  <c r="AN86" i="4"/>
  <c r="AN102" i="4"/>
  <c r="AN12" i="4"/>
  <c r="AN73" i="4"/>
  <c r="AN53" i="4"/>
  <c r="AN21" i="4"/>
  <c r="AN106" i="3"/>
  <c r="AN58" i="3"/>
  <c r="AN103" i="3"/>
  <c r="AN116" i="3"/>
  <c r="AN68" i="3"/>
  <c r="AN33" i="3"/>
  <c r="AN102" i="3"/>
  <c r="AN86" i="3"/>
  <c r="AN70" i="3"/>
  <c r="AN54" i="3"/>
  <c r="AN38" i="3"/>
  <c r="AN22" i="3"/>
  <c r="AN115" i="3"/>
  <c r="AN99" i="3"/>
  <c r="AN83" i="3"/>
  <c r="AN67" i="3"/>
  <c r="AN51" i="3"/>
  <c r="AN35" i="3"/>
  <c r="AN19" i="3"/>
  <c r="AN112" i="3"/>
  <c r="AN96" i="3"/>
  <c r="AN80" i="3"/>
  <c r="AN64" i="3"/>
  <c r="AN48" i="3"/>
  <c r="AN32" i="3"/>
  <c r="AN16" i="3"/>
  <c r="AN81" i="3"/>
  <c r="AN45" i="3"/>
  <c r="AN109" i="3"/>
  <c r="AN121" i="3"/>
  <c r="AN57" i="3"/>
  <c r="AN124" i="3"/>
  <c r="AN8" i="3"/>
  <c r="AN7" i="3"/>
  <c r="AN6" i="3"/>
  <c r="AN117" i="3"/>
  <c r="AN69" i="3"/>
  <c r="AN85" i="3"/>
  <c r="AN119" i="3"/>
  <c r="AN123" i="3"/>
  <c r="AN21" i="3"/>
  <c r="AN37" i="3"/>
  <c r="AN53" i="3"/>
  <c r="AN101" i="3"/>
  <c r="AN90" i="3"/>
  <c r="AN42" i="3"/>
  <c r="AN87" i="3"/>
  <c r="AN55" i="3"/>
  <c r="AN100" i="3"/>
  <c r="AN52" i="3"/>
  <c r="AN20" i="3"/>
  <c r="AN118" i="3"/>
  <c r="AN61" i="3"/>
  <c r="AN73" i="3"/>
  <c r="AN114" i="3"/>
  <c r="AN98" i="3"/>
  <c r="AN82" i="3"/>
  <c r="AN66" i="3"/>
  <c r="AN50" i="3"/>
  <c r="AN34" i="3"/>
  <c r="AN18" i="3"/>
  <c r="AN111" i="3"/>
  <c r="AN95" i="3"/>
  <c r="AN79" i="3"/>
  <c r="AN63" i="3"/>
  <c r="AN47" i="3"/>
  <c r="AN31" i="3"/>
  <c r="AN15" i="3"/>
  <c r="AN108" i="3"/>
  <c r="AN92" i="3"/>
  <c r="AN76" i="3"/>
  <c r="AN60" i="3"/>
  <c r="AN44" i="3"/>
  <c r="AN28" i="3"/>
  <c r="AN12" i="3"/>
  <c r="AN65" i="3"/>
  <c r="AN126" i="3"/>
  <c r="AN29" i="3"/>
  <c r="AN93" i="3"/>
  <c r="AN41" i="3"/>
  <c r="AN105" i="3"/>
  <c r="AN120" i="3"/>
  <c r="AN17" i="3"/>
  <c r="AN74" i="3"/>
  <c r="AN26" i="3"/>
  <c r="AN10" i="3"/>
  <c r="AN71" i="3"/>
  <c r="AN39" i="3"/>
  <c r="AN23" i="3"/>
  <c r="AN84" i="3"/>
  <c r="AN36" i="3"/>
  <c r="AN97" i="3"/>
  <c r="AN125" i="3"/>
  <c r="AN110" i="3"/>
  <c r="AN94" i="3"/>
  <c r="AN78" i="3"/>
  <c r="AN62" i="3"/>
  <c r="AN46" i="3"/>
  <c r="AN30" i="3"/>
  <c r="AN14" i="3"/>
  <c r="AN107" i="3"/>
  <c r="AN91" i="3"/>
  <c r="AN75" i="3"/>
  <c r="AN59" i="3"/>
  <c r="AN43" i="3"/>
  <c r="AN27" i="3"/>
  <c r="AN11" i="3"/>
  <c r="AN104" i="3"/>
  <c r="AN88" i="3"/>
  <c r="AN72" i="3"/>
  <c r="AN56" i="3"/>
  <c r="AN40" i="3"/>
  <c r="AN24" i="3"/>
  <c r="AN49" i="3"/>
  <c r="AN113" i="3"/>
  <c r="AN122" i="3"/>
  <c r="AN77" i="3"/>
  <c r="AN25" i="3"/>
  <c r="AN13" i="3"/>
  <c r="B19" i="30"/>
  <c r="E19" i="30" l="1"/>
  <c r="B20" i="30"/>
  <c r="E20" i="30" s="1"/>
  <c r="G19" i="30"/>
  <c r="D20" i="30"/>
  <c r="G20" i="30" s="1"/>
  <c r="C20" i="30"/>
  <c r="F20" i="30" s="1"/>
  <c r="F19" i="30"/>
  <c r="M11" i="27" l="1"/>
  <c r="M12" i="27"/>
  <c r="M7" i="27"/>
  <c r="M14" i="27"/>
  <c r="M17" i="27"/>
  <c r="M26" i="27"/>
  <c r="M20" i="27"/>
  <c r="M30" i="27"/>
  <c r="M27" i="27"/>
  <c r="M41" i="27"/>
  <c r="M43" i="27"/>
  <c r="M44" i="27"/>
  <c r="M48" i="27"/>
  <c r="M50" i="27"/>
  <c r="M4" i="27"/>
  <c r="L4" i="29"/>
  <c r="M4" i="29" s="1"/>
  <c r="W4" i="29"/>
  <c r="W5" i="29"/>
  <c r="W6" i="29"/>
  <c r="W7" i="29"/>
  <c r="W8" i="29"/>
  <c r="W9" i="29"/>
  <c r="W10" i="29"/>
  <c r="W11" i="29"/>
  <c r="W12" i="29"/>
  <c r="W13" i="29"/>
  <c r="W14" i="29"/>
  <c r="W15" i="29"/>
  <c r="W16" i="29"/>
  <c r="W17" i="29"/>
  <c r="W18" i="29"/>
  <c r="W3" i="29"/>
  <c r="L46" i="29"/>
  <c r="M46" i="29" s="1"/>
  <c r="L43" i="29"/>
  <c r="M43" i="29" s="1"/>
  <c r="L21" i="29"/>
  <c r="M21" i="29" s="1"/>
  <c r="L11" i="29"/>
  <c r="M11" i="29" s="1"/>
  <c r="L37" i="29"/>
  <c r="M37" i="29" s="1"/>
  <c r="L18" i="29"/>
  <c r="M18" i="29" s="1"/>
  <c r="L26" i="29"/>
  <c r="M26" i="29" s="1"/>
  <c r="L8" i="29"/>
  <c r="M8" i="29" s="1"/>
  <c r="L27" i="29"/>
  <c r="M27" i="29" s="1"/>
  <c r="L45" i="29"/>
  <c r="M45" i="29" s="1"/>
  <c r="L33" i="29"/>
  <c r="M33" i="29" s="1"/>
  <c r="L47" i="29"/>
  <c r="M47" i="29" s="1"/>
  <c r="L9" i="29"/>
  <c r="M9" i="29" s="1"/>
  <c r="L12" i="29"/>
  <c r="M12" i="29" s="1"/>
  <c r="L28" i="29"/>
  <c r="M28" i="29" s="1"/>
  <c r="L19" i="29"/>
  <c r="M19" i="29" s="1"/>
  <c r="L13" i="29"/>
  <c r="M13" i="29" s="1"/>
  <c r="L20" i="29"/>
  <c r="M20" i="29" s="1"/>
  <c r="L41" i="29"/>
  <c r="M41" i="29" s="1"/>
  <c r="L32" i="29"/>
  <c r="M32" i="29" s="1"/>
  <c r="L30" i="29"/>
  <c r="M30" i="29" s="1"/>
  <c r="L16" i="29"/>
  <c r="M16" i="29" s="1"/>
  <c r="L31" i="29"/>
  <c r="M31" i="29" s="1"/>
  <c r="L42" i="29"/>
  <c r="M42" i="29" s="1"/>
  <c r="L40" i="29"/>
  <c r="M40" i="29" s="1"/>
  <c r="L24" i="29"/>
  <c r="M24" i="29" s="1"/>
  <c r="L22" i="29"/>
  <c r="M22" i="29" s="1"/>
  <c r="L34" i="29"/>
  <c r="M34" i="29" s="1"/>
  <c r="L14" i="29"/>
  <c r="M14" i="29" s="1"/>
  <c r="L7" i="29"/>
  <c r="M7" i="29" s="1"/>
  <c r="L23" i="29"/>
  <c r="M23" i="29" s="1"/>
  <c r="L39" i="29"/>
  <c r="M39" i="29" s="1"/>
  <c r="L35" i="29"/>
  <c r="M35" i="29" s="1"/>
  <c r="L5" i="29"/>
  <c r="M5" i="29" s="1"/>
  <c r="L17" i="29"/>
  <c r="M17" i="29" s="1"/>
  <c r="L38" i="29"/>
  <c r="M38" i="29" s="1"/>
  <c r="L29" i="29"/>
  <c r="M29" i="29" s="1"/>
  <c r="L25" i="29"/>
  <c r="M25" i="29" s="1"/>
  <c r="L44" i="29"/>
  <c r="M44" i="29" s="1"/>
  <c r="L15" i="29"/>
  <c r="M15" i="29" s="1"/>
  <c r="L36" i="29"/>
  <c r="M36" i="29" s="1"/>
  <c r="L6" i="29"/>
  <c r="M6" i="29" s="1"/>
  <c r="L10" i="29"/>
  <c r="M10" i="29" s="1"/>
  <c r="L3" i="29"/>
  <c r="M3" i="29" s="1"/>
  <c r="L17" i="28"/>
  <c r="M17" i="28" s="1"/>
  <c r="W4" i="28"/>
  <c r="W5" i="28"/>
  <c r="W6" i="28"/>
  <c r="W7" i="28"/>
  <c r="W8" i="28"/>
  <c r="W9" i="28"/>
  <c r="W10" i="28"/>
  <c r="W11" i="28"/>
  <c r="W12" i="28"/>
  <c r="W3" i="28"/>
  <c r="L7" i="28"/>
  <c r="M7" i="28" s="1"/>
  <c r="L8" i="28"/>
  <c r="M8" i="28" s="1"/>
  <c r="L9" i="28"/>
  <c r="M9" i="28" s="1"/>
  <c r="L10" i="28"/>
  <c r="M10" i="28" s="1"/>
  <c r="L11" i="28"/>
  <c r="M11" i="28" s="1"/>
  <c r="L12" i="28"/>
  <c r="M12" i="28" s="1"/>
  <c r="L13" i="28"/>
  <c r="M13" i="28" s="1"/>
  <c r="L14" i="28"/>
  <c r="M14" i="28" s="1"/>
  <c r="L4" i="28"/>
  <c r="M4" i="28" s="1"/>
  <c r="L15" i="28"/>
  <c r="M15" i="28" s="1"/>
  <c r="L16" i="28"/>
  <c r="M16" i="28" s="1"/>
  <c r="L5" i="28"/>
  <c r="M5" i="28" s="1"/>
  <c r="L18" i="28"/>
  <c r="M18" i="28" s="1"/>
  <c r="L6" i="28"/>
  <c r="M6" i="28" s="1"/>
  <c r="L19" i="28"/>
  <c r="M19" i="28" s="1"/>
  <c r="L20" i="28"/>
  <c r="M20" i="28" s="1"/>
  <c r="L21" i="28"/>
  <c r="M21" i="28" s="1"/>
  <c r="L22" i="28"/>
  <c r="M22" i="28" s="1"/>
  <c r="L23" i="28"/>
  <c r="M23" i="28" s="1"/>
  <c r="L24" i="28"/>
  <c r="M24" i="28" s="1"/>
  <c r="L25" i="28"/>
  <c r="M25" i="28" s="1"/>
  <c r="L26" i="28"/>
  <c r="M26" i="28" s="1"/>
  <c r="L27" i="28"/>
  <c r="M27" i="28" s="1"/>
  <c r="L28" i="28"/>
  <c r="M28" i="28" s="1"/>
  <c r="L29" i="28"/>
  <c r="M29" i="28" s="1"/>
  <c r="L30" i="28"/>
  <c r="M30" i="28" s="1"/>
  <c r="L31" i="28"/>
  <c r="M31" i="28" s="1"/>
  <c r="L32" i="28"/>
  <c r="M32" i="28" s="1"/>
  <c r="L33" i="28"/>
  <c r="M33" i="28" s="1"/>
  <c r="L34" i="28"/>
  <c r="M34" i="28" s="1"/>
  <c r="L3" i="28"/>
  <c r="M3" i="28" s="1"/>
  <c r="Q4" i="27"/>
  <c r="Q5" i="27"/>
  <c r="Q6" i="27"/>
  <c r="Q7" i="27"/>
  <c r="Q8" i="27"/>
  <c r="Q9" i="27"/>
  <c r="Q10" i="27"/>
  <c r="Q11" i="27"/>
  <c r="Q12" i="27"/>
  <c r="Q13" i="27"/>
  <c r="Q14" i="27"/>
  <c r="Q15" i="27"/>
  <c r="Q3" i="27"/>
  <c r="L11" i="27"/>
  <c r="L26" i="27"/>
  <c r="L36" i="27"/>
  <c r="M36" i="27" s="1"/>
  <c r="L39" i="27"/>
  <c r="M39" i="27" s="1"/>
  <c r="L49" i="27"/>
  <c r="M49" i="27" s="1"/>
  <c r="L50" i="27"/>
  <c r="L6" i="27"/>
  <c r="M6" i="27" s="1"/>
  <c r="L5" i="27"/>
  <c r="M5" i="27" s="1"/>
  <c r="L7" i="27"/>
  <c r="L4" i="27"/>
  <c r="L13" i="27"/>
  <c r="M13" i="27" s="1"/>
  <c r="L15" i="27"/>
  <c r="M15" i="27" s="1"/>
  <c r="L14" i="27"/>
  <c r="L9" i="27"/>
  <c r="M9" i="27" s="1"/>
  <c r="L8" i="27"/>
  <c r="M8" i="27" s="1"/>
  <c r="L22" i="27"/>
  <c r="M22" i="27" s="1"/>
  <c r="L20" i="27"/>
  <c r="L17" i="27"/>
  <c r="L16" i="27"/>
  <c r="M16" i="27" s="1"/>
  <c r="L32" i="27"/>
  <c r="M32" i="27" s="1"/>
  <c r="L23" i="27"/>
  <c r="M23" i="27" s="1"/>
  <c r="L30" i="27"/>
  <c r="L18" i="27"/>
  <c r="M18" i="27" s="1"/>
  <c r="L25" i="27"/>
  <c r="M25" i="27" s="1"/>
  <c r="L12" i="27"/>
  <c r="L27" i="27"/>
  <c r="L21" i="27"/>
  <c r="M21" i="27" s="1"/>
  <c r="L35" i="27"/>
  <c r="M35" i="27" s="1"/>
  <c r="L29" i="27"/>
  <c r="M29" i="27" s="1"/>
  <c r="L19" i="27"/>
  <c r="M19" i="27" s="1"/>
  <c r="L40" i="27"/>
  <c r="M40" i="27" s="1"/>
  <c r="L38" i="27"/>
  <c r="M38" i="27" s="1"/>
  <c r="L43" i="27"/>
  <c r="L10" i="27"/>
  <c r="M10" i="27" s="1"/>
  <c r="L37" i="27"/>
  <c r="M37" i="27" s="1"/>
  <c r="L33" i="27"/>
  <c r="M33" i="27" s="1"/>
  <c r="L47" i="27"/>
  <c r="M47" i="27" s="1"/>
  <c r="L46" i="27"/>
  <c r="M46" i="27" s="1"/>
  <c r="L34" i="27"/>
  <c r="M34" i="27" s="1"/>
  <c r="L24" i="27"/>
  <c r="M24" i="27" s="1"/>
  <c r="L48" i="27"/>
  <c r="L41" i="27"/>
  <c r="L45" i="27"/>
  <c r="M45" i="27" s="1"/>
  <c r="L42" i="27"/>
  <c r="M42" i="27" s="1"/>
  <c r="L28" i="27"/>
  <c r="M28" i="27" s="1"/>
  <c r="L44" i="27"/>
  <c r="L31" i="27"/>
  <c r="M31" i="27" s="1"/>
  <c r="L3" i="27"/>
  <c r="M3" i="27" s="1"/>
  <c r="P23" i="22"/>
  <c r="Q23" i="22"/>
  <c r="P24" i="22"/>
  <c r="Q24" i="22"/>
  <c r="P25" i="22"/>
  <c r="Q25" i="22"/>
  <c r="P26" i="22"/>
  <c r="Q26" i="22"/>
  <c r="P27" i="22"/>
  <c r="Q27" i="22"/>
  <c r="P28" i="22"/>
  <c r="Q28" i="22"/>
  <c r="P29" i="22"/>
  <c r="Q29" i="22"/>
  <c r="P30" i="22"/>
  <c r="Q30" i="22"/>
  <c r="P31" i="22"/>
  <c r="Q31" i="22"/>
  <c r="P32" i="22"/>
  <c r="Q32" i="22"/>
  <c r="P33" i="22"/>
  <c r="Q33" i="22"/>
  <c r="P34" i="22"/>
  <c r="Q34" i="22"/>
  <c r="P35" i="22"/>
  <c r="Q35" i="22"/>
  <c r="P36" i="22"/>
  <c r="Q36" i="22"/>
  <c r="P37" i="22"/>
  <c r="Q37" i="22"/>
  <c r="P38" i="22"/>
  <c r="Q38" i="22"/>
  <c r="P39" i="22"/>
  <c r="Q39" i="22"/>
  <c r="P40" i="22"/>
  <c r="Q40" i="22"/>
  <c r="P41" i="22"/>
  <c r="Q41" i="22"/>
  <c r="P42" i="22"/>
  <c r="Q42" i="22"/>
  <c r="P43" i="22"/>
  <c r="Q43" i="22"/>
  <c r="P44" i="22"/>
  <c r="Q44" i="22"/>
  <c r="P45" i="22"/>
  <c r="Q45" i="22"/>
  <c r="Q22" i="22"/>
  <c r="P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22" i="22"/>
  <c r="Q1" i="22"/>
  <c r="I1" i="22"/>
  <c r="A1" i="22"/>
  <c r="Q26" i="21"/>
  <c r="R26" i="21"/>
  <c r="S26" i="21"/>
  <c r="Q27" i="21"/>
  <c r="R27" i="21"/>
  <c r="S27" i="21"/>
  <c r="Q31" i="21"/>
  <c r="R31" i="21"/>
  <c r="S31" i="21"/>
  <c r="Q23" i="21"/>
  <c r="R23" i="21"/>
  <c r="S23" i="21"/>
  <c r="Q33" i="21"/>
  <c r="R33" i="21"/>
  <c r="S33" i="21"/>
  <c r="Q34" i="21"/>
  <c r="R34" i="21"/>
  <c r="S34" i="21"/>
  <c r="Q42" i="21"/>
  <c r="R42" i="21"/>
  <c r="S42" i="21"/>
  <c r="Q43" i="21"/>
  <c r="R43" i="21"/>
  <c r="S43" i="21"/>
  <c r="Q36" i="21"/>
  <c r="R36" i="21"/>
  <c r="S36" i="21"/>
  <c r="Q44" i="21"/>
  <c r="R44" i="21"/>
  <c r="S44" i="21"/>
  <c r="Q48" i="21"/>
  <c r="R48" i="21"/>
  <c r="S48" i="21"/>
  <c r="Q45" i="21"/>
  <c r="R45" i="21"/>
  <c r="S45" i="21"/>
  <c r="Q50" i="21"/>
  <c r="R50" i="21"/>
  <c r="S50" i="21"/>
  <c r="Q39" i="21"/>
  <c r="R39" i="21"/>
  <c r="S39" i="21"/>
  <c r="Q32" i="21"/>
  <c r="R32" i="21"/>
  <c r="S32" i="21"/>
  <c r="Q25" i="21"/>
  <c r="R25" i="21"/>
  <c r="S25" i="21"/>
  <c r="Q49" i="21"/>
  <c r="R49" i="21"/>
  <c r="S49" i="21"/>
  <c r="Q28" i="21"/>
  <c r="R28" i="21"/>
  <c r="S28" i="21"/>
  <c r="Q29" i="21"/>
  <c r="R29" i="21"/>
  <c r="S29" i="21"/>
  <c r="Q30" i="21"/>
  <c r="R30" i="21"/>
  <c r="S30" i="21"/>
  <c r="Q41" i="21"/>
  <c r="R41" i="21"/>
  <c r="S41" i="21"/>
  <c r="Q46" i="21"/>
  <c r="R46" i="21"/>
  <c r="S46" i="21"/>
  <c r="Q51" i="21"/>
  <c r="R51" i="21"/>
  <c r="S51" i="21"/>
  <c r="Q52" i="21"/>
  <c r="R52" i="21"/>
  <c r="S52" i="21"/>
  <c r="Q53" i="21"/>
  <c r="R53" i="21"/>
  <c r="S53" i="21"/>
  <c r="Q35" i="21"/>
  <c r="R35" i="21"/>
  <c r="S35" i="21"/>
  <c r="Q37" i="21"/>
  <c r="R37" i="21"/>
  <c r="S37" i="21"/>
  <c r="Q38" i="21"/>
  <c r="R38" i="21"/>
  <c r="S38" i="21"/>
  <c r="Q40" i="21"/>
  <c r="R40" i="21"/>
  <c r="S40" i="21"/>
  <c r="Q47" i="21"/>
  <c r="R47" i="21"/>
  <c r="S47" i="21"/>
  <c r="Q54" i="21"/>
  <c r="R54" i="21"/>
  <c r="S54" i="21"/>
  <c r="Q55" i="21"/>
  <c r="R55" i="21"/>
  <c r="S55" i="21"/>
  <c r="S24" i="21"/>
  <c r="R24" i="21"/>
  <c r="Q24" i="21"/>
  <c r="S1" i="21"/>
  <c r="V3" i="13"/>
  <c r="U3" i="13"/>
  <c r="J1" i="21"/>
  <c r="A1" i="21"/>
  <c r="L12" i="19" l="1"/>
  <c r="M12" i="19"/>
  <c r="L13" i="19"/>
  <c r="Z14" i="19" s="1"/>
  <c r="M13" i="19"/>
  <c r="Z15" i="19" s="1"/>
  <c r="J13" i="19"/>
  <c r="Z12" i="19" s="1"/>
  <c r="J12" i="19"/>
  <c r="G13" i="19"/>
  <c r="Y13" i="19" s="1"/>
  <c r="H13" i="19"/>
  <c r="Y14" i="19" s="1"/>
  <c r="I13" i="19"/>
  <c r="Y15" i="19" s="1"/>
  <c r="F13" i="19"/>
  <c r="Y12" i="19" s="1"/>
  <c r="AA5" i="14"/>
  <c r="AB5" i="14"/>
  <c r="AA6" i="14"/>
  <c r="AB6" i="14"/>
  <c r="AA7" i="14"/>
  <c r="AB7" i="14"/>
  <c r="AA8" i="14"/>
  <c r="AB8" i="14"/>
  <c r="AA9" i="14"/>
  <c r="AB9" i="14"/>
  <c r="AA10" i="14"/>
  <c r="AB10" i="14"/>
  <c r="AA11" i="14"/>
  <c r="AB11" i="14"/>
  <c r="AA12" i="14"/>
  <c r="AB12" i="14"/>
  <c r="AA13" i="14"/>
  <c r="AB13" i="14"/>
  <c r="AA14" i="14"/>
  <c r="AB14" i="14"/>
  <c r="AA15" i="14"/>
  <c r="AB15" i="14"/>
  <c r="AA16" i="14"/>
  <c r="AB16" i="14"/>
  <c r="AA17" i="14"/>
  <c r="AB17" i="14"/>
  <c r="AA18" i="14"/>
  <c r="AB18" i="14"/>
  <c r="AA19" i="14"/>
  <c r="AB19" i="14"/>
  <c r="AA20" i="14"/>
  <c r="AB20" i="14"/>
  <c r="AA21" i="14"/>
  <c r="AB21" i="14"/>
  <c r="AA22" i="14"/>
  <c r="AB22" i="14"/>
  <c r="AA23" i="14"/>
  <c r="AB23" i="14"/>
  <c r="AA24" i="14"/>
  <c r="AB24" i="14"/>
  <c r="AA25" i="14"/>
  <c r="AB25" i="14"/>
  <c r="AA26" i="14"/>
  <c r="AB26" i="14"/>
  <c r="AA27" i="14"/>
  <c r="AB27" i="14"/>
  <c r="AA28" i="14"/>
  <c r="AB28" i="14"/>
  <c r="AA29" i="14"/>
  <c r="AB29" i="14"/>
  <c r="AA30" i="14"/>
  <c r="AB30" i="14"/>
  <c r="AA31" i="14"/>
  <c r="AB31" i="14"/>
  <c r="AA32" i="14"/>
  <c r="AB32" i="14"/>
  <c r="AA33" i="14"/>
  <c r="AB33" i="14"/>
  <c r="AA34" i="14"/>
  <c r="AB34" i="14"/>
  <c r="AA35" i="14"/>
  <c r="AB35" i="14"/>
  <c r="AA36" i="14"/>
  <c r="AB36" i="14"/>
  <c r="AA37" i="14"/>
  <c r="AB37" i="14"/>
  <c r="AA38" i="14"/>
  <c r="AB38" i="14"/>
  <c r="AA39" i="14"/>
  <c r="AB39" i="14"/>
  <c r="AA40" i="14"/>
  <c r="AB40" i="14"/>
  <c r="AA41" i="14"/>
  <c r="AB41" i="14"/>
  <c r="AA42" i="14"/>
  <c r="AB42" i="14"/>
  <c r="AA43" i="14"/>
  <c r="AB43" i="14"/>
  <c r="AA44" i="14"/>
  <c r="AB44" i="14"/>
  <c r="AA45" i="14"/>
  <c r="AB45" i="14"/>
  <c r="AA46" i="14"/>
  <c r="AB46" i="14"/>
  <c r="AA47" i="14"/>
  <c r="AB47" i="14"/>
  <c r="AA48" i="14"/>
  <c r="AB48" i="14"/>
  <c r="AA49" i="14"/>
  <c r="AB49" i="14"/>
  <c r="AA50" i="14"/>
  <c r="AB50" i="14"/>
  <c r="AA51" i="14"/>
  <c r="AB51" i="14"/>
  <c r="AA52" i="14"/>
  <c r="AB52" i="14"/>
  <c r="AA53" i="14"/>
  <c r="AB53" i="14"/>
  <c r="AA54" i="14"/>
  <c r="AB54" i="14"/>
  <c r="AA55" i="14"/>
  <c r="AB55" i="14"/>
  <c r="AA56" i="14"/>
  <c r="AB56" i="14"/>
  <c r="AA57" i="14"/>
  <c r="AB57" i="14"/>
  <c r="AA58" i="14"/>
  <c r="AB58" i="14"/>
  <c r="AA59" i="14"/>
  <c r="AB59" i="14"/>
  <c r="AA60" i="14"/>
  <c r="AB60" i="14"/>
  <c r="AA61" i="14"/>
  <c r="AB61" i="14"/>
  <c r="AA62" i="14"/>
  <c r="AB62" i="14"/>
  <c r="AA63" i="14"/>
  <c r="AB63" i="14"/>
  <c r="AA64" i="14"/>
  <c r="AB64" i="14"/>
  <c r="AA65" i="14"/>
  <c r="AB65" i="14"/>
  <c r="AA66" i="14"/>
  <c r="AB66" i="14"/>
  <c r="AA67" i="14"/>
  <c r="AB67" i="14"/>
  <c r="AA68" i="14"/>
  <c r="AB68" i="14"/>
  <c r="AA69" i="14"/>
  <c r="AB69" i="14"/>
  <c r="AA70" i="14"/>
  <c r="AB70" i="14"/>
  <c r="AA71" i="14"/>
  <c r="AB71" i="14"/>
  <c r="AA72" i="14"/>
  <c r="AB72" i="14"/>
  <c r="AA73" i="14"/>
  <c r="AB73" i="14"/>
  <c r="AA74" i="14"/>
  <c r="AB74" i="14"/>
  <c r="AA75" i="14"/>
  <c r="AB75" i="14"/>
  <c r="AA76" i="14"/>
  <c r="AB76" i="14"/>
  <c r="AA77" i="14"/>
  <c r="AB77" i="14"/>
  <c r="AA78" i="14"/>
  <c r="AB78" i="14"/>
  <c r="AA79" i="14"/>
  <c r="AB79" i="14"/>
  <c r="AA80" i="14"/>
  <c r="AB80" i="14"/>
  <c r="AA81" i="14"/>
  <c r="AB81" i="14"/>
  <c r="AA82" i="14"/>
  <c r="AB82" i="14"/>
  <c r="AA83" i="14"/>
  <c r="AB83" i="14"/>
  <c r="AA84" i="14"/>
  <c r="AB84" i="14"/>
  <c r="AA85" i="14"/>
  <c r="AB85" i="14"/>
  <c r="AA86" i="14"/>
  <c r="AB86" i="14"/>
  <c r="AA87" i="14"/>
  <c r="AB87" i="14"/>
  <c r="AA88" i="14"/>
  <c r="AB88" i="14"/>
  <c r="AA89" i="14"/>
  <c r="AB89" i="14"/>
  <c r="AA90" i="14"/>
  <c r="AB90" i="14"/>
  <c r="AA91" i="14"/>
  <c r="AB91" i="14"/>
  <c r="AA92" i="14"/>
  <c r="AB92" i="14"/>
  <c r="AA93" i="14"/>
  <c r="AB93" i="14"/>
  <c r="AA94" i="14"/>
  <c r="AB94" i="14"/>
  <c r="AA95" i="14"/>
  <c r="AB95" i="14"/>
  <c r="AA96" i="14"/>
  <c r="AB96" i="14"/>
  <c r="AA97" i="14"/>
  <c r="AB97" i="14"/>
  <c r="AA98" i="14"/>
  <c r="AB98" i="14"/>
  <c r="AA99" i="14"/>
  <c r="AB99" i="14"/>
  <c r="AA100" i="14"/>
  <c r="AB100" i="14"/>
  <c r="AA101" i="14"/>
  <c r="AB101" i="14"/>
  <c r="AA102" i="14"/>
  <c r="AB102" i="14"/>
  <c r="AA103" i="14"/>
  <c r="AB103" i="14"/>
  <c r="AA104" i="14"/>
  <c r="AB104" i="14"/>
  <c r="AA105" i="14"/>
  <c r="AB105" i="14"/>
  <c r="AA106" i="14"/>
  <c r="AB106" i="14"/>
  <c r="AA107" i="14"/>
  <c r="AB107" i="14"/>
  <c r="AA108" i="14"/>
  <c r="AB108" i="14"/>
  <c r="AA109" i="14"/>
  <c r="AB109" i="14"/>
  <c r="AA110" i="14"/>
  <c r="AB110" i="14"/>
  <c r="AA111" i="14"/>
  <c r="AB111" i="14"/>
  <c r="AA112" i="14"/>
  <c r="AB112" i="14"/>
  <c r="AA113" i="14"/>
  <c r="AB113" i="14"/>
  <c r="AA114" i="14"/>
  <c r="AB114" i="14"/>
  <c r="AA115" i="14"/>
  <c r="AB115" i="14"/>
  <c r="AA116" i="14"/>
  <c r="AB116" i="14"/>
  <c r="AA117" i="14"/>
  <c r="AB117" i="14"/>
  <c r="AA118" i="14"/>
  <c r="AB118" i="14"/>
  <c r="AA119" i="14"/>
  <c r="AB119" i="14"/>
  <c r="AA120" i="14"/>
  <c r="AB120" i="14"/>
  <c r="AA121" i="14"/>
  <c r="AB121" i="14"/>
  <c r="AA122" i="14"/>
  <c r="AB122" i="14"/>
  <c r="AA123" i="14"/>
  <c r="AB123" i="14"/>
  <c r="AA124" i="14"/>
  <c r="AB124" i="14"/>
  <c r="AA125" i="14"/>
  <c r="AB125" i="14"/>
  <c r="AA126" i="14"/>
  <c r="AB126" i="14"/>
  <c r="AA127" i="14"/>
  <c r="AB127" i="14"/>
  <c r="AA128" i="14"/>
  <c r="AB128" i="14"/>
  <c r="AB4" i="14"/>
  <c r="AA4" i="14"/>
  <c r="AA5" i="13"/>
  <c r="AB5" i="13"/>
  <c r="AA6" i="13"/>
  <c r="AB6" i="13"/>
  <c r="AA7" i="13"/>
  <c r="AB7" i="13"/>
  <c r="AA8" i="13"/>
  <c r="AB8" i="13"/>
  <c r="AA9" i="13"/>
  <c r="AB9" i="13"/>
  <c r="AA10" i="13"/>
  <c r="AB10" i="13"/>
  <c r="AA11" i="13"/>
  <c r="AB11" i="13"/>
  <c r="AA12" i="13"/>
  <c r="AB12" i="13"/>
  <c r="AA13" i="13"/>
  <c r="AB13" i="13"/>
  <c r="AA14" i="13"/>
  <c r="AB14" i="13"/>
  <c r="AA15" i="13"/>
  <c r="AB15" i="13"/>
  <c r="AA16" i="13"/>
  <c r="AB16" i="13"/>
  <c r="AA17" i="13"/>
  <c r="AB17" i="13"/>
  <c r="AA18" i="13"/>
  <c r="AB18" i="13"/>
  <c r="AA19" i="13"/>
  <c r="AB19" i="13"/>
  <c r="AA20" i="13"/>
  <c r="AB20" i="13"/>
  <c r="AA21" i="13"/>
  <c r="AB21" i="13"/>
  <c r="AA22" i="13"/>
  <c r="AB22" i="13"/>
  <c r="AA23" i="13"/>
  <c r="AB23" i="13"/>
  <c r="AA24" i="13"/>
  <c r="AB24" i="13"/>
  <c r="AA25" i="13"/>
  <c r="AB25" i="13"/>
  <c r="AA26" i="13"/>
  <c r="AB26" i="13"/>
  <c r="AA27" i="13"/>
  <c r="AB27" i="13"/>
  <c r="AA28" i="13"/>
  <c r="AB28" i="13"/>
  <c r="AA29" i="13"/>
  <c r="AB29" i="13"/>
  <c r="AA30" i="13"/>
  <c r="AB30" i="13"/>
  <c r="AA31" i="13"/>
  <c r="AB31" i="13"/>
  <c r="AA32" i="13"/>
  <c r="AB32" i="13"/>
  <c r="AA33" i="13"/>
  <c r="AB33" i="13"/>
  <c r="AA34" i="13"/>
  <c r="AB34" i="13"/>
  <c r="AA35" i="13"/>
  <c r="AB35" i="13"/>
  <c r="AA36" i="13"/>
  <c r="AB36" i="13"/>
  <c r="AA37" i="13"/>
  <c r="AB37" i="13"/>
  <c r="AA38" i="13"/>
  <c r="AB38" i="13"/>
  <c r="AA39" i="13"/>
  <c r="AB39" i="13"/>
  <c r="AA40" i="13"/>
  <c r="AB40" i="13"/>
  <c r="AA41" i="13"/>
  <c r="AB41" i="13"/>
  <c r="AA42" i="13"/>
  <c r="AB42" i="13"/>
  <c r="AA43" i="13"/>
  <c r="AB43" i="13"/>
  <c r="AA44" i="13"/>
  <c r="AB44" i="13"/>
  <c r="AA45" i="13"/>
  <c r="AB45" i="13"/>
  <c r="AA46" i="13"/>
  <c r="AB46" i="13"/>
  <c r="AA47" i="13"/>
  <c r="AB47" i="13"/>
  <c r="AA48" i="13"/>
  <c r="AB48" i="13"/>
  <c r="AA49" i="13"/>
  <c r="AB49" i="13"/>
  <c r="AA50" i="13"/>
  <c r="AB50" i="13"/>
  <c r="AA51" i="13"/>
  <c r="AB51" i="13"/>
  <c r="AA52" i="13"/>
  <c r="AB52" i="13"/>
  <c r="AA53" i="13"/>
  <c r="AB53" i="13"/>
  <c r="AA54" i="13"/>
  <c r="AB54" i="13"/>
  <c r="AA55" i="13"/>
  <c r="AB55" i="13"/>
  <c r="AA56" i="13"/>
  <c r="AB56" i="13"/>
  <c r="AA57" i="13"/>
  <c r="AB57" i="13"/>
  <c r="AA58" i="13"/>
  <c r="AB58" i="13"/>
  <c r="AA59" i="13"/>
  <c r="AB59" i="13"/>
  <c r="AA60" i="13"/>
  <c r="AB60" i="13"/>
  <c r="AA61" i="13"/>
  <c r="AB61" i="13"/>
  <c r="AA62" i="13"/>
  <c r="AB62" i="13"/>
  <c r="AA63" i="13"/>
  <c r="AB63" i="13"/>
  <c r="AA64" i="13"/>
  <c r="AB64" i="13"/>
  <c r="AA65" i="13"/>
  <c r="AB65" i="13"/>
  <c r="AA66" i="13"/>
  <c r="AB66" i="13"/>
  <c r="AA67" i="13"/>
  <c r="AB67" i="13"/>
  <c r="AA68" i="13"/>
  <c r="AB68" i="13"/>
  <c r="AA69" i="13"/>
  <c r="AB69" i="13"/>
  <c r="AA70" i="13"/>
  <c r="AB70" i="13"/>
  <c r="AA71" i="13"/>
  <c r="AB71" i="13"/>
  <c r="AA72" i="13"/>
  <c r="AB72" i="13"/>
  <c r="AA73" i="13"/>
  <c r="AB73" i="13"/>
  <c r="AA74" i="13"/>
  <c r="AB74" i="13"/>
  <c r="AA75" i="13"/>
  <c r="AB75" i="13"/>
  <c r="AA76" i="13"/>
  <c r="AB76" i="13"/>
  <c r="AA77" i="13"/>
  <c r="AB77" i="13"/>
  <c r="AA78" i="13"/>
  <c r="AB78" i="13"/>
  <c r="AA79" i="13"/>
  <c r="AB79" i="13"/>
  <c r="AA80" i="13"/>
  <c r="AB80" i="13"/>
  <c r="AA81" i="13"/>
  <c r="AB81" i="13"/>
  <c r="AA82" i="13"/>
  <c r="AB82" i="13"/>
  <c r="AA83" i="13"/>
  <c r="AB83" i="13"/>
  <c r="AA84" i="13"/>
  <c r="AB84" i="13"/>
  <c r="AA85" i="13"/>
  <c r="AB85" i="13"/>
  <c r="AA86" i="13"/>
  <c r="AB86" i="13"/>
  <c r="AA87" i="13"/>
  <c r="AB87" i="13"/>
  <c r="AA88" i="13"/>
  <c r="AB88" i="13"/>
  <c r="AA89" i="13"/>
  <c r="AB89" i="13"/>
  <c r="AA90" i="13"/>
  <c r="AB90" i="13"/>
  <c r="AA91" i="13"/>
  <c r="AB91" i="13"/>
  <c r="AA92" i="13"/>
  <c r="AB92" i="13"/>
  <c r="AA93" i="13"/>
  <c r="AB93" i="13"/>
  <c r="AA94" i="13"/>
  <c r="AB94" i="13"/>
  <c r="AA95" i="13"/>
  <c r="AB95" i="13"/>
  <c r="AA96" i="13"/>
  <c r="AB96" i="13"/>
  <c r="AA97" i="13"/>
  <c r="AB97" i="13"/>
  <c r="AA98" i="13"/>
  <c r="AB98" i="13"/>
  <c r="AA99" i="13"/>
  <c r="AB99" i="13"/>
  <c r="AA100" i="13"/>
  <c r="AB100" i="13"/>
  <c r="AA101" i="13"/>
  <c r="AB101" i="13"/>
  <c r="AA102" i="13"/>
  <c r="AB102" i="13"/>
  <c r="AA103" i="13"/>
  <c r="AB103" i="13"/>
  <c r="AA104" i="13"/>
  <c r="AB104" i="13"/>
  <c r="AA105" i="13"/>
  <c r="AB105" i="13"/>
  <c r="AB4" i="13"/>
  <c r="AA4" i="13"/>
  <c r="T1" i="3"/>
  <c r="U1" i="3"/>
  <c r="V1" i="3"/>
  <c r="S1" i="3"/>
  <c r="AA5" i="11"/>
  <c r="AB5" i="11"/>
  <c r="AA6" i="11"/>
  <c r="AB6" i="11"/>
  <c r="AA7" i="11"/>
  <c r="AB7" i="11"/>
  <c r="AA8" i="11"/>
  <c r="AB8" i="11"/>
  <c r="AA9" i="11"/>
  <c r="AB9" i="11"/>
  <c r="AA10" i="11"/>
  <c r="AB10" i="11"/>
  <c r="AA11" i="11"/>
  <c r="AB11" i="11"/>
  <c r="AA12" i="11"/>
  <c r="AB12" i="11"/>
  <c r="AA13" i="11"/>
  <c r="AB13" i="11"/>
  <c r="AA14" i="11"/>
  <c r="AB14" i="11"/>
  <c r="AA15" i="11"/>
  <c r="AB15" i="11"/>
  <c r="AA16" i="11"/>
  <c r="AB16" i="11"/>
  <c r="AA17" i="11"/>
  <c r="AB17" i="11"/>
  <c r="AA18" i="11"/>
  <c r="AB18" i="11"/>
  <c r="AA19" i="11"/>
  <c r="AB19" i="11"/>
  <c r="AA20" i="11"/>
  <c r="AB20" i="11"/>
  <c r="AA21" i="11"/>
  <c r="AB21" i="11"/>
  <c r="AA22" i="11"/>
  <c r="AB22" i="11"/>
  <c r="AA23" i="11"/>
  <c r="AB23" i="11"/>
  <c r="AA24" i="11"/>
  <c r="AB24" i="11"/>
  <c r="AA25" i="11"/>
  <c r="AB25" i="11"/>
  <c r="AA26" i="11"/>
  <c r="AB26" i="11"/>
  <c r="AA27" i="11"/>
  <c r="AB27" i="11"/>
  <c r="AA28" i="11"/>
  <c r="AB28" i="11"/>
  <c r="AA29" i="11"/>
  <c r="AB29" i="11"/>
  <c r="AA30" i="11"/>
  <c r="AB30" i="11"/>
  <c r="AA31" i="11"/>
  <c r="AB31" i="11"/>
  <c r="AA32" i="11"/>
  <c r="AB32" i="11"/>
  <c r="AA33" i="11"/>
  <c r="AB33" i="11"/>
  <c r="AA34" i="11"/>
  <c r="AB34" i="11"/>
  <c r="AA35" i="11"/>
  <c r="AB35" i="11"/>
  <c r="AA36" i="11"/>
  <c r="AB36" i="11"/>
  <c r="AA37" i="11"/>
  <c r="AB37" i="11"/>
  <c r="AA38" i="11"/>
  <c r="AB38" i="11"/>
  <c r="AA39" i="11"/>
  <c r="AB39" i="11"/>
  <c r="AA40" i="11"/>
  <c r="AB40" i="11"/>
  <c r="AA41" i="11"/>
  <c r="AB41" i="11"/>
  <c r="AA42" i="11"/>
  <c r="AB42" i="11"/>
  <c r="AA43" i="11"/>
  <c r="AB43" i="11"/>
  <c r="AA44" i="11"/>
  <c r="AB44" i="11"/>
  <c r="AA45" i="11"/>
  <c r="AB45" i="11"/>
  <c r="AA46" i="11"/>
  <c r="AB46" i="11"/>
  <c r="AA47" i="11"/>
  <c r="AB47" i="11"/>
  <c r="AA48" i="11"/>
  <c r="AB48" i="11"/>
  <c r="AA49" i="11"/>
  <c r="AB49" i="11"/>
  <c r="AA50" i="11"/>
  <c r="AB50" i="11"/>
  <c r="AA51" i="11"/>
  <c r="AB51" i="11"/>
  <c r="AA52" i="11"/>
  <c r="AB52" i="11"/>
  <c r="AA53" i="11"/>
  <c r="AB53" i="11"/>
  <c r="AA54" i="11"/>
  <c r="AB54" i="11"/>
  <c r="AA55" i="11"/>
  <c r="AB55" i="11"/>
  <c r="AA56" i="11"/>
  <c r="AB56" i="11"/>
  <c r="AA57" i="11"/>
  <c r="AB57" i="11"/>
  <c r="AA58" i="11"/>
  <c r="AB58" i="11"/>
  <c r="AA59" i="11"/>
  <c r="AB59" i="11"/>
  <c r="AA60" i="11"/>
  <c r="AB60" i="11"/>
  <c r="AA61" i="11"/>
  <c r="AB61" i="11"/>
  <c r="AA62" i="11"/>
  <c r="AB62" i="11"/>
  <c r="AA63" i="11"/>
  <c r="AB63" i="11"/>
  <c r="AA64" i="11"/>
  <c r="AB64" i="11"/>
  <c r="AA65" i="11"/>
  <c r="AB65" i="11"/>
  <c r="AA66" i="11"/>
  <c r="AB66" i="11"/>
  <c r="AA67" i="11"/>
  <c r="AB67" i="11"/>
  <c r="AA68" i="11"/>
  <c r="AB68" i="11"/>
  <c r="AA69" i="11"/>
  <c r="AB69" i="11"/>
  <c r="AA70" i="11"/>
  <c r="AB70" i="11"/>
  <c r="AA71" i="11"/>
  <c r="AB71" i="11"/>
  <c r="AA72" i="11"/>
  <c r="AB72" i="11"/>
  <c r="AA73" i="11"/>
  <c r="AB73" i="11"/>
  <c r="AA74" i="11"/>
  <c r="AB74" i="11"/>
  <c r="AA75" i="11"/>
  <c r="AB75" i="11"/>
  <c r="AA76" i="11"/>
  <c r="AB76" i="11"/>
  <c r="AA77" i="11"/>
  <c r="AB77" i="11"/>
  <c r="AA78" i="11"/>
  <c r="AB78" i="11"/>
  <c r="AA79" i="11"/>
  <c r="AB79" i="11"/>
  <c r="AA80" i="11"/>
  <c r="AB80" i="11"/>
  <c r="AA81" i="11"/>
  <c r="AB81" i="11"/>
  <c r="AA82" i="11"/>
  <c r="AB82" i="11"/>
  <c r="AA83" i="11"/>
  <c r="AB83" i="11"/>
  <c r="AA84" i="11"/>
  <c r="AB84" i="11"/>
  <c r="AA85" i="11"/>
  <c r="AB85" i="11"/>
  <c r="AA86" i="11"/>
  <c r="AB86" i="11"/>
  <c r="AA87" i="11"/>
  <c r="AB87" i="11"/>
  <c r="AA88" i="11"/>
  <c r="AB88" i="11"/>
  <c r="AA89" i="11"/>
  <c r="AB89" i="11"/>
  <c r="AA90" i="11"/>
  <c r="AB90" i="11"/>
  <c r="AA91" i="11"/>
  <c r="AB91" i="11"/>
  <c r="AA92" i="11"/>
  <c r="AB92" i="11"/>
  <c r="AA93" i="11"/>
  <c r="AB93" i="11"/>
  <c r="AA94" i="11"/>
  <c r="AB94" i="11"/>
  <c r="AA95" i="11"/>
  <c r="AB95" i="11"/>
  <c r="AA96" i="11"/>
  <c r="AB96" i="11"/>
  <c r="AA97" i="11"/>
  <c r="AB97" i="11"/>
  <c r="AA98" i="11"/>
  <c r="AB98" i="11"/>
  <c r="AA99" i="11"/>
  <c r="AB99" i="11"/>
  <c r="AA100" i="11"/>
  <c r="AB100" i="11"/>
  <c r="AA101" i="11"/>
  <c r="AB101" i="11"/>
  <c r="AA102" i="11"/>
  <c r="AB102" i="11"/>
  <c r="AA103" i="11"/>
  <c r="AB103" i="11"/>
  <c r="AA104" i="11"/>
  <c r="AB104" i="11"/>
  <c r="AA105" i="11"/>
  <c r="AB105" i="11"/>
  <c r="AA106" i="11"/>
  <c r="AB106" i="11"/>
  <c r="AA107" i="11"/>
  <c r="AB107" i="11"/>
  <c r="AA108" i="11"/>
  <c r="AB108" i="11"/>
  <c r="AA109" i="11"/>
  <c r="AB109" i="11"/>
  <c r="AA110" i="11"/>
  <c r="AB110" i="11"/>
  <c r="AA111" i="11"/>
  <c r="AB111" i="11"/>
  <c r="AA112" i="11"/>
  <c r="AB112" i="11"/>
  <c r="AA113" i="11"/>
  <c r="AB113" i="11"/>
  <c r="AA114" i="11"/>
  <c r="AB114" i="11"/>
  <c r="AA115" i="11"/>
  <c r="AB115" i="11"/>
  <c r="AA116" i="11"/>
  <c r="AB116" i="11"/>
  <c r="AA117" i="11"/>
  <c r="AB117" i="11"/>
  <c r="AA118" i="11"/>
  <c r="AB118" i="11"/>
  <c r="AA119" i="11"/>
  <c r="AB119" i="11"/>
  <c r="AA120" i="11"/>
  <c r="AB120" i="11"/>
  <c r="AA121" i="11"/>
  <c r="AB121" i="11"/>
  <c r="AA122" i="11"/>
  <c r="AB122" i="11"/>
  <c r="AA123" i="11"/>
  <c r="AB123" i="11"/>
  <c r="AA124" i="11"/>
  <c r="AB124" i="11"/>
  <c r="AB4" i="11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124" i="5"/>
  <c r="AA125" i="5"/>
  <c r="AA126" i="5"/>
  <c r="AA127" i="5"/>
  <c r="AA128" i="5"/>
  <c r="AA129" i="5"/>
  <c r="AA5" i="5"/>
  <c r="AA6" i="4"/>
  <c r="AB6" i="4"/>
  <c r="AA7" i="4"/>
  <c r="AB7" i="4"/>
  <c r="AA8" i="4"/>
  <c r="AB8" i="4"/>
  <c r="AA9" i="4"/>
  <c r="AB9" i="4"/>
  <c r="AA10" i="4"/>
  <c r="AB10" i="4"/>
  <c r="AA11" i="4"/>
  <c r="AB11" i="4"/>
  <c r="AA12" i="4"/>
  <c r="AB12" i="4"/>
  <c r="AA13" i="4"/>
  <c r="AB13" i="4"/>
  <c r="AA14" i="4"/>
  <c r="AB14" i="4"/>
  <c r="AA15" i="4"/>
  <c r="AB15" i="4"/>
  <c r="AA16" i="4"/>
  <c r="AB16" i="4"/>
  <c r="AA17" i="4"/>
  <c r="AB17" i="4"/>
  <c r="AA18" i="4"/>
  <c r="AB18" i="4"/>
  <c r="AA19" i="4"/>
  <c r="AB19" i="4"/>
  <c r="AA20" i="4"/>
  <c r="AB20" i="4"/>
  <c r="AA21" i="4"/>
  <c r="AB21" i="4"/>
  <c r="AA22" i="4"/>
  <c r="AB22" i="4"/>
  <c r="AA23" i="4"/>
  <c r="AB23" i="4"/>
  <c r="AA24" i="4"/>
  <c r="AB24" i="4"/>
  <c r="AA25" i="4"/>
  <c r="AB25" i="4"/>
  <c r="AA26" i="4"/>
  <c r="AB26" i="4"/>
  <c r="AA27" i="4"/>
  <c r="AB27" i="4"/>
  <c r="AA28" i="4"/>
  <c r="AB28" i="4"/>
  <c r="AA29" i="4"/>
  <c r="AB29" i="4"/>
  <c r="AA30" i="4"/>
  <c r="AB30" i="4"/>
  <c r="AA31" i="4"/>
  <c r="AB31" i="4"/>
  <c r="AA32" i="4"/>
  <c r="AB32" i="4"/>
  <c r="AA33" i="4"/>
  <c r="AB33" i="4"/>
  <c r="AA34" i="4"/>
  <c r="AB34" i="4"/>
  <c r="AA35" i="4"/>
  <c r="AB35" i="4"/>
  <c r="AA36" i="4"/>
  <c r="AB36" i="4"/>
  <c r="AA37" i="4"/>
  <c r="AB37" i="4"/>
  <c r="AA38" i="4"/>
  <c r="AB38" i="4"/>
  <c r="AA39" i="4"/>
  <c r="AB39" i="4"/>
  <c r="AA40" i="4"/>
  <c r="AB40" i="4"/>
  <c r="AA41" i="4"/>
  <c r="AB41" i="4"/>
  <c r="AA42" i="4"/>
  <c r="AB42" i="4"/>
  <c r="AA43" i="4"/>
  <c r="AB43" i="4"/>
  <c r="AA44" i="4"/>
  <c r="AB44" i="4"/>
  <c r="AA45" i="4"/>
  <c r="AB45" i="4"/>
  <c r="AA46" i="4"/>
  <c r="AB46" i="4"/>
  <c r="AA47" i="4"/>
  <c r="AB47" i="4"/>
  <c r="AA48" i="4"/>
  <c r="AB48" i="4"/>
  <c r="AA49" i="4"/>
  <c r="AB49" i="4"/>
  <c r="AA50" i="4"/>
  <c r="AB50" i="4"/>
  <c r="AA51" i="4"/>
  <c r="AB51" i="4"/>
  <c r="AA52" i="4"/>
  <c r="AB52" i="4"/>
  <c r="AA53" i="4"/>
  <c r="AB53" i="4"/>
  <c r="AA54" i="4"/>
  <c r="AB54" i="4"/>
  <c r="AA55" i="4"/>
  <c r="AB55" i="4"/>
  <c r="AA56" i="4"/>
  <c r="AB56" i="4"/>
  <c r="AA57" i="4"/>
  <c r="AB57" i="4"/>
  <c r="AA58" i="4"/>
  <c r="AB58" i="4"/>
  <c r="AA59" i="4"/>
  <c r="AB59" i="4"/>
  <c r="AA60" i="4"/>
  <c r="AB60" i="4"/>
  <c r="AA61" i="4"/>
  <c r="AB61" i="4"/>
  <c r="AA62" i="4"/>
  <c r="AB62" i="4"/>
  <c r="AA63" i="4"/>
  <c r="AB63" i="4"/>
  <c r="AA64" i="4"/>
  <c r="AB64" i="4"/>
  <c r="AA65" i="4"/>
  <c r="AB65" i="4"/>
  <c r="AA66" i="4"/>
  <c r="AB66" i="4"/>
  <c r="AA67" i="4"/>
  <c r="AB67" i="4"/>
  <c r="AA68" i="4"/>
  <c r="AB68" i="4"/>
  <c r="AA69" i="4"/>
  <c r="AB69" i="4"/>
  <c r="AA70" i="4"/>
  <c r="AB70" i="4"/>
  <c r="AA71" i="4"/>
  <c r="AB71" i="4"/>
  <c r="AA72" i="4"/>
  <c r="AB72" i="4"/>
  <c r="AA73" i="4"/>
  <c r="AB73" i="4"/>
  <c r="AA74" i="4"/>
  <c r="AB74" i="4"/>
  <c r="AA75" i="4"/>
  <c r="AB75" i="4"/>
  <c r="AA76" i="4"/>
  <c r="AB76" i="4"/>
  <c r="AA77" i="4"/>
  <c r="AB77" i="4"/>
  <c r="AA78" i="4"/>
  <c r="AB78" i="4"/>
  <c r="AA79" i="4"/>
  <c r="AB79" i="4"/>
  <c r="AA80" i="4"/>
  <c r="AB80" i="4"/>
  <c r="AA81" i="4"/>
  <c r="AB81" i="4"/>
  <c r="AA82" i="4"/>
  <c r="AB82" i="4"/>
  <c r="AA83" i="4"/>
  <c r="AB83" i="4"/>
  <c r="AA84" i="4"/>
  <c r="AB84" i="4"/>
  <c r="AA85" i="4"/>
  <c r="AB85" i="4"/>
  <c r="AA86" i="4"/>
  <c r="AB86" i="4"/>
  <c r="AA87" i="4"/>
  <c r="AB87" i="4"/>
  <c r="AA88" i="4"/>
  <c r="AB88" i="4"/>
  <c r="AA89" i="4"/>
  <c r="AB89" i="4"/>
  <c r="AA90" i="4"/>
  <c r="AB90" i="4"/>
  <c r="AA91" i="4"/>
  <c r="AB91" i="4"/>
  <c r="AA92" i="4"/>
  <c r="AB92" i="4"/>
  <c r="AA93" i="4"/>
  <c r="AB93" i="4"/>
  <c r="AA94" i="4"/>
  <c r="AB94" i="4"/>
  <c r="AA95" i="4"/>
  <c r="AB95" i="4"/>
  <c r="AA96" i="4"/>
  <c r="AB96" i="4"/>
  <c r="AA97" i="4"/>
  <c r="AB97" i="4"/>
  <c r="AA98" i="4"/>
  <c r="AB98" i="4"/>
  <c r="AA99" i="4"/>
  <c r="AB99" i="4"/>
  <c r="AA100" i="4"/>
  <c r="AB100" i="4"/>
  <c r="AA101" i="4"/>
  <c r="AB101" i="4"/>
  <c r="AA102" i="4"/>
  <c r="AB102" i="4"/>
  <c r="AA103" i="4"/>
  <c r="AB103" i="4"/>
  <c r="AA104" i="4"/>
  <c r="AB104" i="4"/>
  <c r="AA105" i="4"/>
  <c r="AB105" i="4"/>
  <c r="AA106" i="4"/>
  <c r="AB106" i="4"/>
  <c r="AA107" i="4"/>
  <c r="AB107" i="4"/>
  <c r="AB5" i="4"/>
  <c r="AA5" i="4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5" i="3"/>
  <c r="T1" i="14"/>
  <c r="S1" i="14"/>
  <c r="T1" i="5"/>
  <c r="U1" i="5"/>
  <c r="V1" i="5"/>
  <c r="S1" i="5"/>
  <c r="AB129" i="5"/>
  <c r="A13" i="19"/>
  <c r="A12" i="19"/>
  <c r="B11" i="19"/>
  <c r="B16" i="19" s="1"/>
  <c r="C3" i="19"/>
  <c r="C11" i="19" s="1"/>
  <c r="C16" i="19" s="1"/>
  <c r="D3" i="19"/>
  <c r="D11" i="19" s="1"/>
  <c r="D16" i="19" s="1"/>
  <c r="E3" i="19"/>
  <c r="E11" i="19" s="1"/>
  <c r="E16" i="19" s="1"/>
  <c r="F3" i="19"/>
  <c r="F11" i="19" s="1"/>
  <c r="F16" i="19" s="1"/>
  <c r="G3" i="19"/>
  <c r="G11" i="19" s="1"/>
  <c r="G16" i="19" s="1"/>
  <c r="H3" i="19"/>
  <c r="H11" i="19" s="1"/>
  <c r="H16" i="19" s="1"/>
  <c r="I3" i="19"/>
  <c r="I11" i="19" s="1"/>
  <c r="I16" i="19" s="1"/>
  <c r="J3" i="19"/>
  <c r="J11" i="19" s="1"/>
  <c r="J16" i="19" s="1"/>
  <c r="K3" i="19"/>
  <c r="K11" i="19" s="1"/>
  <c r="K16" i="19" s="1"/>
  <c r="L3" i="19"/>
  <c r="L11" i="19" s="1"/>
  <c r="L16" i="19" s="1"/>
  <c r="M3" i="19"/>
  <c r="M11" i="19" s="1"/>
  <c r="M16" i="19" s="1"/>
  <c r="E13" i="19"/>
  <c r="X15" i="19" s="1"/>
  <c r="D13" i="19"/>
  <c r="X14" i="19" s="1"/>
  <c r="C13" i="19"/>
  <c r="X13" i="19" s="1"/>
  <c r="B13" i="19"/>
  <c r="X12" i="19" s="1"/>
  <c r="V3" i="5"/>
  <c r="U3" i="5"/>
  <c r="T3" i="5"/>
  <c r="S3" i="5"/>
  <c r="H12" i="19"/>
  <c r="I12" i="19"/>
  <c r="X129" i="5" l="1"/>
  <c r="X130" i="5"/>
  <c r="V4" i="14"/>
  <c r="V5" i="14"/>
  <c r="V15" i="14"/>
  <c r="V21" i="14"/>
  <c r="V27" i="14"/>
  <c r="V33" i="14"/>
  <c r="V37" i="14"/>
  <c r="V43" i="14"/>
  <c r="V49" i="14"/>
  <c r="V57" i="14"/>
  <c r="V63" i="14"/>
  <c r="V69" i="14"/>
  <c r="V75" i="14"/>
  <c r="V81" i="14"/>
  <c r="V85" i="14"/>
  <c r="V91" i="14"/>
  <c r="V97" i="14"/>
  <c r="V103" i="14"/>
  <c r="V109" i="14"/>
  <c r="V115" i="14"/>
  <c r="V121" i="14"/>
  <c r="V127" i="14"/>
  <c r="V6" i="14"/>
  <c r="V8" i="14"/>
  <c r="V10" i="14"/>
  <c r="V12" i="14"/>
  <c r="V14" i="14"/>
  <c r="V16" i="14"/>
  <c r="V18" i="14"/>
  <c r="V20" i="14"/>
  <c r="V22" i="14"/>
  <c r="V24" i="14"/>
  <c r="V26" i="14"/>
  <c r="V28" i="14"/>
  <c r="V30" i="14"/>
  <c r="V32" i="14"/>
  <c r="V34" i="14"/>
  <c r="V36" i="14"/>
  <c r="V38" i="14"/>
  <c r="V40" i="14"/>
  <c r="V42" i="14"/>
  <c r="V44" i="14"/>
  <c r="V46" i="14"/>
  <c r="V48" i="14"/>
  <c r="V50" i="14"/>
  <c r="V52" i="14"/>
  <c r="V54" i="14"/>
  <c r="V56" i="14"/>
  <c r="V58" i="14"/>
  <c r="V60" i="14"/>
  <c r="V62" i="14"/>
  <c r="V64" i="14"/>
  <c r="V66" i="14"/>
  <c r="V68" i="14"/>
  <c r="V70" i="14"/>
  <c r="V72" i="14"/>
  <c r="V74" i="14"/>
  <c r="V76" i="14"/>
  <c r="V78" i="14"/>
  <c r="V80" i="14"/>
  <c r="V82" i="14"/>
  <c r="V84" i="14"/>
  <c r="V86" i="14"/>
  <c r="V88" i="14"/>
  <c r="V90" i="14"/>
  <c r="V92" i="14"/>
  <c r="V94" i="14"/>
  <c r="V96" i="14"/>
  <c r="V98" i="14"/>
  <c r="V100" i="14"/>
  <c r="V102" i="14"/>
  <c r="V104" i="14"/>
  <c r="V106" i="14"/>
  <c r="V108" i="14"/>
  <c r="V110" i="14"/>
  <c r="V112" i="14"/>
  <c r="V114" i="14"/>
  <c r="V116" i="14"/>
  <c r="V118" i="14"/>
  <c r="V120" i="14"/>
  <c r="V122" i="14"/>
  <c r="V124" i="14"/>
  <c r="V126" i="14"/>
  <c r="V128" i="14"/>
  <c r="V9" i="14"/>
  <c r="V13" i="14"/>
  <c r="V19" i="14"/>
  <c r="V25" i="14"/>
  <c r="V31" i="14"/>
  <c r="V39" i="14"/>
  <c r="V45" i="14"/>
  <c r="V51" i="14"/>
  <c r="V55" i="14"/>
  <c r="V61" i="14"/>
  <c r="V67" i="14"/>
  <c r="V73" i="14"/>
  <c r="V79" i="14"/>
  <c r="V87" i="14"/>
  <c r="V93" i="14"/>
  <c r="V99" i="14"/>
  <c r="V107" i="14"/>
  <c r="V113" i="14"/>
  <c r="V119" i="14"/>
  <c r="V125" i="14"/>
  <c r="V7" i="14"/>
  <c r="V11" i="14"/>
  <c r="V17" i="14"/>
  <c r="V23" i="14"/>
  <c r="V29" i="14"/>
  <c r="V35" i="14"/>
  <c r="V41" i="14"/>
  <c r="V47" i="14"/>
  <c r="V53" i="14"/>
  <c r="V59" i="14"/>
  <c r="V65" i="14"/>
  <c r="V71" i="14"/>
  <c r="V77" i="14"/>
  <c r="V83" i="14"/>
  <c r="V89" i="14"/>
  <c r="V95" i="14"/>
  <c r="V101" i="14"/>
  <c r="V105" i="14"/>
  <c r="V111" i="14"/>
  <c r="V117" i="14"/>
  <c r="V123" i="14"/>
  <c r="U6" i="14"/>
  <c r="U8" i="14"/>
  <c r="U10" i="14"/>
  <c r="U12" i="14"/>
  <c r="U14" i="14"/>
  <c r="U16" i="14"/>
  <c r="U18" i="14"/>
  <c r="U20" i="14"/>
  <c r="U22" i="14"/>
  <c r="U24" i="14"/>
  <c r="U26" i="14"/>
  <c r="U28" i="14"/>
  <c r="U30" i="14"/>
  <c r="U32" i="14"/>
  <c r="U34" i="14"/>
  <c r="U36" i="14"/>
  <c r="U38" i="14"/>
  <c r="U40" i="14"/>
  <c r="U42" i="14"/>
  <c r="U44" i="14"/>
  <c r="U46" i="14"/>
  <c r="U48" i="14"/>
  <c r="U50" i="14"/>
  <c r="U52" i="14"/>
  <c r="U54" i="14"/>
  <c r="U56" i="14"/>
  <c r="U58" i="14"/>
  <c r="U60" i="14"/>
  <c r="U62" i="14"/>
  <c r="U64" i="14"/>
  <c r="U66" i="14"/>
  <c r="U68" i="14"/>
  <c r="U70" i="14"/>
  <c r="U72" i="14"/>
  <c r="U74" i="14"/>
  <c r="U76" i="14"/>
  <c r="U78" i="14"/>
  <c r="U80" i="14"/>
  <c r="U82" i="14"/>
  <c r="U84" i="14"/>
  <c r="U86" i="14"/>
  <c r="U88" i="14"/>
  <c r="U90" i="14"/>
  <c r="U92" i="14"/>
  <c r="U94" i="14"/>
  <c r="U96" i="14"/>
  <c r="U98" i="14"/>
  <c r="U100" i="14"/>
  <c r="U102" i="14"/>
  <c r="U104" i="14"/>
  <c r="U106" i="14"/>
  <c r="U108" i="14"/>
  <c r="U110" i="14"/>
  <c r="U112" i="14"/>
  <c r="U114" i="14"/>
  <c r="U116" i="14"/>
  <c r="U118" i="14"/>
  <c r="U120" i="14"/>
  <c r="U122" i="14"/>
  <c r="U124" i="14"/>
  <c r="U126" i="14"/>
  <c r="U128" i="14"/>
  <c r="U4" i="14"/>
  <c r="U5" i="14"/>
  <c r="U7" i="14"/>
  <c r="U9" i="14"/>
  <c r="U11" i="14"/>
  <c r="U13" i="14"/>
  <c r="U15" i="14"/>
  <c r="U17" i="14"/>
  <c r="U19" i="14"/>
  <c r="U21" i="14"/>
  <c r="U23" i="14"/>
  <c r="U25" i="14"/>
  <c r="U27" i="14"/>
  <c r="U29" i="14"/>
  <c r="U31" i="14"/>
  <c r="U33" i="14"/>
  <c r="U35" i="14"/>
  <c r="U37" i="14"/>
  <c r="U39" i="14"/>
  <c r="U41" i="14"/>
  <c r="U43" i="14"/>
  <c r="U45" i="14"/>
  <c r="U47" i="14"/>
  <c r="U49" i="14"/>
  <c r="U51" i="14"/>
  <c r="U53" i="14"/>
  <c r="U55" i="14"/>
  <c r="U57" i="14"/>
  <c r="U59" i="14"/>
  <c r="U61" i="14"/>
  <c r="U63" i="14"/>
  <c r="U65" i="14"/>
  <c r="U67" i="14"/>
  <c r="U69" i="14"/>
  <c r="U71" i="14"/>
  <c r="U73" i="14"/>
  <c r="U75" i="14"/>
  <c r="U77" i="14"/>
  <c r="U79" i="14"/>
  <c r="U81" i="14"/>
  <c r="U83" i="14"/>
  <c r="U85" i="14"/>
  <c r="U87" i="14"/>
  <c r="U89" i="14"/>
  <c r="U91" i="14"/>
  <c r="U93" i="14"/>
  <c r="U95" i="14"/>
  <c r="U97" i="14"/>
  <c r="U99" i="14"/>
  <c r="U101" i="14"/>
  <c r="U103" i="14"/>
  <c r="U105" i="14"/>
  <c r="U107" i="14"/>
  <c r="U109" i="14"/>
  <c r="U111" i="14"/>
  <c r="U113" i="14"/>
  <c r="U115" i="14"/>
  <c r="U117" i="14"/>
  <c r="U119" i="14"/>
  <c r="U121" i="14"/>
  <c r="U123" i="14"/>
  <c r="U125" i="14"/>
  <c r="U127" i="14"/>
  <c r="K12" i="19"/>
  <c r="S13" i="19" s="1"/>
  <c r="F12" i="19"/>
  <c r="R12" i="19" s="1"/>
  <c r="G12" i="19"/>
  <c r="R13" i="19" s="1"/>
  <c r="E12" i="19"/>
  <c r="Q15" i="19" s="1"/>
  <c r="C12" i="19"/>
  <c r="Q13" i="19" s="1"/>
  <c r="D12" i="19"/>
  <c r="Q14" i="19" s="1"/>
  <c r="S12" i="19"/>
  <c r="B12" i="19"/>
  <c r="Q12" i="19" s="1"/>
  <c r="R14" i="19"/>
  <c r="R15" i="19"/>
  <c r="X128" i="14"/>
  <c r="S15" i="19"/>
  <c r="S14" i="19"/>
  <c r="AF13" i="1" l="1"/>
  <c r="AF197" i="1"/>
  <c r="AF93" i="1"/>
  <c r="AF221" i="1"/>
  <c r="AF205" i="1"/>
  <c r="AF173" i="1"/>
  <c r="AF141" i="1"/>
  <c r="AF109" i="1"/>
  <c r="AF77" i="1"/>
  <c r="AF45" i="1"/>
  <c r="AF6" i="1"/>
  <c r="AF12" i="1"/>
  <c r="AF20" i="1"/>
  <c r="AF28" i="1"/>
  <c r="AF36" i="1"/>
  <c r="AF44" i="1"/>
  <c r="AF52" i="1"/>
  <c r="AF60" i="1"/>
  <c r="AF68" i="1"/>
  <c r="AF76" i="1"/>
  <c r="AF84" i="1"/>
  <c r="AF92" i="1"/>
  <c r="AF100" i="1"/>
  <c r="AF108" i="1"/>
  <c r="AF116" i="1"/>
  <c r="AF124" i="1"/>
  <c r="AF132" i="1"/>
  <c r="AF140" i="1"/>
  <c r="AF148" i="1"/>
  <c r="AF156" i="1"/>
  <c r="AF164" i="1"/>
  <c r="AF172" i="1"/>
  <c r="AF180" i="1"/>
  <c r="AF188" i="1"/>
  <c r="AF196" i="1"/>
  <c r="AF204" i="1"/>
  <c r="AF212" i="1"/>
  <c r="AF220" i="1"/>
  <c r="AF228" i="1"/>
  <c r="AF8" i="1"/>
  <c r="AF16" i="1"/>
  <c r="AF24" i="1"/>
  <c r="AF32" i="1"/>
  <c r="AF40" i="1"/>
  <c r="AF48" i="1"/>
  <c r="AF56" i="1"/>
  <c r="AF64" i="1"/>
  <c r="AF72" i="1"/>
  <c r="AF80" i="1"/>
  <c r="AF88" i="1"/>
  <c r="AF96" i="1"/>
  <c r="AF104" i="1"/>
  <c r="AF112" i="1"/>
  <c r="AF120" i="1"/>
  <c r="AF128" i="1"/>
  <c r="AF136" i="1"/>
  <c r="AF144" i="1"/>
  <c r="AF152" i="1"/>
  <c r="AF160" i="1"/>
  <c r="AF168" i="1"/>
  <c r="AF176" i="1"/>
  <c r="AF184" i="1"/>
  <c r="AF192" i="1"/>
  <c r="AF200" i="1"/>
  <c r="AF9" i="1"/>
  <c r="AF17" i="1"/>
  <c r="AF25" i="1"/>
  <c r="AF33" i="1"/>
  <c r="AF41" i="1"/>
  <c r="AF49" i="1"/>
  <c r="AF57" i="1"/>
  <c r="AF65" i="1"/>
  <c r="AF73" i="1"/>
  <c r="AF81" i="1"/>
  <c r="AF89" i="1"/>
  <c r="AF97" i="1"/>
  <c r="AF105" i="1"/>
  <c r="AF113" i="1"/>
  <c r="AF121" i="1"/>
  <c r="AF129" i="1"/>
  <c r="AF137" i="1"/>
  <c r="AF145" i="1"/>
  <c r="AF153" i="1"/>
  <c r="AF161" i="1"/>
  <c r="AF169" i="1"/>
  <c r="AF177" i="1"/>
  <c r="AF185" i="1"/>
  <c r="AF193" i="1"/>
  <c r="AF201" i="1"/>
  <c r="AF209" i="1"/>
  <c r="AF217" i="1"/>
  <c r="AF225" i="1"/>
  <c r="AF165" i="1"/>
  <c r="AF101" i="1"/>
  <c r="AF5" i="1"/>
  <c r="AG5" i="1" s="1"/>
  <c r="AG6" i="1" s="1"/>
  <c r="AF189" i="1"/>
  <c r="AF157" i="1"/>
  <c r="AF61" i="1"/>
  <c r="AF29" i="1"/>
  <c r="AF216" i="1"/>
  <c r="AF133" i="1"/>
  <c r="AF69" i="1"/>
  <c r="AF37" i="1"/>
  <c r="AF213" i="1"/>
  <c r="AF125" i="1"/>
  <c r="AF224" i="1"/>
  <c r="AF208" i="1"/>
  <c r="AF181" i="1"/>
  <c r="AF149" i="1"/>
  <c r="AF117" i="1"/>
  <c r="AF85" i="1"/>
  <c r="AF53" i="1"/>
  <c r="AF21" i="1"/>
  <c r="AF227" i="1"/>
  <c r="AF223" i="1"/>
  <c r="AF219" i="1"/>
  <c r="AF215" i="1"/>
  <c r="AF211" i="1"/>
  <c r="AF207" i="1"/>
  <c r="AF203" i="1"/>
  <c r="AF199" i="1"/>
  <c r="AF195" i="1"/>
  <c r="AF191" i="1"/>
  <c r="AF187" i="1"/>
  <c r="AF183" i="1"/>
  <c r="AF179" i="1"/>
  <c r="AF175" i="1"/>
  <c r="AF171" i="1"/>
  <c r="AF167" i="1"/>
  <c r="AF163" i="1"/>
  <c r="AF159" i="1"/>
  <c r="AF155" i="1"/>
  <c r="AF151" i="1"/>
  <c r="AF147" i="1"/>
  <c r="AF143" i="1"/>
  <c r="AF139" i="1"/>
  <c r="AF135" i="1"/>
  <c r="AF131" i="1"/>
  <c r="AF127" i="1"/>
  <c r="AF123" i="1"/>
  <c r="AF119" i="1"/>
  <c r="AF115" i="1"/>
  <c r="AF111" i="1"/>
  <c r="AF107" i="1"/>
  <c r="AF103" i="1"/>
  <c r="AF99" i="1"/>
  <c r="AF95" i="1"/>
  <c r="AF91" i="1"/>
  <c r="AF87" i="1"/>
  <c r="AF83" i="1"/>
  <c r="AF79" i="1"/>
  <c r="AF75" i="1"/>
  <c r="AF71" i="1"/>
  <c r="AF67" i="1"/>
  <c r="AF63" i="1"/>
  <c r="AF59" i="1"/>
  <c r="AF55" i="1"/>
  <c r="AF51" i="1"/>
  <c r="AF47" i="1"/>
  <c r="AF43" i="1"/>
  <c r="AF39" i="1"/>
  <c r="AF35" i="1"/>
  <c r="AF31" i="1"/>
  <c r="AF27" i="1"/>
  <c r="AF23" i="1"/>
  <c r="AF19" i="1"/>
  <c r="AF15" i="1"/>
  <c r="AF11" i="1"/>
  <c r="AF7" i="1"/>
  <c r="AF226" i="1"/>
  <c r="AF222" i="1"/>
  <c r="AF218" i="1"/>
  <c r="AF214" i="1"/>
  <c r="AF210" i="1"/>
  <c r="AF206" i="1"/>
  <c r="AF202" i="1"/>
  <c r="AF198" i="1"/>
  <c r="AF194" i="1"/>
  <c r="AF190" i="1"/>
  <c r="AF186" i="1"/>
  <c r="AF182" i="1"/>
  <c r="AF178" i="1"/>
  <c r="AF174" i="1"/>
  <c r="AF170" i="1"/>
  <c r="AF166" i="1"/>
  <c r="AF162" i="1"/>
  <c r="AF158" i="1"/>
  <c r="AF154" i="1"/>
  <c r="AF150" i="1"/>
  <c r="AF146" i="1"/>
  <c r="AF142" i="1"/>
  <c r="AF138" i="1"/>
  <c r="AF134" i="1"/>
  <c r="AF130" i="1"/>
  <c r="AF126" i="1"/>
  <c r="AF122" i="1"/>
  <c r="AF118" i="1"/>
  <c r="AF114" i="1"/>
  <c r="AF110" i="1"/>
  <c r="AF106" i="1"/>
  <c r="AF102" i="1"/>
  <c r="AF98" i="1"/>
  <c r="AF94" i="1"/>
  <c r="AF90" i="1"/>
  <c r="AF86" i="1"/>
  <c r="AF82" i="1"/>
  <c r="AF78" i="1"/>
  <c r="AF74" i="1"/>
  <c r="AF70" i="1"/>
  <c r="AF66" i="1"/>
  <c r="AF62" i="1"/>
  <c r="AF58" i="1"/>
  <c r="AF54" i="1"/>
  <c r="AF50" i="1"/>
  <c r="AF46" i="1"/>
  <c r="AF42" i="1"/>
  <c r="AF38" i="1"/>
  <c r="AF34" i="1"/>
  <c r="AF30" i="1"/>
  <c r="AF26" i="1"/>
  <c r="AF22" i="1"/>
  <c r="AF18" i="1"/>
  <c r="AF14" i="1"/>
  <c r="AF10" i="1"/>
  <c r="AG7" i="1" l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A4" i="11"/>
  <c r="AA5" i="3"/>
  <c r="X123" i="14"/>
  <c r="T3" i="2" l="1"/>
  <c r="U3" i="2"/>
  <c r="V3" i="2"/>
  <c r="W3" i="2"/>
  <c r="X3" i="2"/>
  <c r="Y3" i="2"/>
  <c r="Z3" i="2"/>
  <c r="AA3" i="2"/>
  <c r="AB3" i="2"/>
  <c r="AC3" i="2"/>
  <c r="AD3" i="2"/>
  <c r="AB119" i="5"/>
  <c r="X101" i="14" l="1"/>
  <c r="X105" i="14"/>
  <c r="X109" i="14"/>
  <c r="X115" i="14"/>
  <c r="X119" i="14"/>
  <c r="X97" i="14"/>
  <c r="S1" i="13"/>
  <c r="T1" i="13"/>
  <c r="AB6" i="5"/>
  <c r="AB12" i="5"/>
  <c r="AB16" i="5"/>
  <c r="AB11" i="5"/>
  <c r="AB9" i="5"/>
  <c r="AB7" i="5"/>
  <c r="AB8" i="5"/>
  <c r="AB17" i="5"/>
  <c r="AB14" i="5"/>
  <c r="AB31" i="5"/>
  <c r="AB10" i="5"/>
  <c r="AB13" i="5"/>
  <c r="AB47" i="5"/>
  <c r="AB120" i="5"/>
  <c r="AB29" i="5"/>
  <c r="AB21" i="5"/>
  <c r="AB127" i="5"/>
  <c r="AB49" i="5"/>
  <c r="AB41" i="5"/>
  <c r="AB51" i="5"/>
  <c r="AB123" i="5"/>
  <c r="AB126" i="5"/>
  <c r="AB19" i="5"/>
  <c r="AB20" i="5"/>
  <c r="AB27" i="5"/>
  <c r="AB15" i="5"/>
  <c r="AB26" i="5"/>
  <c r="AB18" i="5"/>
  <c r="AB25" i="5"/>
  <c r="AB55" i="5"/>
  <c r="AB48" i="5"/>
  <c r="AB22" i="5"/>
  <c r="AB35" i="5"/>
  <c r="AB28" i="5"/>
  <c r="AB36" i="5"/>
  <c r="AB24" i="5"/>
  <c r="AB23" i="5"/>
  <c r="AB40" i="5"/>
  <c r="AB37" i="5"/>
  <c r="AB30" i="5"/>
  <c r="AB32" i="5"/>
  <c r="AB33" i="5"/>
  <c r="AB44" i="5"/>
  <c r="AB38" i="5"/>
  <c r="AB34" i="5"/>
  <c r="AB121" i="5"/>
  <c r="AB50" i="5"/>
  <c r="AB114" i="5"/>
  <c r="AB39" i="5"/>
  <c r="AB42" i="5"/>
  <c r="AB122" i="5"/>
  <c r="AB59" i="5"/>
  <c r="AB124" i="5"/>
  <c r="AB58" i="5"/>
  <c r="AB73" i="5"/>
  <c r="AB46" i="5"/>
  <c r="AB43" i="5"/>
  <c r="AB125" i="5"/>
  <c r="AB63" i="5"/>
  <c r="AB78" i="5"/>
  <c r="AB45" i="5"/>
  <c r="AB128" i="5"/>
  <c r="AB52" i="5"/>
  <c r="AB68" i="5"/>
  <c r="AB53" i="5"/>
  <c r="AB106" i="5"/>
  <c r="AB54" i="5"/>
  <c r="AB56" i="5"/>
  <c r="AB57" i="5"/>
  <c r="AB60" i="5"/>
  <c r="AB61" i="5"/>
  <c r="AB110" i="5"/>
  <c r="AB62" i="5"/>
  <c r="AB64" i="5"/>
  <c r="AB65" i="5"/>
  <c r="AB66" i="5"/>
  <c r="AB67" i="5"/>
  <c r="AB69" i="5"/>
  <c r="AB70" i="5"/>
  <c r="AB71" i="5"/>
  <c r="AB85" i="5"/>
  <c r="AB72" i="5"/>
  <c r="AB74" i="5"/>
  <c r="AB90" i="5"/>
  <c r="AB75" i="5"/>
  <c r="AB76" i="5"/>
  <c r="AB77" i="5"/>
  <c r="AB79" i="5"/>
  <c r="AB80" i="5"/>
  <c r="AB95" i="5"/>
  <c r="AB81" i="5"/>
  <c r="AB82" i="5"/>
  <c r="AB83" i="5"/>
  <c r="AB84" i="5"/>
  <c r="AB86" i="5"/>
  <c r="AB87" i="5"/>
  <c r="AB88" i="5"/>
  <c r="AB89" i="5"/>
  <c r="AB91" i="5"/>
  <c r="AB92" i="5"/>
  <c r="AB93" i="5"/>
  <c r="AB94" i="5"/>
  <c r="AB96" i="5"/>
  <c r="AB97" i="5"/>
  <c r="AB98" i="5"/>
  <c r="AB99" i="5"/>
  <c r="AB100" i="5"/>
  <c r="AB101" i="5"/>
  <c r="AB102" i="5"/>
  <c r="AB103" i="5"/>
  <c r="AB104" i="5"/>
  <c r="AB105" i="5"/>
  <c r="AB107" i="5"/>
  <c r="AB108" i="5"/>
  <c r="AB109" i="5"/>
  <c r="AB111" i="5"/>
  <c r="AB112" i="5"/>
  <c r="AB113" i="5"/>
  <c r="AB115" i="5"/>
  <c r="AB116" i="5"/>
  <c r="AB117" i="5"/>
  <c r="AB118" i="5"/>
  <c r="AB5" i="5"/>
  <c r="AA28" i="3"/>
  <c r="AA37" i="3"/>
  <c r="AA21" i="3"/>
  <c r="AA20" i="3"/>
  <c r="AA25" i="3"/>
  <c r="AA118" i="3"/>
  <c r="AA41" i="3"/>
  <c r="AA32" i="3"/>
  <c r="AA30" i="3"/>
  <c r="AA35" i="3"/>
  <c r="AA27" i="3"/>
  <c r="AA24" i="3"/>
  <c r="AA121" i="3"/>
  <c r="AA36" i="3"/>
  <c r="AA40" i="3"/>
  <c r="AA23" i="3"/>
  <c r="AA122" i="3"/>
  <c r="AA124" i="3"/>
  <c r="AA33" i="3"/>
  <c r="AA119" i="3"/>
  <c r="AA47" i="3"/>
  <c r="AA46" i="3"/>
  <c r="AA125" i="3"/>
  <c r="AA31" i="3"/>
  <c r="AA34" i="3"/>
  <c r="AA45" i="3"/>
  <c r="AA38" i="3"/>
  <c r="AA39" i="3"/>
  <c r="AA42" i="3"/>
  <c r="AA43" i="3"/>
  <c r="AA44" i="3"/>
  <c r="AA48" i="3"/>
  <c r="AA49" i="3"/>
  <c r="AA70" i="3"/>
  <c r="AA50" i="3"/>
  <c r="AA51" i="3"/>
  <c r="AA53" i="3"/>
  <c r="AA63" i="3"/>
  <c r="AA74" i="3"/>
  <c r="AA54" i="3"/>
  <c r="AA67" i="3"/>
  <c r="AA56" i="3"/>
  <c r="AA78" i="3"/>
  <c r="AA57" i="3"/>
  <c r="AA71" i="3"/>
  <c r="AA59" i="3"/>
  <c r="AA60" i="3"/>
  <c r="AA61" i="3"/>
  <c r="AA62" i="3"/>
  <c r="AA64" i="3"/>
  <c r="AA65" i="3"/>
  <c r="AA120" i="3"/>
  <c r="AA66" i="3"/>
  <c r="AA68" i="3"/>
  <c r="AA123" i="3"/>
  <c r="AA69" i="3"/>
  <c r="AA72" i="3"/>
  <c r="AA73" i="3"/>
  <c r="AA126" i="3"/>
  <c r="AA75" i="3"/>
  <c r="AA76" i="3"/>
  <c r="AA77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6" i="3"/>
  <c r="AA7" i="3"/>
  <c r="AA8" i="3"/>
  <c r="AA9" i="3"/>
  <c r="AA12" i="3"/>
  <c r="AA14" i="3"/>
  <c r="AA10" i="3"/>
  <c r="AA13" i="3"/>
  <c r="AA11" i="3"/>
  <c r="AA52" i="3"/>
  <c r="AA58" i="3"/>
  <c r="AA17" i="3"/>
  <c r="AA15" i="3"/>
  <c r="AA16" i="3"/>
  <c r="AA19" i="3"/>
  <c r="AA55" i="3"/>
  <c r="AA18" i="3"/>
  <c r="AA26" i="3"/>
  <c r="AA22" i="3"/>
  <c r="AA29" i="3"/>
  <c r="V4" i="13" l="1"/>
  <c r="V6" i="13"/>
  <c r="V8" i="13"/>
  <c r="V10" i="13"/>
  <c r="V12" i="13"/>
  <c r="V14" i="13"/>
  <c r="V16" i="13"/>
  <c r="V18" i="13"/>
  <c r="V20" i="13"/>
  <c r="V22" i="13"/>
  <c r="V24" i="13"/>
  <c r="V26" i="13"/>
  <c r="V28" i="13"/>
  <c r="V30" i="13"/>
  <c r="V32" i="13"/>
  <c r="V34" i="13"/>
  <c r="V36" i="13"/>
  <c r="V38" i="13"/>
  <c r="V40" i="13"/>
  <c r="V42" i="13"/>
  <c r="V44" i="13"/>
  <c r="V46" i="13"/>
  <c r="V48" i="13"/>
  <c r="V50" i="13"/>
  <c r="V52" i="13"/>
  <c r="V54" i="13"/>
  <c r="V56" i="13"/>
  <c r="V58" i="13"/>
  <c r="V60" i="13"/>
  <c r="V62" i="13"/>
  <c r="V64" i="13"/>
  <c r="V66" i="13"/>
  <c r="V68" i="13"/>
  <c r="V70" i="13"/>
  <c r="V72" i="13"/>
  <c r="V74" i="13"/>
  <c r="V76" i="13"/>
  <c r="V78" i="13"/>
  <c r="V80" i="13"/>
  <c r="V82" i="13"/>
  <c r="V84" i="13"/>
  <c r="V86" i="13"/>
  <c r="V88" i="13"/>
  <c r="V90" i="13"/>
  <c r="V92" i="13"/>
  <c r="V94" i="13"/>
  <c r="V96" i="13"/>
  <c r="V98" i="13"/>
  <c r="V100" i="13"/>
  <c r="V102" i="13"/>
  <c r="V104" i="13"/>
  <c r="V5" i="13"/>
  <c r="V7" i="13"/>
  <c r="V9" i="13"/>
  <c r="V11" i="13"/>
  <c r="V13" i="13"/>
  <c r="V15" i="13"/>
  <c r="V17" i="13"/>
  <c r="V19" i="13"/>
  <c r="V21" i="13"/>
  <c r="V23" i="13"/>
  <c r="V25" i="13"/>
  <c r="V27" i="13"/>
  <c r="V29" i="13"/>
  <c r="V31" i="13"/>
  <c r="V33" i="13"/>
  <c r="V35" i="13"/>
  <c r="V37" i="13"/>
  <c r="V39" i="13"/>
  <c r="V41" i="13"/>
  <c r="V43" i="13"/>
  <c r="V45" i="13"/>
  <c r="V47" i="13"/>
  <c r="V49" i="13"/>
  <c r="V51" i="13"/>
  <c r="V53" i="13"/>
  <c r="V55" i="13"/>
  <c r="V57" i="13"/>
  <c r="V59" i="13"/>
  <c r="V61" i="13"/>
  <c r="V63" i="13"/>
  <c r="V65" i="13"/>
  <c r="V67" i="13"/>
  <c r="V69" i="13"/>
  <c r="V71" i="13"/>
  <c r="V79" i="13"/>
  <c r="V87" i="13"/>
  <c r="V95" i="13"/>
  <c r="V103" i="13"/>
  <c r="V93" i="13"/>
  <c r="V73" i="13"/>
  <c r="V81" i="13"/>
  <c r="V89" i="13"/>
  <c r="V97" i="13"/>
  <c r="V105" i="13"/>
  <c r="V85" i="13"/>
  <c r="V75" i="13"/>
  <c r="V83" i="13"/>
  <c r="V91" i="13"/>
  <c r="V99" i="13"/>
  <c r="V77" i="13"/>
  <c r="V101" i="13"/>
  <c r="U4" i="13"/>
  <c r="U6" i="13"/>
  <c r="U8" i="13"/>
  <c r="U10" i="13"/>
  <c r="U12" i="13"/>
  <c r="U14" i="13"/>
  <c r="U16" i="13"/>
  <c r="U18" i="13"/>
  <c r="U20" i="13"/>
  <c r="U22" i="13"/>
  <c r="U24" i="13"/>
  <c r="U26" i="13"/>
  <c r="U28" i="13"/>
  <c r="U30" i="13"/>
  <c r="U32" i="13"/>
  <c r="U34" i="13"/>
  <c r="U36" i="13"/>
  <c r="U38" i="13"/>
  <c r="U40" i="13"/>
  <c r="U42" i="13"/>
  <c r="U44" i="13"/>
  <c r="U46" i="13"/>
  <c r="U48" i="13"/>
  <c r="U50" i="13"/>
  <c r="U52" i="13"/>
  <c r="U54" i="13"/>
  <c r="U56" i="13"/>
  <c r="U58" i="13"/>
  <c r="U60" i="13"/>
  <c r="U62" i="13"/>
  <c r="U64" i="13"/>
  <c r="U66" i="13"/>
  <c r="U68" i="13"/>
  <c r="U70" i="13"/>
  <c r="U72" i="13"/>
  <c r="U74" i="13"/>
  <c r="U76" i="13"/>
  <c r="U78" i="13"/>
  <c r="U80" i="13"/>
  <c r="U82" i="13"/>
  <c r="U84" i="13"/>
  <c r="U86" i="13"/>
  <c r="U88" i="13"/>
  <c r="U90" i="13"/>
  <c r="U92" i="13"/>
  <c r="U94" i="13"/>
  <c r="U96" i="13"/>
  <c r="U98" i="13"/>
  <c r="U100" i="13"/>
  <c r="U102" i="13"/>
  <c r="U104" i="13"/>
  <c r="U5" i="13"/>
  <c r="U7" i="13"/>
  <c r="U9" i="13"/>
  <c r="U11" i="13"/>
  <c r="U13" i="13"/>
  <c r="U15" i="13"/>
  <c r="U17" i="13"/>
  <c r="U19" i="13"/>
  <c r="U21" i="13"/>
  <c r="U23" i="13"/>
  <c r="U25" i="13"/>
  <c r="U27" i="13"/>
  <c r="U29" i="13"/>
  <c r="U31" i="13"/>
  <c r="U33" i="13"/>
  <c r="U35" i="13"/>
  <c r="U37" i="13"/>
  <c r="U39" i="13"/>
  <c r="U41" i="13"/>
  <c r="U43" i="13"/>
  <c r="U45" i="13"/>
  <c r="U47" i="13"/>
  <c r="U49" i="13"/>
  <c r="U51" i="13"/>
  <c r="U53" i="13"/>
  <c r="U55" i="13"/>
  <c r="U57" i="13"/>
  <c r="U59" i="13"/>
  <c r="U61" i="13"/>
  <c r="U63" i="13"/>
  <c r="U65" i="13"/>
  <c r="U67" i="13"/>
  <c r="U69" i="13"/>
  <c r="U71" i="13"/>
  <c r="U73" i="13"/>
  <c r="U75" i="13"/>
  <c r="U77" i="13"/>
  <c r="U79" i="13"/>
  <c r="U81" i="13"/>
  <c r="U83" i="13"/>
  <c r="U85" i="13"/>
  <c r="U87" i="13"/>
  <c r="U89" i="13"/>
  <c r="U91" i="13"/>
  <c r="U93" i="13"/>
  <c r="U95" i="13"/>
  <c r="U97" i="13"/>
  <c r="U99" i="13"/>
  <c r="U101" i="13"/>
  <c r="U103" i="13"/>
  <c r="U105" i="13"/>
  <c r="X6" i="11"/>
  <c r="X122" i="14"/>
  <c r="X118" i="14"/>
  <c r="X113" i="14"/>
  <c r="X108" i="14"/>
  <c r="X104" i="14"/>
  <c r="X100" i="14"/>
  <c r="X107" i="14"/>
  <c r="X121" i="14"/>
  <c r="X117" i="14"/>
  <c r="X112" i="14"/>
  <c r="X103" i="14"/>
  <c r="X120" i="14"/>
  <c r="X116" i="14"/>
  <c r="X110" i="14"/>
  <c r="X106" i="14"/>
  <c r="X102" i="14"/>
  <c r="X117" i="11"/>
  <c r="X109" i="11"/>
  <c r="X101" i="11"/>
  <c r="X93" i="11"/>
  <c r="X85" i="11"/>
  <c r="X77" i="11"/>
  <c r="X69" i="11"/>
  <c r="X54" i="11"/>
  <c r="X124" i="11"/>
  <c r="X61" i="11"/>
  <c r="X36" i="11"/>
  <c r="X33" i="11"/>
  <c r="X20" i="11"/>
  <c r="X12" i="11"/>
  <c r="X4" i="11"/>
  <c r="Y4" i="11" s="1"/>
  <c r="X116" i="11"/>
  <c r="X108" i="11"/>
  <c r="X100" i="11"/>
  <c r="X92" i="11"/>
  <c r="X84" i="11"/>
  <c r="X76" i="11"/>
  <c r="X68" i="11"/>
  <c r="X58" i="11"/>
  <c r="X49" i="11"/>
  <c r="X43" i="11"/>
  <c r="X44" i="11"/>
  <c r="X34" i="11"/>
  <c r="X27" i="11"/>
  <c r="X16" i="11"/>
  <c r="X7" i="11"/>
  <c r="X119" i="11"/>
  <c r="X111" i="11"/>
  <c r="X103" i="11"/>
  <c r="X95" i="11"/>
  <c r="X87" i="11"/>
  <c r="X79" i="11"/>
  <c r="X71" i="11"/>
  <c r="X63" i="11"/>
  <c r="X52" i="11"/>
  <c r="X123" i="11"/>
  <c r="X59" i="11"/>
  <c r="X30" i="11"/>
  <c r="X23" i="11"/>
  <c r="X18" i="11"/>
  <c r="X10" i="11"/>
  <c r="X118" i="11"/>
  <c r="X114" i="11"/>
  <c r="X110" i="11"/>
  <c r="X106" i="11"/>
  <c r="X102" i="11"/>
  <c r="X98" i="11"/>
  <c r="X94" i="11"/>
  <c r="X90" i="11"/>
  <c r="X86" i="11"/>
  <c r="X82" i="11"/>
  <c r="X78" i="11"/>
  <c r="X74" i="11"/>
  <c r="X70" i="11"/>
  <c r="X66" i="11"/>
  <c r="X62" i="11"/>
  <c r="X55" i="11"/>
  <c r="X51" i="11"/>
  <c r="X47" i="11"/>
  <c r="X45" i="11"/>
  <c r="X39" i="11"/>
  <c r="X57" i="11"/>
  <c r="X40" i="11"/>
  <c r="X32" i="11"/>
  <c r="X29" i="11"/>
  <c r="X21" i="11"/>
  <c r="X24" i="11"/>
  <c r="X17" i="11"/>
  <c r="X13" i="11"/>
  <c r="X9" i="11"/>
  <c r="X5" i="11"/>
  <c r="X60" i="11"/>
  <c r="X121" i="11"/>
  <c r="X113" i="11"/>
  <c r="X105" i="11"/>
  <c r="X97" i="11"/>
  <c r="X89" i="11"/>
  <c r="X81" i="11"/>
  <c r="X73" i="11"/>
  <c r="X65" i="11"/>
  <c r="X50" i="11"/>
  <c r="X122" i="11"/>
  <c r="X37" i="11"/>
  <c r="X35" i="11"/>
  <c r="X22" i="11"/>
  <c r="X15" i="11"/>
  <c r="X8" i="11"/>
  <c r="X120" i="11"/>
  <c r="X112" i="11"/>
  <c r="X104" i="11"/>
  <c r="X96" i="11"/>
  <c r="X88" i="11"/>
  <c r="X80" i="11"/>
  <c r="X72" i="11"/>
  <c r="X64" i="11"/>
  <c r="X53" i="11"/>
  <c r="X46" i="11"/>
  <c r="X38" i="11"/>
  <c r="X31" i="11"/>
  <c r="X25" i="11"/>
  <c r="X19" i="11"/>
  <c r="X11" i="11"/>
  <c r="X115" i="11"/>
  <c r="X107" i="11"/>
  <c r="X99" i="11"/>
  <c r="X91" i="11"/>
  <c r="X83" i="11"/>
  <c r="X75" i="11"/>
  <c r="X67" i="11"/>
  <c r="X56" i="11"/>
  <c r="X48" i="11"/>
  <c r="X41" i="11"/>
  <c r="X42" i="11"/>
  <c r="X28" i="11"/>
  <c r="X26" i="11"/>
  <c r="X14" i="11"/>
  <c r="X22" i="14"/>
  <c r="X24" i="14"/>
  <c r="X26" i="14"/>
  <c r="X46" i="14"/>
  <c r="X56" i="14"/>
  <c r="X70" i="14"/>
  <c r="X82" i="14"/>
  <c r="X86" i="14"/>
  <c r="X91" i="14"/>
  <c r="X4" i="14"/>
  <c r="Y4" i="14" s="1"/>
  <c r="X5" i="14"/>
  <c r="X7" i="14"/>
  <c r="X8" i="14"/>
  <c r="X6" i="14"/>
  <c r="X16" i="14"/>
  <c r="X15" i="14"/>
  <c r="X9" i="14"/>
  <c r="X10" i="14"/>
  <c r="X13" i="14"/>
  <c r="X11" i="14"/>
  <c r="X14" i="14"/>
  <c r="X12" i="14"/>
  <c r="X17" i="14"/>
  <c r="X19" i="14"/>
  <c r="X20" i="14"/>
  <c r="X18" i="14"/>
  <c r="X21" i="14"/>
  <c r="X35" i="14"/>
  <c r="X25" i="14"/>
  <c r="X29" i="14"/>
  <c r="X34" i="14"/>
  <c r="X37" i="14"/>
  <c r="X52" i="14"/>
  <c r="X47" i="14"/>
  <c r="X73" i="14"/>
  <c r="X127" i="14"/>
  <c r="X49" i="14"/>
  <c r="X55" i="14"/>
  <c r="X111" i="14"/>
  <c r="X114" i="14"/>
  <c r="X69" i="14"/>
  <c r="X74" i="14"/>
  <c r="X78" i="14"/>
  <c r="X94" i="14"/>
  <c r="X85" i="14"/>
  <c r="X89" i="14"/>
  <c r="X95" i="14"/>
  <c r="X99" i="14"/>
  <c r="X32" i="14"/>
  <c r="X44" i="14"/>
  <c r="X63" i="14"/>
  <c r="X77" i="14"/>
  <c r="X61" i="14"/>
  <c r="X65" i="14"/>
  <c r="X75" i="14"/>
  <c r="X79" i="14"/>
  <c r="X31" i="14"/>
  <c r="X39" i="14"/>
  <c r="X36" i="14"/>
  <c r="X30" i="14"/>
  <c r="X126" i="14"/>
  <c r="X40" i="14"/>
  <c r="X38" i="14"/>
  <c r="X125" i="14"/>
  <c r="X48" i="14"/>
  <c r="X67" i="14"/>
  <c r="X58" i="14"/>
  <c r="X60" i="14"/>
  <c r="X64" i="14"/>
  <c r="X68" i="14"/>
  <c r="X72" i="14"/>
  <c r="X76" i="14"/>
  <c r="X81" i="14"/>
  <c r="X84" i="14"/>
  <c r="X88" i="14"/>
  <c r="X93" i="14"/>
  <c r="X98" i="14"/>
  <c r="X57" i="14"/>
  <c r="X50" i="14"/>
  <c r="X51" i="14"/>
  <c r="X96" i="14"/>
  <c r="X23" i="14"/>
  <c r="X27" i="14"/>
  <c r="X41" i="14"/>
  <c r="X28" i="14"/>
  <c r="X33" i="14"/>
  <c r="X42" i="14"/>
  <c r="X124" i="14"/>
  <c r="X43" i="14"/>
  <c r="X45" i="14"/>
  <c r="X53" i="14"/>
  <c r="X54" i="14"/>
  <c r="X59" i="14"/>
  <c r="X62" i="14"/>
  <c r="X66" i="14"/>
  <c r="X71" i="14"/>
  <c r="X90" i="14"/>
  <c r="X80" i="14"/>
  <c r="X83" i="14"/>
  <c r="X87" i="14"/>
  <c r="X92" i="14"/>
  <c r="X4" i="13"/>
  <c r="Y4" i="13" s="1"/>
  <c r="X5" i="13"/>
  <c r="X6" i="13"/>
  <c r="X7" i="13"/>
  <c r="X8" i="13"/>
  <c r="X9" i="13"/>
  <c r="X10" i="13"/>
  <c r="X13" i="13"/>
  <c r="X14" i="13"/>
  <c r="X12" i="13"/>
  <c r="X11" i="13"/>
  <c r="X15" i="13"/>
  <c r="X20" i="13"/>
  <c r="X17" i="13"/>
  <c r="X23" i="13"/>
  <c r="X22" i="13"/>
  <c r="X16" i="13"/>
  <c r="X27" i="13"/>
  <c r="X19" i="13"/>
  <c r="X18" i="13"/>
  <c r="X21" i="13"/>
  <c r="X24" i="13"/>
  <c r="X26" i="13"/>
  <c r="X25" i="13"/>
  <c r="X34" i="13"/>
  <c r="X35" i="13"/>
  <c r="X31" i="13"/>
  <c r="X33" i="13"/>
  <c r="X28" i="13"/>
  <c r="X29" i="13"/>
  <c r="X30" i="13"/>
  <c r="X32" i="13"/>
  <c r="X36" i="13"/>
  <c r="X37" i="13"/>
  <c r="X38" i="13"/>
  <c r="X39" i="13"/>
  <c r="X40" i="13"/>
  <c r="X41" i="13"/>
  <c r="X42" i="13"/>
  <c r="X46" i="13"/>
  <c r="X50" i="13"/>
  <c r="X54" i="13"/>
  <c r="X58" i="13"/>
  <c r="X62" i="13"/>
  <c r="X66" i="13"/>
  <c r="X70" i="13"/>
  <c r="X74" i="13"/>
  <c r="X78" i="13"/>
  <c r="X82" i="13"/>
  <c r="X86" i="13"/>
  <c r="X90" i="13"/>
  <c r="X94" i="13"/>
  <c r="X98" i="13"/>
  <c r="X102" i="13"/>
  <c r="X43" i="13"/>
  <c r="X67" i="13"/>
  <c r="X71" i="13"/>
  <c r="X75" i="13"/>
  <c r="X79" i="13"/>
  <c r="X83" i="13"/>
  <c r="X45" i="13"/>
  <c r="X49" i="13"/>
  <c r="X53" i="13"/>
  <c r="X57" i="13"/>
  <c r="X61" i="13"/>
  <c r="X65" i="13"/>
  <c r="X69" i="13"/>
  <c r="X73" i="13"/>
  <c r="X77" i="13"/>
  <c r="X81" i="13"/>
  <c r="X85" i="13"/>
  <c r="X89" i="13"/>
  <c r="X93" i="13"/>
  <c r="X97" i="13"/>
  <c r="X101" i="13"/>
  <c r="X105" i="13"/>
  <c r="X47" i="13"/>
  <c r="X51" i="13"/>
  <c r="X55" i="13"/>
  <c r="X59" i="13"/>
  <c r="X63" i="13"/>
  <c r="X87" i="13"/>
  <c r="X91" i="13"/>
  <c r="X95" i="13"/>
  <c r="X99" i="13"/>
  <c r="X103" i="13"/>
  <c r="X44" i="13"/>
  <c r="X48" i="13"/>
  <c r="X52" i="13"/>
  <c r="X56" i="13"/>
  <c r="X60" i="13"/>
  <c r="X64" i="13"/>
  <c r="X68" i="13"/>
  <c r="X72" i="13"/>
  <c r="X76" i="13"/>
  <c r="X80" i="13"/>
  <c r="X84" i="13"/>
  <c r="X88" i="13"/>
  <c r="X92" i="13"/>
  <c r="X96" i="13"/>
  <c r="X100" i="13"/>
  <c r="X104" i="13"/>
  <c r="X14" i="5"/>
  <c r="V1" i="4"/>
  <c r="U1" i="4"/>
  <c r="S1" i="4"/>
  <c r="X9" i="4" s="1"/>
  <c r="T1" i="4"/>
  <c r="B3" i="2"/>
  <c r="C3" i="2"/>
  <c r="O3" i="2"/>
  <c r="P3" i="2"/>
  <c r="Q3" i="2"/>
  <c r="R3" i="2"/>
  <c r="S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3" i="2"/>
  <c r="AD1" i="2"/>
  <c r="S1" i="2"/>
  <c r="X103" i="3" l="1"/>
  <c r="X93" i="5"/>
  <c r="X23" i="5"/>
  <c r="X117" i="5"/>
  <c r="X80" i="5"/>
  <c r="X43" i="5"/>
  <c r="X27" i="5"/>
  <c r="X57" i="5"/>
  <c r="X9" i="5"/>
  <c r="X112" i="5"/>
  <c r="X75" i="5"/>
  <c r="X124" i="5"/>
  <c r="X123" i="5"/>
  <c r="X98" i="5"/>
  <c r="X62" i="5"/>
  <c r="X32" i="5"/>
  <c r="X97" i="4"/>
  <c r="U6" i="2"/>
  <c r="U8" i="2"/>
  <c r="U10" i="2"/>
  <c r="U12" i="2"/>
  <c r="U14" i="2"/>
  <c r="U16" i="2"/>
  <c r="U18" i="2"/>
  <c r="U20" i="2"/>
  <c r="U22" i="2"/>
  <c r="U24" i="2"/>
  <c r="U26" i="2"/>
  <c r="U28" i="2"/>
  <c r="U30" i="2"/>
  <c r="U32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5" i="2"/>
  <c r="U9" i="2"/>
  <c r="U13" i="2"/>
  <c r="U17" i="2"/>
  <c r="U21" i="2"/>
  <c r="U25" i="2"/>
  <c r="U29" i="2"/>
  <c r="U33" i="2"/>
  <c r="U15" i="2"/>
  <c r="U31" i="2"/>
  <c r="U11" i="2"/>
  <c r="U27" i="2"/>
  <c r="U7" i="2"/>
  <c r="U23" i="2"/>
  <c r="U79" i="2"/>
  <c r="U83" i="2"/>
  <c r="U87" i="2"/>
  <c r="U91" i="2"/>
  <c r="U95" i="2"/>
  <c r="U99" i="2"/>
  <c r="U103" i="2"/>
  <c r="U107" i="2"/>
  <c r="U111" i="2"/>
  <c r="U115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78" i="2"/>
  <c r="U82" i="2"/>
  <c r="U86" i="2"/>
  <c r="U90" i="2"/>
  <c r="U94" i="2"/>
  <c r="U98" i="2"/>
  <c r="U102" i="2"/>
  <c r="U106" i="2"/>
  <c r="U110" i="2"/>
  <c r="U114" i="2"/>
  <c r="U118" i="2"/>
  <c r="U77" i="2"/>
  <c r="U81" i="2"/>
  <c r="U85" i="2"/>
  <c r="U89" i="2"/>
  <c r="U93" i="2"/>
  <c r="U97" i="2"/>
  <c r="U101" i="2"/>
  <c r="U105" i="2"/>
  <c r="U109" i="2"/>
  <c r="U113" i="2"/>
  <c r="U117" i="2"/>
  <c r="U88" i="2"/>
  <c r="U104" i="2"/>
  <c r="U219" i="2"/>
  <c r="U221" i="2"/>
  <c r="U222" i="2"/>
  <c r="U224" i="2"/>
  <c r="U225" i="2"/>
  <c r="U227" i="2"/>
  <c r="U76" i="2"/>
  <c r="U92" i="2"/>
  <c r="U108" i="2"/>
  <c r="U19" i="2"/>
  <c r="U84" i="2"/>
  <c r="U100" i="2"/>
  <c r="U116" i="2"/>
  <c r="U4" i="2"/>
  <c r="U112" i="2"/>
  <c r="U220" i="2"/>
  <c r="U223" i="2"/>
  <c r="U226" i="2"/>
  <c r="U80" i="2"/>
  <c r="U96" i="2"/>
  <c r="AC6" i="2"/>
  <c r="AC8" i="2"/>
  <c r="AC10" i="2"/>
  <c r="AC12" i="2"/>
  <c r="AC14" i="2"/>
  <c r="AC16" i="2"/>
  <c r="AC18" i="2"/>
  <c r="AC20" i="2"/>
  <c r="AC22" i="2"/>
  <c r="AC24" i="2"/>
  <c r="AC26" i="2"/>
  <c r="AC28" i="2"/>
  <c r="AC30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" i="2"/>
  <c r="AC11" i="2"/>
  <c r="AC15" i="2"/>
  <c r="AC19" i="2"/>
  <c r="AC23" i="2"/>
  <c r="AC27" i="2"/>
  <c r="AC31" i="2"/>
  <c r="AC9" i="2"/>
  <c r="AC25" i="2"/>
  <c r="AC5" i="2"/>
  <c r="AC21" i="2"/>
  <c r="AC17" i="2"/>
  <c r="AC77" i="2"/>
  <c r="AC81" i="2"/>
  <c r="AC85" i="2"/>
  <c r="AC89" i="2"/>
  <c r="AC93" i="2"/>
  <c r="AC97" i="2"/>
  <c r="AC101" i="2"/>
  <c r="AC105" i="2"/>
  <c r="AC109" i="2"/>
  <c r="AC113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9" i="2"/>
  <c r="AC76" i="2"/>
  <c r="AC80" i="2"/>
  <c r="AC84" i="2"/>
  <c r="AC88" i="2"/>
  <c r="AC92" i="2"/>
  <c r="AC96" i="2"/>
  <c r="AC100" i="2"/>
  <c r="AC104" i="2"/>
  <c r="AC108" i="2"/>
  <c r="AC112" i="2"/>
  <c r="AC116" i="2"/>
  <c r="AC13" i="2"/>
  <c r="AC75" i="2"/>
  <c r="AC79" i="2"/>
  <c r="AC83" i="2"/>
  <c r="AC87" i="2"/>
  <c r="AC91" i="2"/>
  <c r="AC95" i="2"/>
  <c r="AC99" i="2"/>
  <c r="AC103" i="2"/>
  <c r="AC107" i="2"/>
  <c r="AC111" i="2"/>
  <c r="AC115" i="2"/>
  <c r="AC82" i="2"/>
  <c r="AC98" i="2"/>
  <c r="AC114" i="2"/>
  <c r="AC218" i="2"/>
  <c r="AC219" i="2"/>
  <c r="AC222" i="2"/>
  <c r="AC224" i="2"/>
  <c r="AC225" i="2"/>
  <c r="AC227" i="2"/>
  <c r="AC86" i="2"/>
  <c r="AC102" i="2"/>
  <c r="AC78" i="2"/>
  <c r="AC94" i="2"/>
  <c r="AC110" i="2"/>
  <c r="AC4" i="2"/>
  <c r="AC106" i="2"/>
  <c r="AC220" i="2"/>
  <c r="AC221" i="2"/>
  <c r="AC223" i="2"/>
  <c r="AC226" i="2"/>
  <c r="AC90" i="2"/>
  <c r="AB33" i="2"/>
  <c r="AB34" i="2"/>
  <c r="AB35" i="2"/>
  <c r="AB36" i="2"/>
  <c r="AB37" i="2"/>
  <c r="AB38" i="2"/>
  <c r="AB39" i="2"/>
  <c r="AB40" i="2"/>
  <c r="AB41" i="2"/>
  <c r="AB42" i="2"/>
  <c r="AB5" i="2"/>
  <c r="AB7" i="2"/>
  <c r="AB9" i="2"/>
  <c r="AB11" i="2"/>
  <c r="AB13" i="2"/>
  <c r="AB15" i="2"/>
  <c r="AB17" i="2"/>
  <c r="AB19" i="2"/>
  <c r="AB21" i="2"/>
  <c r="AB23" i="2"/>
  <c r="AB25" i="2"/>
  <c r="AB27" i="2"/>
  <c r="AB29" i="2"/>
  <c r="AB31" i="2"/>
  <c r="AB8" i="2"/>
  <c r="AB12" i="2"/>
  <c r="AB16" i="2"/>
  <c r="AB20" i="2"/>
  <c r="AB24" i="2"/>
  <c r="AB28" i="2"/>
  <c r="AB32" i="2"/>
  <c r="AB44" i="2"/>
  <c r="AB48" i="2"/>
  <c r="AB52" i="2"/>
  <c r="AB56" i="2"/>
  <c r="AB60" i="2"/>
  <c r="AB64" i="2"/>
  <c r="AB68" i="2"/>
  <c r="AB45" i="2"/>
  <c r="AB49" i="2"/>
  <c r="AB53" i="2"/>
  <c r="AB57" i="2"/>
  <c r="AB61" i="2"/>
  <c r="AB65" i="2"/>
  <c r="AB6" i="2"/>
  <c r="AB10" i="2"/>
  <c r="AB14" i="2"/>
  <c r="AB18" i="2"/>
  <c r="AB22" i="2"/>
  <c r="AB26" i="2"/>
  <c r="AB30" i="2"/>
  <c r="AB46" i="2"/>
  <c r="AB50" i="2"/>
  <c r="AB54" i="2"/>
  <c r="AB58" i="2"/>
  <c r="AB62" i="2"/>
  <c r="AB51" i="2"/>
  <c r="AB69" i="2"/>
  <c r="AB73" i="2"/>
  <c r="AB55" i="2"/>
  <c r="AB70" i="2"/>
  <c r="AB74" i="2"/>
  <c r="AB43" i="2"/>
  <c r="AB59" i="2"/>
  <c r="AB66" i="2"/>
  <c r="AB71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47" i="2"/>
  <c r="AB63" i="2"/>
  <c r="AB67" i="2"/>
  <c r="AB121" i="2"/>
  <c r="AB125" i="2"/>
  <c r="AB129" i="2"/>
  <c r="AB133" i="2"/>
  <c r="AB137" i="2"/>
  <c r="AB141" i="2"/>
  <c r="AB145" i="2"/>
  <c r="AB149" i="2"/>
  <c r="AB153" i="2"/>
  <c r="AB157" i="2"/>
  <c r="AB161" i="2"/>
  <c r="AB165" i="2"/>
  <c r="AB169" i="2"/>
  <c r="AB173" i="2"/>
  <c r="AB177" i="2"/>
  <c r="AB181" i="2"/>
  <c r="AB185" i="2"/>
  <c r="AB189" i="2"/>
  <c r="AB193" i="2"/>
  <c r="AB197" i="2"/>
  <c r="AB201" i="2"/>
  <c r="AB205" i="2"/>
  <c r="AB209" i="2"/>
  <c r="AB214" i="2"/>
  <c r="AB4" i="2"/>
  <c r="AB171" i="2"/>
  <c r="AB187" i="2"/>
  <c r="AB191" i="2"/>
  <c r="AB195" i="2"/>
  <c r="AB203" i="2"/>
  <c r="AB207" i="2"/>
  <c r="AB216" i="2"/>
  <c r="AB126" i="2"/>
  <c r="AB138" i="2"/>
  <c r="AB146" i="2"/>
  <c r="AB150" i="2"/>
  <c r="AB158" i="2"/>
  <c r="AB166" i="2"/>
  <c r="AB174" i="2"/>
  <c r="AB182" i="2"/>
  <c r="AB190" i="2"/>
  <c r="AB198" i="2"/>
  <c r="AB202" i="2"/>
  <c r="AB210" i="2"/>
  <c r="AB72" i="2"/>
  <c r="AB120" i="2"/>
  <c r="AB124" i="2"/>
  <c r="AB128" i="2"/>
  <c r="AB132" i="2"/>
  <c r="AB136" i="2"/>
  <c r="AB140" i="2"/>
  <c r="AB144" i="2"/>
  <c r="AB148" i="2"/>
  <c r="AB152" i="2"/>
  <c r="AB156" i="2"/>
  <c r="AB160" i="2"/>
  <c r="AB164" i="2"/>
  <c r="AB168" i="2"/>
  <c r="AB172" i="2"/>
  <c r="AB176" i="2"/>
  <c r="AB180" i="2"/>
  <c r="AB184" i="2"/>
  <c r="AB188" i="2"/>
  <c r="AB192" i="2"/>
  <c r="AB196" i="2"/>
  <c r="AB200" i="2"/>
  <c r="AB204" i="2"/>
  <c r="AB208" i="2"/>
  <c r="AB215" i="2"/>
  <c r="AB218" i="2"/>
  <c r="AB219" i="2"/>
  <c r="AB220" i="2"/>
  <c r="AB221" i="2"/>
  <c r="AB222" i="2"/>
  <c r="AB223" i="2"/>
  <c r="AB224" i="2"/>
  <c r="AB225" i="2"/>
  <c r="AB226" i="2"/>
  <c r="AB227" i="2"/>
  <c r="AB119" i="2"/>
  <c r="AB123" i="2"/>
  <c r="AB127" i="2"/>
  <c r="AB131" i="2"/>
  <c r="AB135" i="2"/>
  <c r="AB139" i="2"/>
  <c r="AB143" i="2"/>
  <c r="AB147" i="2"/>
  <c r="AB151" i="2"/>
  <c r="AB155" i="2"/>
  <c r="AB159" i="2"/>
  <c r="AB163" i="2"/>
  <c r="AB167" i="2"/>
  <c r="AB175" i="2"/>
  <c r="AB179" i="2"/>
  <c r="AB183" i="2"/>
  <c r="AB199" i="2"/>
  <c r="AB211" i="2"/>
  <c r="AB212" i="2"/>
  <c r="AB118" i="2"/>
  <c r="AB122" i="2"/>
  <c r="AB130" i="2"/>
  <c r="AB134" i="2"/>
  <c r="AB142" i="2"/>
  <c r="AB154" i="2"/>
  <c r="AB162" i="2"/>
  <c r="AB170" i="2"/>
  <c r="AB178" i="2"/>
  <c r="AB186" i="2"/>
  <c r="AB194" i="2"/>
  <c r="AB206" i="2"/>
  <c r="AB213" i="2"/>
  <c r="AB217" i="2"/>
  <c r="X33" i="2"/>
  <c r="X34" i="2"/>
  <c r="X35" i="2"/>
  <c r="X36" i="2"/>
  <c r="X37" i="2"/>
  <c r="X38" i="2"/>
  <c r="X39" i="2"/>
  <c r="X40" i="2"/>
  <c r="X41" i="2"/>
  <c r="X42" i="2"/>
  <c r="X6" i="2"/>
  <c r="X8" i="2"/>
  <c r="X10" i="2"/>
  <c r="X12" i="2"/>
  <c r="X14" i="2"/>
  <c r="X16" i="2"/>
  <c r="X18" i="2"/>
  <c r="X20" i="2"/>
  <c r="X22" i="2"/>
  <c r="X24" i="2"/>
  <c r="X26" i="2"/>
  <c r="X28" i="2"/>
  <c r="X30" i="2"/>
  <c r="X32" i="2"/>
  <c r="X7" i="2"/>
  <c r="X11" i="2"/>
  <c r="X15" i="2"/>
  <c r="X19" i="2"/>
  <c r="X23" i="2"/>
  <c r="X27" i="2"/>
  <c r="X31" i="2"/>
  <c r="X43" i="2"/>
  <c r="X47" i="2"/>
  <c r="X51" i="2"/>
  <c r="X55" i="2"/>
  <c r="X59" i="2"/>
  <c r="X63" i="2"/>
  <c r="X67" i="2"/>
  <c r="X44" i="2"/>
  <c r="X48" i="2"/>
  <c r="X52" i="2"/>
  <c r="X56" i="2"/>
  <c r="X60" i="2"/>
  <c r="X64" i="2"/>
  <c r="X5" i="2"/>
  <c r="X9" i="2"/>
  <c r="X13" i="2"/>
  <c r="X17" i="2"/>
  <c r="X21" i="2"/>
  <c r="X25" i="2"/>
  <c r="X29" i="2"/>
  <c r="X45" i="2"/>
  <c r="X49" i="2"/>
  <c r="X53" i="2"/>
  <c r="X57" i="2"/>
  <c r="X61" i="2"/>
  <c r="X46" i="2"/>
  <c r="X62" i="2"/>
  <c r="X65" i="2"/>
  <c r="X72" i="2"/>
  <c r="X50" i="2"/>
  <c r="X66" i="2"/>
  <c r="X73" i="2"/>
  <c r="X54" i="2"/>
  <c r="X69" i="2"/>
  <c r="X70" i="2"/>
  <c r="X74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71" i="2"/>
  <c r="X75" i="2"/>
  <c r="X58" i="2"/>
  <c r="X68" i="2"/>
  <c r="X120" i="2"/>
  <c r="X124" i="2"/>
  <c r="X128" i="2"/>
  <c r="X132" i="2"/>
  <c r="X136" i="2"/>
  <c r="X140" i="2"/>
  <c r="X144" i="2"/>
  <c r="X148" i="2"/>
  <c r="X152" i="2"/>
  <c r="X156" i="2"/>
  <c r="X160" i="2"/>
  <c r="X164" i="2"/>
  <c r="X168" i="2"/>
  <c r="X172" i="2"/>
  <c r="X176" i="2"/>
  <c r="X180" i="2"/>
  <c r="X184" i="2"/>
  <c r="X188" i="2"/>
  <c r="X192" i="2"/>
  <c r="X196" i="2"/>
  <c r="X200" i="2"/>
  <c r="X204" i="2"/>
  <c r="X208" i="2"/>
  <c r="X213" i="2"/>
  <c r="X217" i="2"/>
  <c r="X4" i="2"/>
  <c r="X162" i="2"/>
  <c r="X174" i="2"/>
  <c r="X178" i="2"/>
  <c r="X182" i="2"/>
  <c r="X190" i="2"/>
  <c r="X194" i="2"/>
  <c r="X198" i="2"/>
  <c r="X206" i="2"/>
  <c r="X210" i="2"/>
  <c r="X121" i="2"/>
  <c r="X129" i="2"/>
  <c r="X133" i="2"/>
  <c r="X141" i="2"/>
  <c r="X153" i="2"/>
  <c r="X161" i="2"/>
  <c r="X169" i="2"/>
  <c r="X177" i="2"/>
  <c r="X185" i="2"/>
  <c r="X193" i="2"/>
  <c r="X205" i="2"/>
  <c r="X212" i="2"/>
  <c r="X119" i="2"/>
  <c r="X123" i="2"/>
  <c r="X127" i="2"/>
  <c r="X131" i="2"/>
  <c r="X135" i="2"/>
  <c r="X139" i="2"/>
  <c r="X143" i="2"/>
  <c r="X147" i="2"/>
  <c r="X151" i="2"/>
  <c r="X155" i="2"/>
  <c r="X159" i="2"/>
  <c r="X163" i="2"/>
  <c r="X167" i="2"/>
  <c r="X171" i="2"/>
  <c r="X175" i="2"/>
  <c r="X179" i="2"/>
  <c r="X183" i="2"/>
  <c r="X187" i="2"/>
  <c r="X191" i="2"/>
  <c r="X195" i="2"/>
  <c r="X199" i="2"/>
  <c r="X203" i="2"/>
  <c r="X207" i="2"/>
  <c r="X211" i="2"/>
  <c r="X214" i="2"/>
  <c r="X218" i="2"/>
  <c r="X219" i="2"/>
  <c r="X220" i="2"/>
  <c r="X221" i="2"/>
  <c r="X222" i="2"/>
  <c r="X223" i="2"/>
  <c r="X224" i="2"/>
  <c r="X225" i="2"/>
  <c r="X226" i="2"/>
  <c r="X227" i="2"/>
  <c r="X122" i="2"/>
  <c r="X126" i="2"/>
  <c r="X130" i="2"/>
  <c r="X134" i="2"/>
  <c r="X138" i="2"/>
  <c r="X142" i="2"/>
  <c r="X146" i="2"/>
  <c r="X150" i="2"/>
  <c r="X154" i="2"/>
  <c r="X158" i="2"/>
  <c r="X166" i="2"/>
  <c r="X170" i="2"/>
  <c r="X186" i="2"/>
  <c r="X202" i="2"/>
  <c r="X215" i="2"/>
  <c r="X125" i="2"/>
  <c r="X137" i="2"/>
  <c r="X145" i="2"/>
  <c r="X149" i="2"/>
  <c r="X157" i="2"/>
  <c r="X165" i="2"/>
  <c r="X173" i="2"/>
  <c r="X181" i="2"/>
  <c r="X189" i="2"/>
  <c r="X197" i="2"/>
  <c r="X201" i="2"/>
  <c r="X209" i="2"/>
  <c r="X216" i="2"/>
  <c r="T34" i="2"/>
  <c r="T35" i="2"/>
  <c r="T36" i="2"/>
  <c r="T37" i="2"/>
  <c r="T38" i="2"/>
  <c r="T39" i="2"/>
  <c r="T40" i="2"/>
  <c r="T41" i="2"/>
  <c r="T42" i="2"/>
  <c r="T5" i="2"/>
  <c r="T7" i="2"/>
  <c r="T9" i="2"/>
  <c r="T11" i="2"/>
  <c r="T13" i="2"/>
  <c r="T15" i="2"/>
  <c r="T17" i="2"/>
  <c r="T19" i="2"/>
  <c r="T21" i="2"/>
  <c r="T23" i="2"/>
  <c r="T25" i="2"/>
  <c r="T27" i="2"/>
  <c r="T29" i="2"/>
  <c r="T31" i="2"/>
  <c r="T33" i="2"/>
  <c r="T6" i="2"/>
  <c r="T10" i="2"/>
  <c r="T14" i="2"/>
  <c r="T18" i="2"/>
  <c r="T22" i="2"/>
  <c r="T26" i="2"/>
  <c r="T30" i="2"/>
  <c r="T46" i="2"/>
  <c r="T50" i="2"/>
  <c r="T54" i="2"/>
  <c r="T58" i="2"/>
  <c r="T62" i="2"/>
  <c r="T66" i="2"/>
  <c r="T43" i="2"/>
  <c r="T47" i="2"/>
  <c r="T51" i="2"/>
  <c r="T55" i="2"/>
  <c r="T59" i="2"/>
  <c r="T63" i="2"/>
  <c r="T67" i="2"/>
  <c r="T8" i="2"/>
  <c r="T12" i="2"/>
  <c r="T16" i="2"/>
  <c r="T20" i="2"/>
  <c r="T24" i="2"/>
  <c r="T28" i="2"/>
  <c r="T32" i="2"/>
  <c r="T44" i="2"/>
  <c r="T48" i="2"/>
  <c r="T52" i="2"/>
  <c r="T56" i="2"/>
  <c r="T60" i="2"/>
  <c r="T64" i="2"/>
  <c r="T57" i="2"/>
  <c r="T69" i="2"/>
  <c r="T71" i="2"/>
  <c r="T75" i="2"/>
  <c r="T45" i="2"/>
  <c r="T61" i="2"/>
  <c r="T68" i="2"/>
  <c r="T72" i="2"/>
  <c r="T49" i="2"/>
  <c r="T73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70" i="2"/>
  <c r="T65" i="2"/>
  <c r="T74" i="2"/>
  <c r="T53" i="2"/>
  <c r="T119" i="2"/>
  <c r="T123" i="2"/>
  <c r="T127" i="2"/>
  <c r="T131" i="2"/>
  <c r="T135" i="2"/>
  <c r="T139" i="2"/>
  <c r="T143" i="2"/>
  <c r="T147" i="2"/>
  <c r="T151" i="2"/>
  <c r="T155" i="2"/>
  <c r="T159" i="2"/>
  <c r="T163" i="2"/>
  <c r="T167" i="2"/>
  <c r="T171" i="2"/>
  <c r="T175" i="2"/>
  <c r="T179" i="2"/>
  <c r="T183" i="2"/>
  <c r="T187" i="2"/>
  <c r="T191" i="2"/>
  <c r="T195" i="2"/>
  <c r="T199" i="2"/>
  <c r="T203" i="2"/>
  <c r="T207" i="2"/>
  <c r="T211" i="2"/>
  <c r="T212" i="2"/>
  <c r="T216" i="2"/>
  <c r="T4" i="2"/>
  <c r="T177" i="2"/>
  <c r="T181" i="2"/>
  <c r="T185" i="2"/>
  <c r="T201" i="2"/>
  <c r="T214" i="2"/>
  <c r="T218" i="2"/>
  <c r="T120" i="2"/>
  <c r="T124" i="2"/>
  <c r="T132" i="2"/>
  <c r="T136" i="2"/>
  <c r="T144" i="2"/>
  <c r="T156" i="2"/>
  <c r="T164" i="2"/>
  <c r="T172" i="2"/>
  <c r="T180" i="2"/>
  <c r="T188" i="2"/>
  <c r="T196" i="2"/>
  <c r="T200" i="2"/>
  <c r="T208" i="2"/>
  <c r="T215" i="2"/>
  <c r="T122" i="2"/>
  <c r="T126" i="2"/>
  <c r="T130" i="2"/>
  <c r="T134" i="2"/>
  <c r="T138" i="2"/>
  <c r="T142" i="2"/>
  <c r="T146" i="2"/>
  <c r="T150" i="2"/>
  <c r="T154" i="2"/>
  <c r="T158" i="2"/>
  <c r="T162" i="2"/>
  <c r="T166" i="2"/>
  <c r="T170" i="2"/>
  <c r="T174" i="2"/>
  <c r="T178" i="2"/>
  <c r="T182" i="2"/>
  <c r="T186" i="2"/>
  <c r="T190" i="2"/>
  <c r="T194" i="2"/>
  <c r="T198" i="2"/>
  <c r="T202" i="2"/>
  <c r="T206" i="2"/>
  <c r="T210" i="2"/>
  <c r="T213" i="2"/>
  <c r="T217" i="2"/>
  <c r="T219" i="2"/>
  <c r="T220" i="2"/>
  <c r="T221" i="2"/>
  <c r="T222" i="2"/>
  <c r="T223" i="2"/>
  <c r="T224" i="2"/>
  <c r="T225" i="2"/>
  <c r="T226" i="2"/>
  <c r="T227" i="2"/>
  <c r="T121" i="2"/>
  <c r="T125" i="2"/>
  <c r="T129" i="2"/>
  <c r="T133" i="2"/>
  <c r="T137" i="2"/>
  <c r="T141" i="2"/>
  <c r="T145" i="2"/>
  <c r="T149" i="2"/>
  <c r="T153" i="2"/>
  <c r="T157" i="2"/>
  <c r="T161" i="2"/>
  <c r="T165" i="2"/>
  <c r="T169" i="2"/>
  <c r="T173" i="2"/>
  <c r="T189" i="2"/>
  <c r="T193" i="2"/>
  <c r="T197" i="2"/>
  <c r="T205" i="2"/>
  <c r="T209" i="2"/>
  <c r="T128" i="2"/>
  <c r="T140" i="2"/>
  <c r="T148" i="2"/>
  <c r="T152" i="2"/>
  <c r="T160" i="2"/>
  <c r="T168" i="2"/>
  <c r="T176" i="2"/>
  <c r="T184" i="2"/>
  <c r="T192" i="2"/>
  <c r="T20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5" i="2"/>
  <c r="S37" i="2"/>
  <c r="S39" i="2"/>
  <c r="S41" i="2"/>
  <c r="S43" i="2"/>
  <c r="S47" i="2"/>
  <c r="S51" i="2"/>
  <c r="S55" i="2"/>
  <c r="S59" i="2"/>
  <c r="S63" i="2"/>
  <c r="S67" i="2"/>
  <c r="S44" i="2"/>
  <c r="S48" i="2"/>
  <c r="S52" i="2"/>
  <c r="S56" i="2"/>
  <c r="S60" i="2"/>
  <c r="S64" i="2"/>
  <c r="S34" i="2"/>
  <c r="S36" i="2"/>
  <c r="S38" i="2"/>
  <c r="S40" i="2"/>
  <c r="S42" i="2"/>
  <c r="S45" i="2"/>
  <c r="S49" i="2"/>
  <c r="S53" i="2"/>
  <c r="S57" i="2"/>
  <c r="S61" i="2"/>
  <c r="S50" i="2"/>
  <c r="S68" i="2"/>
  <c r="S72" i="2"/>
  <c r="S54" i="2"/>
  <c r="S73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58" i="2"/>
  <c r="S65" i="2"/>
  <c r="S70" i="2"/>
  <c r="S74" i="2"/>
  <c r="S62" i="2"/>
  <c r="S75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71" i="2"/>
  <c r="S213" i="2"/>
  <c r="S217" i="2"/>
  <c r="S219" i="2"/>
  <c r="S220" i="2"/>
  <c r="S221" i="2"/>
  <c r="S222" i="2"/>
  <c r="S223" i="2"/>
  <c r="S224" i="2"/>
  <c r="S225" i="2"/>
  <c r="S226" i="2"/>
  <c r="S227" i="2"/>
  <c r="S215" i="2"/>
  <c r="S46" i="2"/>
  <c r="S216" i="2"/>
  <c r="S214" i="2"/>
  <c r="S218" i="2"/>
  <c r="S69" i="2"/>
  <c r="S66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4" i="2"/>
  <c r="W36" i="2"/>
  <c r="W38" i="2"/>
  <c r="W40" i="2"/>
  <c r="W42" i="2"/>
  <c r="W44" i="2"/>
  <c r="W48" i="2"/>
  <c r="W52" i="2"/>
  <c r="W56" i="2"/>
  <c r="W60" i="2"/>
  <c r="W64" i="2"/>
  <c r="W68" i="2"/>
  <c r="W45" i="2"/>
  <c r="W49" i="2"/>
  <c r="W53" i="2"/>
  <c r="W57" i="2"/>
  <c r="W61" i="2"/>
  <c r="W65" i="2"/>
  <c r="W33" i="2"/>
  <c r="W35" i="2"/>
  <c r="W37" i="2"/>
  <c r="W39" i="2"/>
  <c r="W41" i="2"/>
  <c r="W46" i="2"/>
  <c r="W50" i="2"/>
  <c r="W54" i="2"/>
  <c r="W58" i="2"/>
  <c r="W62" i="2"/>
  <c r="W55" i="2"/>
  <c r="W66" i="2"/>
  <c r="W73" i="2"/>
  <c r="W43" i="2"/>
  <c r="W59" i="2"/>
  <c r="W67" i="2"/>
  <c r="W69" i="2"/>
  <c r="W70" i="2"/>
  <c r="W74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47" i="2"/>
  <c r="W63" i="2"/>
  <c r="W71" i="2"/>
  <c r="W75" i="2"/>
  <c r="W51" i="2"/>
  <c r="W72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4" i="2"/>
  <c r="W218" i="2"/>
  <c r="W219" i="2"/>
  <c r="W220" i="2"/>
  <c r="W221" i="2"/>
  <c r="W222" i="2"/>
  <c r="W223" i="2"/>
  <c r="W224" i="2"/>
  <c r="W225" i="2"/>
  <c r="W226" i="2"/>
  <c r="W227" i="2"/>
  <c r="W212" i="2"/>
  <c r="W213" i="2"/>
  <c r="W217" i="2"/>
  <c r="W215" i="2"/>
  <c r="W216" i="2"/>
  <c r="W4" i="2"/>
  <c r="Y5" i="2"/>
  <c r="Y7" i="2"/>
  <c r="Y9" i="2"/>
  <c r="Y11" i="2"/>
  <c r="Y13" i="2"/>
  <c r="Y15" i="2"/>
  <c r="Y17" i="2"/>
  <c r="Y19" i="2"/>
  <c r="Y21" i="2"/>
  <c r="Y23" i="2"/>
  <c r="Y25" i="2"/>
  <c r="Y27" i="2"/>
  <c r="Y29" i="2"/>
  <c r="Y31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6" i="2"/>
  <c r="Y10" i="2"/>
  <c r="Y14" i="2"/>
  <c r="Y18" i="2"/>
  <c r="Y22" i="2"/>
  <c r="Y26" i="2"/>
  <c r="Y30" i="2"/>
  <c r="Y20" i="2"/>
  <c r="Y16" i="2"/>
  <c r="Y32" i="2"/>
  <c r="Y12" i="2"/>
  <c r="Y28" i="2"/>
  <c r="Y24" i="2"/>
  <c r="Y76" i="2"/>
  <c r="Y80" i="2"/>
  <c r="Y84" i="2"/>
  <c r="Y88" i="2"/>
  <c r="Y92" i="2"/>
  <c r="Y96" i="2"/>
  <c r="Y100" i="2"/>
  <c r="Y104" i="2"/>
  <c r="Y108" i="2"/>
  <c r="Y112" i="2"/>
  <c r="Y116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8" i="2"/>
  <c r="Y79" i="2"/>
  <c r="Y83" i="2"/>
  <c r="Y87" i="2"/>
  <c r="Y91" i="2"/>
  <c r="Y95" i="2"/>
  <c r="Y99" i="2"/>
  <c r="Y103" i="2"/>
  <c r="Y107" i="2"/>
  <c r="Y111" i="2"/>
  <c r="Y115" i="2"/>
  <c r="Y78" i="2"/>
  <c r="Y82" i="2"/>
  <c r="Y86" i="2"/>
  <c r="Y90" i="2"/>
  <c r="Y94" i="2"/>
  <c r="Y98" i="2"/>
  <c r="Y102" i="2"/>
  <c r="Y106" i="2"/>
  <c r="Y110" i="2"/>
  <c r="Y114" i="2"/>
  <c r="Y118" i="2"/>
  <c r="Y77" i="2"/>
  <c r="Y93" i="2"/>
  <c r="Y109" i="2"/>
  <c r="Y220" i="2"/>
  <c r="Y221" i="2"/>
  <c r="Y223" i="2"/>
  <c r="Y226" i="2"/>
  <c r="Y81" i="2"/>
  <c r="Y97" i="2"/>
  <c r="Y113" i="2"/>
  <c r="Y89" i="2"/>
  <c r="Y105" i="2"/>
  <c r="Y4" i="2"/>
  <c r="Y101" i="2"/>
  <c r="Y117" i="2"/>
  <c r="Y218" i="2"/>
  <c r="Y219" i="2"/>
  <c r="Y222" i="2"/>
  <c r="Y224" i="2"/>
  <c r="Y225" i="2"/>
  <c r="Y227" i="2"/>
  <c r="Y85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5" i="2"/>
  <c r="AA37" i="2"/>
  <c r="AA39" i="2"/>
  <c r="AA41" i="2"/>
  <c r="AA45" i="2"/>
  <c r="AA49" i="2"/>
  <c r="AA53" i="2"/>
  <c r="AA57" i="2"/>
  <c r="AA61" i="2"/>
  <c r="AA65" i="2"/>
  <c r="AA69" i="2"/>
  <c r="AA46" i="2"/>
  <c r="AA50" i="2"/>
  <c r="AA54" i="2"/>
  <c r="AA58" i="2"/>
  <c r="AA62" i="2"/>
  <c r="AA66" i="2"/>
  <c r="AA34" i="2"/>
  <c r="AA36" i="2"/>
  <c r="AA38" i="2"/>
  <c r="AA40" i="2"/>
  <c r="AA42" i="2"/>
  <c r="AA43" i="2"/>
  <c r="AA47" i="2"/>
  <c r="AA51" i="2"/>
  <c r="AA55" i="2"/>
  <c r="AA59" i="2"/>
  <c r="AA63" i="2"/>
  <c r="AA44" i="2"/>
  <c r="AA60" i="2"/>
  <c r="AA70" i="2"/>
  <c r="AA74" i="2"/>
  <c r="AA48" i="2"/>
  <c r="AA64" i="2"/>
  <c r="AA68" i="2"/>
  <c r="AA71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52" i="2"/>
  <c r="AA67" i="2"/>
  <c r="AA72" i="2"/>
  <c r="AA56" i="2"/>
  <c r="AA73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5" i="2"/>
  <c r="AA218" i="2"/>
  <c r="AA219" i="2"/>
  <c r="AA220" i="2"/>
  <c r="AA221" i="2"/>
  <c r="AA222" i="2"/>
  <c r="AA223" i="2"/>
  <c r="AA224" i="2"/>
  <c r="AA225" i="2"/>
  <c r="AA226" i="2"/>
  <c r="AA227" i="2"/>
  <c r="AA4" i="2"/>
  <c r="AA212" i="2"/>
  <c r="AA216" i="2"/>
  <c r="AA213" i="2"/>
  <c r="AA217" i="2"/>
  <c r="AA21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43" i="2"/>
  <c r="AD47" i="2"/>
  <c r="AD51" i="2"/>
  <c r="AD55" i="2"/>
  <c r="AD59" i="2"/>
  <c r="AD63" i="2"/>
  <c r="AD67" i="2"/>
  <c r="AD33" i="2"/>
  <c r="AD35" i="2"/>
  <c r="AD37" i="2"/>
  <c r="AD39" i="2"/>
  <c r="AD41" i="2"/>
  <c r="AD44" i="2"/>
  <c r="AD48" i="2"/>
  <c r="AD52" i="2"/>
  <c r="AD56" i="2"/>
  <c r="AD60" i="2"/>
  <c r="AD64" i="2"/>
  <c r="AD45" i="2"/>
  <c r="AD49" i="2"/>
  <c r="AD53" i="2"/>
  <c r="AD57" i="2"/>
  <c r="AD61" i="2"/>
  <c r="AD34" i="2"/>
  <c r="AD42" i="2"/>
  <c r="AD58" i="2"/>
  <c r="AD72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40" i="2"/>
  <c r="AD46" i="2"/>
  <c r="AD62" i="2"/>
  <c r="AD69" i="2"/>
  <c r="AD73" i="2"/>
  <c r="AD38" i="2"/>
  <c r="AD50" i="2"/>
  <c r="AD65" i="2"/>
  <c r="AD68" i="2"/>
  <c r="AD70" i="2"/>
  <c r="AD74" i="2"/>
  <c r="AD54" i="2"/>
  <c r="AD66" i="2"/>
  <c r="AD71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3" i="2"/>
  <c r="AD217" i="2"/>
  <c r="AD215" i="2"/>
  <c r="AD218" i="2"/>
  <c r="AD220" i="2"/>
  <c r="AD222" i="2"/>
  <c r="AD224" i="2"/>
  <c r="AD226" i="2"/>
  <c r="AD214" i="2"/>
  <c r="AD4" i="2"/>
  <c r="AD211" i="2"/>
  <c r="AD212" i="2"/>
  <c r="AD216" i="2"/>
  <c r="AD219" i="2"/>
  <c r="AD221" i="2"/>
  <c r="AD223" i="2"/>
  <c r="AD225" i="2"/>
  <c r="AD227" i="2"/>
  <c r="AD36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46" i="2"/>
  <c r="Z50" i="2"/>
  <c r="Z54" i="2"/>
  <c r="Z58" i="2"/>
  <c r="Z62" i="2"/>
  <c r="Z66" i="2"/>
  <c r="Z34" i="2"/>
  <c r="Z36" i="2"/>
  <c r="Z38" i="2"/>
  <c r="Z40" i="2"/>
  <c r="Z42" i="2"/>
  <c r="Z43" i="2"/>
  <c r="Z47" i="2"/>
  <c r="Z51" i="2"/>
  <c r="Z55" i="2"/>
  <c r="Z59" i="2"/>
  <c r="Z63" i="2"/>
  <c r="Z67" i="2"/>
  <c r="Z44" i="2"/>
  <c r="Z48" i="2"/>
  <c r="Z52" i="2"/>
  <c r="Z56" i="2"/>
  <c r="Z60" i="2"/>
  <c r="Z64" i="2"/>
  <c r="Z37" i="2"/>
  <c r="Z53" i="2"/>
  <c r="Z68" i="2"/>
  <c r="Z71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35" i="2"/>
  <c r="Z57" i="2"/>
  <c r="Z65" i="2"/>
  <c r="Z72" i="2"/>
  <c r="Z33" i="2"/>
  <c r="Z41" i="2"/>
  <c r="Z45" i="2"/>
  <c r="Z61" i="2"/>
  <c r="Z73" i="2"/>
  <c r="Z39" i="2"/>
  <c r="Z69" i="2"/>
  <c r="Z49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70" i="2"/>
  <c r="Z212" i="2"/>
  <c r="Z216" i="2"/>
  <c r="Z4" i="2"/>
  <c r="Z219" i="2"/>
  <c r="Z221" i="2"/>
  <c r="Z223" i="2"/>
  <c r="Z225" i="2"/>
  <c r="Z227" i="2"/>
  <c r="Z213" i="2"/>
  <c r="Z217" i="2"/>
  <c r="Z214" i="2"/>
  <c r="Z215" i="2"/>
  <c r="Z218" i="2"/>
  <c r="Z220" i="2"/>
  <c r="Z222" i="2"/>
  <c r="Z224" i="2"/>
  <c r="Z226" i="2"/>
  <c r="Z7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45" i="2"/>
  <c r="V49" i="2"/>
  <c r="V53" i="2"/>
  <c r="V57" i="2"/>
  <c r="V61" i="2"/>
  <c r="V65" i="2"/>
  <c r="V69" i="2"/>
  <c r="V35" i="2"/>
  <c r="V37" i="2"/>
  <c r="V39" i="2"/>
  <c r="V41" i="2"/>
  <c r="V46" i="2"/>
  <c r="V50" i="2"/>
  <c r="V54" i="2"/>
  <c r="V58" i="2"/>
  <c r="V62" i="2"/>
  <c r="V66" i="2"/>
  <c r="V43" i="2"/>
  <c r="V47" i="2"/>
  <c r="V51" i="2"/>
  <c r="V55" i="2"/>
  <c r="V59" i="2"/>
  <c r="V63" i="2"/>
  <c r="V40" i="2"/>
  <c r="V48" i="2"/>
  <c r="V64" i="2"/>
  <c r="V67" i="2"/>
  <c r="V70" i="2"/>
  <c r="V74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38" i="2"/>
  <c r="V52" i="2"/>
  <c r="V71" i="2"/>
  <c r="V75" i="2"/>
  <c r="V36" i="2"/>
  <c r="V56" i="2"/>
  <c r="V68" i="2"/>
  <c r="V72" i="2"/>
  <c r="V73" i="2"/>
  <c r="V42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34" i="2"/>
  <c r="V44" i="2"/>
  <c r="V215" i="2"/>
  <c r="V213" i="2"/>
  <c r="V217" i="2"/>
  <c r="V214" i="2"/>
  <c r="V218" i="2"/>
  <c r="V220" i="2"/>
  <c r="V222" i="2"/>
  <c r="V224" i="2"/>
  <c r="V226" i="2"/>
  <c r="V60" i="2"/>
  <c r="V212" i="2"/>
  <c r="V216" i="2"/>
  <c r="V4" i="2"/>
  <c r="V219" i="2"/>
  <c r="V221" i="2"/>
  <c r="V223" i="2"/>
  <c r="V225" i="2"/>
  <c r="V227" i="2"/>
  <c r="X12" i="5"/>
  <c r="X119" i="5"/>
  <c r="X107" i="5"/>
  <c r="X88" i="5"/>
  <c r="X85" i="5"/>
  <c r="X53" i="5"/>
  <c r="X39" i="5"/>
  <c r="X35" i="5"/>
  <c r="X127" i="5"/>
  <c r="X6" i="5"/>
  <c r="X102" i="5"/>
  <c r="X83" i="5"/>
  <c r="X67" i="5"/>
  <c r="X45" i="5"/>
  <c r="X34" i="5"/>
  <c r="X25" i="5"/>
  <c r="X47" i="5"/>
  <c r="X50" i="4"/>
  <c r="X29" i="4"/>
  <c r="X105" i="4"/>
  <c r="X82" i="4"/>
  <c r="X34" i="4"/>
  <c r="X106" i="4"/>
  <c r="X90" i="4"/>
  <c r="X98" i="4"/>
  <c r="X66" i="4"/>
  <c r="X16" i="4"/>
  <c r="X89" i="4"/>
  <c r="X78" i="4"/>
  <c r="X62" i="4"/>
  <c r="X46" i="4"/>
  <c r="X23" i="4"/>
  <c r="X102" i="4"/>
  <c r="X94" i="4"/>
  <c r="X86" i="4"/>
  <c r="X74" i="4"/>
  <c r="X58" i="4"/>
  <c r="X42" i="4"/>
  <c r="X21" i="4"/>
  <c r="X11" i="4"/>
  <c r="X101" i="4"/>
  <c r="X93" i="4"/>
  <c r="X85" i="4"/>
  <c r="X70" i="4"/>
  <c r="X54" i="4"/>
  <c r="X38" i="4"/>
  <c r="X36" i="4"/>
  <c r="X6" i="4"/>
  <c r="Z1" i="2"/>
  <c r="V1" i="2"/>
  <c r="AC1" i="2"/>
  <c r="Y1" i="2"/>
  <c r="U1" i="2"/>
  <c r="AB1" i="2"/>
  <c r="X1" i="2"/>
  <c r="T1" i="2"/>
  <c r="AA1" i="2"/>
  <c r="W1" i="2"/>
  <c r="S4" i="2"/>
  <c r="X116" i="5"/>
  <c r="X111" i="5"/>
  <c r="X105" i="5"/>
  <c r="X101" i="5"/>
  <c r="X97" i="5"/>
  <c r="X92" i="5"/>
  <c r="X87" i="5"/>
  <c r="X82" i="5"/>
  <c r="X79" i="5"/>
  <c r="X90" i="5"/>
  <c r="X71" i="5"/>
  <c r="X66" i="5"/>
  <c r="X110" i="5"/>
  <c r="X56" i="5"/>
  <c r="X68" i="5"/>
  <c r="X78" i="5"/>
  <c r="X46" i="5"/>
  <c r="X59" i="5"/>
  <c r="X114" i="5"/>
  <c r="X38" i="5"/>
  <c r="X30" i="5"/>
  <c r="X24" i="5"/>
  <c r="X22" i="5"/>
  <c r="X18" i="5"/>
  <c r="X20" i="5"/>
  <c r="X51" i="5"/>
  <c r="X21" i="5"/>
  <c r="X13" i="5"/>
  <c r="X17" i="5"/>
  <c r="X11" i="5"/>
  <c r="X5" i="5"/>
  <c r="Y5" i="5" s="1"/>
  <c r="X115" i="5"/>
  <c r="X109" i="5"/>
  <c r="X104" i="5"/>
  <c r="X100" i="5"/>
  <c r="X96" i="5"/>
  <c r="X91" i="5"/>
  <c r="X86" i="5"/>
  <c r="X81" i="5"/>
  <c r="X77" i="5"/>
  <c r="X74" i="5"/>
  <c r="X70" i="5"/>
  <c r="X65" i="5"/>
  <c r="X61" i="5"/>
  <c r="X54" i="5"/>
  <c r="X52" i="5"/>
  <c r="X63" i="5"/>
  <c r="X73" i="5"/>
  <c r="X122" i="5"/>
  <c r="X50" i="5"/>
  <c r="X44" i="5"/>
  <c r="X37" i="5"/>
  <c r="X36" i="5"/>
  <c r="X48" i="5"/>
  <c r="X26" i="5"/>
  <c r="X19" i="5"/>
  <c r="X41" i="5"/>
  <c r="X29" i="5"/>
  <c r="X10" i="5"/>
  <c r="X8" i="5"/>
  <c r="X16" i="5"/>
  <c r="X118" i="5"/>
  <c r="X113" i="5"/>
  <c r="X108" i="5"/>
  <c r="X103" i="5"/>
  <c r="X99" i="5"/>
  <c r="X94" i="5"/>
  <c r="X89" i="5"/>
  <c r="X84" i="5"/>
  <c r="X95" i="5"/>
  <c r="X76" i="5"/>
  <c r="X72" i="5"/>
  <c r="X69" i="5"/>
  <c r="X64" i="5"/>
  <c r="X60" i="5"/>
  <c r="X106" i="5"/>
  <c r="X128" i="5"/>
  <c r="X125" i="5"/>
  <c r="X58" i="5"/>
  <c r="X42" i="5"/>
  <c r="X121" i="5"/>
  <c r="X33" i="5"/>
  <c r="X40" i="5"/>
  <c r="X28" i="5"/>
  <c r="X55" i="5"/>
  <c r="X15" i="5"/>
  <c r="X126" i="5"/>
  <c r="X49" i="5"/>
  <c r="X120" i="5"/>
  <c r="X31" i="5"/>
  <c r="X7" i="5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1" i="4"/>
  <c r="X32" i="4"/>
  <c r="X27" i="4"/>
  <c r="X18" i="4"/>
  <c r="X17" i="4"/>
  <c r="X19" i="4"/>
  <c r="X10" i="4"/>
  <c r="X7" i="4"/>
  <c r="X81" i="4"/>
  <c r="X77" i="4"/>
  <c r="X73" i="4"/>
  <c r="X69" i="4"/>
  <c r="X65" i="4"/>
  <c r="X61" i="4"/>
  <c r="X57" i="4"/>
  <c r="X53" i="4"/>
  <c r="X49" i="4"/>
  <c r="X45" i="4"/>
  <c r="X41" i="4"/>
  <c r="X37" i="4"/>
  <c r="X22" i="4"/>
  <c r="X30" i="4"/>
  <c r="X28" i="4"/>
  <c r="X26" i="4"/>
  <c r="X14" i="4"/>
  <c r="X15" i="4"/>
  <c r="X8" i="4"/>
  <c r="X5" i="4"/>
  <c r="Y5" i="4" s="1"/>
  <c r="X104" i="4"/>
  <c r="X100" i="4"/>
  <c r="X96" i="4"/>
  <c r="X92" i="4"/>
  <c r="X88" i="4"/>
  <c r="X84" i="4"/>
  <c r="X80" i="4"/>
  <c r="X76" i="4"/>
  <c r="X72" i="4"/>
  <c r="X68" i="4"/>
  <c r="X64" i="4"/>
  <c r="X60" i="4"/>
  <c r="X56" i="4"/>
  <c r="X52" i="4"/>
  <c r="X48" i="4"/>
  <c r="X44" i="4"/>
  <c r="X40" i="4"/>
  <c r="X33" i="4"/>
  <c r="X35" i="4"/>
  <c r="X25" i="4"/>
  <c r="X20" i="4"/>
  <c r="X13" i="4"/>
  <c r="X12" i="4"/>
  <c r="X24" i="4"/>
  <c r="X123" i="3"/>
  <c r="X125" i="3"/>
  <c r="X58" i="3"/>
  <c r="X9" i="3"/>
  <c r="X5" i="3"/>
  <c r="Y5" i="3" s="1"/>
  <c r="X87" i="3"/>
  <c r="X41" i="3"/>
  <c r="X74" i="3"/>
  <c r="Y5" i="11"/>
  <c r="X115" i="3"/>
  <c r="X65" i="3"/>
  <c r="X50" i="3"/>
  <c r="X21" i="3"/>
  <c r="X111" i="3"/>
  <c r="X95" i="3"/>
  <c r="X79" i="3"/>
  <c r="X60" i="3"/>
  <c r="X44" i="3"/>
  <c r="X40" i="3"/>
  <c r="X22" i="3"/>
  <c r="X8" i="3"/>
  <c r="X99" i="3"/>
  <c r="X83" i="3"/>
  <c r="X33" i="3"/>
  <c r="X10" i="3"/>
  <c r="X107" i="3"/>
  <c r="X91" i="3"/>
  <c r="X126" i="3"/>
  <c r="X78" i="3"/>
  <c r="X38" i="3"/>
  <c r="X27" i="3"/>
  <c r="X19" i="3"/>
  <c r="X114" i="3"/>
  <c r="X110" i="3"/>
  <c r="X106" i="3"/>
  <c r="X102" i="3"/>
  <c r="X98" i="3"/>
  <c r="X94" i="3"/>
  <c r="X90" i="3"/>
  <c r="X86" i="3"/>
  <c r="X82" i="3"/>
  <c r="X77" i="3"/>
  <c r="X73" i="3"/>
  <c r="X68" i="3"/>
  <c r="X64" i="3"/>
  <c r="X59" i="3"/>
  <c r="X56" i="3"/>
  <c r="X63" i="3"/>
  <c r="X70" i="3"/>
  <c r="X43" i="3"/>
  <c r="X45" i="3"/>
  <c r="X46" i="3"/>
  <c r="X124" i="3"/>
  <c r="X36" i="3"/>
  <c r="X35" i="3"/>
  <c r="X118" i="3"/>
  <c r="X37" i="3"/>
  <c r="X26" i="3"/>
  <c r="X16" i="3"/>
  <c r="X52" i="3"/>
  <c r="X14" i="3"/>
  <c r="X7" i="3"/>
  <c r="X117" i="3"/>
  <c r="X113" i="3"/>
  <c r="X109" i="3"/>
  <c r="X105" i="3"/>
  <c r="X101" i="3"/>
  <c r="X97" i="3"/>
  <c r="X93" i="3"/>
  <c r="X89" i="3"/>
  <c r="X85" i="3"/>
  <c r="X81" i="3"/>
  <c r="X76" i="3"/>
  <c r="X72" i="3"/>
  <c r="X66" i="3"/>
  <c r="X62" i="3"/>
  <c r="X71" i="3"/>
  <c r="X67" i="3"/>
  <c r="X53" i="3"/>
  <c r="X49" i="3"/>
  <c r="X42" i="3"/>
  <c r="X34" i="3"/>
  <c r="X47" i="3"/>
  <c r="X122" i="3"/>
  <c r="X121" i="3"/>
  <c r="X30" i="3"/>
  <c r="X25" i="3"/>
  <c r="X28" i="3"/>
  <c r="X18" i="3"/>
  <c r="X15" i="3"/>
  <c r="X11" i="3"/>
  <c r="X12" i="3"/>
  <c r="X6" i="3"/>
  <c r="X116" i="3"/>
  <c r="X112" i="3"/>
  <c r="X108" i="3"/>
  <c r="X104" i="3"/>
  <c r="X100" i="3"/>
  <c r="X96" i="3"/>
  <c r="X92" i="3"/>
  <c r="X88" i="3"/>
  <c r="X84" i="3"/>
  <c r="X80" i="3"/>
  <c r="X75" i="3"/>
  <c r="X69" i="3"/>
  <c r="X120" i="3"/>
  <c r="X61" i="3"/>
  <c r="X57" i="3"/>
  <c r="X54" i="3"/>
  <c r="X51" i="3"/>
  <c r="X48" i="3"/>
  <c r="X39" i="3"/>
  <c r="X31" i="3"/>
  <c r="X119" i="3"/>
  <c r="X23" i="3"/>
  <c r="X24" i="3"/>
  <c r="X32" i="3"/>
  <c r="X20" i="3"/>
  <c r="X29" i="3"/>
  <c r="X55" i="3"/>
  <c r="X17" i="3"/>
  <c r="X13" i="3"/>
  <c r="Y6" i="5" l="1"/>
  <c r="Y6" i="4"/>
  <c r="Y7" i="4" s="1"/>
  <c r="Y5" i="13" l="1"/>
  <c r="Y6" i="13" s="1"/>
  <c r="Y5" i="14"/>
  <c r="Y6" i="11"/>
  <c r="Y7" i="11" s="1"/>
  <c r="Y6" i="3"/>
  <c r="Y7" i="3" s="1"/>
  <c r="Y8" i="3" s="1"/>
  <c r="Y9" i="3" s="1"/>
  <c r="Y10" i="3" s="1"/>
  <c r="Y11" i="3" s="1"/>
  <c r="Y12" i="3" s="1"/>
  <c r="Y13" i="3" s="1"/>
  <c r="Y14" i="3" s="1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Y31" i="3" s="1"/>
  <c r="Y32" i="3" s="1"/>
  <c r="Y33" i="3" s="1"/>
  <c r="Y34" i="3" s="1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62" i="3" s="1"/>
  <c r="Y63" i="3" s="1"/>
  <c r="Y64" i="3" s="1"/>
  <c r="Y65" i="3" s="1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93" i="3" s="1"/>
  <c r="Y94" i="3" s="1"/>
  <c r="Y95" i="3" s="1"/>
  <c r="Y96" i="3" s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0" i="3" s="1"/>
  <c r="Y111" i="3" s="1"/>
  <c r="Y112" i="3" s="1"/>
  <c r="Y113" i="3" s="1"/>
  <c r="Y114" i="3" s="1"/>
  <c r="Y115" i="3" s="1"/>
  <c r="Y116" i="3" s="1"/>
  <c r="Y117" i="3" s="1"/>
  <c r="Y118" i="3" s="1"/>
  <c r="Y119" i="3" s="1"/>
  <c r="Y120" i="3" s="1"/>
  <c r="Y121" i="3" s="1"/>
  <c r="Y122" i="3" s="1"/>
  <c r="Y123" i="3" s="1"/>
  <c r="Y124" i="3" s="1"/>
  <c r="Y125" i="3" s="1"/>
  <c r="Y126" i="3" s="1"/>
  <c r="Y8" i="4"/>
  <c r="Y9" i="4" s="1"/>
  <c r="Y10" i="4" s="1"/>
  <c r="Y11" i="4" s="1"/>
  <c r="Y12" i="4" s="1"/>
  <c r="Y13" i="4" s="1"/>
  <c r="Y14" i="4" s="1"/>
  <c r="Y15" i="4" s="1"/>
  <c r="Y16" i="4" s="1"/>
  <c r="Y17" i="4" s="1"/>
  <c r="Y18" i="4" s="1"/>
  <c r="Y19" i="4" s="1"/>
  <c r="Y20" i="4" s="1"/>
  <c r="Y21" i="4" s="1"/>
  <c r="Y22" i="4" s="1"/>
  <c r="Y23" i="4" s="1"/>
  <c r="Y24" i="4" s="1"/>
  <c r="Y25" i="4" s="1"/>
  <c r="Y26" i="4" s="1"/>
  <c r="Y27" i="4" s="1"/>
  <c r="Y28" i="4" s="1"/>
  <c r="Y29" i="4" s="1"/>
  <c r="Y30" i="4" s="1"/>
  <c r="Y31" i="4" s="1"/>
  <c r="Y32" i="4" s="1"/>
  <c r="Y33" i="4" s="1"/>
  <c r="Y34" i="4" s="1"/>
  <c r="Y35" i="4" s="1"/>
  <c r="Y36" i="4" s="1"/>
  <c r="Y37" i="4" s="1"/>
  <c r="Y38" i="4" s="1"/>
  <c r="Y39" i="4" s="1"/>
  <c r="Y40" i="4" s="1"/>
  <c r="Y41" i="4" s="1"/>
  <c r="Y42" i="4" s="1"/>
  <c r="Y43" i="4" s="1"/>
  <c r="Y44" i="4" s="1"/>
  <c r="Y45" i="4" s="1"/>
  <c r="Y46" i="4" s="1"/>
  <c r="Y47" i="4" s="1"/>
  <c r="Y48" i="4" s="1"/>
  <c r="Y49" i="4" s="1"/>
  <c r="Y50" i="4" s="1"/>
  <c r="Y51" i="4" s="1"/>
  <c r="Y52" i="4" s="1"/>
  <c r="Y53" i="4" s="1"/>
  <c r="Y54" i="4" s="1"/>
  <c r="Y55" i="4" s="1"/>
  <c r="Y56" i="4" s="1"/>
  <c r="Y57" i="4" s="1"/>
  <c r="Y58" i="4" s="1"/>
  <c r="Y59" i="4" s="1"/>
  <c r="Y60" i="4" s="1"/>
  <c r="Y61" i="4" s="1"/>
  <c r="Y62" i="4" s="1"/>
  <c r="Y63" i="4" s="1"/>
  <c r="Y64" i="4" s="1"/>
  <c r="Y65" i="4" s="1"/>
  <c r="Y66" i="4" s="1"/>
  <c r="Y67" i="4" s="1"/>
  <c r="Y68" i="4" s="1"/>
  <c r="Y69" i="4" s="1"/>
  <c r="Y70" i="4" s="1"/>
  <c r="Y71" i="4" s="1"/>
  <c r="Y72" i="4" s="1"/>
  <c r="Y73" i="4" s="1"/>
  <c r="Y74" i="4" s="1"/>
  <c r="Y75" i="4" s="1"/>
  <c r="Y76" i="4" s="1"/>
  <c r="Y77" i="4" s="1"/>
  <c r="Y78" i="4" s="1"/>
  <c r="Y79" i="4" s="1"/>
  <c r="Y80" i="4" s="1"/>
  <c r="Y81" i="4" s="1"/>
  <c r="Y82" i="4" s="1"/>
  <c r="Y83" i="4" s="1"/>
  <c r="Y84" i="4" s="1"/>
  <c r="Y85" i="4" s="1"/>
  <c r="Y86" i="4" s="1"/>
  <c r="Y87" i="4" s="1"/>
  <c r="Y88" i="4" s="1"/>
  <c r="Y89" i="4" s="1"/>
  <c r="Y90" i="4" s="1"/>
  <c r="Y91" i="4" s="1"/>
  <c r="Y92" i="4" s="1"/>
  <c r="Y93" i="4" s="1"/>
  <c r="Y94" i="4" s="1"/>
  <c r="Y95" i="4" s="1"/>
  <c r="Y96" i="4" s="1"/>
  <c r="Y97" i="4" s="1"/>
  <c r="Y98" i="4" s="1"/>
  <c r="Y99" i="4" s="1"/>
  <c r="Y100" i="4" s="1"/>
  <c r="Y101" i="4" s="1"/>
  <c r="Y102" i="4" s="1"/>
  <c r="Y103" i="4" s="1"/>
  <c r="Y104" i="4" s="1"/>
  <c r="Y105" i="4" s="1"/>
  <c r="Y106" i="4" s="1"/>
  <c r="Y107" i="4" s="1"/>
  <c r="Y7" i="5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Y23" i="5" s="1"/>
  <c r="Y24" i="5" s="1"/>
  <c r="Y25" i="5" s="1"/>
  <c r="Y26" i="5" s="1"/>
  <c r="Y27" i="5" s="1"/>
  <c r="Y28" i="5" s="1"/>
  <c r="Y29" i="5" s="1"/>
  <c r="Y30" i="5" s="1"/>
  <c r="Y31" i="5" s="1"/>
  <c r="Y32" i="5" s="1"/>
  <c r="Y33" i="5" s="1"/>
  <c r="Y34" i="5" s="1"/>
  <c r="Y35" i="5" s="1"/>
  <c r="Y36" i="5" s="1"/>
  <c r="Y37" i="5" s="1"/>
  <c r="Y38" i="5" s="1"/>
  <c r="Y39" i="5" s="1"/>
  <c r="Y40" i="5" s="1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54" i="5" s="1"/>
  <c r="Y55" i="5" s="1"/>
  <c r="Y56" i="5" s="1"/>
  <c r="Y57" i="5" s="1"/>
  <c r="Y58" i="5" s="1"/>
  <c r="Y59" i="5" s="1"/>
  <c r="Y60" i="5" s="1"/>
  <c r="Y61" i="5" s="1"/>
  <c r="Y62" i="5" s="1"/>
  <c r="Y63" i="5" s="1"/>
  <c r="Y64" i="5" s="1"/>
  <c r="Y65" i="5" s="1"/>
  <c r="Y66" i="5" s="1"/>
  <c r="Y67" i="5" s="1"/>
  <c r="Y68" i="5" s="1"/>
  <c r="Y69" i="5" s="1"/>
  <c r="Y70" i="5" s="1"/>
  <c r="Y71" i="5" s="1"/>
  <c r="Y72" i="5" s="1"/>
  <c r="Y73" i="5" s="1"/>
  <c r="Y74" i="5" s="1"/>
  <c r="Y75" i="5" s="1"/>
  <c r="Y76" i="5" s="1"/>
  <c r="Y77" i="5" s="1"/>
  <c r="Y78" i="5" s="1"/>
  <c r="Y79" i="5" s="1"/>
  <c r="Y80" i="5" s="1"/>
  <c r="Y81" i="5" s="1"/>
  <c r="Y82" i="5" s="1"/>
  <c r="Y83" i="5" s="1"/>
  <c r="Y84" i="5" s="1"/>
  <c r="Y85" i="5" s="1"/>
  <c r="Y86" i="5" s="1"/>
  <c r="Y87" i="5" s="1"/>
  <c r="Y88" i="5" s="1"/>
  <c r="Y89" i="5" s="1"/>
  <c r="Y90" i="5" s="1"/>
  <c r="Y91" i="5" s="1"/>
  <c r="Y92" i="5" s="1"/>
  <c r="Y93" i="5" s="1"/>
  <c r="Y94" i="5" s="1"/>
  <c r="Y95" i="5" s="1"/>
  <c r="Y96" i="5" s="1"/>
  <c r="Y97" i="5" s="1"/>
  <c r="Y98" i="5" s="1"/>
  <c r="Y99" i="5" s="1"/>
  <c r="Y100" i="5" s="1"/>
  <c r="Y101" i="5" s="1"/>
  <c r="Y102" i="5" s="1"/>
  <c r="Y103" i="5" s="1"/>
  <c r="Y104" i="5" s="1"/>
  <c r="Y105" i="5" s="1"/>
  <c r="Y106" i="5" s="1"/>
  <c r="Y107" i="5" s="1"/>
  <c r="Y108" i="5" s="1"/>
  <c r="Y109" i="5" s="1"/>
  <c r="Y110" i="5" s="1"/>
  <c r="Y111" i="5" s="1"/>
  <c r="Y112" i="5" s="1"/>
  <c r="Y113" i="5" s="1"/>
  <c r="Y114" i="5" s="1"/>
  <c r="Y115" i="5" s="1"/>
  <c r="Y116" i="5" s="1"/>
  <c r="Y117" i="5" s="1"/>
  <c r="Y118" i="5" s="1"/>
  <c r="Y119" i="5" s="1"/>
  <c r="Y120" i="5" s="1"/>
  <c r="Y121" i="5" s="1"/>
  <c r="Y122" i="5" s="1"/>
  <c r="Y123" i="5" s="1"/>
  <c r="Y124" i="5" s="1"/>
  <c r="Y125" i="5" s="1"/>
  <c r="Y126" i="5" s="1"/>
  <c r="Y127" i="5" s="1"/>
  <c r="Y128" i="5" s="1"/>
  <c r="Y129" i="5" s="1"/>
  <c r="Y130" i="5" s="1"/>
  <c r="Y8" i="11" l="1"/>
  <c r="Y9" i="11" s="1"/>
  <c r="Y10" i="11" s="1"/>
  <c r="Y11" i="11" s="1"/>
  <c r="Y12" i="11" s="1"/>
  <c r="Y13" i="11" s="1"/>
  <c r="Y14" i="11" s="1"/>
  <c r="Y15" i="11" s="1"/>
  <c r="Y16" i="11" s="1"/>
  <c r="Y17" i="11" s="1"/>
  <c r="Y18" i="11" s="1"/>
  <c r="Y19" i="11" s="1"/>
  <c r="Y20" i="11" s="1"/>
  <c r="Y21" i="11" s="1"/>
  <c r="Y22" i="11" s="1"/>
  <c r="Y23" i="11" s="1"/>
  <c r="Y24" i="11" s="1"/>
  <c r="Y25" i="11" s="1"/>
  <c r="Y26" i="11" s="1"/>
  <c r="Y27" i="11" s="1"/>
  <c r="Y28" i="11" s="1"/>
  <c r="Y29" i="11" s="1"/>
  <c r="Y30" i="11" s="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Y42" i="11" s="1"/>
  <c r="Y43" i="11" s="1"/>
  <c r="Y44" i="11" s="1"/>
  <c r="Y45" i="11" s="1"/>
  <c r="Y46" i="11" s="1"/>
  <c r="Y47" i="11" s="1"/>
  <c r="Y48" i="11" s="1"/>
  <c r="Y49" i="11" s="1"/>
  <c r="Y50" i="11" s="1"/>
  <c r="Y51" i="11" s="1"/>
  <c r="Y52" i="11" s="1"/>
  <c r="Y53" i="11" s="1"/>
  <c r="Y54" i="11" s="1"/>
  <c r="Y55" i="11" s="1"/>
  <c r="Y56" i="11" s="1"/>
  <c r="Y57" i="11" s="1"/>
  <c r="Y58" i="11" s="1"/>
  <c r="Y59" i="11" s="1"/>
  <c r="Y60" i="11" s="1"/>
  <c r="Y61" i="11" s="1"/>
  <c r="Y62" i="11" s="1"/>
  <c r="Y63" i="11" s="1"/>
  <c r="Y64" i="11" s="1"/>
  <c r="Y65" i="11" s="1"/>
  <c r="Y66" i="11" s="1"/>
  <c r="Y67" i="11" s="1"/>
  <c r="Y68" i="11" s="1"/>
  <c r="Y69" i="11" s="1"/>
  <c r="Y70" i="11" s="1"/>
  <c r="Y71" i="11" s="1"/>
  <c r="Y72" i="11" s="1"/>
  <c r="Y73" i="11" s="1"/>
  <c r="Y74" i="11" s="1"/>
  <c r="Y75" i="11" s="1"/>
  <c r="Y76" i="11" s="1"/>
  <c r="Y77" i="11" s="1"/>
  <c r="Y78" i="11" s="1"/>
  <c r="Y79" i="11" s="1"/>
  <c r="Y80" i="11" s="1"/>
  <c r="Y81" i="11" s="1"/>
  <c r="Y82" i="11" s="1"/>
  <c r="Y83" i="11" s="1"/>
  <c r="Y84" i="11" s="1"/>
  <c r="Y85" i="11" s="1"/>
  <c r="Y86" i="11" s="1"/>
  <c r="Y87" i="11" s="1"/>
  <c r="Y88" i="11" s="1"/>
  <c r="Y89" i="11" s="1"/>
  <c r="Y90" i="11" s="1"/>
  <c r="Y91" i="11" s="1"/>
  <c r="Y92" i="11" s="1"/>
  <c r="Y93" i="11" s="1"/>
  <c r="Y94" i="11" s="1"/>
  <c r="Y95" i="11" s="1"/>
  <c r="Y96" i="11" s="1"/>
  <c r="Y97" i="11" s="1"/>
  <c r="Y98" i="11" s="1"/>
  <c r="Y99" i="11" s="1"/>
  <c r="Y100" i="11" s="1"/>
  <c r="Y101" i="11" s="1"/>
  <c r="Y102" i="11" s="1"/>
  <c r="Y103" i="11" s="1"/>
  <c r="Y104" i="11" s="1"/>
  <c r="Y105" i="11" s="1"/>
  <c r="Y106" i="11" s="1"/>
  <c r="Y107" i="11" s="1"/>
  <c r="Y108" i="11" s="1"/>
  <c r="Y109" i="11" s="1"/>
  <c r="Y110" i="11" s="1"/>
  <c r="Y111" i="11" s="1"/>
  <c r="Y112" i="11" s="1"/>
  <c r="Y113" i="11" s="1"/>
  <c r="Y114" i="11" s="1"/>
  <c r="Y115" i="11" s="1"/>
  <c r="Y116" i="11" s="1"/>
  <c r="Y117" i="11" s="1"/>
  <c r="Y118" i="11" s="1"/>
  <c r="Y119" i="11" s="1"/>
  <c r="Y120" i="11" s="1"/>
  <c r="Y121" i="11" s="1"/>
  <c r="Y122" i="11" s="1"/>
  <c r="Y123" i="11" s="1"/>
  <c r="Y124" i="11" s="1"/>
  <c r="Y7" i="13"/>
  <c r="Y8" i="13" s="1"/>
  <c r="Y9" i="13" s="1"/>
  <c r="Y10" i="13" s="1"/>
  <c r="Y11" i="13" s="1"/>
  <c r="Y12" i="13" s="1"/>
  <c r="Y13" i="13" s="1"/>
  <c r="Y14" i="13" s="1"/>
  <c r="Y15" i="13" s="1"/>
  <c r="Y16" i="13" s="1"/>
  <c r="Y17" i="13" s="1"/>
  <c r="Y18" i="13" s="1"/>
  <c r="Y19" i="13" s="1"/>
  <c r="Y20" i="13" s="1"/>
  <c r="Y21" i="13" s="1"/>
  <c r="Y22" i="13" s="1"/>
  <c r="Y23" i="13" s="1"/>
  <c r="Y24" i="13" s="1"/>
  <c r="Y25" i="13" s="1"/>
  <c r="Y26" i="13" s="1"/>
  <c r="Y27" i="13" s="1"/>
  <c r="Y28" i="13" s="1"/>
  <c r="Y29" i="13" s="1"/>
  <c r="Y30" i="13" s="1"/>
  <c r="Y31" i="13" s="1"/>
  <c r="Y32" i="13" s="1"/>
  <c r="Y33" i="13" s="1"/>
  <c r="Y34" i="13" s="1"/>
  <c r="Y35" i="13" s="1"/>
  <c r="Y36" i="13" s="1"/>
  <c r="Y37" i="13" s="1"/>
  <c r="Y38" i="13" s="1"/>
  <c r="Y39" i="13" s="1"/>
  <c r="Y40" i="13" s="1"/>
  <c r="Y41" i="13" s="1"/>
  <c r="Y42" i="13" s="1"/>
  <c r="Y43" i="13" s="1"/>
  <c r="Y44" i="13" s="1"/>
  <c r="Y45" i="13" s="1"/>
  <c r="Y46" i="13" s="1"/>
  <c r="Y47" i="13" s="1"/>
  <c r="Y48" i="13" s="1"/>
  <c r="Y49" i="13" s="1"/>
  <c r="Y50" i="13" s="1"/>
  <c r="Y51" i="13" s="1"/>
  <c r="Y52" i="13" s="1"/>
  <c r="Y53" i="13" s="1"/>
  <c r="Y54" i="13" s="1"/>
  <c r="Y55" i="13" s="1"/>
  <c r="Y56" i="13" s="1"/>
  <c r="Y57" i="13" s="1"/>
  <c r="Y58" i="13" s="1"/>
  <c r="Y59" i="13" s="1"/>
  <c r="Y60" i="13" s="1"/>
  <c r="Y61" i="13" s="1"/>
  <c r="Y62" i="13" s="1"/>
  <c r="Y63" i="13" s="1"/>
  <c r="Y64" i="13" s="1"/>
  <c r="Y65" i="13" s="1"/>
  <c r="Y66" i="13" s="1"/>
  <c r="Y67" i="13" s="1"/>
  <c r="Y68" i="13" s="1"/>
  <c r="Y69" i="13" s="1"/>
  <c r="Y70" i="13" s="1"/>
  <c r="Y71" i="13" s="1"/>
  <c r="Y72" i="13" s="1"/>
  <c r="Y73" i="13" s="1"/>
  <c r="Y74" i="13" s="1"/>
  <c r="Y75" i="13" s="1"/>
  <c r="Y76" i="13" s="1"/>
  <c r="Y77" i="13" s="1"/>
  <c r="Y78" i="13" s="1"/>
  <c r="Y79" i="13" s="1"/>
  <c r="Y80" i="13" s="1"/>
  <c r="Y81" i="13" s="1"/>
  <c r="Y82" i="13" s="1"/>
  <c r="Y83" i="13" s="1"/>
  <c r="Y84" i="13" s="1"/>
  <c r="Y85" i="13" s="1"/>
  <c r="Y86" i="13" s="1"/>
  <c r="Y87" i="13" s="1"/>
  <c r="Y88" i="13" s="1"/>
  <c r="Y89" i="13" s="1"/>
  <c r="Y90" i="13" s="1"/>
  <c r="Y91" i="13" s="1"/>
  <c r="Y92" i="13" s="1"/>
  <c r="Y93" i="13" s="1"/>
  <c r="Y94" i="13" s="1"/>
  <c r="Y95" i="13" s="1"/>
  <c r="Y96" i="13" s="1"/>
  <c r="Y97" i="13" s="1"/>
  <c r="Y98" i="13" s="1"/>
  <c r="Y99" i="13" s="1"/>
  <c r="Y100" i="13" s="1"/>
  <c r="Y101" i="13" s="1"/>
  <c r="Y102" i="13" s="1"/>
  <c r="Y103" i="13" s="1"/>
  <c r="Y104" i="13" s="1"/>
  <c r="Y105" i="13" s="1"/>
  <c r="Y6" i="14"/>
  <c r="Y7" i="14" s="1"/>
  <c r="Y8" i="14" s="1"/>
  <c r="Y9" i="14" s="1"/>
  <c r="Y10" i="14" s="1"/>
  <c r="Y11" i="14" s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Y28" i="14" s="1"/>
  <c r="Y29" i="14" s="1"/>
  <c r="Y30" i="14" s="1"/>
  <c r="Y31" i="14" s="1"/>
  <c r="Y32" i="14" s="1"/>
  <c r="Y33" i="14" s="1"/>
  <c r="Y34" i="14" s="1"/>
  <c r="Y35" i="14" s="1"/>
  <c r="Y36" i="14" s="1"/>
  <c r="Y37" i="14" s="1"/>
  <c r="Y38" i="14" s="1"/>
  <c r="Y39" i="14" s="1"/>
  <c r="Y40" i="14" s="1"/>
  <c r="Y41" i="14" s="1"/>
  <c r="Y42" i="14" s="1"/>
  <c r="Y43" i="14" s="1"/>
  <c r="Y44" i="14" s="1"/>
  <c r="Y45" i="14" s="1"/>
  <c r="Y46" i="14" s="1"/>
  <c r="Y47" i="14" s="1"/>
  <c r="Y48" i="14" s="1"/>
  <c r="Y49" i="14" s="1"/>
  <c r="Y50" i="14" s="1"/>
  <c r="Y51" i="14" s="1"/>
  <c r="Y52" i="14" s="1"/>
  <c r="Y53" i="14" s="1"/>
  <c r="Y54" i="14" s="1"/>
  <c r="Y55" i="14" s="1"/>
  <c r="Y56" i="14" s="1"/>
  <c r="Y57" i="14" s="1"/>
  <c r="Y58" i="14" s="1"/>
  <c r="Y59" i="14" s="1"/>
  <c r="Y60" i="14" s="1"/>
  <c r="Y61" i="14" s="1"/>
  <c r="Y62" i="14" s="1"/>
  <c r="Y63" i="14" s="1"/>
  <c r="Y64" i="14" s="1"/>
  <c r="Y65" i="14" s="1"/>
  <c r="Y66" i="14" s="1"/>
  <c r="Y67" i="14" s="1"/>
  <c r="Y68" i="14" s="1"/>
  <c r="Y69" i="14" s="1"/>
  <c r="Y70" i="14" s="1"/>
  <c r="Y71" i="14" s="1"/>
  <c r="Y72" i="14" s="1"/>
  <c r="Y73" i="14" s="1"/>
  <c r="Y74" i="14" s="1"/>
  <c r="Y75" i="14" s="1"/>
  <c r="Y76" i="14" s="1"/>
  <c r="Y77" i="14" s="1"/>
  <c r="Y78" i="14" s="1"/>
  <c r="Y79" i="14" s="1"/>
  <c r="Y80" i="14" s="1"/>
  <c r="Y81" i="14" s="1"/>
  <c r="Y82" i="14" s="1"/>
  <c r="Y83" i="14" s="1"/>
  <c r="Y84" i="14" s="1"/>
  <c r="Y85" i="14" s="1"/>
  <c r="Y86" i="14" s="1"/>
  <c r="Y87" i="14" s="1"/>
  <c r="Y88" i="14" s="1"/>
  <c r="Y89" i="14" s="1"/>
  <c r="Y90" i="14" s="1"/>
  <c r="Y91" i="14" s="1"/>
  <c r="Y92" i="14" s="1"/>
  <c r="Y93" i="14" s="1"/>
  <c r="Y94" i="14" s="1"/>
  <c r="Y95" i="14" s="1"/>
  <c r="Y96" i="14" s="1"/>
  <c r="Y97" i="14" s="1"/>
  <c r="Y98" i="14" s="1"/>
  <c r="Y99" i="14" s="1"/>
  <c r="Y100" i="14" s="1"/>
  <c r="Y101" i="14" s="1"/>
  <c r="Y102" i="14" s="1"/>
  <c r="Y103" i="14" s="1"/>
  <c r="Y104" i="14" s="1"/>
  <c r="Y105" i="14" s="1"/>
  <c r="Y106" i="14" s="1"/>
  <c r="Y107" i="14" s="1"/>
  <c r="Y108" i="14" s="1"/>
  <c r="Y109" i="14" s="1"/>
  <c r="Y110" i="14" s="1"/>
  <c r="Y111" i="14" s="1"/>
  <c r="Y112" i="14" s="1"/>
  <c r="Y113" i="14" s="1"/>
  <c r="Y114" i="14" s="1"/>
  <c r="Y115" i="14" s="1"/>
  <c r="Y116" i="14" s="1"/>
  <c r="Y117" i="14" s="1"/>
  <c r="Y118" i="14" s="1"/>
  <c r="Y119" i="14" s="1"/>
  <c r="Y120" i="14" s="1"/>
  <c r="Y121" i="14" s="1"/>
  <c r="Y122" i="14" s="1"/>
  <c r="Y123" i="14" s="1"/>
  <c r="Y124" i="14" s="1"/>
  <c r="Y125" i="14" s="1"/>
  <c r="Y126" i="14" s="1"/>
  <c r="Y127" i="14" s="1"/>
  <c r="Y128" i="14" s="1"/>
</calcChain>
</file>

<file path=xl/sharedStrings.xml><?xml version="1.0" encoding="utf-8"?>
<sst xmlns="http://schemas.openxmlformats.org/spreadsheetml/2006/main" count="22188" uniqueCount="2167">
  <si>
    <t>OTU</t>
  </si>
  <si>
    <t>Size</t>
  </si>
  <si>
    <t>RDP classification</t>
  </si>
  <si>
    <t>Species</t>
  </si>
  <si>
    <t>Match%</t>
  </si>
  <si>
    <t>Match#</t>
  </si>
  <si>
    <t>OTU_1</t>
  </si>
  <si>
    <t>Root</t>
  </si>
  <si>
    <t>Bacteria</t>
  </si>
  <si>
    <t>Proteobacteria</t>
  </si>
  <si>
    <t>Deltaproteobacteria</t>
  </si>
  <si>
    <t>Desulfuromonadales</t>
  </si>
  <si>
    <t>Desulfuromonadaceae</t>
  </si>
  <si>
    <t>Desulfuromonas</t>
  </si>
  <si>
    <t>Desulfuromonas_acetexigens_(T)_(U23140)</t>
  </si>
  <si>
    <t>OTU_2</t>
  </si>
  <si>
    <t>Thermodesulfovibrio_aggregans_(T)_TGE-P1_(AB021302)</t>
  </si>
  <si>
    <t>OTU_3</t>
  </si>
  <si>
    <t>Spirochaetes</t>
  </si>
  <si>
    <t>Spirochaetia</t>
  </si>
  <si>
    <t>Spirochaetales</t>
  </si>
  <si>
    <t>Spirochaetaceae</t>
  </si>
  <si>
    <t>Treponema_zuelzerae_(T)_type_strain:_DSM_1903;_2_(FR749929)</t>
  </si>
  <si>
    <t>OTU_4</t>
  </si>
  <si>
    <t>Archaea</t>
  </si>
  <si>
    <t>Euryarchaeota</t>
  </si>
  <si>
    <t>Methanobacteria</t>
  </si>
  <si>
    <t>Methanobacteriales</t>
  </si>
  <si>
    <t>Methanobacteriaceae</t>
  </si>
  <si>
    <t>Methanobacterium</t>
  </si>
  <si>
    <t>Methanobacterium_subterraneum_(T)_A8p,_DSM_11074_(X99044)</t>
  </si>
  <si>
    <t>OTU_8</t>
  </si>
  <si>
    <t>Bacteroidetes</t>
  </si>
  <si>
    <t>Cytophaga_fermentans_(T)_ATCC_19072_(M58766)</t>
  </si>
  <si>
    <t>OTU_5</t>
  </si>
  <si>
    <t>Bacteroidia</t>
  </si>
  <si>
    <t>Bacteroidales</t>
  </si>
  <si>
    <t>Porphyromonadaceae</t>
  </si>
  <si>
    <t>Parabacteroides_distasonis_(T)_JCM_5825_(AB238922)</t>
  </si>
  <si>
    <t>OTU_7</t>
  </si>
  <si>
    <t>Methanomicrobia</t>
  </si>
  <si>
    <t>Methanosarcinales</t>
  </si>
  <si>
    <t>Methanotrichaceae</t>
  </si>
  <si>
    <t>Methanothrix</t>
  </si>
  <si>
    <t>Methanosaeta_harundinacea_(T)_8Ac_(AY817738)</t>
  </si>
  <si>
    <t>OTU_11</t>
  </si>
  <si>
    <t>Firmicutes</t>
  </si>
  <si>
    <t>Clostridia</t>
  </si>
  <si>
    <t>Thermacetogenium_phaeum_(T)_PB_(AB020336)</t>
  </si>
  <si>
    <t>OTU_10</t>
  </si>
  <si>
    <t>candidate_division_OP1_clone_OPB14_(AF027045)</t>
  </si>
  <si>
    <t>OTU_6</t>
  </si>
  <si>
    <t>Methanosarcinaceae</t>
  </si>
  <si>
    <t>Methanosarcina</t>
  </si>
  <si>
    <t>Methanosarcina_siciliae_type_strain:_DSM3028_(FR733698)</t>
  </si>
  <si>
    <t>OTU_14</t>
  </si>
  <si>
    <t>Methanomicrobiales</t>
  </si>
  <si>
    <t>Methanomicrobiales_incertae_sedis</t>
  </si>
  <si>
    <t>Methanocalculus</t>
  </si>
  <si>
    <t>Methanocalculus_pumilus_(T)_MHT-1_(AB008853)</t>
  </si>
  <si>
    <t>OTU_15</t>
  </si>
  <si>
    <t>Clostridiales</t>
  </si>
  <si>
    <t>Desulfotomaculum_acetoxidans_(T)_DSM_771_(Y11566)</t>
  </si>
  <si>
    <t>OTU_9</t>
  </si>
  <si>
    <t>Negativicutes</t>
  </si>
  <si>
    <t>Selenomonadales</t>
  </si>
  <si>
    <t>Veillonellaceae</t>
  </si>
  <si>
    <t>Lysinibacillus_sp._LAM612_(KF443809)</t>
  </si>
  <si>
    <t>OTU_13</t>
  </si>
  <si>
    <t>Thermoanaerobacterales</t>
  </si>
  <si>
    <t>Thermoanaerobacteraceae</t>
  </si>
  <si>
    <t>Syntrophaceticus_schinkii_(T)_Sp3_(EU386162)</t>
  </si>
  <si>
    <t>OTU_16</t>
  </si>
  <si>
    <t>Methanobacterium_aarhusense_(T)_H2-LR_(AY386124)</t>
  </si>
  <si>
    <t>OTU_18</t>
  </si>
  <si>
    <t>Methanothermobacter</t>
  </si>
  <si>
    <t>Methanothermobacter_thermoflexus_(T)_IDZ,_VKM_B-1963,_DSM_7268_(X99047)</t>
  </si>
  <si>
    <t>OTU_12</t>
  </si>
  <si>
    <t>Epsilonproteobacteria</t>
  </si>
  <si>
    <t>Campylobacterales</t>
  </si>
  <si>
    <t>Campylobacteraceae</t>
  </si>
  <si>
    <t>Sulfurospirillum</t>
  </si>
  <si>
    <t>Sulfurospirillum_alkalitolerans_HTRB-L1_(GQ863490)</t>
  </si>
  <si>
    <t>OTU_22</t>
  </si>
  <si>
    <t>Clostridiaceae 2</t>
  </si>
  <si>
    <t>Natronincola</t>
  </si>
  <si>
    <t>Natronincola_peptidivorans_(T)_Z-7031_(EF382661)</t>
  </si>
  <si>
    <t>OTU_28</t>
  </si>
  <si>
    <t>Methanobacterium_alcaliphilum_(T)_NBRC_105226_(AB496639)</t>
  </si>
  <si>
    <t>OTU_26</t>
  </si>
  <si>
    <t>Clostridium_hungatei_(T)_AD;_ATCC_700212_(AF020429)</t>
  </si>
  <si>
    <t>OTU_23</t>
  </si>
  <si>
    <t>Porphyromonas_pogonae_strain_MI_10-1288_(NR_136443.1)</t>
  </si>
  <si>
    <t>OTU_27</t>
  </si>
  <si>
    <t>Eubacteriaceae</t>
  </si>
  <si>
    <t>Acetobacterium</t>
  </si>
  <si>
    <t>Acetobacterium_malicum_(T)_DSM_4132_(X96957)</t>
  </si>
  <si>
    <t>OTU_17</t>
  </si>
  <si>
    <t>*</t>
  </si>
  <si>
    <t>OTU_20</t>
  </si>
  <si>
    <t>Ignavibacteriae</t>
  </si>
  <si>
    <t>Ignavibacteria</t>
  </si>
  <si>
    <t>Ignavibacteriales</t>
  </si>
  <si>
    <t>Ignavibacteriaceae</t>
  </si>
  <si>
    <t>Ignavibacterium</t>
  </si>
  <si>
    <t>Ignavibacterium_album_(T)_Mat9-16_(AB478415)</t>
  </si>
  <si>
    <t>OTU_21</t>
  </si>
  <si>
    <t>Desulfovibrionales</t>
  </si>
  <si>
    <t>Desulfovibrionaceae</t>
  </si>
  <si>
    <t>Desulfovibrio</t>
  </si>
  <si>
    <t>Desulfovibrio_oxamicus_(T)_DSM_1925_(DQ122124)</t>
  </si>
  <si>
    <t>OTU_32</t>
  </si>
  <si>
    <t>Pontibacter_sp._JC215_A10_(HG008901)</t>
  </si>
  <si>
    <t>OTU_35</t>
  </si>
  <si>
    <t>Nitrospirae</t>
  </si>
  <si>
    <t>Nitrospira</t>
  </si>
  <si>
    <t>Nitrospirales</t>
  </si>
  <si>
    <t>Nitrospiraceae</t>
  </si>
  <si>
    <t>Thermodesulfovibrio</t>
  </si>
  <si>
    <t>OTU_40</t>
  </si>
  <si>
    <t>Chloroflexi</t>
  </si>
  <si>
    <t>Anaerolineae</t>
  </si>
  <si>
    <t>Anaerolineales</t>
  </si>
  <si>
    <t>Anaerolineaceae</t>
  </si>
  <si>
    <t>Ornatilinea</t>
  </si>
  <si>
    <t>Ornatilinea_apprima_P3M-1_(JQ292916)</t>
  </si>
  <si>
    <t>OTU_24</t>
  </si>
  <si>
    <t>Moorella_humiferrea_(T)_64_FGQ_(GQ872425)</t>
  </si>
  <si>
    <t>OTU_37</t>
  </si>
  <si>
    <t>Desulfovibrio_alkalitolerans_(T)_RT2_(AY649785)</t>
  </si>
  <si>
    <t>OTU_33</t>
  </si>
  <si>
    <t>Syntrophobacterales</t>
  </si>
  <si>
    <t>Syntrophobacteraceae</t>
  </si>
  <si>
    <t>Syntrophobacter</t>
  </si>
  <si>
    <t>Syntrophobacter_sulfatireducens_(T)_TB8106_(AY651787)</t>
  </si>
  <si>
    <t>OTU_19</t>
  </si>
  <si>
    <t>Caldicoprobacter_guelmensis_(T)_D2C22_(JQ707908)</t>
  </si>
  <si>
    <t>OTU_39</t>
  </si>
  <si>
    <t>Alphaproteobacteria</t>
  </si>
  <si>
    <t>Rhodospirillales</t>
  </si>
  <si>
    <t>Rhodospirillaceae</t>
  </si>
  <si>
    <t>Magnetospira_thiophila_(T)_MMS-1_(EU861390)</t>
  </si>
  <si>
    <t>OTU_42</t>
  </si>
  <si>
    <t>Prolixibacteraceae</t>
  </si>
  <si>
    <t>Sunxiuqinia_faeciviva_(T)_JAM-BA0302_(AB362263)</t>
  </si>
  <si>
    <t>OTU_25</t>
  </si>
  <si>
    <t>Sporomusa</t>
  </si>
  <si>
    <t>Sporomusa_ovata_strain_DSM_2662_(NR_117659.1)</t>
  </si>
  <si>
    <t>OTU_47</t>
  </si>
  <si>
    <t>OTU_45</t>
  </si>
  <si>
    <t>Syntrophaceae</t>
  </si>
  <si>
    <t>Smithella</t>
  </si>
  <si>
    <t>Smithella_propionica_(T)_LYP_(AF126282)</t>
  </si>
  <si>
    <t>OTU_30</t>
  </si>
  <si>
    <t>Thiohalocapsa_marina_(T)_type_strain:_JA142_(AM491592)</t>
  </si>
  <si>
    <t>OTU_167</t>
  </si>
  <si>
    <t>OTU_52</t>
  </si>
  <si>
    <t>Clostridiales_Incertae Sedis XI</t>
  </si>
  <si>
    <t>Dethiosulfatibacter_aminovorans_(T)_C/G2_(=_JCM_13356,_=_NBRC_101112,_=_DSM_17477)_(AB218661)</t>
  </si>
  <si>
    <t>OTU_50</t>
  </si>
  <si>
    <t>Natranaerobiales</t>
  </si>
  <si>
    <t>Natranaerobiaceae</t>
  </si>
  <si>
    <t>Dethiobacter</t>
  </si>
  <si>
    <t>Dethiobacter_alkaliphilus_(T)_AHT_1_(EF422412)</t>
  </si>
  <si>
    <t>OTU_44</t>
  </si>
  <si>
    <t>Synergistetes</t>
  </si>
  <si>
    <t>Synergistia</t>
  </si>
  <si>
    <t>Synergistales</t>
  </si>
  <si>
    <t>Synergistaceae</t>
  </si>
  <si>
    <t>Aminiphilus</t>
  </si>
  <si>
    <t>Aminiphilus_circumscriptus_(T)_ILE-2_(AY642589)</t>
  </si>
  <si>
    <t>OTU_46</t>
  </si>
  <si>
    <t>Gammaproteobacteria</t>
  </si>
  <si>
    <t>Pseudomonadales</t>
  </si>
  <si>
    <t>Pseudomonadaceae</t>
  </si>
  <si>
    <t>Pseudomonas</t>
  </si>
  <si>
    <t>Pseudomonas_songnenensis_strain_NEAU-ST5-5_(NR_148295.1)</t>
  </si>
  <si>
    <t>OTU_55</t>
  </si>
  <si>
    <t>Peptococcaceae 1</t>
  </si>
  <si>
    <t>Desulfitobacterium</t>
  </si>
  <si>
    <t>Desulfitobacterium_metallireducens_(T)_853-15A_(AF297871)</t>
  </si>
  <si>
    <t>OTU_41</t>
  </si>
  <si>
    <t>Peptococcaceae 2</t>
  </si>
  <si>
    <t>Pelotomaculum</t>
  </si>
  <si>
    <t>Pelotomaculum_propionicicum_(T)_MGP_(AB154390)</t>
  </si>
  <si>
    <t>OTU_57</t>
  </si>
  <si>
    <t>Desulfitibacter</t>
  </si>
  <si>
    <t>Desulfitibacter_alkalitolerans_(T)_sk.kt5_(AY538171)</t>
  </si>
  <si>
    <t>OTU_59</t>
  </si>
  <si>
    <t>OTU_54</t>
  </si>
  <si>
    <t>Ruminococcaceae</t>
  </si>
  <si>
    <t>Ercella</t>
  </si>
  <si>
    <t>Ruminococcaceae_bacterium_ZWB_4_(HG003571)</t>
  </si>
  <si>
    <t>OTU_36</t>
  </si>
  <si>
    <t>Bacteroidaceae</t>
  </si>
  <si>
    <t>Anaerorhabdus</t>
  </si>
  <si>
    <t>Dielma_fastidiosa_strain_JC13_(NR_125593.1)</t>
  </si>
  <si>
    <t>OTU_43</t>
  </si>
  <si>
    <t>Aminivibrio</t>
  </si>
  <si>
    <t>Aminivibrio_pyruvatiphilus_4F6E_(AB623229)</t>
  </si>
  <si>
    <t>OTU_65</t>
  </si>
  <si>
    <t>Acetobacteroides</t>
  </si>
  <si>
    <t>Olivibacter_sitiensis_(T)_AW-6_(DQ421387)</t>
  </si>
  <si>
    <t>OTU_48</t>
  </si>
  <si>
    <t>Methanospirillaceae</t>
  </si>
  <si>
    <t>Methanospirillum</t>
  </si>
  <si>
    <t>Methanospirillum_hungatei_strain_JF-1_(NR_074177.1)</t>
  </si>
  <si>
    <t>OTU_196</t>
  </si>
  <si>
    <t>Caldicoprobacter_algeriensis_TH7C1_(GU216701)</t>
  </si>
  <si>
    <t>OTU_49</t>
  </si>
  <si>
    <t>Syntrophomonadaceae</t>
  </si>
  <si>
    <t>Syntrophomonas</t>
  </si>
  <si>
    <t>Syntrophomonas_bryantii_type_strain:_DSM_3014_(HE654006)</t>
  </si>
  <si>
    <t>OTU_63</t>
  </si>
  <si>
    <t>OTU_68</t>
  </si>
  <si>
    <t>Thermodesulfovibrio_yellowstonii_(T)_YP87_(AB231858)</t>
  </si>
  <si>
    <t>OTU_62</t>
  </si>
  <si>
    <t>Marivirga_sericea_(T)_IFO_15983_(AB078081)</t>
  </si>
  <si>
    <t>OTU_66</t>
  </si>
  <si>
    <t>Bellilinea</t>
  </si>
  <si>
    <t>Bellilinea_caldifistulae_(T)_GOMI-1_(AB243672)</t>
  </si>
  <si>
    <t>OTU_69</t>
  </si>
  <si>
    <t>Clostridium_thermocellum_(T)_ATCC_27405_(CP000568)</t>
  </si>
  <si>
    <t>OTU_60</t>
  </si>
  <si>
    <t>Thermanaerothrix_daxensis_strain_GNS-1_(NR_117865.1)</t>
  </si>
  <si>
    <t>OTU_70</t>
  </si>
  <si>
    <t>OTU_71</t>
  </si>
  <si>
    <t>Syntrophorhabdaceae</t>
  </si>
  <si>
    <t>Syntrophorhabdus</t>
  </si>
  <si>
    <t>Syntrophorhabdus_aromaticivorans_(T)_UI_(AB212873)</t>
  </si>
  <si>
    <t>OTU_58</t>
  </si>
  <si>
    <t>Petrimonas</t>
  </si>
  <si>
    <t>Petrimonas_sulfuriphila_(T)_BN3_(AY570690)</t>
  </si>
  <si>
    <t>OTU_85</t>
  </si>
  <si>
    <t>OTU_61</t>
  </si>
  <si>
    <t>Spirochaeta</t>
  </si>
  <si>
    <t>Spirochaeta_smaragdinae_(T)_SEBR_4228;_DSM_11293_(U80597)</t>
  </si>
  <si>
    <t>OTU_53</t>
  </si>
  <si>
    <t>Clostridiaceae 1</t>
  </si>
  <si>
    <t>Clostridium sensu stricto</t>
  </si>
  <si>
    <t>Clostridium_luticellarii_strain_FW431_(NR_145907.1)</t>
  </si>
  <si>
    <t>OTU_105</t>
  </si>
  <si>
    <t>OTU_73</t>
  </si>
  <si>
    <t>Betaproteobacteria</t>
  </si>
  <si>
    <t>Rhodocyclales</t>
  </si>
  <si>
    <t>Rhodocyclaceae</t>
  </si>
  <si>
    <t>Thauera</t>
  </si>
  <si>
    <t>Azoarcus_olearius_DQS-4_(EF158388)</t>
  </si>
  <si>
    <t>OTU_78</t>
  </si>
  <si>
    <t>Geobacteraceae</t>
  </si>
  <si>
    <t>Geoalkalibacter</t>
  </si>
  <si>
    <t>Geoalkalibacter_ferrihydriticus_(T)_Z-0531_(DQ309326)</t>
  </si>
  <si>
    <t>OTU_211</t>
  </si>
  <si>
    <t>OTU_76</t>
  </si>
  <si>
    <t>Desulfotomaculum_kuznetsovii_strain_17_(NR_115129.1)</t>
  </si>
  <si>
    <t>OTU_51</t>
  </si>
  <si>
    <t>uncultured_bacterium_KF-JG30-18_(AJ295656)</t>
  </si>
  <si>
    <t>OTU_79</t>
  </si>
  <si>
    <t>Actinobacteria</t>
  </si>
  <si>
    <t>Coriobacteridae</t>
  </si>
  <si>
    <t>Coriobacteriales</t>
  </si>
  <si>
    <t>Coriobacterineae</t>
  </si>
  <si>
    <t>Coriobacteriaceae</t>
  </si>
  <si>
    <t>Atopobium_vaginae_(T)_CCUG_38953_(Y17195)</t>
  </si>
  <si>
    <t>OTU_77</t>
  </si>
  <si>
    <t>OTU_81</t>
  </si>
  <si>
    <t>OTU_80</t>
  </si>
  <si>
    <t>OTU_67</t>
  </si>
  <si>
    <t>Clostridiales_Incertae Sedis III</t>
  </si>
  <si>
    <t>Tepidanaerobacter</t>
  </si>
  <si>
    <t>Tepidanaerobacter_syntrophicus_(T)_JL_(AB106353)</t>
  </si>
  <si>
    <t>OTU_86</t>
  </si>
  <si>
    <t>OTU_34</t>
  </si>
  <si>
    <t>Clostridium III</t>
  </si>
  <si>
    <t>Clostridium_sufflavum_(T)_CDT-1_(AB267266)</t>
  </si>
  <si>
    <t>OTU_75</t>
  </si>
  <si>
    <t>Leptolinea_tardivitalis_(T)_YMTK-2_(AB109438)</t>
  </si>
  <si>
    <t>OTU_90</t>
  </si>
  <si>
    <t>Syntrophus</t>
  </si>
  <si>
    <t>OTU_202</t>
  </si>
  <si>
    <t>OTU_84</t>
  </si>
  <si>
    <t>Veillonella_magna_(T)_lac18_(EU096495)</t>
  </si>
  <si>
    <t>OTU_87</t>
  </si>
  <si>
    <t>Methanobacterium_formicicum_(T)_DSM_1535_(AF169245)</t>
  </si>
  <si>
    <t>OTU_74</t>
  </si>
  <si>
    <t>Crocinitomix_catalasitica_(T)_IFO_15977_(AB078042)</t>
  </si>
  <si>
    <t>OTU_72</t>
  </si>
  <si>
    <t>OTU_83</t>
  </si>
  <si>
    <t>Desulfotomaculum_varum_RH04-3_(GU126374)</t>
  </si>
  <si>
    <t>OTU_88</t>
  </si>
  <si>
    <t>Acidobacteria</t>
  </si>
  <si>
    <t>Acidobacteria_Gp3</t>
  </si>
  <si>
    <t>Gp3</t>
  </si>
  <si>
    <t>Acidobacteria_bacterium_P105_(KJ461654)</t>
  </si>
  <si>
    <t>OTU_29</t>
  </si>
  <si>
    <t>OTU_82</t>
  </si>
  <si>
    <t>Sphingomonadales</t>
  </si>
  <si>
    <t>Sphingomonadaceae</t>
  </si>
  <si>
    <t>Sphingomonas</t>
  </si>
  <si>
    <t>Sphingomonas_ginsenosidimutans_(T)_Gsoil_1429_(HM204925)</t>
  </si>
  <si>
    <t>OTU_92</t>
  </si>
  <si>
    <t>OTU_93</t>
  </si>
  <si>
    <t>Clostridium_putrificum_(T)_DSM_1734_(X73442)</t>
  </si>
  <si>
    <t>OTU_113</t>
  </si>
  <si>
    <t>Proteiniphilum</t>
  </si>
  <si>
    <t>Proteiniphilum_acetatigenes_(T)_TB107_(AY742226)</t>
  </si>
  <si>
    <t>OTU_89</t>
  </si>
  <si>
    <t>OTU_56</t>
  </si>
  <si>
    <t>Desulfomicrobiaceae</t>
  </si>
  <si>
    <t>Desulfomicrobium</t>
  </si>
  <si>
    <t>Desulfomicrobium_salsuginis_strain_ADR21_(NR_132593.1)</t>
  </si>
  <si>
    <t>OTU_98</t>
  </si>
  <si>
    <t>Lascolabacillus_massiliensis_strain_SIT8_(NR_144720.1)</t>
  </si>
  <si>
    <t>OTU_96</t>
  </si>
  <si>
    <t>Pedobacter_sp._MIC2002_(JX978785)</t>
  </si>
  <si>
    <t>OTU_97</t>
  </si>
  <si>
    <t>Alkalibacter</t>
  </si>
  <si>
    <t>Alkalibacter_saccharofermentans_(T)_Z-79820_(AY312403)</t>
  </si>
  <si>
    <t>OTU_95</t>
  </si>
  <si>
    <t>Thermincola_carboxydiphila_(T)_2204_(AY603000)</t>
  </si>
  <si>
    <t>OTU_100</t>
  </si>
  <si>
    <t>Gracilibacter_thermotolerans_(T)_JW/YJL-S1_(DQ117465)</t>
  </si>
  <si>
    <t>OTU_122</t>
  </si>
  <si>
    <t>OTU_91</t>
  </si>
  <si>
    <t>Longilinea_arvoryzae_(T)_KOME-1_(AB243673)</t>
  </si>
  <si>
    <t>OTU_110</t>
  </si>
  <si>
    <t>Alkalitalea_saponilacus_(T)_SC/BZ-SP2_(HQ191474)</t>
  </si>
  <si>
    <t>OTU_102</t>
  </si>
  <si>
    <t>Olegusella_massiliensis_strain_KHD7_(NR_146815.1)</t>
  </si>
  <si>
    <t>OTU_103</t>
  </si>
  <si>
    <t>Bacillaceae_bacterium_13CC_(JN571119)</t>
  </si>
  <si>
    <t>OTU_126</t>
  </si>
  <si>
    <t>Pseudomonas_aestusnigri_CCUG_64165;_VGXO14_(HG004394)</t>
  </si>
  <si>
    <t>OTU_104</t>
  </si>
  <si>
    <t>Vallitalea</t>
  </si>
  <si>
    <t>Vallitalea_pronyensis_FatNI3_(KC876639)</t>
  </si>
  <si>
    <t>OTU_99</t>
  </si>
  <si>
    <t>Methanobrevibacter_boviskoreani_JH1_(KC608769)</t>
  </si>
  <si>
    <t>OTU_119</t>
  </si>
  <si>
    <t>Clostridium_acetireducens_(T)_30A_(X79862)</t>
  </si>
  <si>
    <t>OTU_106</t>
  </si>
  <si>
    <t>Lutaonella_thermophila_(T)_CC-MHSW-2_(EU287913)</t>
  </si>
  <si>
    <t>OTU_146</t>
  </si>
  <si>
    <t>Anaerobacterium_chartisolvens_T-1-35_(AB793710)</t>
  </si>
  <si>
    <t>OTU_107</t>
  </si>
  <si>
    <t>Rhizobiales</t>
  </si>
  <si>
    <t>OTU_117</t>
  </si>
  <si>
    <t>Chromatiales</t>
  </si>
  <si>
    <t>Spiribacter_salinus_M19-40_(CP005963)</t>
  </si>
  <si>
    <t>OTU_38</t>
  </si>
  <si>
    <t>OTU_109</t>
  </si>
  <si>
    <t>Rubrobacteridae</t>
  </si>
  <si>
    <t>Streptomyces_aomiensis_(T)_M24DS04_(AB522686)</t>
  </si>
  <si>
    <t>OTU_108</t>
  </si>
  <si>
    <t>Gelria_glutamica_(T)_TGO_(AF321086)</t>
  </si>
  <si>
    <t>OTU_115</t>
  </si>
  <si>
    <t>OTU_94</t>
  </si>
  <si>
    <t>Sphaerochaeta</t>
  </si>
  <si>
    <t>Sphaerochaeta_globus_str._Buddy_(AF357916)</t>
  </si>
  <si>
    <t>OTU_120</t>
  </si>
  <si>
    <t>Syntrophomonas_zehnderi_(T)_OL-4_(DQ898277)</t>
  </si>
  <si>
    <t>OTU_133</t>
  </si>
  <si>
    <t>Pelospora_glutarica_(T)_WoGl3_(AJ251214)</t>
  </si>
  <si>
    <t>OTU_111</t>
  </si>
  <si>
    <t>Bacilli</t>
  </si>
  <si>
    <t>Lactobacillales</t>
  </si>
  <si>
    <t>Lactobacillaceae</t>
  </si>
  <si>
    <t>Lactobacillus</t>
  </si>
  <si>
    <t>Lactobacillus_gasseri_(T)_ATCC_33323_(AF519171)</t>
  </si>
  <si>
    <t>OTU_114</t>
  </si>
  <si>
    <t>Pelotomaculum_thermopropionicum_(T)_SI_(AB035723)</t>
  </si>
  <si>
    <t>OTU_129</t>
  </si>
  <si>
    <t>OTU_124</t>
  </si>
  <si>
    <t>Mariniphaga_sediminis_strain_SY21_(NR_137221.1)</t>
  </si>
  <si>
    <t>OTU_148</t>
  </si>
  <si>
    <t>Cytophaga_xylanolytica_strain_DSM_6779_(NR_117112.1)</t>
  </si>
  <si>
    <t>OTU_142</t>
  </si>
  <si>
    <t>Rhodobiaceae</t>
  </si>
  <si>
    <t>Parvibaculum</t>
  </si>
  <si>
    <t>Parvibaculum_lavamentivorans_(T)_DS-1_(AY387398)</t>
  </si>
  <si>
    <t>OTU_130</t>
  </si>
  <si>
    <t>Natranaerovirga_pectinivora_(T)_AP3_(GQ922846)</t>
  </si>
  <si>
    <t>OTU_134</t>
  </si>
  <si>
    <t>Melioribacter</t>
  </si>
  <si>
    <t>Melioribacter_roseus_P3M-2_(JQ292917)</t>
  </si>
  <si>
    <t>OTU_143</t>
  </si>
  <si>
    <t>OTU_116</t>
  </si>
  <si>
    <t>Verrucomicrobia</t>
  </si>
  <si>
    <t>Verrucomicrobiae</t>
  </si>
  <si>
    <t>Verrucomicrobiales</t>
  </si>
  <si>
    <t>Verrucomicrobiaceae</t>
  </si>
  <si>
    <t>Akkermansia</t>
  </si>
  <si>
    <t>Akkermansia_muciniphila_(T)_Muc_(AY271254)</t>
  </si>
  <si>
    <t>OTU_149</t>
  </si>
  <si>
    <t>Tenericutes</t>
  </si>
  <si>
    <t>Mollicutes</t>
  </si>
  <si>
    <t>Acholeplasmatales</t>
  </si>
  <si>
    <t>Acholeplasmataceae</t>
  </si>
  <si>
    <t>Acholeplasma</t>
  </si>
  <si>
    <t>Acholeplasma_parvum_(T)_H23M_(AY538170)</t>
  </si>
  <si>
    <t>OTU_112</t>
  </si>
  <si>
    <t>Muribaculum_intestinale_strain_YL27_(NR_144616.1)</t>
  </si>
  <si>
    <t>OTU_140</t>
  </si>
  <si>
    <t>Gracilibacteraceae</t>
  </si>
  <si>
    <t>OTU_158</t>
  </si>
  <si>
    <t>Thermovirga</t>
  </si>
  <si>
    <t>Thermovirga_lienii_(T)_Cas60314_(DQ071273)</t>
  </si>
  <si>
    <t>OTU_172</t>
  </si>
  <si>
    <t>Methanobacterium_oryzae_(T)_FPi_(AF028690)</t>
  </si>
  <si>
    <t>OTU_138</t>
  </si>
  <si>
    <t>Rhodobacterales</t>
  </si>
  <si>
    <t>Rhodobacteraceae</t>
  </si>
  <si>
    <t>Paracoccus_aestuarii_(T)_B7_(EF660757)</t>
  </si>
  <si>
    <t>OTU_128</t>
  </si>
  <si>
    <t>Lactobacillus_faecis_AFL13-2_(AB812750)</t>
  </si>
  <si>
    <t>OTU_131</t>
  </si>
  <si>
    <t>Bacillales</t>
  </si>
  <si>
    <t>Bacillales_incertae_sedis</t>
  </si>
  <si>
    <t>Desulfuribacillus</t>
  </si>
  <si>
    <t>Desulfuribacillus_alkaliarsenatis_AHT28_(HM046584)</t>
  </si>
  <si>
    <t>OTU_123</t>
  </si>
  <si>
    <t>OTU_144</t>
  </si>
  <si>
    <t>OTU_127</t>
  </si>
  <si>
    <t>Desulfosporosinus_orientis_(T)_DSM_765_(Y11570)</t>
  </si>
  <si>
    <t>OTU_125</t>
  </si>
  <si>
    <t>Odoribacter</t>
  </si>
  <si>
    <t>Culturomica_massiliensis_strain_Marseille-P2698_(NR_144745.1)</t>
  </si>
  <si>
    <t>OTU_121</t>
  </si>
  <si>
    <t>OTU_118</t>
  </si>
  <si>
    <t>Treponema</t>
  </si>
  <si>
    <t>Treponema_caldarium_(T)_DSMZ7334_(EU580141)</t>
  </si>
  <si>
    <t>OTU_141</t>
  </si>
  <si>
    <t>OTU_154</t>
  </si>
  <si>
    <t>OTU_188</t>
  </si>
  <si>
    <t>Desulfitobacterium_hafniense_(T)_DCB-2_(CP001336)</t>
  </si>
  <si>
    <t>OTU_206</t>
  </si>
  <si>
    <t>Natronoflexus_pectinivorans_AP1_(GQ922844)</t>
  </si>
  <si>
    <t>OTU_176</t>
  </si>
  <si>
    <t>Caloramator_fervidus_(T)_RT4._B1_(L09187)</t>
  </si>
  <si>
    <t>OTU_137</t>
  </si>
  <si>
    <t>Tissierella</t>
  </si>
  <si>
    <t>Soehngenia_saccharolytica_(T)_BOR-Y_(AY353956)</t>
  </si>
  <si>
    <t>OTU_135</t>
  </si>
  <si>
    <t>OTU_145</t>
  </si>
  <si>
    <t>OTU_163</t>
  </si>
  <si>
    <t>Flavobacteriia</t>
  </si>
  <si>
    <t>Flavobacteriales</t>
  </si>
  <si>
    <t>OTU_177</t>
  </si>
  <si>
    <t>OTU_184</t>
  </si>
  <si>
    <t>Desulfovibrio_psychrotolerans_(T)_type_strain:_PWC_=_JS1_(AM418397)</t>
  </si>
  <si>
    <t>OTU_157</t>
  </si>
  <si>
    <t>Deferribacteres</t>
  </si>
  <si>
    <t>Deferribacterales</t>
  </si>
  <si>
    <t>Deferribacteraceae</t>
  </si>
  <si>
    <t>Geovibrio</t>
  </si>
  <si>
    <t>Geovibrio_ferrireducens_(T)_PAL-1_(X95744)</t>
  </si>
  <si>
    <t>OTU_170</t>
  </si>
  <si>
    <t>Thermanaerovibrio_acidaminovorans_strain_DSM_6589_(NR_114455.1)</t>
  </si>
  <si>
    <t>OTU_153</t>
  </si>
  <si>
    <t>Moorella</t>
  </si>
  <si>
    <t>Moorella_glycerini_(T)_YS6_(U82327)</t>
  </si>
  <si>
    <t>OTU_161</t>
  </si>
  <si>
    <t>OTU_147</t>
  </si>
  <si>
    <t>Anoxynatronum</t>
  </si>
  <si>
    <t>Anoxynatronum_sibiricum_(T)_Z-7981_(AF522323)</t>
  </si>
  <si>
    <t>OTU_101</t>
  </si>
  <si>
    <t>Methanoregulaceae</t>
  </si>
  <si>
    <t>Methanolinea</t>
  </si>
  <si>
    <t>Methanolinea_mesophila_TNR_(AB447467)</t>
  </si>
  <si>
    <t>OTU_136</t>
  </si>
  <si>
    <t>Christensenella_minuta_YIT_12065_(AB490809)</t>
  </si>
  <si>
    <t>OTU_169</t>
  </si>
  <si>
    <t>OTU_156</t>
  </si>
  <si>
    <t>OTU_132</t>
  </si>
  <si>
    <t>OTU_221</t>
  </si>
  <si>
    <t>Alkaliphilus</t>
  </si>
  <si>
    <t>Alkaliphilus_peptidifermentans_(T)_Z-7036_(EF382660)</t>
  </si>
  <si>
    <t>OTU_139</t>
  </si>
  <si>
    <t>anaerobic_bacterium_MO-CFX1_(AB598277)</t>
  </si>
  <si>
    <t>OTU_155</t>
  </si>
  <si>
    <t>Coprobacter</t>
  </si>
  <si>
    <t>OTU_222</t>
  </si>
  <si>
    <t>OTU_203</t>
  </si>
  <si>
    <t>OTU_185</t>
  </si>
  <si>
    <t>Acetanaerobacterium</t>
  </si>
  <si>
    <t>Acetanaerobacterium_elongatum_(T)_Z7_(AY487928)</t>
  </si>
  <si>
    <t>OTU_151</t>
  </si>
  <si>
    <t>Aminobacterium_colombiense_strain_DSM_12261_(NR_074624.1)</t>
  </si>
  <si>
    <t>OTU_180</t>
  </si>
  <si>
    <t>OTU_152</t>
  </si>
  <si>
    <t>OTU_159</t>
  </si>
  <si>
    <t>Enterobacteriales</t>
  </si>
  <si>
    <t>Enterobacteriaceae</t>
  </si>
  <si>
    <t>Citrobacter</t>
  </si>
  <si>
    <t>Citrobacter_sedlakii_(T)_CDC_4696-86_(AF025364)</t>
  </si>
  <si>
    <t>OTU_213</t>
  </si>
  <si>
    <t>Thermotogae</t>
  </si>
  <si>
    <t>Kosmotogales</t>
  </si>
  <si>
    <t>Kosmotogaceae</t>
  </si>
  <si>
    <t>Mesotoga</t>
  </si>
  <si>
    <t>Thermotogales_bacterium_MesG1Ag4.2.16S.B_(HM003109)</t>
  </si>
  <si>
    <t>OTU_179</t>
  </si>
  <si>
    <t>Sedimentibacter</t>
  </si>
  <si>
    <t>Sedimentibacter_saalensis_(T)_ZF2_(AJ404680)</t>
  </si>
  <si>
    <t>OTU_173</t>
  </si>
  <si>
    <t>Alkaliphilus_crotonatoxidans_(T)_B11-2_(AF467248)</t>
  </si>
  <si>
    <t>OTU_165</t>
  </si>
  <si>
    <t>Thermoanaerobacter_thermocopriae_(T)_JT-3T_(L09167)</t>
  </si>
  <si>
    <t>OTU_160</t>
  </si>
  <si>
    <t>Desulfuromonas_thiophila_(T)_NZ27_(DSMZ_8987)_(Y11560)</t>
  </si>
  <si>
    <t>OTU_162</t>
  </si>
  <si>
    <t>Calditerricola_yamamurae_(T)_YMO722_(AB308475)</t>
  </si>
  <si>
    <t>OTU_150</t>
  </si>
  <si>
    <t>OTU_171</t>
  </si>
  <si>
    <t>OTU_193</t>
  </si>
  <si>
    <t>OTU_164</t>
  </si>
  <si>
    <t>Defluviitalea_saccharophila_(T)_LIND6LT2_(HQ020487)</t>
  </si>
  <si>
    <t>OTU_207</t>
  </si>
  <si>
    <t>Levilinea_saccharolytica_(T)_KIBI-1_(AB109439)</t>
  </si>
  <si>
    <t>OTU_186</t>
  </si>
  <si>
    <t>OTU_219</t>
  </si>
  <si>
    <t>Streptomyces_cinereorectus_(T)_NBRC_15395_(AB184646)</t>
  </si>
  <si>
    <t>OTU_201</t>
  </si>
  <si>
    <t>Methanomicrobiaceae</t>
  </si>
  <si>
    <t>Methanofollis</t>
  </si>
  <si>
    <t>Methanofollis_tationis_(T)_DSM_2702_(AF095272)</t>
  </si>
  <si>
    <t>OTU_168</t>
  </si>
  <si>
    <t>Clostridiales_Incertae Sedis XIV</t>
  </si>
  <si>
    <t>Anaerobranca</t>
  </si>
  <si>
    <t>Anaerobranca_zavarzinii_(T)_JW/VK-KS5Y_(EF190921)</t>
  </si>
  <si>
    <t>OTU_204</t>
  </si>
  <si>
    <t>OTU_178</t>
  </si>
  <si>
    <t>OTU_183</t>
  </si>
  <si>
    <t>OTU_210</t>
  </si>
  <si>
    <t>OTU_191</t>
  </si>
  <si>
    <t>OTU_216</t>
  </si>
  <si>
    <t>uncultured_candidate_division_BRC1_bacterium_LD1-PA21_(AY114315)</t>
  </si>
  <si>
    <t>OTU_181</t>
  </si>
  <si>
    <t>Methylocystaceae</t>
  </si>
  <si>
    <t>Pleomorphomonas</t>
  </si>
  <si>
    <t>Pleomorphomonas_diazotrophica_R5-392_(JQ346801)</t>
  </si>
  <si>
    <t>OTU_175</t>
  </si>
  <si>
    <t>OTU_187</t>
  </si>
  <si>
    <t>Pseudobacteroides_cellulosolvens_(L35517)</t>
  </si>
  <si>
    <t>OTU_212</t>
  </si>
  <si>
    <t>Lutispora_thermophila_(T)_EBR46_(AB186360)</t>
  </si>
  <si>
    <t>OTU_166</t>
  </si>
  <si>
    <t>Phyllobacteriaceae</t>
  </si>
  <si>
    <t>Mesorhizobium_camelthorni_(T)_CCNWXJ40-4_(EU169581)</t>
  </si>
  <si>
    <t>OTU_205</t>
  </si>
  <si>
    <t>Methanoregula</t>
  </si>
  <si>
    <t>Methanoregula_formicica_(T)_SMSP_(AB479390)</t>
  </si>
  <si>
    <t>OTU_182</t>
  </si>
  <si>
    <t>OTU_192</t>
  </si>
  <si>
    <t>OTU_208</t>
  </si>
  <si>
    <t>OTU_223</t>
  </si>
  <si>
    <t>Acidobacteria_Gp23</t>
  </si>
  <si>
    <t>Gp23</t>
  </si>
  <si>
    <t>uncultured_bacterium_FW34_(AF523981)</t>
  </si>
  <si>
    <t>OTU_198</t>
  </si>
  <si>
    <t>OTU_190</t>
  </si>
  <si>
    <t>Lachnospiraceae</t>
  </si>
  <si>
    <t>Clostridium XlVa</t>
  </si>
  <si>
    <t>Clostridium_saccharolyticum_(T)_DSM_2544_(Y18185)</t>
  </si>
  <si>
    <t>OTU_224</t>
  </si>
  <si>
    <t>OTU_214</t>
  </si>
  <si>
    <t>Thermoanaerobaculum</t>
  </si>
  <si>
    <t>OTU_217</t>
  </si>
  <si>
    <t>Procabacteriales</t>
  </si>
  <si>
    <t>Procabacteriaceae</t>
  </si>
  <si>
    <t>Candidatus Procabacter</t>
  </si>
  <si>
    <t>Candidatus_Procabacter_acanthamoebae_(AF177427)</t>
  </si>
  <si>
    <t>OTU_174</t>
  </si>
  <si>
    <t>OTU_189</t>
  </si>
  <si>
    <t>Dehalobacter_restrictus_(T)_PER-K23_(U84497)</t>
  </si>
  <si>
    <t>OTU_200</t>
  </si>
  <si>
    <t>Clostridium_lavalense_(T)_CCRI-9842_(EF564277)</t>
  </si>
  <si>
    <t>OTU_218</t>
  </si>
  <si>
    <t>Desulfurispora_thermophila_(T)_RA50E1_(AY548776)</t>
  </si>
  <si>
    <t>OTU_195</t>
  </si>
  <si>
    <t>uncultured_soil_bacterium_PBS-III-27_(AJ390456)</t>
  </si>
  <si>
    <t>OTU_199</t>
  </si>
  <si>
    <t>OTU_220</t>
  </si>
  <si>
    <t>Cloacimonetes</t>
  </si>
  <si>
    <t>Candidatus Cloacamonas</t>
  </si>
  <si>
    <t>Candidatus_Cloacimonas_acidaminovorans_str._Evry_(CU466930)</t>
  </si>
  <si>
    <t>OTU_194</t>
  </si>
  <si>
    <t>Saccharofermentans</t>
  </si>
  <si>
    <t>Saccharofermentans_acetigenes_(T)_P6_(AY949857)</t>
  </si>
  <si>
    <t>OTU_197</t>
  </si>
  <si>
    <t>Moraxellaceae</t>
  </si>
  <si>
    <t>Acinetobacter</t>
  </si>
  <si>
    <t>Acinetobacter_indicus_(T)_A648_(HM047743)</t>
  </si>
  <si>
    <t>OTU_225</t>
  </si>
  <si>
    <t>Burkholderiales</t>
  </si>
  <si>
    <t>Comamonadaceae</t>
  </si>
  <si>
    <t>Hydrogenophaga</t>
  </si>
  <si>
    <t>Hydrogenophaga_defluvii_(T)_type_strain:_BSB_9.5_(AJ585993)</t>
  </si>
  <si>
    <t>OTU_209</t>
  </si>
  <si>
    <t>OTU_215</t>
  </si>
  <si>
    <t>Bacteroides</t>
  </si>
  <si>
    <t>Bacteroides_acidifaciens_(T)_A40_(AB021164)</t>
  </si>
  <si>
    <t>OTU_31</t>
  </si>
  <si>
    <t>OTU_64</t>
  </si>
  <si>
    <t>Paenibacillus_phyllosphaerae_(T)_PALXIL04_(AY598818)</t>
  </si>
  <si>
    <t>.</t>
  </si>
  <si>
    <t>Conf.</t>
  </si>
  <si>
    <t>Thermosinus_carboxydivorans_strain_DSM_14886_(NR_117166.1)</t>
  </si>
  <si>
    <t>Spirochaeta_bajacaliforniensis_(T)_type_strain_DSM_16054_(AJ698859)</t>
  </si>
  <si>
    <t>Caldicoprobacter_oshimai_(T)_JW/HY-331_(AB450762)</t>
  </si>
  <si>
    <t>Thermoanaerobacter_pseudethanolicus_ATCC_33223_(CP000924)</t>
  </si>
  <si>
    <t>Clostridiaceae 4</t>
  </si>
  <si>
    <t>Geosporobacter</t>
  </si>
  <si>
    <t>Geosporobacter_ferrireducens_strain_IRF9_(NR_148302.1)</t>
  </si>
  <si>
    <t>Clostridium_thermosuccinogenes_(T)_DSM_5807_(Y18180)</t>
  </si>
  <si>
    <t>Desulfomicrobium_apsheronum_(T)_DSM_5918_(U64865)</t>
  </si>
  <si>
    <t>Dethiosulfatibacter</t>
  </si>
  <si>
    <t>% in amplicon</t>
  </si>
  <si>
    <t>cumulative</t>
  </si>
  <si>
    <t>amplicon</t>
  </si>
  <si>
    <t>WGS extended</t>
  </si>
  <si>
    <t>Spades</t>
  </si>
  <si>
    <t>Spades 16S</t>
  </si>
  <si>
    <t>Fav95</t>
  </si>
  <si>
    <t>Tal69</t>
  </si>
  <si>
    <t>Pedomicrobium_manganicum_(T)_ATCC_33121_(GU269549)</t>
  </si>
  <si>
    <t>Crosstalk?</t>
  </si>
  <si>
    <t>% amplicon reads</t>
  </si>
  <si>
    <t>[Clostridium]_caenicola_strain_EBR596_(NR_126170.1)</t>
  </si>
  <si>
    <t>Methanobacterium_sp._MC-20_(JF812256)</t>
  </si>
  <si>
    <t>OTU_290</t>
  </si>
  <si>
    <t>Thermoplasmata</t>
  </si>
  <si>
    <t>Methanomassiliicoccales</t>
  </si>
  <si>
    <t>Methanomassiliicoccaceae</t>
  </si>
  <si>
    <t>Methanomassiliicoccus</t>
  </si>
  <si>
    <t>Methanomassiliicoccus_luminyensis_B10_(HQ896499)</t>
  </si>
  <si>
    <t>Methanoculleus</t>
  </si>
  <si>
    <t>Methanoculleus_hydrogenitrophicus_(T)_HC_(FJ977567)</t>
  </si>
  <si>
    <t>OTU_380</t>
  </si>
  <si>
    <t>Actinobacteridae</t>
  </si>
  <si>
    <t>Actinomycetales</t>
  </si>
  <si>
    <t>Micrococcineae</t>
  </si>
  <si>
    <t>Cellulomonadaceae</t>
  </si>
  <si>
    <t>Actinotalea</t>
  </si>
  <si>
    <t>Cellulomonas_carbonis_T26_(HQ702749)</t>
  </si>
  <si>
    <t>Syntrophomonas_wolfei_(T)_Goettingen_G311_(CP000448)</t>
  </si>
  <si>
    <t>OTU_375</t>
  </si>
  <si>
    <t>Bacillus_lehensis_(T)_MLB2_(AY793550)</t>
  </si>
  <si>
    <t>Clostridiales_Incertae Sedis XII</t>
  </si>
  <si>
    <t>Fusibacter</t>
  </si>
  <si>
    <t>Fusibacter_sp._LTF_Kr01_(KJ420408)</t>
  </si>
  <si>
    <t>OTU_361</t>
  </si>
  <si>
    <t>Planctomycetes</t>
  </si>
  <si>
    <t>Planctomycetia</t>
  </si>
  <si>
    <t>Planctomycetales</t>
  </si>
  <si>
    <t>Planctomycetaceae</t>
  </si>
  <si>
    <t>Thermogutta</t>
  </si>
  <si>
    <t>Planctomycetes_bacterium_R1_(KC867694)</t>
  </si>
  <si>
    <t>Oxobacter_pfennigii_(T)_DSM_3222_(X77838)</t>
  </si>
  <si>
    <t>OTU_425</t>
  </si>
  <si>
    <t>Anaerobranca_gottschalkii_(T)_(AF203703)</t>
  </si>
  <si>
    <t>Desulfotomaculum</t>
  </si>
  <si>
    <t>Desulfotomaculum_indicum_A5LFS102_(AM184185)</t>
  </si>
  <si>
    <t>Desulfonatronaceae</t>
  </si>
  <si>
    <t>Desulfonatronum</t>
  </si>
  <si>
    <t>Desulfonatronum_cooperativum_(T)_Z-7999_(AY725424)</t>
  </si>
  <si>
    <t>Armatimonadetes</t>
  </si>
  <si>
    <t>Armatimonadetes_gp2</t>
  </si>
  <si>
    <t>uncultured_bacterium_KM22B-118_(AB300112)</t>
  </si>
  <si>
    <t>Burkholderiaceae</t>
  </si>
  <si>
    <t>Cupriavidus</t>
  </si>
  <si>
    <t>Cupriavidus_sp._ASC-64_(HQ438086)</t>
  </si>
  <si>
    <t>Paenibacillaceae 1</t>
  </si>
  <si>
    <t>Paenibacillus</t>
  </si>
  <si>
    <t>Paenibacillus_azoreducens_(T)_CM1_(AJ272249)</t>
  </si>
  <si>
    <t>Spirochaeta_americana_(T)_ASpG1,_ATCC_BAA-392,_DSM_14872_(AF373921)</t>
  </si>
  <si>
    <t>Desulfitobacterium_dehalogenans_(T)_JW/IU-DC1_(L28946)</t>
  </si>
  <si>
    <t>OTU_418</t>
  </si>
  <si>
    <t>Bacillaceae 1</t>
  </si>
  <si>
    <t>Bacillus</t>
  </si>
  <si>
    <t>Anaerobacillus_alkalilacustris_(T)_Z-0521_(DQ675454)</t>
  </si>
  <si>
    <t>OTU_412</t>
  </si>
  <si>
    <t>Desulfobacterales</t>
  </si>
  <si>
    <t>Desulfobacteraceae</t>
  </si>
  <si>
    <t>Desulfatiglans</t>
  </si>
  <si>
    <t>Desulfatiglans_parachlorophenolica_DS_(AB763347)</t>
  </si>
  <si>
    <t>Planifilum_sp._P8_(JN793954)</t>
  </si>
  <si>
    <t>Clostridium_clariflavum_(T)_EBR45_(AB186359)</t>
  </si>
  <si>
    <t>Desulfobulbaceae</t>
  </si>
  <si>
    <t>Desulfurivibrio</t>
  </si>
  <si>
    <t>Desulfurivibrio_alkaliphilus_(T)_AHT2_(EF422413)</t>
  </si>
  <si>
    <t>Mariniphaga</t>
  </si>
  <si>
    <t>Mariniphaga_anaerophila_Fu11-5_(AB921558)</t>
  </si>
  <si>
    <t>Desmospora_activa_(T)_type_strain:_IMMIB_L-1269_(AM940019)</t>
  </si>
  <si>
    <t>Desmospora_profundinema_strain_SCSIO_11154_(NR_136804.1)</t>
  </si>
  <si>
    <t>Anaerobacterium</t>
  </si>
  <si>
    <t>Bacillus_pseudalcaliphilus_(T)_DSM_8725_(X76449)</t>
  </si>
  <si>
    <t>Garciella_nitratireducens_(T)_Met_79;_DSM_15102;_CIP_107615_(AY176772)</t>
  </si>
  <si>
    <t>Syntrophomonas_sapovorans_(T)_(AF022249)</t>
  </si>
  <si>
    <t>uncultured_Acidobacteria_bacterium_T10.0063_(EF457317)</t>
  </si>
  <si>
    <t>Hydrogenedentes</t>
  </si>
  <si>
    <t>Candidatus Hydrogenedens</t>
  </si>
  <si>
    <t>uncultured_bacterium_NKB19_(AB013271)</t>
  </si>
  <si>
    <t>Erysipelotrichia</t>
  </si>
  <si>
    <t>Erysipelotrichales</t>
  </si>
  <si>
    <t>Erysipelotrichaceae</t>
  </si>
  <si>
    <t>Holdemania</t>
  </si>
  <si>
    <t>Anaerorhabdus_furcosa_(T)_T-301-A2_(GU585668)</t>
  </si>
  <si>
    <t>Ralstonia</t>
  </si>
  <si>
    <t>Ralstonia_syzygii_(T)_ATCC_49543_(AB021403)</t>
  </si>
  <si>
    <t>OTU_226</t>
  </si>
  <si>
    <t>Pelolinea</t>
  </si>
  <si>
    <t>Thermoanaerobacter_brockii_(T)_SEBR_5268_(U14330)</t>
  </si>
  <si>
    <t>OTU_266</t>
  </si>
  <si>
    <t>Syntrophobotulus</t>
  </si>
  <si>
    <t>Syntrophobotulus_glycolicus_DSM_8271_(T)_(CP002547)</t>
  </si>
  <si>
    <t>OTU_237</t>
  </si>
  <si>
    <t>Latescibacteria</t>
  </si>
  <si>
    <t>Latescibacteria_genera_incertae_sedis</t>
  </si>
  <si>
    <t>uncultured_candidate_division_WS3_bacterium_LD1-PA30_(AY114319)</t>
  </si>
  <si>
    <t>OTU_255</t>
  </si>
  <si>
    <t>Clostridiales_Incertae Sedis XIII</t>
  </si>
  <si>
    <t>Anaerovorax</t>
  </si>
  <si>
    <t>Anaerovorax_odorimutans_(T)_NorPut_(AJ251215)</t>
  </si>
  <si>
    <t>OTU_419</t>
  </si>
  <si>
    <t>Desulfobacterium_anilini_(T)_DSM_4660_(AJ237601)</t>
  </si>
  <si>
    <t>Cryomorphaceae</t>
  </si>
  <si>
    <t>OTU_263</t>
  </si>
  <si>
    <t>Thermincola</t>
  </si>
  <si>
    <t>OTU_236</t>
  </si>
  <si>
    <t>OTU_438</t>
  </si>
  <si>
    <t>Methanobacterium_beijingense_(T)_8-2_(AY350742)</t>
  </si>
  <si>
    <t>OTU_264</t>
  </si>
  <si>
    <t>Thalassiella_azotivora_strain_DSD2_(NR_146830.1)</t>
  </si>
  <si>
    <t>OTU_238</t>
  </si>
  <si>
    <t>OTU_230</t>
  </si>
  <si>
    <t>Erysipelothrix_inopinata_(T)_143-02_(AJ550617)</t>
  </si>
  <si>
    <t>candidate_division_OP9_clone_OPB47_(AF027082)</t>
  </si>
  <si>
    <t>OTU_246</t>
  </si>
  <si>
    <t>OTU_251</t>
  </si>
  <si>
    <t>OTU_285</t>
  </si>
  <si>
    <t>uncultured_bacterium_GAB-B06_(AB183862)</t>
  </si>
  <si>
    <t>OTU_229</t>
  </si>
  <si>
    <t>OTU_227</t>
  </si>
  <si>
    <t>OTU_234</t>
  </si>
  <si>
    <t>OTU_363</t>
  </si>
  <si>
    <t>OTU_235</t>
  </si>
  <si>
    <t>Christensenella_timonensis_strain_Marseille-P2437_(NR_144743.1)</t>
  </si>
  <si>
    <t>OTU_244</t>
  </si>
  <si>
    <t>OTU_231</t>
  </si>
  <si>
    <t>Thermomicrobia</t>
  </si>
  <si>
    <t>Sphaerobacteridae</t>
  </si>
  <si>
    <t>Sphaerobacterales</t>
  </si>
  <si>
    <t>Sphaerobacterineae</t>
  </si>
  <si>
    <t>Sphaerobacteraceae</t>
  </si>
  <si>
    <t>Nitrolancea</t>
  </si>
  <si>
    <t>uncultured_Acidobacteria_bacterium_RP16.0057_(EF457480)</t>
  </si>
  <si>
    <t>OTU_242</t>
  </si>
  <si>
    <t>OTU_228</t>
  </si>
  <si>
    <t>OTU_311</t>
  </si>
  <si>
    <t>Bacillus_depressus_strain_BZ1_(NR_146034.1)</t>
  </si>
  <si>
    <t>OTU_260</t>
  </si>
  <si>
    <t>OTU_292</t>
  </si>
  <si>
    <t>OTU_240</t>
  </si>
  <si>
    <t>Dehalogenimonas_alkenigignens_IP3-3_(JQ994266)</t>
  </si>
  <si>
    <t>OTU_248</t>
  </si>
  <si>
    <t>OTU_265</t>
  </si>
  <si>
    <t>Desulfotomaculum_ruminis_(T)_DSM_2154_(Y11572)</t>
  </si>
  <si>
    <t>OTU_245</t>
  </si>
  <si>
    <t>Brassicibacter_thermophilus_strain_Cel2f_(NR_137216.1)</t>
  </si>
  <si>
    <t>OTU_233</t>
  </si>
  <si>
    <t>OTU_252</t>
  </si>
  <si>
    <t>OTU_261</t>
  </si>
  <si>
    <t>OTU_270</t>
  </si>
  <si>
    <t>OTU_249</t>
  </si>
  <si>
    <t>Carboxydocella_manganica_SLM61_(GU584133)</t>
  </si>
  <si>
    <t>OTU_243</t>
  </si>
  <si>
    <t>OTU_247</t>
  </si>
  <si>
    <t>OTU_241</t>
  </si>
  <si>
    <t>OTU_257</t>
  </si>
  <si>
    <t>Anaerofustis</t>
  </si>
  <si>
    <t>Anaerofustis_stercorihominis_(T)_type_strain:_wal_14563_(AJ518871)</t>
  </si>
  <si>
    <t>OTU_271</t>
  </si>
  <si>
    <t>OTU_254</t>
  </si>
  <si>
    <t>OTU_258</t>
  </si>
  <si>
    <t>OTU_250</t>
  </si>
  <si>
    <t>OTU_239</t>
  </si>
  <si>
    <t>Clostridium_thermopalmarium_(T)_(X72869)</t>
  </si>
  <si>
    <t>OTU_259</t>
  </si>
  <si>
    <t>OTU_313</t>
  </si>
  <si>
    <t>OTU_282</t>
  </si>
  <si>
    <t>OTU_253</t>
  </si>
  <si>
    <t>OTU_277</t>
  </si>
  <si>
    <t>OTU_232</t>
  </si>
  <si>
    <t>Intestinimonas_butyriciproducens_SRB-521-5-I_(KC311367)</t>
  </si>
  <si>
    <t>OTU_273</t>
  </si>
  <si>
    <t>Shinella_daejeonensis_(T)_MJ02_(GQ241319)</t>
  </si>
  <si>
    <t>OTU_267</t>
  </si>
  <si>
    <t>OTU_305</t>
  </si>
  <si>
    <t>Bacillus_dakarensis_strain_Marseille-P3515_(NR_147382.1)</t>
  </si>
  <si>
    <t>OTU_268</t>
  </si>
  <si>
    <t>OTU_316</t>
  </si>
  <si>
    <t>OTU_280</t>
  </si>
  <si>
    <t>OTU_275</t>
  </si>
  <si>
    <t>OTU_276</t>
  </si>
  <si>
    <t>OTU_291</t>
  </si>
  <si>
    <t>OTU_269</t>
  </si>
  <si>
    <t>OTU_294</t>
  </si>
  <si>
    <t>Helicobacteraceae</t>
  </si>
  <si>
    <t>Helicobacter</t>
  </si>
  <si>
    <t>Helicobacter_ganmani_(T)_CMRI_H02_(AF000221)</t>
  </si>
  <si>
    <t>OTU_272</t>
  </si>
  <si>
    <t>OTU_283</t>
  </si>
  <si>
    <t>Cytophaga_sp._MEBiC07026_(JQ672625)</t>
  </si>
  <si>
    <t>OTU_287</t>
  </si>
  <si>
    <t>OTU_274</t>
  </si>
  <si>
    <t>OTU_279</t>
  </si>
  <si>
    <t>OTU_256</t>
  </si>
  <si>
    <t>OTU_303</t>
  </si>
  <si>
    <t>OTU_278</t>
  </si>
  <si>
    <t>Aminomonas</t>
  </si>
  <si>
    <t>Aminomonas_paucivorans_(T)_GLU-3_(AF072581)</t>
  </si>
  <si>
    <t>OTU_289</t>
  </si>
  <si>
    <t>Desulfovibrio_vulgaris_(T)_DSM_644_(AF418179)</t>
  </si>
  <si>
    <t>OTU_314</t>
  </si>
  <si>
    <t>OTU_284</t>
  </si>
  <si>
    <t>OTU_262</t>
  </si>
  <si>
    <t>OTU_302</t>
  </si>
  <si>
    <t>OTU_304</t>
  </si>
  <si>
    <t>OTU_288</t>
  </si>
  <si>
    <t>Novibacillus_thermophilus_strain_SG-1_(NR_136797.1)</t>
  </si>
  <si>
    <t>OTU_307</t>
  </si>
  <si>
    <t>Syntrophomonas_cellicola_strain_19J-3_(DQ288691)</t>
  </si>
  <si>
    <t>OTU_295</t>
  </si>
  <si>
    <t>OTU_318</t>
  </si>
  <si>
    <t>Methanolobus</t>
  </si>
  <si>
    <t>Methanolobus_psychrophilus_strain_R15_(NR_102921.1)</t>
  </si>
  <si>
    <t>OTU_293</t>
  </si>
  <si>
    <t>Clostridium_botulinum_(T)_(L37585)</t>
  </si>
  <si>
    <t>OTU_308</t>
  </si>
  <si>
    <t>OTU_286</t>
  </si>
  <si>
    <t>OTU_320</t>
  </si>
  <si>
    <t>OTU_312</t>
  </si>
  <si>
    <t>OTU_301</t>
  </si>
  <si>
    <t>OTU_354</t>
  </si>
  <si>
    <t>Saccharicrinis_marinus_strain_Y11_(NR_137404.1)</t>
  </si>
  <si>
    <t>OTU_352</t>
  </si>
  <si>
    <t>OTU_297</t>
  </si>
  <si>
    <t>OTU_315</t>
  </si>
  <si>
    <t>Acholeplasma_equifetale_(T)_C112_(AY538165)</t>
  </si>
  <si>
    <t>OTU_299</t>
  </si>
  <si>
    <t>Prevotellaceae</t>
  </si>
  <si>
    <t>Alloprevotella</t>
  </si>
  <si>
    <t>Alloprevotella_rava_(T)_81/4-12_(JQ039189)</t>
  </si>
  <si>
    <t>OTU_281</t>
  </si>
  <si>
    <t>OTU_333</t>
  </si>
  <si>
    <t>Sediminispirochaeta_sinaica_strain_SL_(NR_145581.1)</t>
  </si>
  <si>
    <t>OTU_306</t>
  </si>
  <si>
    <t>Clostridiales_incertae_sedis</t>
  </si>
  <si>
    <t>Proteiniborus</t>
  </si>
  <si>
    <t>Proteiniborus_ethanoligenes_(T)_GW_(EF116488)</t>
  </si>
  <si>
    <t>OTU_300</t>
  </si>
  <si>
    <t>Thermobispora_bispora_strain_DSM_43833_(NR_074680.1)</t>
  </si>
  <si>
    <t>OTU_346</t>
  </si>
  <si>
    <t>OTU_296</t>
  </si>
  <si>
    <t>OTU_298</t>
  </si>
  <si>
    <t>OTU_369</t>
  </si>
  <si>
    <t>OTU_348</t>
  </si>
  <si>
    <t>Clostridium_populeti_(T)_ATCC_35295_(X71853)</t>
  </si>
  <si>
    <t>OTU_372</t>
  </si>
  <si>
    <t>Intestinimonas</t>
  </si>
  <si>
    <t>OTU_309</t>
  </si>
  <si>
    <t>OTU_317</t>
  </si>
  <si>
    <t>OTU_310</t>
  </si>
  <si>
    <t>OTU_342</t>
  </si>
  <si>
    <t>OTU_359</t>
  </si>
  <si>
    <t>OTU_339</t>
  </si>
  <si>
    <t>Deltaproteobacteria_incertae_sedis</t>
  </si>
  <si>
    <t>Deferrisoma</t>
  </si>
  <si>
    <t>Deferrisoma_camini_S3R1_(JF802205)</t>
  </si>
  <si>
    <t>OTU_376</t>
  </si>
  <si>
    <t>Anaerolinea_thermophila_(T)_UNI-1_(AB046413)</t>
  </si>
  <si>
    <t>OTU_351</t>
  </si>
  <si>
    <t>OTU_328</t>
  </si>
  <si>
    <t>OTU_327</t>
  </si>
  <si>
    <t>OTU_334</t>
  </si>
  <si>
    <t>OTU_329</t>
  </si>
  <si>
    <t>Anaerolinea</t>
  </si>
  <si>
    <t>Anaerolinea_thermolimosa_(T)_IMO-1_(AB109437)</t>
  </si>
  <si>
    <t>OTU_382</t>
  </si>
  <si>
    <t>Turicibacter</t>
  </si>
  <si>
    <t>Turicibacter_sanguinis_(T)_(AF349724)</t>
  </si>
  <si>
    <t>OTU_384</t>
  </si>
  <si>
    <t>OTU_336</t>
  </si>
  <si>
    <t>OTU_337</t>
  </si>
  <si>
    <t>OTU_324</t>
  </si>
  <si>
    <t>Sporichthya_polymorpha_(T)_IFO_12702_(AB025317)</t>
  </si>
  <si>
    <t>OTU_323</t>
  </si>
  <si>
    <t>OTU_394</t>
  </si>
  <si>
    <t>Clostridium_carnis_strain_ATCC_25777_(M59091)</t>
  </si>
  <si>
    <t>OTU_319</t>
  </si>
  <si>
    <t>Phycisphaerae</t>
  </si>
  <si>
    <t>OTU_371</t>
  </si>
  <si>
    <t>OTU_331</t>
  </si>
  <si>
    <t>OTU_360</t>
  </si>
  <si>
    <t>Subdivision3</t>
  </si>
  <si>
    <t>Subdivision3_genera_incertae_sedis</t>
  </si>
  <si>
    <t>bacterium_Ellin5102_(T)_(AY234519)</t>
  </si>
  <si>
    <t>OTU_340</t>
  </si>
  <si>
    <t>OTU_325</t>
  </si>
  <si>
    <t>OTU_345</t>
  </si>
  <si>
    <t>OTU_332</t>
  </si>
  <si>
    <t>OTU_326</t>
  </si>
  <si>
    <t>Barnesiella</t>
  </si>
  <si>
    <t>OTU_400</t>
  </si>
  <si>
    <t>OTU_441</t>
  </si>
  <si>
    <t>OTU_349</t>
  </si>
  <si>
    <t>OTU_392</t>
  </si>
  <si>
    <t>OTU_343</t>
  </si>
  <si>
    <t>Marinilabiliaceae</t>
  </si>
  <si>
    <t>Mangroviflexus</t>
  </si>
  <si>
    <t>Mangroviflexus_xiamenensis_(T)_P2_(HQ697914)</t>
  </si>
  <si>
    <t>OTU_368</t>
  </si>
  <si>
    <t>OTU_321</t>
  </si>
  <si>
    <t>Desulfovirga_adipica_(T)_TsuA1_(AJ237605)</t>
  </si>
  <si>
    <t>OTU_388</t>
  </si>
  <si>
    <t>OTU_322</t>
  </si>
  <si>
    <t>OTU_366</t>
  </si>
  <si>
    <t>OTU_379</t>
  </si>
  <si>
    <t>OTU_362</t>
  </si>
  <si>
    <t>OTU_330</t>
  </si>
  <si>
    <t>Clostridium IV</t>
  </si>
  <si>
    <t>Clostridium_jeddahense_strain_JCD_(NR_144697.1)</t>
  </si>
  <si>
    <t>OTU_350</t>
  </si>
  <si>
    <t>OTU_397</t>
  </si>
  <si>
    <t>Blautia_faecis_(T)_M25_(HM626178)</t>
  </si>
  <si>
    <t>OTU_373</t>
  </si>
  <si>
    <t>OTU_389</t>
  </si>
  <si>
    <t>OTU_335</t>
  </si>
  <si>
    <t>OTU_398</t>
  </si>
  <si>
    <t>OTU_402</t>
  </si>
  <si>
    <t>Lactobacillus_reuteri_strain_DSM_20016_(NR_075036.1)</t>
  </si>
  <si>
    <t>OTU_358</t>
  </si>
  <si>
    <t>Desulfococcus_multivorans_(T)_DSM_2059_(AF418173)</t>
  </si>
  <si>
    <t>OTU_450</t>
  </si>
  <si>
    <t>Gaiellales</t>
  </si>
  <si>
    <t>Gaiellaceae</t>
  </si>
  <si>
    <t>Gaiella</t>
  </si>
  <si>
    <t>OTU_383</t>
  </si>
  <si>
    <t>OTU_430</t>
  </si>
  <si>
    <t>Desulfovibrio_desulfuricans_(T)_ATCC_29577;_Essex_6_(AF192153)</t>
  </si>
  <si>
    <t>OTU_428</t>
  </si>
  <si>
    <t>OTU_355</t>
  </si>
  <si>
    <t>Desulfocurvus</t>
  </si>
  <si>
    <t>Desulfocurvus_vexinensis_(T)_VNs36_(DQ841177)</t>
  </si>
  <si>
    <t>OTU_387</t>
  </si>
  <si>
    <t>Chryseobacterium_caeni_(T)_N4_(DQ336714)</t>
  </si>
  <si>
    <t>OTU_353</t>
  </si>
  <si>
    <t>OTU_344</t>
  </si>
  <si>
    <t>Christensenella_massiliensis_strain_Marseille-P2438_(NR_144742.1)</t>
  </si>
  <si>
    <t>OTU_365</t>
  </si>
  <si>
    <t>Oxobacter_pfennigii_strain_DSM_3222_(NR_117688.2)</t>
  </si>
  <si>
    <t>OTU_374</t>
  </si>
  <si>
    <t>OTU_435</t>
  </si>
  <si>
    <t>OTU_356</t>
  </si>
  <si>
    <t>BRC1</t>
  </si>
  <si>
    <t>BRC1_genera_incertae_sedis</t>
  </si>
  <si>
    <t>uncultured_candidate_division_BRC1_bacterium_LD1-PA27_(AY114318)</t>
  </si>
  <si>
    <t>OTU_401</t>
  </si>
  <si>
    <t>OTU_367</t>
  </si>
  <si>
    <t>Thermoactinomycetaceae_bacterium_R4S8_(KJ206288)</t>
  </si>
  <si>
    <t>OTU_446</t>
  </si>
  <si>
    <t>OTU_429</t>
  </si>
  <si>
    <t>Sutterellaceae</t>
  </si>
  <si>
    <t>Parasutterella</t>
  </si>
  <si>
    <t>Parasutterella_excrementihominis_(T)_YIT_11859_(=_JCM_15078,_=_DSM_21040)_(AB370250)</t>
  </si>
  <si>
    <t>OTU_415</t>
  </si>
  <si>
    <t>OTU_338</t>
  </si>
  <si>
    <t>OTU_391</t>
  </si>
  <si>
    <t>Staphylococcaceae</t>
  </si>
  <si>
    <t>Staphylococcus</t>
  </si>
  <si>
    <t>Staphylococcus_petrasii_subsp._croceilyticus_MCC10046_(AY953148)</t>
  </si>
  <si>
    <t>OTU_417</t>
  </si>
  <si>
    <t>OTU_341</t>
  </si>
  <si>
    <t>Delftia</t>
  </si>
  <si>
    <t>Delftia_tsuruhatensis_(T)_T7_(AB075017)</t>
  </si>
  <si>
    <t>OTU_445</t>
  </si>
  <si>
    <t>OTU_347</t>
  </si>
  <si>
    <t>Thermohydrogenium</t>
  </si>
  <si>
    <t>Thermoanaerobacterium_thermosaccharolyticum_type_strain:_CECT_5852_(FR870449)</t>
  </si>
  <si>
    <t>OTU_378</t>
  </si>
  <si>
    <t>OTU_364</t>
  </si>
  <si>
    <t>OTU_357</t>
  </si>
  <si>
    <t>Caldilinea_tarbellica_D1-25-10-4_(HM134893)</t>
  </si>
  <si>
    <t>OTU_390</t>
  </si>
  <si>
    <t>OTU_427</t>
  </si>
  <si>
    <t>OTU_406</t>
  </si>
  <si>
    <t>OTU_381</t>
  </si>
  <si>
    <t>Ruminococcus</t>
  </si>
  <si>
    <t>Ruminococcus_champanellensis_18P13_type_strain:_18P13_(AJ515913)</t>
  </si>
  <si>
    <t>OTU_399</t>
  </si>
  <si>
    <t>Clostridium_aerotolerans_(T)_DSM_5434_(X76163)</t>
  </si>
  <si>
    <t>OTU_396</t>
  </si>
  <si>
    <t>OTU_404</t>
  </si>
  <si>
    <t>Desulfatibacillum</t>
  </si>
  <si>
    <t>Desulfatibacillum_alkenivorans_(T)_PF2803_(AY493562)</t>
  </si>
  <si>
    <t>OTU_437</t>
  </si>
  <si>
    <t>Rikenellaceae</t>
  </si>
  <si>
    <t>Alistipes</t>
  </si>
  <si>
    <t>Alistipes_onderdonkii_(T)_WAL_8169_(AY974071)</t>
  </si>
  <si>
    <t>OTU_416</t>
  </si>
  <si>
    <t>OTU_423</t>
  </si>
  <si>
    <t>Selenomonas_bovis_(T)_WG_(EF139191)</t>
  </si>
  <si>
    <t>OTU_370</t>
  </si>
  <si>
    <t>Eubacterium_siraeum_strain_ATCC_29066_(L34625)</t>
  </si>
  <si>
    <t>OTU_444</t>
  </si>
  <si>
    <t>OTU_413</t>
  </si>
  <si>
    <t>OTU_436</t>
  </si>
  <si>
    <t>OTU_426</t>
  </si>
  <si>
    <t>OTU_407</t>
  </si>
  <si>
    <t>Numidum_massiliense_strain_mt3_(NR_144715.1)</t>
  </si>
  <si>
    <t>OTU_434</t>
  </si>
  <si>
    <t>OTU_403</t>
  </si>
  <si>
    <t>OTU_424</t>
  </si>
  <si>
    <t>Clostridium_termitidis_(T)_type_strain:_DSM5398_(FR733680)</t>
  </si>
  <si>
    <t>OTU_447</t>
  </si>
  <si>
    <t>OTU_451</t>
  </si>
  <si>
    <t>Helicobacter_hepaticus_(T)_Hh-2_(U07574)</t>
  </si>
  <si>
    <t>OTU_414</t>
  </si>
  <si>
    <t>Methanocalculus_halotolerans_(T)_SEBR_4845_(AF033672)</t>
  </si>
  <si>
    <t>OTU_440</t>
  </si>
  <si>
    <t>OTU_409</t>
  </si>
  <si>
    <t>OTU_408</t>
  </si>
  <si>
    <t>Bacteroides_stercoris_(T)_type_strain:_ATCC_43183_(X83953)</t>
  </si>
  <si>
    <t>OTU_433</t>
  </si>
  <si>
    <t>OTU_385</t>
  </si>
  <si>
    <t>Bradyrhizobiaceae</t>
  </si>
  <si>
    <t>Bradyrhizobium</t>
  </si>
  <si>
    <t>Bradyrhizobium_sp._BR_10250_(KF927043)</t>
  </si>
  <si>
    <t>OTU_386</t>
  </si>
  <si>
    <t>Eubacterium_rectale_(T)_(L34627)</t>
  </si>
  <si>
    <t>OTU_377</t>
  </si>
  <si>
    <t>Roseburia_faecis_(T)_M72/1_(AY305310)</t>
  </si>
  <si>
    <t>OTU_393</t>
  </si>
  <si>
    <t>OTU_411</t>
  </si>
  <si>
    <t>Carboxydocella_thermautotrophica_(T)_41_(AY061974)</t>
  </si>
  <si>
    <t>OTU_395</t>
  </si>
  <si>
    <t>Nitriliruptoridae</t>
  </si>
  <si>
    <t>Nitriliruptorales</t>
  </si>
  <si>
    <t>Nitriliruptoraceae</t>
  </si>
  <si>
    <t>Nitriliruptor</t>
  </si>
  <si>
    <t>Nitriliruptor_alkaliphilus_(T)_ANL-iso2_(EF422408)</t>
  </si>
  <si>
    <t>OTU_431</t>
  </si>
  <si>
    <t>Desulfonatronobacter</t>
  </si>
  <si>
    <t>Desulfonatronobacter_acidivorans_APT2_(GU289732)</t>
  </si>
  <si>
    <t>OTU_439</t>
  </si>
  <si>
    <t>OTU_410</t>
  </si>
  <si>
    <t>Dehalococcoides_mccartyi_(T)_195_(CP000027)</t>
  </si>
  <si>
    <t>OTU_405</t>
  </si>
  <si>
    <t>Caldilineae</t>
  </si>
  <si>
    <t>Caldilineales</t>
  </si>
  <si>
    <t>Caldilineaceae</t>
  </si>
  <si>
    <t>Litorilinea</t>
  </si>
  <si>
    <t>Litorilinea_aerophila_(T)_PRI-4131_(JQ733906)</t>
  </si>
  <si>
    <t>OTU_432</t>
  </si>
  <si>
    <t>OTU_449</t>
  </si>
  <si>
    <t>OTU_422</t>
  </si>
  <si>
    <t>OTU_420</t>
  </si>
  <si>
    <t>Rikenella</t>
  </si>
  <si>
    <t>Millionella_massiliensis_strain_Marseille-P3215_(NR_147368.1)</t>
  </si>
  <si>
    <t>OTU_421</t>
  </si>
  <si>
    <t>OTU_443</t>
  </si>
  <si>
    <t>Clostridium_sp._UB-B.2_(HE603919)</t>
  </si>
  <si>
    <t>OTU_448</t>
  </si>
  <si>
    <t>Clostridium_asparagiforme_(T)_N6_(AJ582080)</t>
  </si>
  <si>
    <t>OTU_442</t>
  </si>
  <si>
    <t>Ammonifex_thiophilus_(T)_SR_(EF554597)</t>
  </si>
  <si>
    <t>Overall %</t>
  </si>
  <si>
    <t>WGS 'reads'</t>
  </si>
  <si>
    <t>`</t>
  </si>
  <si>
    <t>Coverage</t>
  </si>
  <si>
    <t>Depth</t>
  </si>
  <si>
    <t>WGS 'depth'</t>
  </si>
  <si>
    <t>Adjusted for poor WGS support (&lt;80% coverage), and well-supported WGS extensions.</t>
  </si>
  <si>
    <t>Adjustments</t>
  </si>
  <si>
    <t>A errors</t>
  </si>
  <si>
    <t>not in A</t>
  </si>
  <si>
    <t>SampleID</t>
  </si>
  <si>
    <t>k__Archaea</t>
  </si>
  <si>
    <t>k__Bacteria</t>
  </si>
  <si>
    <t>k__Archaea|p__Euryarchaeota</t>
  </si>
  <si>
    <t>k__Bacteria|p__Proteobacteria</t>
  </si>
  <si>
    <t>k__Bacteria|p__Actinobacteria</t>
  </si>
  <si>
    <t>k__Bacteria|p__Firmicutes</t>
  </si>
  <si>
    <t>k__Bacteria|p__Ignavibacteriae</t>
  </si>
  <si>
    <t>k__Archaea|p__Euryarchaeota|c__Methanobacteria</t>
  </si>
  <si>
    <t>k__Archaea|p__Euryarchaeota|c__Methanomicrobia</t>
  </si>
  <si>
    <t>k__Bacteria|p__Proteobacteria|c__Deltaproteobacteria</t>
  </si>
  <si>
    <t>k__Bacteria|p__Proteobacteria|c__Gammaproteobacteria</t>
  </si>
  <si>
    <t>k__Bacteria|p__Proteobacteria|c__Alphaproteobacteria</t>
  </si>
  <si>
    <t>k__Bacteria|p__Proteobacteria|c__Betaproteobacteria</t>
  </si>
  <si>
    <t>k__Bacteria|p__Actinobacteria|c__Actinobacteria</t>
  </si>
  <si>
    <t>k__Bacteria|p__Firmicutes|c__Clostridia</t>
  </si>
  <si>
    <t>k__Bacteria|p__Ignavibacteriae|c__Ignavibacteria</t>
  </si>
  <si>
    <t>k__Archaea|p__Euryarchaeota|c__Methanobacteria|o__Methanobacteriales</t>
  </si>
  <si>
    <t>k__Archaea|p__Euryarchaeota|c__Methanomicrobia|o__Methanosarcinales</t>
  </si>
  <si>
    <t>k__Bacteria|p__Proteobacteria|c__Deltaproteobacteria|o__Desulfovibrionales</t>
  </si>
  <si>
    <t>k__Bacteria|p__Proteobacteria|c__Gammaproteobacteria|o__Pseudomonadales</t>
  </si>
  <si>
    <t>k__Bacteria|p__Proteobacteria|c__Betaproteobacteria|o__Rhodocyclales</t>
  </si>
  <si>
    <t>k__Bacteria|p__Proteobacteria|c__Alphaproteobacteria|o__Rhodobacterales</t>
  </si>
  <si>
    <t>k__Bacteria|p__Proteobacteria|c__Alphaproteobacteria|o__Sphingomonadales</t>
  </si>
  <si>
    <t>k__Bacteria|p__Actinobacteria|c__Actinobacteria|o__Actinomycetales</t>
  </si>
  <si>
    <t>k__Bacteria|p__Firmicutes|c__Clostridia|o__Clostridiales</t>
  </si>
  <si>
    <t>k__Archaea|p__Euryarchaeota|c__Methanomicrobia|o__Methanomicrobiales</t>
  </si>
  <si>
    <t>k__Bacteria|p__Ignavibacteriae|c__Ignavibacteria|o__Ignavibacteriales</t>
  </si>
  <si>
    <t>k__Archaea|p__Euryarchaeota|c__Methanobacteria|o__Methanobacteriales|f__Methanobacteriaceae</t>
  </si>
  <si>
    <t>k__Archaea|p__Euryarchaeota|c__Methanomicrobia|o__Methanosarcinales|f__Methanosaetaceae</t>
  </si>
  <si>
    <t>k__Bacteria|p__Proteobacteria|c__Deltaproteobacteria|o__Desulfovibrionales|f__Desulfovibrionaceae</t>
  </si>
  <si>
    <t>k__Bacteria|p__Proteobacteria|c__Gammaproteobacteria|o__Pseudomonadales|f__Pseudomonadaceae</t>
  </si>
  <si>
    <t>k__Archaea|p__Euryarchaeota|c__Methanomicrobia|o__Methanosarcinales|f__Methanosarcinaceae</t>
  </si>
  <si>
    <t>k__Bacteria|p__Proteobacteria|c__Gammaproteobacteria|o__Pseudomonadales|f__Moraxellaceae</t>
  </si>
  <si>
    <t>k__Bacteria|p__Proteobacteria|c__Betaproteobacteria|o__Rhodocyclales|f__Rhodocyclaceae</t>
  </si>
  <si>
    <t>k__Bacteria|p__Proteobacteria|c__Alphaproteobacteria|o__Rhodobacterales|f__Rhodobacteraceae</t>
  </si>
  <si>
    <t>k__Bacteria|p__Proteobacteria|c__Alphaproteobacteria|o__Sphingomonadales|f__Sphingomonadaceae</t>
  </si>
  <si>
    <t>k__Bacteria|p__Actinobacteria|c__Actinobacteria|o__Actinomycetales|f__Propionibacteriaceae</t>
  </si>
  <si>
    <t>k__Bacteria|p__Firmicutes|c__Clostridia|o__Clostridiales|f__Peptococcaceae</t>
  </si>
  <si>
    <t>k__Archaea|p__Euryarchaeota|c__Methanomicrobia|o__Methanomicrobiales|f__Methanoregulaceae</t>
  </si>
  <si>
    <t>k__Bacteria|p__Ignavibacteriae|c__Ignavibacteria|o__Ignavibacteriales|f__Ignavibacteriaceae</t>
  </si>
  <si>
    <t>k__Bacteria|p__Firmicutes|c__Clostridia|o__Clostridiales|f__Eubacteriaceae</t>
  </si>
  <si>
    <t>k__Archaea|p__Euryarchaeota|c__Methanobacteria|o__Methanobacteriales|f__Methanobacteriaceae|g__Methanobacterium</t>
  </si>
  <si>
    <t>k__Archaea|p__Euryarchaeota|c__Methanomicrobia|o__Methanosarcinales|f__Methanosaetaceae|g__Methanosaeta</t>
  </si>
  <si>
    <t>k__Bacteria|p__Proteobacteria|c__Deltaproteobacteria|o__Desulfovibrionales|f__Desulfovibrionaceae|g__Desulfovibrio</t>
  </si>
  <si>
    <t>k__Bacteria|p__Proteobacteria|c__Gammaproteobacteria|o__Pseudomonadales|f__Pseudomonadaceae|g__Pseudomonas</t>
  </si>
  <si>
    <t>k__Archaea|p__Euryarchaeota|c__Methanomicrobia|o__Methanosarcinales|f__Methanosarcinaceae|g__Methanosarcina</t>
  </si>
  <si>
    <t>k__Bacteria|p__Proteobacteria|c__Gammaproteobacteria|o__Pseudomonadales|f__Moraxellaceae|g__Acinetobacter</t>
  </si>
  <si>
    <t>k__Bacteria|p__Proteobacteria|c__Betaproteobacteria|o__Rhodocyclales|f__Rhodocyclaceae|g__Thauera</t>
  </si>
  <si>
    <t>k__Bacteria|p__Proteobacteria|c__Alphaproteobacteria|o__Rhodobacterales|f__Rhodobacteraceae|g__Paracoccus</t>
  </si>
  <si>
    <t>k__Bacteria|p__Proteobacteria|c__Alphaproteobacteria|o__Sphingomonadales|f__Sphingomonadaceae|g__Sphingobium</t>
  </si>
  <si>
    <t>k__Archaea|p__Euryarchaeota|c__Methanobacteria|o__Methanobacteriales|f__Methanobacteriaceae|g__Methanobrevibacter</t>
  </si>
  <si>
    <t>k__Bacteria|p__Actinobacteria|c__Actinobacteria|o__Actinomycetales|f__Propionibacteriaceae|g__Propionibacteriaceae_unclassified</t>
  </si>
  <si>
    <t>k__Archaea|p__Euryarchaeota|c__Methanomicrobia|o__Methanosarcinales|f__Methanosarcinaceae|g__Methanolobus</t>
  </si>
  <si>
    <t>k__Bacteria|p__Firmicutes|c__Clostridia|o__Clostridiales|f__Peptococcaceae|g__Candidatus_Desulforudis</t>
  </si>
  <si>
    <t>k__Archaea|p__Euryarchaeota|c__Methanomicrobia|o__Methanomicrobiales|f__Methanoregulaceae|g__Methanoregulaceae_unclassified</t>
  </si>
  <si>
    <t>k__Bacteria|p__Ignavibacteriae|c__Ignavibacteria|o__Ignavibacteriales|f__Ignavibacteriaceae|g__Ignavibacterium</t>
  </si>
  <si>
    <t>k__Bacteria|p__Firmicutes|c__Clostridia|o__Clostridiales|f__Eubacteriaceae|g__Acetobacterium</t>
  </si>
  <si>
    <t>k__Archaea|p__Euryarchaeota|c__Methanobacteria|o__Methanobacteriales|f__Methanobacteriaceae|g__Methanobacterium|s__Methanobacterium_unclassified</t>
  </si>
  <si>
    <t>k__Archaea|p__Euryarchaeota|c__Methanomicrobia|o__Methanosarcinales|f__Methanosaetaceae|g__Methanosaeta|s__Methanosaeta_harundinacea</t>
  </si>
  <si>
    <t>k__Bacteria|p__Proteobacteria|c__Deltaproteobacteria|o__Desulfovibrionales|f__Desulfovibrionaceae|g__Desulfovibrio|s__Desulfovibrio_alkalitolerans</t>
  </si>
  <si>
    <t>k__Bacteria|p__Proteobacteria|c__Gammaproteobacteria|o__Pseudomonadales|f__Pseudomonadaceae|g__Pseudomonas|s__Pseudomonas_stutzeri</t>
  </si>
  <si>
    <t>k__Archaea|p__Euryarchaeota|c__Methanomicrobia|o__Methanosarcinales|f__Methanosarcinaceae|g__Methanosarcina|s__Methanosarcina_unclassified</t>
  </si>
  <si>
    <t>k__Archaea|p__Euryarchaeota|c__Methanomicrobia|o__Methanosarcinales|f__Methanosarcinaceae|g__Methanosarcina|s__Methanosarcina_mazei</t>
  </si>
  <si>
    <t>k__Archaea|p__Euryarchaeota|c__Methanomicrobia|o__Methanosarcinales|f__Methanosarcinaceae|g__Methanosarcina|s__Methanosarcina_acetivorans</t>
  </si>
  <si>
    <t>k__Archaea|p__Euryarchaeota|c__Methanobacteria|o__Methanobacteriales|f__Methanobacteriaceae|g__Methanobacterium|s__Methanobacterium_formicicum</t>
  </si>
  <si>
    <t>k__Bacteria|p__Proteobacteria|c__Gammaproteobacteria|o__Pseudomonadales|f__Moraxellaceae|g__Acinetobacter|s__Acinetobacter_indicus</t>
  </si>
  <si>
    <t>k__Bacteria|p__Proteobacteria|c__Betaproteobacteria|o__Rhodocyclales|f__Rhodocyclaceae|g__Thauera|s__Thauera_unclassified</t>
  </si>
  <si>
    <t>k__Bacteria|p__Proteobacteria|c__Alphaproteobacteria|o__Rhodobacterales|f__Rhodobacteraceae|g__Paracoccus|s__Paracoccus_unclassified</t>
  </si>
  <si>
    <t>k__Bacteria|p__Proteobacteria|c__Alphaproteobacteria|o__Sphingomonadales|f__Sphingomonadaceae|g__Sphingobium|s__Sphingobium_unclassified</t>
  </si>
  <si>
    <t>k__Archaea|p__Euryarchaeota|c__Methanobacteria|o__Methanobacteriales|f__Methanobacteriaceae|g__Methanobrevibacter|s__Methanobrevibacter_unclassified</t>
  </si>
  <si>
    <t>k__Bacteria|p__Proteobacteria|c__Gammaproteobacteria|o__Pseudomonadales|f__Pseudomonadaceae|g__Pseudomonas|s__Pseudomonas_mendocina</t>
  </si>
  <si>
    <t>k__Archaea|p__Euryarchaeota|c__Methanomicrobia|o__Methanosarcinales|f__Methanosarcinaceae|g__Methanolobus|s__Methanolobus_unclassified</t>
  </si>
  <si>
    <t>k__Bacteria|p__Firmicutes|c__Clostridia|o__Clostridiales|f__Peptococcaceae|g__Candidatus_Desulforudis|s__Candidatus_Desulforudis_audaxviator</t>
  </si>
  <si>
    <t>k__Bacteria|p__Ignavibacteriae|c__Ignavibacteria|o__Ignavibacteriales|f__Ignavibacteriaceae|g__Ignavibacterium|s__Ignavibacterium_album</t>
  </si>
  <si>
    <t>k__Bacteria|p__Firmicutes|c__Clostridia|o__Clostridiales|f__Eubacteriaceae|g__Acetobacterium|s__Acetobacterium_woodii</t>
  </si>
  <si>
    <t>k__Archaea|p__Euryarchaeota|c__Methanomicrobia|o__Methanosarcinales|f__Methanosaetaceae|g__Methanosaeta|s__Methanosaeta_harundinacea|t__GCF_000235565</t>
  </si>
  <si>
    <t>k__Bacteria|p__Proteobacteria|c__Deltaproteobacteria|o__Desulfovibrionales|f__Desulfovibrionaceae|g__Desulfovibrio|s__Desulfovibrio_alkalitolerans|t__GCF_000422245</t>
  </si>
  <si>
    <t>k__Bacteria|p__Proteobacteria|c__Gammaproteobacteria|o__Pseudomonadales|f__Pseudomonadaceae|g__Pseudomonas|s__Pseudomonas_stutzeri|t__Pseudomonas_stutzeri_unclassified</t>
  </si>
  <si>
    <t>k__Archaea|p__Euryarchaeota|c__Methanomicrobia|o__Methanosarcinales|f__Methanosarcinaceae|g__Methanosarcina|s__Methanosarcina_mazei|t__Methanosarcina_mazei_unclassified</t>
  </si>
  <si>
    <t>k__Archaea|p__Euryarchaeota|c__Methanomicrobia|o__Methanosarcinales|f__Methanosarcinaceae|g__Methanosarcina|s__Methanosarcina_acetivorans|t__GCF_000007345</t>
  </si>
  <si>
    <t>k__Archaea|p__Euryarchaeota|c__Methanobacteria|o__Methanobacteriales|f__Methanobacteriaceae|g__Methanobacterium|s__Methanobacterium_formicicum|t__GCF_000302455</t>
  </si>
  <si>
    <t>k__Bacteria|p__Proteobacteria|c__Gammaproteobacteria|o__Pseudomonadales|f__Moraxellaceae|g__Acinetobacter|s__Acinetobacter_indicus|t__Acinetobacter_indicus_unclassified</t>
  </si>
  <si>
    <t>k__Bacteria|p__Proteobacteria|c__Gammaproteobacteria|o__Pseudomonadales|f__Pseudomonadaceae|g__Pseudomonas|s__Pseudomonas_mendocina|t__Pseudomonas_mendocina_unclassified</t>
  </si>
  <si>
    <t>k__Bacteria|p__Firmicutes|c__Clostridia|o__Clostridiales|f__Peptococcaceae|g__Candidatus_Desulforudis|s__Candidatus_Desulforudis_audaxviator|t__GCF_000018425</t>
  </si>
  <si>
    <t>k__Bacteria|p__Ignavibacteriae|c__Ignavibacteria|o__Ignavibacteriales|f__Ignavibacteriaceae|g__Ignavibacterium|s__Ignavibacterium_album|t__GCF_000258405</t>
  </si>
  <si>
    <t>k__Bacteria|p__Firmicutes|c__Clostridia|o__Clostridiales|f__Eubacteriaceae|g__Acetobacterium|s__Acetobacterium_woodii|t__GCF_000247605</t>
  </si>
  <si>
    <t>p__Euryarchaeota</t>
  </si>
  <si>
    <t>c__Methanobacteria</t>
  </si>
  <si>
    <t>o__Methanobacteriales</t>
  </si>
  <si>
    <t>f__Methanobacteriaceae</t>
  </si>
  <si>
    <t>g__Methanobacterium</t>
  </si>
  <si>
    <t>s__Methanobacterium_unclassified</t>
  </si>
  <si>
    <t>c__Methanomicrobia</t>
  </si>
  <si>
    <t>o__Methanosarcinales</t>
  </si>
  <si>
    <t>f__Methanosaetaceae</t>
  </si>
  <si>
    <t>g__Methanosaeta</t>
  </si>
  <si>
    <t>s__Methanosaeta_harundinacea</t>
  </si>
  <si>
    <t>p__Proteobacteria</t>
  </si>
  <si>
    <t>c__Deltaproteobacteria</t>
  </si>
  <si>
    <t>o__Desulfovibrionales</t>
  </si>
  <si>
    <t>f__Desulfovibrionaceae</t>
  </si>
  <si>
    <t>g__Desulfovibrio</t>
  </si>
  <si>
    <t>s__Desulfovibrio_alkalitolerans</t>
  </si>
  <si>
    <t>c__Gammaproteobacteria</t>
  </si>
  <si>
    <t>o__Pseudomonadales</t>
  </si>
  <si>
    <t>f__Pseudomonadaceae</t>
  </si>
  <si>
    <t>g__Pseudomonas</t>
  </si>
  <si>
    <t>s__Pseudomonas_stutzeri</t>
  </si>
  <si>
    <t>f__Methanosarcinaceae</t>
  </si>
  <si>
    <t>g__Methanosarcina</t>
  </si>
  <si>
    <t>s__Methanosarcina_unclassified</t>
  </si>
  <si>
    <t>s__Methanosarcina_mazei</t>
  </si>
  <si>
    <t>s__Methanosarcina_acetivorans</t>
  </si>
  <si>
    <t>s__Methanobacterium_formicicum</t>
  </si>
  <si>
    <t>f__Moraxellaceae</t>
  </si>
  <si>
    <t>g__Acinetobacter</t>
  </si>
  <si>
    <t>s__Acinetobacter_indicus</t>
  </si>
  <si>
    <t>c__Betaproteobacteria</t>
  </si>
  <si>
    <t>o__Rhodocyclales</t>
  </si>
  <si>
    <t>f__Rhodocyclaceae</t>
  </si>
  <si>
    <t>g__Thauera</t>
  </si>
  <si>
    <t>s__Thauera_unclassified</t>
  </si>
  <si>
    <t>c__Alphaproteobacteria</t>
  </si>
  <si>
    <t>o__Rhodobacterales</t>
  </si>
  <si>
    <t>f__Rhodobacteraceae</t>
  </si>
  <si>
    <t>g__Paracoccus</t>
  </si>
  <si>
    <t>s__Paracoccus_unclassified</t>
  </si>
  <si>
    <t>o__Sphingomonadales</t>
  </si>
  <si>
    <t>f__Sphingomonadaceae</t>
  </si>
  <si>
    <t>g__Sphingobium</t>
  </si>
  <si>
    <t>s__Sphingobium_unclassified</t>
  </si>
  <si>
    <t>g__Methanobrevibacter</t>
  </si>
  <si>
    <t>s__Methanobrevibacter_unclassified</t>
  </si>
  <si>
    <t>s__Pseudomonas_mendocina</t>
  </si>
  <si>
    <t>g__Methanolobus</t>
  </si>
  <si>
    <t>s__Methanolobus_unclassified</t>
  </si>
  <si>
    <t>p__Firmicutes</t>
  </si>
  <si>
    <t>c__Clostridia</t>
  </si>
  <si>
    <t>o__Clostridiales</t>
  </si>
  <si>
    <t>f__Peptococcaceae</t>
  </si>
  <si>
    <t>g__Candidatus_Desulforudis</t>
  </si>
  <si>
    <t>s__Candidatus_Desulforudis_audaxviator</t>
  </si>
  <si>
    <t>p__Ignavibacteriae</t>
  </si>
  <si>
    <t>c__Ignavibacteria</t>
  </si>
  <si>
    <t>o__Ignavibacteriales</t>
  </si>
  <si>
    <t>f__Ignavibacteriaceae</t>
  </si>
  <si>
    <t>g__Ignavibacterium</t>
  </si>
  <si>
    <t>s__Ignavibacterium_album</t>
  </si>
  <si>
    <t>f__Eubacteriaceae</t>
  </si>
  <si>
    <t>g__Acetobacterium</t>
  </si>
  <si>
    <t>s__Acetobacterium_woodii</t>
  </si>
  <si>
    <t>k__Bacteria|p__Nitrospirae</t>
  </si>
  <si>
    <t>k__Bacteria|p__Nitrospirae|c__Nitrospira</t>
  </si>
  <si>
    <t>k__Bacteria|p__Firmicutes|c__Bacilli</t>
  </si>
  <si>
    <t>k__Bacteria|p__Nitrospirae|c__Nitrospira|o__Nitrospirales</t>
  </si>
  <si>
    <t>k__Bacteria|p__Firmicutes|c__Bacilli|o__Bacillales</t>
  </si>
  <si>
    <t>k__Bacteria|p__Firmicutes|c__Bacilli|o__Lactobacillales</t>
  </si>
  <si>
    <t>k__Bacteria|p__Nitrospirae|c__Nitrospira|o__Nitrospirales|f__Nitrospiraceae</t>
  </si>
  <si>
    <t>k__Bacteria|p__Firmicutes|c__Bacilli|o__Bacillales|f__Bacillaceae</t>
  </si>
  <si>
    <t>k__Bacteria|p__Firmicutes|c__Bacilli|o__Lactobacillales|f__Lactobacillaceae</t>
  </si>
  <si>
    <t>k__Archaea|p__Euryarchaeota|c__Methanobacteria|o__Methanobacteriales|f__Methanobacteriaceae|g__Methanothermobacter</t>
  </si>
  <si>
    <t>k__Bacteria|p__Nitrospirae|c__Nitrospira|o__Nitrospirales|f__Nitrospiraceae|g__Thermodesulfovibrio</t>
  </si>
  <si>
    <t>k__Bacteria|p__Firmicutes|c__Bacilli|o__Bacillales|f__Bacillaceae|g__Bacillus</t>
  </si>
  <si>
    <t>k__Bacteria|p__Firmicutes|c__Bacilli|o__Lactobacillales|f__Lactobacillaceae|g__Pediococcus</t>
  </si>
  <si>
    <t>k__Archaea|p__Euryarchaeota|c__Methanobacteria|o__Methanobacteriales|f__Methanobacteriaceae|g__Methanothermobacter|s__Methanothermobacter_marburgensis</t>
  </si>
  <si>
    <t>k__Bacteria|p__Nitrospirae|c__Nitrospira|o__Nitrospirales|f__Nitrospiraceae|g__Thermodesulfovibrio|s__Thermodesulfovibrio_yellowstonii</t>
  </si>
  <si>
    <t>k__Archaea|p__Euryarchaeota|c__Methanobacteria|o__Methanobacteriales|f__Methanobacteriaceae|g__Methanothermobacter|s__Methanothermobacter_unclassified</t>
  </si>
  <si>
    <t>k__Archaea|p__Euryarchaeota|c__Methanobacteria|o__Methanobacteriales|f__Methanobacteriaceae|g__Methanothermobacter|s__Methanothermobacter_thermautotrophicus</t>
  </si>
  <si>
    <t>k__Bacteria|p__Firmicutes|c__Bacilli|o__Bacillales|f__Bacillaceae|g__Bacillus|s__Bacillus_licheniformis</t>
  </si>
  <si>
    <t>k__Bacteria|p__Firmicutes|c__Bacilli|o__Bacillales|f__Bacillaceae|g__Bacillus|s__Bacillus_coagulans</t>
  </si>
  <si>
    <t>k__Bacteria|p__Firmicutes|c__Bacilli|o__Lactobacillales|f__Lactobacillaceae|g__Pediococcus|s__Pediococcus_acidilactici</t>
  </si>
  <si>
    <t>k__Bacteria|p__Firmicutes|c__Bacilli|o__Bacillales|f__Bacillaceae|g__Bacillus|s__Bacillus_amyloliquefaciens</t>
  </si>
  <si>
    <t>k__Archaea|p__Euryarchaeota|c__Methanobacteria|o__Methanobacteriales|f__Methanobacteriaceae|g__Methanothermobacter|s__Methanothermobacter_marburgensis|t__GCF_000145295</t>
  </si>
  <si>
    <t>k__Bacteria|p__Nitrospirae|c__Nitrospira|o__Nitrospirales|f__Nitrospiraceae|g__Thermodesulfovibrio|s__Thermodesulfovibrio_yellowstonii|t__GCF_000020985</t>
  </si>
  <si>
    <t>k__Archaea|p__Euryarchaeota|c__Methanobacteria|o__Methanobacteriales|f__Methanobacteriaceae|g__Methanothermobacter|s__Methanothermobacter_thermautotrophicus|t__GCF_000008645</t>
  </si>
  <si>
    <t>k__Bacteria|p__Firmicutes|c__Bacilli|o__Bacillales|f__Bacillaceae|g__Bacillus|s__Bacillus_licheniformis|t__Bacillus_licheniformis_unclassified</t>
  </si>
  <si>
    <t>k__Bacteria|p__Firmicutes|c__Bacilli|o__Bacillales|f__Bacillaceae|g__Bacillus|s__Bacillus_coagulans|t__Bacillus_coagulans_unclassified</t>
  </si>
  <si>
    <t>k__Bacteria|p__Firmicutes|c__Bacilli|o__Lactobacillales|f__Lactobacillaceae|g__Pediococcus|s__Pediococcus_acidilactici|t__Pediococcus_acidilactici_unclassified</t>
  </si>
  <si>
    <t>k__Bacteria|p__Firmicutes|c__Bacilli|o__Bacillales|f__Bacillaceae|g__Bacillus|s__Bacillus_amyloliquefaciens|t__Bacillus_amyloliquefaciens_unclassified</t>
  </si>
  <si>
    <t>g__Methanothermobacter</t>
  </si>
  <si>
    <t>s__Methanothermobacter_marburgensis</t>
  </si>
  <si>
    <t>p__Nitrospirae</t>
  </si>
  <si>
    <t>c__Nitrospira</t>
  </si>
  <si>
    <t>o__Nitrospirales</t>
  </si>
  <si>
    <t>f__Nitrospiraceae</t>
  </si>
  <si>
    <t>g__Thermodesulfovibrio</t>
  </si>
  <si>
    <t>s__Thermodesulfovibrio_yellowstonii</t>
  </si>
  <si>
    <t>s__Methanothermobacter_unclassified</t>
  </si>
  <si>
    <t>s__Methanothermobacter_thermautotrophicus</t>
  </si>
  <si>
    <t>c__Bacilli</t>
  </si>
  <si>
    <t>o__Bacillales</t>
  </si>
  <si>
    <t>f__Bacillaceae</t>
  </si>
  <si>
    <t>g__Bacillus</t>
  </si>
  <si>
    <t>s__Bacillus_licheniformis</t>
  </si>
  <si>
    <t>s__Bacillus_coagulans</t>
  </si>
  <si>
    <t>o__Lactobacillales</t>
  </si>
  <si>
    <t>f__Lactobacillaceae</t>
  </si>
  <si>
    <t>g__Pediococcus</t>
  </si>
  <si>
    <t>s__Pediococcus_acidilactici</t>
  </si>
  <si>
    <t>s__Bacillus_amyloliquefaciens</t>
  </si>
  <si>
    <t>p__Bacteroidetes</t>
  </si>
  <si>
    <t>p__Spirochaetes</t>
  </si>
  <si>
    <t>c__Bacteroidia</t>
  </si>
  <si>
    <t>c__Spirochaetia</t>
  </si>
  <si>
    <t>o__Methanomicrobiales</t>
  </si>
  <si>
    <t>o__Bacteroidales</t>
  </si>
  <si>
    <t>o__Spirochaetales</t>
  </si>
  <si>
    <t>f__Methanomicrobiaceae</t>
  </si>
  <si>
    <t>f__Porphyromonadaceae</t>
  </si>
  <si>
    <t>f__Methanoregulaceae</t>
  </si>
  <si>
    <t>f__Spirochaetaceae</t>
  </si>
  <si>
    <t>g__Methanoplanus</t>
  </si>
  <si>
    <t>g__Proteiniphilum</t>
  </si>
  <si>
    <t>g__Methanoregulaceae_unclassified</t>
  </si>
  <si>
    <t>g__Sphaerochaeta</t>
  </si>
  <si>
    <t>g__Methanofollis</t>
  </si>
  <si>
    <t>s__Methanoplanus_unclassified</t>
  </si>
  <si>
    <t>s__Proteiniphilum_acetatigenes</t>
  </si>
  <si>
    <t>s__Sphaerochaeta_unclassified</t>
  </si>
  <si>
    <t>s__Pseudomonas_unclassified</t>
  </si>
  <si>
    <t>s__Methanolobus_psychrophilus</t>
  </si>
  <si>
    <t>s__Methanofollis_liminatans</t>
  </si>
  <si>
    <t>s__Desulfovibrio_vulgaris</t>
  </si>
  <si>
    <t>t__GCF_000235565</t>
  </si>
  <si>
    <t>t__GCF_000422245</t>
  </si>
  <si>
    <t>t__Methanosarcina_mazei_unclassified</t>
  </si>
  <si>
    <t>t__GCF_000007345</t>
  </si>
  <si>
    <t>t__GCF_000380985</t>
  </si>
  <si>
    <t>t__Pseudomonas_stutzeri_unclassified</t>
  </si>
  <si>
    <t>t__GCF_000306725</t>
  </si>
  <si>
    <t>t__GCF_000247605</t>
  </si>
  <si>
    <t>t__GCF_000275865</t>
  </si>
  <si>
    <t>t__Desulfovibrio_vulgaris_unclassified</t>
  </si>
  <si>
    <t>k</t>
  </si>
  <si>
    <t>p</t>
  </si>
  <si>
    <t>c</t>
  </si>
  <si>
    <t>o</t>
  </si>
  <si>
    <t>f</t>
  </si>
  <si>
    <t>g</t>
  </si>
  <si>
    <t>s</t>
  </si>
  <si>
    <t/>
  </si>
  <si>
    <t>Domain</t>
  </si>
  <si>
    <t>Phylum</t>
  </si>
  <si>
    <t>SubPhylum</t>
  </si>
  <si>
    <t>Class</t>
  </si>
  <si>
    <t>Order</t>
  </si>
  <si>
    <t>Family</t>
  </si>
  <si>
    <t>Genus</t>
  </si>
  <si>
    <t>RDPconf</t>
  </si>
  <si>
    <t>Euryarchaeota_sp</t>
  </si>
  <si>
    <t>Methanobacteriales_f</t>
  </si>
  <si>
    <t>(Methanobrevibacter)</t>
  </si>
  <si>
    <t>Acidobacteria_sp</t>
  </si>
  <si>
    <t>Acidobacteria_Gp23_o</t>
  </si>
  <si>
    <t>Acidobacteria_Gp23_f</t>
  </si>
  <si>
    <t>Acidobacteria_Gp3_o</t>
  </si>
  <si>
    <t>Acidobacteria_Gp3_f</t>
  </si>
  <si>
    <t>Actinobacteria_sp</t>
  </si>
  <si>
    <t>Actinobacteria(class)</t>
  </si>
  <si>
    <t>Coriobacteriaceae_unclassified</t>
  </si>
  <si>
    <t>Rubrobacteridae_o</t>
  </si>
  <si>
    <t>Rubrobacteridae_f</t>
  </si>
  <si>
    <t>(Streptomyces)</t>
  </si>
  <si>
    <t>Bacteria_p</t>
  </si>
  <si>
    <t>Bacteria_sp</t>
  </si>
  <si>
    <t>Bacteria_c</t>
  </si>
  <si>
    <t>Bacteria_o</t>
  </si>
  <si>
    <t>Bacteria_f</t>
  </si>
  <si>
    <t>(Aminobacterium)</t>
  </si>
  <si>
    <t>(Desulfosporosinus)</t>
  </si>
  <si>
    <t>(Olegusella)</t>
  </si>
  <si>
    <t>(Thermanaerovibrio)</t>
  </si>
  <si>
    <t>(Thermodesulfovibrio)</t>
  </si>
  <si>
    <t>Bacteroidetes_sp</t>
  </si>
  <si>
    <t>Bacteroidetes_c</t>
  </si>
  <si>
    <t>Bacteroidetes_o</t>
  </si>
  <si>
    <t>Bacteroidetes_f</t>
  </si>
  <si>
    <t>(Alkalitalea)</t>
  </si>
  <si>
    <t>(Crocinitomix)</t>
  </si>
  <si>
    <t>(Cytophaga)</t>
  </si>
  <si>
    <t>(Lutaonella)</t>
  </si>
  <si>
    <t>(Marivirga)</t>
  </si>
  <si>
    <t>(Natronoflexus)</t>
  </si>
  <si>
    <t>(Pedobacter)</t>
  </si>
  <si>
    <t>(Sunxiuqinia)</t>
  </si>
  <si>
    <t>Bacteroidales_f</t>
  </si>
  <si>
    <t>(Pontibacter)</t>
  </si>
  <si>
    <t>(Porphyromonas)</t>
  </si>
  <si>
    <t>Porphyromonadaceae_unclassified</t>
  </si>
  <si>
    <t>Prolixibacteraceae_unclassified</t>
  </si>
  <si>
    <t>Flavobacteriales_f</t>
  </si>
  <si>
    <t>Chloroflexi_sp</t>
  </si>
  <si>
    <t>Anaerolineaceae_unclassified</t>
  </si>
  <si>
    <t>Cloacimonetes_sp</t>
  </si>
  <si>
    <t>Cloacimonetes_c</t>
  </si>
  <si>
    <t>Cloacimonetes_o</t>
  </si>
  <si>
    <t>Cloacimonetes_f</t>
  </si>
  <si>
    <t>Deferribacteres_sp</t>
  </si>
  <si>
    <t>Firmicutes_sp</t>
  </si>
  <si>
    <t>Clostridia_o</t>
  </si>
  <si>
    <t>Clostridia_f</t>
  </si>
  <si>
    <t>(Caloramator)</t>
  </si>
  <si>
    <t>(Desulfotomaculum)</t>
  </si>
  <si>
    <t>(Desulfurispora)</t>
  </si>
  <si>
    <t>(Dethiobacter)</t>
  </si>
  <si>
    <t>(Moorella)</t>
  </si>
  <si>
    <t>(Thermacetogenium)</t>
  </si>
  <si>
    <t>Clostridiales_f</t>
  </si>
  <si>
    <t>(Caldicoprobacter)</t>
  </si>
  <si>
    <t>(Christensenella)</t>
  </si>
  <si>
    <t>(Clostridium)</t>
  </si>
  <si>
    <t>(Defluviitalea)</t>
  </si>
  <si>
    <t>(Desulfitobacterium)</t>
  </si>
  <si>
    <t>(Gelria)</t>
  </si>
  <si>
    <t>(Gracilibacter)</t>
  </si>
  <si>
    <t>(Lutispora)</t>
  </si>
  <si>
    <t>(Natranaerovirga)</t>
  </si>
  <si>
    <t>(Paenibacillus)</t>
  </si>
  <si>
    <t>(Pelotomaculum)</t>
  </si>
  <si>
    <t>(Vallitalea)</t>
  </si>
  <si>
    <t>Clostridiales_Incertae Sedis XI_unclassified</t>
  </si>
  <si>
    <t>Gracilibacteraceae_unclassified</t>
  </si>
  <si>
    <t>Lachnospiraceae_unclassified</t>
  </si>
  <si>
    <t>Peptococcaceae 1_unclassified</t>
  </si>
  <si>
    <t>Ruminococcaceae_unclassified</t>
  </si>
  <si>
    <t>Thermoanaerobacteraceae_unclassified</t>
  </si>
  <si>
    <t>Firmicutes_c</t>
  </si>
  <si>
    <t>Firmicutes_o</t>
  </si>
  <si>
    <t>Firmicutes_f</t>
  </si>
  <si>
    <t>(Anaerobacterium)</t>
  </si>
  <si>
    <t>(Bacillaceae)</t>
  </si>
  <si>
    <t>(Calditerricola)</t>
  </si>
  <si>
    <t>Veillonellaceae_unclassified</t>
  </si>
  <si>
    <t>Ignavibacteriae_sp</t>
  </si>
  <si>
    <t>Nitrospirae_sp</t>
  </si>
  <si>
    <t>Proteobacteria_sp</t>
  </si>
  <si>
    <t>Phyllobacteriaceae_unclassified</t>
  </si>
  <si>
    <t>Rhizobiales_f</t>
  </si>
  <si>
    <t>(Haematospirillum)</t>
  </si>
  <si>
    <t>Rhodobacteraceae_unclassified</t>
  </si>
  <si>
    <t>Rhodospirillaceae_unclassified</t>
  </si>
  <si>
    <t>Deltaproteobacteria_o</t>
  </si>
  <si>
    <t>Deltaproteobacteria_f</t>
  </si>
  <si>
    <t>(Thiohalocapsa)</t>
  </si>
  <si>
    <t>Syntrophaceae_unclassified</t>
  </si>
  <si>
    <t>Chromatiales_f</t>
  </si>
  <si>
    <t>(Spiribacter)</t>
  </si>
  <si>
    <t>Proteobacteria_c</t>
  </si>
  <si>
    <t>Proteobacteria_o</t>
  </si>
  <si>
    <t>Proteobacteria_f</t>
  </si>
  <si>
    <t>Spirochaetes_sp</t>
  </si>
  <si>
    <t>Spirochaetaceae_unclassified</t>
  </si>
  <si>
    <t>Synergistetes_sp</t>
  </si>
  <si>
    <t>Tenericutes_sp</t>
  </si>
  <si>
    <t>Thermotogae_sp</t>
  </si>
  <si>
    <t>Verrucomicrobia_sp</t>
  </si>
  <si>
    <t>Methanobrevibacter</t>
  </si>
  <si>
    <t>Methanoplanus</t>
  </si>
  <si>
    <t>Methanoregulaceae_unclassified</t>
  </si>
  <si>
    <t>Methanosaeta</t>
  </si>
  <si>
    <t>Propionibacteriaceae_unclassified</t>
  </si>
  <si>
    <t>Pediococcus</t>
  </si>
  <si>
    <t>Candidatus_Desulforudis</t>
  </si>
  <si>
    <t>Paracoccus</t>
  </si>
  <si>
    <t>Sphingobium</t>
  </si>
  <si>
    <t>(OP1)</t>
  </si>
  <si>
    <t>Bacteria_unclassified</t>
  </si>
  <si>
    <t>(uncultured bacteria)</t>
  </si>
  <si>
    <t>Clostridiales_unclassified</t>
  </si>
  <si>
    <t>(Firmicutes_unclassified)</t>
  </si>
  <si>
    <t>Procabacter</t>
  </si>
  <si>
    <t>(Proteobacteria_unclassified)</t>
  </si>
  <si>
    <t>Clostridiales_XI_unclassified</t>
  </si>
  <si>
    <t>MPA</t>
  </si>
  <si>
    <t>Amplicon</t>
  </si>
  <si>
    <t>Methanosaetaceae</t>
  </si>
  <si>
    <t>Propionibacteriaceae</t>
  </si>
  <si>
    <t>Bacillaceae</t>
  </si>
  <si>
    <t>Peptococcaceae</t>
  </si>
  <si>
    <t>Max</t>
  </si>
  <si>
    <t>Avg</t>
  </si>
  <si>
    <t>looked downstream</t>
  </si>
  <si>
    <t>single good downstream</t>
  </si>
  <si>
    <t>chose longest downstream</t>
  </si>
  <si>
    <t>read extensions</t>
  </si>
  <si>
    <t>single kMer or pair</t>
  </si>
  <si>
    <t>resolved by pair</t>
  </si>
  <si>
    <t>extended reads</t>
  </si>
  <si>
    <t>Cumulative</t>
  </si>
  <si>
    <t>Kelpie</t>
  </si>
  <si>
    <t>Possible</t>
  </si>
  <si>
    <t>Confidence</t>
  </si>
  <si>
    <t>amplicon reads %</t>
  </si>
  <si>
    <t>Achieved</t>
  </si>
  <si>
    <t>Max across all samples</t>
  </si>
  <si>
    <t>chose in proportion by depth</t>
  </si>
  <si>
    <t>single choice at k=32</t>
  </si>
  <si>
    <t>single choice at k=40</t>
  </si>
  <si>
    <t>single choice at k=48</t>
  </si>
  <si>
    <t>single choice at k=56</t>
  </si>
  <si>
    <t>single choice at k=64</t>
  </si>
  <si>
    <t>single choice at k=72</t>
  </si>
  <si>
    <t>single choice at k=80</t>
  </si>
  <si>
    <t>single choice at k=88</t>
  </si>
  <si>
    <t>single choice at k=96</t>
  </si>
  <si>
    <t>read extension checks</t>
  </si>
  <si>
    <t>single kMer choice</t>
  </si>
  <si>
    <t>single viable choice</t>
  </si>
  <si>
    <t>Pontibacter_niistensis_(T)_NII-0905_(FJ897494)</t>
  </si>
  <si>
    <t>OTU_120;size=12;</t>
  </si>
  <si>
    <t>Sporomusa_ovata_strain_DSM_2662_(NR_117660.1)</t>
  </si>
  <si>
    <t>OTU_34;size=65;</t>
  </si>
  <si>
    <t>OTU_45;size=17;</t>
  </si>
  <si>
    <t>OTU_51;size=14;</t>
  </si>
  <si>
    <t>OTU_61;size=13;</t>
  </si>
  <si>
    <t>OTU_101;size=3;</t>
  </si>
  <si>
    <t>OTU_19;size=309;</t>
  </si>
  <si>
    <t>OTU_50;size=9;</t>
  </si>
  <si>
    <t>OTU_102;size=3;</t>
  </si>
  <si>
    <t>OTU_94;size=4;</t>
  </si>
  <si>
    <t>OTU_103;size=2;</t>
  </si>
  <si>
    <t>OTU_101;size=2;</t>
  </si>
  <si>
    <t>OTU_87;size=40;</t>
  </si>
  <si>
    <t>OTU_187;size=5;</t>
  </si>
  <si>
    <t>OTU_41;size=29;</t>
  </si>
  <si>
    <t>OTU_52;size=7;</t>
  </si>
  <si>
    <t>OTU_84;size=4;</t>
  </si>
  <si>
    <t>Clostridium_aldrichii_(T)_DSM_6159_(X71846)</t>
  </si>
  <si>
    <t>OTU_26;size=326;</t>
  </si>
  <si>
    <t>OTU_49;size=25;</t>
  </si>
  <si>
    <t>OTU_41;size=24;</t>
  </si>
  <si>
    <t>OTU_45;size=18;</t>
  </si>
  <si>
    <t>OTU_98;size=7;</t>
  </si>
  <si>
    <t>OTU_64;size=6;</t>
  </si>
  <si>
    <t>OTU_92;size=2;</t>
  </si>
  <si>
    <t>OTU_46;size=25;</t>
  </si>
  <si>
    <t>Amplicons-only OTUs</t>
  </si>
  <si>
    <t>Clostridium_subterminale_strain_NCIMB_10746_(NR_118999.1)</t>
  </si>
  <si>
    <t>Kelpie-only OTUs</t>
  </si>
  <si>
    <t>Kelpie-&gt;Amplicon</t>
  </si>
  <si>
    <t>OTU_1;size=29019;</t>
  </si>
  <si>
    <t>OTU_4;size=2955;</t>
  </si>
  <si>
    <t>OTU_18;size=1303;</t>
  </si>
  <si>
    <t>OTU_3;size=3374;</t>
  </si>
  <si>
    <t>OTU_4;size=7140;</t>
  </si>
  <si>
    <t>OTU_2;size=7816;</t>
  </si>
  <si>
    <t>OTU_2;size=17154;</t>
  </si>
  <si>
    <t>OTU_7;size=2216;</t>
  </si>
  <si>
    <t>OTU_9;size=3304;</t>
  </si>
  <si>
    <t>OTU_6;size=4395;</t>
  </si>
  <si>
    <t>OTU_31;size=543;</t>
  </si>
  <si>
    <t>OTU_10;size=1220;</t>
  </si>
  <si>
    <t>OTU_5;size=5861;</t>
  </si>
  <si>
    <t>OTU_15;size=2475;</t>
  </si>
  <si>
    <t>OTU_24;size=937;</t>
  </si>
  <si>
    <t>OTU_20;size=1134;</t>
  </si>
  <si>
    <t>OTU_14;size=847;</t>
  </si>
  <si>
    <t>OTU_51;size=130;</t>
  </si>
  <si>
    <t>OTU_16;size=754;</t>
  </si>
  <si>
    <t>OTU_19;size=1313;</t>
  </si>
  <si>
    <t>OTU_8;size=2134;</t>
  </si>
  <si>
    <t>OTU_7;size=4380;</t>
  </si>
  <si>
    <t>OTU_17;size=634;</t>
  </si>
  <si>
    <t>OTU_25;size=881;</t>
  </si>
  <si>
    <t>OTU_15;size=771;</t>
  </si>
  <si>
    <t>OTU_8;size=4066;</t>
  </si>
  <si>
    <t>OTU_3;size=7770;</t>
  </si>
  <si>
    <t>OTU_19;size=506;</t>
  </si>
  <si>
    <t>OTU_12;size=2884;</t>
  </si>
  <si>
    <t>OTU_20;size=508;</t>
  </si>
  <si>
    <t>OTU_14;size=2412;</t>
  </si>
  <si>
    <t>OTU_26;size=725;</t>
  </si>
  <si>
    <t>OTU_24;size=408;</t>
  </si>
  <si>
    <t>OTU_21;size=1099;</t>
  </si>
  <si>
    <t>OTU_22;size=459;</t>
  </si>
  <si>
    <t>OTU_22;size=1098;</t>
  </si>
  <si>
    <t>OTU_16;size=1749;</t>
  </si>
  <si>
    <t>OTU_13;size=2686;</t>
  </si>
  <si>
    <t>OTU_30;size=501;</t>
  </si>
  <si>
    <t>OTU_21;size=476;</t>
  </si>
  <si>
    <t>OTU_10;size=3371;</t>
  </si>
  <si>
    <t>OTU_18;size=556;</t>
  </si>
  <si>
    <t>OTU_23;size=957;</t>
  </si>
  <si>
    <t>OTU_33;size=301;</t>
  </si>
  <si>
    <t>OTU_35;size=283;</t>
  </si>
  <si>
    <t>OTU_60;size=163;</t>
  </si>
  <si>
    <t>OTU_36;size=261;</t>
  </si>
  <si>
    <t>OTU_28;size=490;</t>
  </si>
  <si>
    <t>OTU_29;size=801;</t>
  </si>
  <si>
    <t>OTU_34;size=178;</t>
  </si>
  <si>
    <t>OTU_30;size=254;</t>
  </si>
  <si>
    <t>OTU_17;size=1477;</t>
  </si>
  <si>
    <t>OTU_34;size=305;</t>
  </si>
  <si>
    <t>OTU_44;size=310;</t>
  </si>
  <si>
    <t>OTU_46;size=145;</t>
  </si>
  <si>
    <t>OTU_38;size=233;</t>
  </si>
  <si>
    <t>OTU_54;size=107;</t>
  </si>
  <si>
    <t>OTU_45;size=147;</t>
  </si>
  <si>
    <t>OTU_59;size=68;</t>
  </si>
  <si>
    <t>OTU_41;size=98;</t>
  </si>
  <si>
    <t>OTU_32;size=309;</t>
  </si>
  <si>
    <t>OTU_49;size=118;</t>
  </si>
  <si>
    <t>OTU_63;size=70;</t>
  </si>
  <si>
    <t>OTU_72;size=97;</t>
  </si>
  <si>
    <t>OTU_40;size=183;</t>
  </si>
  <si>
    <t>OTU_37;size=210;</t>
  </si>
  <si>
    <t>OTU_42;size=192;</t>
  </si>
  <si>
    <t>OTU_43;size=162;</t>
  </si>
  <si>
    <t>OTU_47;size=134;</t>
  </si>
  <si>
    <t>OTU_48;size=130;</t>
  </si>
  <si>
    <t>OTU_51;size=63;</t>
  </si>
  <si>
    <t>OTU_53;size=108;</t>
  </si>
  <si>
    <t>OTU_39;size=172;</t>
  </si>
  <si>
    <t>OTU_55;size=53;</t>
  </si>
  <si>
    <t>OTU_61;size=65;</t>
  </si>
  <si>
    <t>OTU_63;size=37;</t>
  </si>
  <si>
    <t>OTU_65;size=67;</t>
  </si>
  <si>
    <t>OTU_88;size=29;</t>
  </si>
  <si>
    <t>OTU_57;size=91;</t>
  </si>
  <si>
    <t>OTU_68;size=34;</t>
  </si>
  <si>
    <t>OTU_50;size=114;</t>
  </si>
  <si>
    <t>OTU_69;size=33;</t>
  </si>
  <si>
    <t>OTU_41;size=179;</t>
  </si>
  <si>
    <t>OTU_64;size=60;</t>
  </si>
  <si>
    <t>OTU_77;size=24;</t>
  </si>
  <si>
    <t>OTU_55;size=146;</t>
  </si>
  <si>
    <t>OTU_80;size=21;</t>
  </si>
  <si>
    <t>OTU_73;size=59;</t>
  </si>
  <si>
    <t>OTU_76;size=24;</t>
  </si>
  <si>
    <t>OTU_68;size=51;</t>
  </si>
  <si>
    <t>OTU_95;size=17;</t>
  </si>
  <si>
    <t>OTU_58;size=94;</t>
  </si>
  <si>
    <t>OTU_52;size=104;</t>
  </si>
  <si>
    <t>OTU_138;size=10;</t>
  </si>
  <si>
    <t>OTU_101;size=22;</t>
  </si>
  <si>
    <t>OTU_89;size=13;</t>
  </si>
  <si>
    <t>OTU_84;size=32;</t>
  </si>
  <si>
    <t>OTU_91;size=11;</t>
  </si>
  <si>
    <t>OTU_93;size=9;</t>
  </si>
  <si>
    <t>OTU_117;size=29;</t>
  </si>
  <si>
    <t>OTU_99;size=7;</t>
  </si>
  <si>
    <t>OTU_100;size=6;</t>
  </si>
  <si>
    <t xml:space="preserve"> </t>
  </si>
  <si>
    <t>-</t>
  </si>
  <si>
    <t>OTU_42;size=24;</t>
  </si>
  <si>
    <t>OTU_47;size=13;</t>
  </si>
  <si>
    <t>OTU_115;size=11;</t>
  </si>
  <si>
    <t>OTU_68;size=11;</t>
  </si>
  <si>
    <t>OTU_57;size=10;</t>
  </si>
  <si>
    <t>OTU_93;size=4;</t>
  </si>
  <si>
    <t>OTU_25;size=108;</t>
  </si>
  <si>
    <t>OTU_49;size=11;</t>
  </si>
  <si>
    <t>OTU_55;size=4;</t>
  </si>
  <si>
    <t>OTU_38;size=33;</t>
  </si>
  <si>
    <t>OTU_96;size=6;</t>
  </si>
  <si>
    <t>OTU_98;size=5;</t>
  </si>
  <si>
    <t>OTU_45;size=32;</t>
  </si>
  <si>
    <t>OTU_6;size=3953;</t>
  </si>
  <si>
    <t>OTU_5;size=2485;</t>
  </si>
  <si>
    <t>OTU_9;size=1812;</t>
  </si>
  <si>
    <t>OTU_11;size=1169;</t>
  </si>
  <si>
    <t>OTU_1;size=14578;</t>
  </si>
  <si>
    <t>OTU_12;size=1166;</t>
  </si>
  <si>
    <t>OTU_13;size=942;</t>
  </si>
  <si>
    <t>OTU_23;size=419;</t>
  </si>
  <si>
    <t>OTU_25;size=394;</t>
  </si>
  <si>
    <t>OTU_35;size=290;</t>
  </si>
  <si>
    <t>OTU_29;size=273;</t>
  </si>
  <si>
    <t>OTU_28;size=287;</t>
  </si>
  <si>
    <t>OTU_27;size=298;</t>
  </si>
  <si>
    <t>OTU_32;size=211;</t>
  </si>
  <si>
    <t>OTU_49;size=211;</t>
  </si>
  <si>
    <t>OTU_31;size=223;</t>
  </si>
  <si>
    <t>OTU_36;size=254;</t>
  </si>
  <si>
    <t>OTU_81;size=32;</t>
  </si>
  <si>
    <t>OTU_33;size=204;</t>
  </si>
  <si>
    <t>OTU_43;size=149;</t>
  </si>
  <si>
    <t>OTU_39;size=118;</t>
  </si>
  <si>
    <t>OTU_40;size=110;</t>
  </si>
  <si>
    <t>OTU_44;size=98;</t>
  </si>
  <si>
    <t>OTU_38;size=126;</t>
  </si>
  <si>
    <t>OTU_37;size=135;</t>
  </si>
  <si>
    <t>OTU_52;size=98;</t>
  </si>
  <si>
    <t>OTU_42;size=98;</t>
  </si>
  <si>
    <t>OTU_45;size=90;</t>
  </si>
  <si>
    <t>OTU_46;size=85;</t>
  </si>
  <si>
    <t>OTU_48;size=79;</t>
  </si>
  <si>
    <t>OTU_47;size=82;</t>
  </si>
  <si>
    <t>OTU_58;size=58;</t>
  </si>
  <si>
    <t>OTU_67;size=53;</t>
  </si>
  <si>
    <t>OTU_94;size=56;</t>
  </si>
  <si>
    <t>OTU_53;size=66;</t>
  </si>
  <si>
    <t>OTU_54;size=57;</t>
  </si>
  <si>
    <t>OTU_50;size=70;</t>
  </si>
  <si>
    <t>OTU_57;size=47;</t>
  </si>
  <si>
    <t>OTU_59;size=42;</t>
  </si>
  <si>
    <t>OTU_56;size=50;</t>
  </si>
  <si>
    <t>OTU_62;size=38;</t>
  </si>
  <si>
    <t>OTU_60;size=43;</t>
  </si>
  <si>
    <t>OTU_90;size=32;</t>
  </si>
  <si>
    <t>OTU_64;size=37;</t>
  </si>
  <si>
    <t>OTU_76;size=40;</t>
  </si>
  <si>
    <t>OTU_61;size=40;</t>
  </si>
  <si>
    <t>OTU_65;size=36;</t>
  </si>
  <si>
    <t>OTU_74;size=44;</t>
  </si>
  <si>
    <t>OTU_66;size=35;</t>
  </si>
  <si>
    <t>OTU_66;size=51;</t>
  </si>
  <si>
    <t>OTU_70;size=31;</t>
  </si>
  <si>
    <t>OTU_71;size=33;</t>
  </si>
  <si>
    <t>OTU_97;size=23;</t>
  </si>
  <si>
    <t>OTU_72;size=32;</t>
  </si>
  <si>
    <t>OTU_67;size=35;</t>
  </si>
  <si>
    <t>OTU_69;size=43;</t>
  </si>
  <si>
    <t>OTU_74;size=29;</t>
  </si>
  <si>
    <t>OTU_70;size=60;</t>
  </si>
  <si>
    <t>OTU_79;size=28;</t>
  </si>
  <si>
    <t>OTU_73;size=30;</t>
  </si>
  <si>
    <t>OTU_85;size=29;</t>
  </si>
  <si>
    <t>OTU_75;size=27;</t>
  </si>
  <si>
    <t>OTU_86;size=33;</t>
  </si>
  <si>
    <t>OTU_78;size=24;</t>
  </si>
  <si>
    <t>OTU_171;size=4;</t>
  </si>
  <si>
    <t>OTU_82;size=21;</t>
  </si>
  <si>
    <t>OTU_127;size=20;</t>
  </si>
  <si>
    <t>OTU_84;size=19;</t>
  </si>
  <si>
    <t>OTU_142;size=6;</t>
  </si>
  <si>
    <t>OTU_83;size=20;</t>
  </si>
  <si>
    <t>OTU_85;size=18;</t>
  </si>
  <si>
    <t>OTU_75;size=39;</t>
  </si>
  <si>
    <t>OTU_81;size=21;</t>
  </si>
  <si>
    <t>OTU_79;size=31;</t>
  </si>
  <si>
    <t>OTU_87;size=16;</t>
  </si>
  <si>
    <t>OTU_118;size=16;</t>
  </si>
  <si>
    <t>OTU_88;size=15;</t>
  </si>
  <si>
    <t>OTU_90;size=12;</t>
  </si>
  <si>
    <t>OTU_121;size=10;</t>
  </si>
  <si>
    <t>OTU_86;size=18;</t>
  </si>
  <si>
    <t>OTU_95;size=11;</t>
  </si>
  <si>
    <t>OTU_77;size=41;</t>
  </si>
  <si>
    <t>OTU_92;size=11;</t>
  </si>
  <si>
    <t>OTU_97;size=8;</t>
  </si>
  <si>
    <t>OTU_107;size=30;</t>
  </si>
  <si>
    <t>OTU_96;size=8;</t>
  </si>
  <si>
    <t>OTU_122;size=13;</t>
  </si>
  <si>
    <t>OTU_109;size=25;</t>
  </si>
  <si>
    <t>OTU_125;size=19;</t>
  </si>
  <si>
    <t>OTU_92;size=18;</t>
  </si>
  <si>
    <t>OTU_27;size=541;</t>
  </si>
  <si>
    <t>OTU_2;size=2733;</t>
  </si>
  <si>
    <t>OTU_4;size=1238;</t>
  </si>
  <si>
    <t>OTU_4;size=476;</t>
  </si>
  <si>
    <t>OTU_2;size=3312;</t>
  </si>
  <si>
    <t>OTU_3;size=508;</t>
  </si>
  <si>
    <t>OTU_3;size=2340;</t>
  </si>
  <si>
    <t>OTU_5;size=304;</t>
  </si>
  <si>
    <t>OTU_7;size=929;</t>
  </si>
  <si>
    <t>OTU_9;size=192;</t>
  </si>
  <si>
    <t>OTU_8;size=1032;</t>
  </si>
  <si>
    <t>OTU_6;size=262;</t>
  </si>
  <si>
    <t>OTU_5;size=1270;</t>
  </si>
  <si>
    <t>OTU_7;size=254;</t>
  </si>
  <si>
    <t>OTU_9;size=796;</t>
  </si>
  <si>
    <t>OTU_11;size=110;</t>
  </si>
  <si>
    <t>OTU_12;size=230;</t>
  </si>
  <si>
    <t>OTU_8;size=135;</t>
  </si>
  <si>
    <t>OTU_23;size=67;</t>
  </si>
  <si>
    <t>OTU_10;size=125;</t>
  </si>
  <si>
    <t>OTU_6;size=1059;</t>
  </si>
  <si>
    <t>OTU_12;size=98;</t>
  </si>
  <si>
    <t>OTU_10;size=304;</t>
  </si>
  <si>
    <t>OTU_13;size=82;</t>
  </si>
  <si>
    <t>OTU_11;size=205;</t>
  </si>
  <si>
    <t>OTU_14;size=70;</t>
  </si>
  <si>
    <t>OTU_16;size=161;</t>
  </si>
  <si>
    <t>OTU_16;size=66;</t>
  </si>
  <si>
    <t>OTU_17;size=128;</t>
  </si>
  <si>
    <t>OTU_15;size=65;</t>
  </si>
  <si>
    <t>OTU_13;size=219;</t>
  </si>
  <si>
    <t>OTU_19;size=42;</t>
  </si>
  <si>
    <t>OTU_15;size=175;</t>
  </si>
  <si>
    <t>OTU_17;size=50;</t>
  </si>
  <si>
    <t>OTU_18;size=125;</t>
  </si>
  <si>
    <t>OTU_20;size=37;</t>
  </si>
  <si>
    <t>OTU_31;size=38;</t>
  </si>
  <si>
    <t>OTU_23;size=34;</t>
  </si>
  <si>
    <t>OTU_19;size=109;</t>
  </si>
  <si>
    <t>OTU_21;size=35;</t>
  </si>
  <si>
    <t>OTU_29;size=43;</t>
  </si>
  <si>
    <t>OTU_18;size=47;</t>
  </si>
  <si>
    <t>OTU_14;size=169;</t>
  </si>
  <si>
    <t>OTU_24;size=31;</t>
  </si>
  <si>
    <t>OTU_26;size=59;</t>
  </si>
  <si>
    <t>OTU_22;size=34;</t>
  </si>
  <si>
    <t>OTU_22;size=92;</t>
  </si>
  <si>
    <t>OTU_26;size=24;</t>
  </si>
  <si>
    <t>OTU_30;size=54;</t>
  </si>
  <si>
    <t>OTU_28;size=28;</t>
  </si>
  <si>
    <t>OTU_21;size=104;</t>
  </si>
  <si>
    <t>OTU_25;size=30;</t>
  </si>
  <si>
    <t>OTU_33;size=23;</t>
  </si>
  <si>
    <t>OTU_27;size=23;</t>
  </si>
  <si>
    <t>OTU_30;size=20;</t>
  </si>
  <si>
    <t>OTU_29;size=21;</t>
  </si>
  <si>
    <t>OTU_28;size=53;</t>
  </si>
  <si>
    <t>OTU_33;size=15;</t>
  </si>
  <si>
    <t>OTU_31;size=18;</t>
  </si>
  <si>
    <t>OTU_24;size=71;</t>
  </si>
  <si>
    <t>OTU_32;size=17;</t>
  </si>
  <si>
    <t>OTU_25;size=53;</t>
  </si>
  <si>
    <t>OTU_34;size=14;</t>
  </si>
  <si>
    <t>OTU_36;size=25;</t>
  </si>
  <si>
    <t>OTU_36;size=10;</t>
  </si>
  <si>
    <t>OTU_51;size=19;</t>
  </si>
  <si>
    <t>OTU_35;size=11;</t>
  </si>
  <si>
    <t>OTU_41;size=20;</t>
  </si>
  <si>
    <t>OTU_38;size=8;</t>
  </si>
  <si>
    <t>OTU_39;size=3;</t>
  </si>
  <si>
    <t>OTU_37;size=8;</t>
  </si>
  <si>
    <t>OTU_1;size=13563;</t>
  </si>
  <si>
    <t>OTU_1;size=27333;</t>
  </si>
  <si>
    <t>OTU_20;size=108;</t>
  </si>
  <si>
    <t>OTU_3;size=1169;</t>
  </si>
  <si>
    <t>OTU_7;size=2463;</t>
  </si>
  <si>
    <t>OTU_4;size=847;</t>
  </si>
  <si>
    <t>OTU_19;size=129;</t>
  </si>
  <si>
    <t>OTU_1;size=7816;</t>
  </si>
  <si>
    <t>OTU_1;size=17120;</t>
  </si>
  <si>
    <t>OTU_2;size=1220;</t>
  </si>
  <si>
    <t>OTU_2;size=5845;</t>
  </si>
  <si>
    <t>OTU_5;size=771;</t>
  </si>
  <si>
    <t>OTU_3;size=4057;</t>
  </si>
  <si>
    <t>OTU_7;size=506;</t>
  </si>
  <si>
    <t>OTU_5;size=2871;</t>
  </si>
  <si>
    <t>OTU_8;size=419;</t>
  </si>
  <si>
    <t>OTU_12;size=722;</t>
  </si>
  <si>
    <t>OTU_10;size=326;</t>
  </si>
  <si>
    <t>OTU_6;size=2685;</t>
  </si>
  <si>
    <t>OTU_6;size=556;</t>
  </si>
  <si>
    <t>OTU_10;size=955;</t>
  </si>
  <si>
    <t>OTU_9;size=408;</t>
  </si>
  <si>
    <t>OTU_8;size=1089;</t>
  </si>
  <si>
    <t>OTU_13;size=211;</t>
  </si>
  <si>
    <t>OTU_14;size=259;</t>
  </si>
  <si>
    <t>OTU_24;size=102;</t>
  </si>
  <si>
    <t>OTU_12;size=271;</t>
  </si>
  <si>
    <t>OTU_4;size=3104;</t>
  </si>
  <si>
    <t>OTU_14;size=100;</t>
  </si>
  <si>
    <t>OTU_11;size=1161;</t>
  </si>
  <si>
    <t>OTU_16;size=98;</t>
  </si>
  <si>
    <t>OTU_21;size=107;</t>
  </si>
  <si>
    <t>OTU_11;size=305;</t>
  </si>
  <si>
    <t>OTU_9;size=1171;</t>
  </si>
  <si>
    <t>OTU_17;size=85;</t>
  </si>
  <si>
    <t>OTU_16;size=188;</t>
  </si>
  <si>
    <t>OTU_15;size=100;</t>
  </si>
  <si>
    <t>OTU_13;size=269;</t>
  </si>
  <si>
    <t>OTU_18;size=82;</t>
  </si>
  <si>
    <t>OTU_20;size=112;</t>
  </si>
  <si>
    <t>OTU_22;size=60;</t>
  </si>
  <si>
    <t>OTU_17;size=135;</t>
  </si>
  <si>
    <t>OTU_19;size=79;</t>
  </si>
  <si>
    <t>OTU_23;size=70;</t>
  </si>
  <si>
    <t>OTU_24;size=37;</t>
  </si>
  <si>
    <t>OTU_32;size=29;</t>
  </si>
  <si>
    <t>OTU_25;size=36;</t>
  </si>
  <si>
    <t>OTU_29;size=44;</t>
  </si>
  <si>
    <t>OTU_26;size=35;</t>
  </si>
  <si>
    <t>OTU_25;size=50;</t>
  </si>
  <si>
    <t>OTU_23;size=48;</t>
  </si>
  <si>
    <t>OTU_22;size=93;</t>
  </si>
  <si>
    <t>OTU_27;size=29;</t>
  </si>
  <si>
    <t>OTU_26;size=58;</t>
  </si>
  <si>
    <t>OTU_44;size=19;</t>
  </si>
  <si>
    <t>OTU_28;size=21;</t>
  </si>
  <si>
    <t>OTU_30;size=31;</t>
  </si>
  <si>
    <t>OTU_30;size=19;</t>
  </si>
  <si>
    <t>OTU_28;size=52;</t>
  </si>
  <si>
    <t>OTU_21;size=65;</t>
  </si>
  <si>
    <t>OTU_15;size=220;</t>
  </si>
  <si>
    <t>OTU_3;size=3953;</t>
  </si>
  <si>
    <t>OTU_15;size=533;</t>
  </si>
  <si>
    <t>OTU_2;size=2485;</t>
  </si>
  <si>
    <t>OTU_1;size=7736;</t>
  </si>
  <si>
    <t>OTU_1;size=3069;</t>
  </si>
  <si>
    <t>OTU_2;size=5956;</t>
  </si>
  <si>
    <t>OTU_4;size=2216;</t>
  </si>
  <si>
    <t>OTU_5;size=3285;</t>
  </si>
  <si>
    <t>OTU_7;size=1066;</t>
  </si>
  <si>
    <t>OTU_9;size=931;</t>
  </si>
  <si>
    <t>OTU_9;size=942;</t>
  </si>
  <si>
    <t>OTU_8;size=1124;</t>
  </si>
  <si>
    <t>OTU_6;size=1550;</t>
  </si>
  <si>
    <t>OTU_4;size=3116;</t>
  </si>
  <si>
    <t>OTU_11;size=624;</t>
  </si>
  <si>
    <t>OTU_10;size=860;</t>
  </si>
  <si>
    <t>OTU_5;size=1942;</t>
  </si>
  <si>
    <t>OTU_3;size=3332;</t>
  </si>
  <si>
    <t>OTU_12;size=334;</t>
  </si>
  <si>
    <t>OTU_13;size=477;</t>
  </si>
  <si>
    <t>OTU_8;size=1015;</t>
  </si>
  <si>
    <t>OTU_6;size=1554;</t>
  </si>
  <si>
    <t>OTU_14;size=222;</t>
  </si>
  <si>
    <t>OTU_20;size=290;</t>
  </si>
  <si>
    <t>OTU_10;size=754;</t>
  </si>
  <si>
    <t>OTU_7;size=1293;</t>
  </si>
  <si>
    <t>OTU_15;size=200;</t>
  </si>
  <si>
    <t>OTU_13;size=298;</t>
  </si>
  <si>
    <t>OTU_16;size=290;</t>
  </si>
  <si>
    <t>OTU_18;size=173;</t>
  </si>
  <si>
    <t>OTU_11;size=586;</t>
  </si>
  <si>
    <t>OTU_19;size=155;</t>
  </si>
  <si>
    <t>OTU_21;size=153;</t>
  </si>
  <si>
    <t>OTU_23;size=119;</t>
  </si>
  <si>
    <t>OTU_21;size=139;</t>
  </si>
  <si>
    <t>OTU_17;size=254;</t>
  </si>
  <si>
    <t>OTU_17;size=178;</t>
  </si>
  <si>
    <t>OTU_39;size=32;</t>
  </si>
  <si>
    <t>OTU_24;size=118;</t>
  </si>
  <si>
    <t>OTU_20;size=146;</t>
  </si>
  <si>
    <t>OTU_22;size=129;</t>
  </si>
  <si>
    <t>OTU_14;size=389;</t>
  </si>
  <si>
    <t>OTU_26;size=103;</t>
  </si>
  <si>
    <t>OTU_27;size=128;</t>
  </si>
  <si>
    <t>OTU_25;size=98;</t>
  </si>
  <si>
    <t>OTU_18;size=181;</t>
  </si>
  <si>
    <t>OTU_23;size=126;</t>
  </si>
  <si>
    <t>OTU_22;size=138;</t>
  </si>
  <si>
    <t>OTU_28;size=65;</t>
  </si>
  <si>
    <t>OTU_44;size=25;</t>
  </si>
  <si>
    <t>OTU_29;size=63;</t>
  </si>
  <si>
    <t>OTU_31;size=53;</t>
  </si>
  <si>
    <t>OTU_27;size=69;</t>
  </si>
  <si>
    <t>OTU_29;size=61;</t>
  </si>
  <si>
    <t>OTU_30;size=57;</t>
  </si>
  <si>
    <t>OTU_24;size=106;</t>
  </si>
  <si>
    <t>OTU_33;size=43;</t>
  </si>
  <si>
    <t>OTU_43;size=32;</t>
  </si>
  <si>
    <t>OTU_37;size=50;</t>
  </si>
  <si>
    <t>OTU_35;size=38;</t>
  </si>
  <si>
    <t>OTU_32;size=61;</t>
  </si>
  <si>
    <t>OTU_28;size=61;</t>
  </si>
  <si>
    <t>OTU_33;size=58;</t>
  </si>
  <si>
    <t>OTU_47;size=22;</t>
  </si>
  <si>
    <t>OTU_32;size=40;</t>
  </si>
  <si>
    <t>OTU_53;size=11;</t>
  </si>
  <si>
    <t>OTU_40;size=27;</t>
  </si>
  <si>
    <t>OTU_40;size=28;</t>
  </si>
  <si>
    <t>OTU_34;size=46;</t>
  </si>
  <si>
    <t>OTU_43;size=21;</t>
  </si>
  <si>
    <t>OTU_46;size=17;</t>
  </si>
  <si>
    <t>OTU_37;size=33;</t>
  </si>
  <si>
    <t>OTU_36;size=33;</t>
  </si>
  <si>
    <t>OTU_26;size=82;</t>
  </si>
  <si>
    <t>OTU_48;size=12;</t>
  </si>
  <si>
    <t>OTU_46;size=16;</t>
  </si>
  <si>
    <t>OTU_54;size=16;</t>
  </si>
  <si>
    <t>OTU_51;size=11;</t>
  </si>
  <si>
    <t>OTU_53;size=7;</t>
  </si>
  <si>
    <t>OTU_36;size=39;</t>
  </si>
  <si>
    <t>OTU_54;size=6;</t>
  </si>
  <si>
    <t>OTU_63;size=12;</t>
  </si>
  <si>
    <t>OTU_56;size=3;</t>
  </si>
  <si>
    <t>OTU_76;size=3;</t>
  </si>
  <si>
    <t>OTU_57;size=2;</t>
  </si>
  <si>
    <t>OTU_59;size=11;</t>
  </si>
  <si>
    <t>OTU_12;size=429;</t>
  </si>
  <si>
    <t>amplicon (adj)</t>
  </si>
  <si>
    <t>WGS extended (adj)</t>
  </si>
  <si>
    <t>#OTUs</t>
  </si>
  <si>
    <t>100% identical</t>
  </si>
  <si>
    <t>same species</t>
  </si>
  <si>
    <t>+new</t>
  </si>
  <si>
    <t>Species (Kelpie-only pipeline)</t>
  </si>
  <si>
    <t>Identity (%)</t>
  </si>
  <si>
    <t>Species (amplicon-only pipeline)</t>
  </si>
  <si>
    <t>W1</t>
  </si>
  <si>
    <t>W2</t>
  </si>
  <si>
    <t>W3</t>
  </si>
  <si>
    <t>OTU_75;size=6;</t>
  </si>
  <si>
    <t>OTU_76;size=6;</t>
  </si>
  <si>
    <t>OTU_91;size=4;</t>
  </si>
  <si>
    <t>OTU_119;size=4;</t>
  </si>
  <si>
    <t>Max from all samples</t>
  </si>
  <si>
    <t>OTU_97;size=5;</t>
  </si>
  <si>
    <t>OTU_99;size=4;</t>
  </si>
  <si>
    <t>OTU_95;size=2;</t>
  </si>
  <si>
    <t>OTU_2;size=12534;</t>
  </si>
  <si>
    <t>OTU_1;size=12396;</t>
  </si>
  <si>
    <t>OTU_3;size=7230;</t>
  </si>
  <si>
    <t>OTU_4;size=6989;</t>
  </si>
  <si>
    <t>OTU_6;size=5988;</t>
  </si>
  <si>
    <t>OTU_5;size=5501;</t>
  </si>
  <si>
    <t>OTU_7;size=3309;</t>
  </si>
  <si>
    <t>OTU_12;size=2520;</t>
  </si>
  <si>
    <t>OTU_8;size=2221;</t>
  </si>
  <si>
    <t>OTU_9;size=2089;</t>
  </si>
  <si>
    <t>OTU_10;size=1949;</t>
  </si>
  <si>
    <t>OTU_11;size=1910;</t>
  </si>
  <si>
    <t>OTU_13;size=1856;</t>
  </si>
  <si>
    <t>OTU_14;size=1249;</t>
  </si>
  <si>
    <t>OTU_15;size=1182;</t>
  </si>
  <si>
    <t>OTU_16;size=1005;</t>
  </si>
  <si>
    <t>OTU_18;size=925;</t>
  </si>
  <si>
    <t>OTU_17;size=909;</t>
  </si>
  <si>
    <t>OTU_21;size=851;</t>
  </si>
  <si>
    <t>OTU_19;size=753;</t>
  </si>
  <si>
    <t>OTU_20;size=701;</t>
  </si>
  <si>
    <t>OTU_22;size=652;</t>
  </si>
  <si>
    <t>OTU_24;size=495;</t>
  </si>
  <si>
    <t>OTU_23;size=440;</t>
  </si>
  <si>
    <t>OTU_26;size=375;</t>
  </si>
  <si>
    <t>OTU_25;size=335;</t>
  </si>
  <si>
    <t>OTU_30;size=325;</t>
  </si>
  <si>
    <t>OTU_27;size=307;</t>
  </si>
  <si>
    <t>OTU_28;size=276;</t>
  </si>
  <si>
    <t>OTU_29;size=276;</t>
  </si>
  <si>
    <t>OTU_31;size=264;</t>
  </si>
  <si>
    <t>OTU_32;size=255;</t>
  </si>
  <si>
    <t>OTU_33;size=174;</t>
  </si>
  <si>
    <t>OTU_40;size=159;</t>
  </si>
  <si>
    <t>OTU_35;size=155;</t>
  </si>
  <si>
    <t>OTU_34;size=134;</t>
  </si>
  <si>
    <t>OTU_37;size=116;</t>
  </si>
  <si>
    <t>OTU_38;size=112;</t>
  </si>
  <si>
    <t>OTU_36;size=92;</t>
  </si>
  <si>
    <t>OTU_39;size=81;</t>
  </si>
  <si>
    <t>OTU_41;size=70;</t>
  </si>
  <si>
    <t>OTU_42;size=70;</t>
  </si>
  <si>
    <t>OTU_44;size=61;</t>
  </si>
  <si>
    <t>OTU_70;size=58;</t>
  </si>
  <si>
    <t>OTU_43;size=55;</t>
  </si>
  <si>
    <t>OTU_47;size=45;</t>
  </si>
  <si>
    <t>OTU_51;size=41;</t>
  </si>
  <si>
    <t>OTU_45;size=38;</t>
  </si>
  <si>
    <t>OTU_46;size=36;</t>
  </si>
  <si>
    <t>OTU_49;size=33;</t>
  </si>
  <si>
    <t>OTU_50;size=31;</t>
  </si>
  <si>
    <t>OTU_52;size=29;</t>
  </si>
  <si>
    <t>OTU_56;size=27;</t>
  </si>
  <si>
    <t>OTU_48;size=26;</t>
  </si>
  <si>
    <t>OTU_54;size=24;</t>
  </si>
  <si>
    <t>OTU_53;size=23;</t>
  </si>
  <si>
    <t>OTU_55;size=22;</t>
  </si>
  <si>
    <t>OTU_60;size=14;</t>
  </si>
  <si>
    <t>OTU_57;size=14;</t>
  </si>
  <si>
    <t>OTU_61;size=14;</t>
  </si>
  <si>
    <t>OTU_69;size=13;</t>
  </si>
  <si>
    <t>OTU_64;size=12;</t>
  </si>
  <si>
    <t>OTU_59;size=12;</t>
  </si>
  <si>
    <t>OTU_58;size=12;</t>
  </si>
  <si>
    <t>OTU_62;size=11;</t>
  </si>
  <si>
    <t>OTU_65;size=10;</t>
  </si>
  <si>
    <t>OTU_68;size=10;</t>
  </si>
  <si>
    <t>OTU_72;size=10;</t>
  </si>
  <si>
    <t>OTU_66;size=9;</t>
  </si>
  <si>
    <t>OTU_71;size=9;</t>
  </si>
  <si>
    <t>OTU_114;size=9;</t>
  </si>
  <si>
    <t>OTU_74;size=8;</t>
  </si>
  <si>
    <t>OTU_107;size=7;</t>
  </si>
  <si>
    <t>OTU_73;size=7;</t>
  </si>
  <si>
    <t>OTU_63;size=7;</t>
  </si>
  <si>
    <t>OTU_67;size=7;</t>
  </si>
  <si>
    <t>OTU_78;size=7;</t>
  </si>
  <si>
    <t>OTU_110;size=7;</t>
  </si>
  <si>
    <t>OTU_117;size=7;</t>
  </si>
  <si>
    <t>OTU_88;size=7;</t>
  </si>
  <si>
    <t>OTU_92;size=7;</t>
  </si>
  <si>
    <t>OTU_79;size=6;</t>
  </si>
  <si>
    <t>OTU_80;size=6;</t>
  </si>
  <si>
    <t>OTU_82;size=6;</t>
  </si>
  <si>
    <t>OTU_90;size=5;</t>
  </si>
  <si>
    <t>OTU_113;size=5;</t>
  </si>
  <si>
    <t>OTU_85;size=5;</t>
  </si>
  <si>
    <t>OTU_77;size=5;</t>
  </si>
  <si>
    <t>OTU_103;size=5;</t>
  </si>
  <si>
    <t>OTU_106;size=5;</t>
  </si>
  <si>
    <t>OTU_109;size=5;</t>
  </si>
  <si>
    <t>OTU_104;size=5;</t>
  </si>
  <si>
    <t>OTU_87;size=4;</t>
  </si>
  <si>
    <t>OTU_86;size=4;</t>
  </si>
  <si>
    <t>OTU_102;size=4;</t>
  </si>
  <si>
    <t>OTU_126;size=4;</t>
  </si>
  <si>
    <t>OTU_112;size=4;</t>
  </si>
  <si>
    <t>OTU_122;size=4;</t>
  </si>
  <si>
    <t>OTU_120;size=3;</t>
  </si>
  <si>
    <t>OTU_89;size=3;</t>
  </si>
  <si>
    <t>OTU_121;size=3;</t>
  </si>
  <si>
    <t>OTU_125;size=3;</t>
  </si>
  <si>
    <t>OTU_83;size=3;</t>
  </si>
  <si>
    <t>OTU_81;size=3;</t>
  </si>
  <si>
    <t>OTU_111;size=2;</t>
  </si>
  <si>
    <t>OTU_115;size=2;</t>
  </si>
  <si>
    <t>OTU_100;size=2;</t>
  </si>
  <si>
    <t>OTU_108;size=2;</t>
  </si>
  <si>
    <t>OTU_118;size=2;</t>
  </si>
  <si>
    <t>OTU_105;size=2;</t>
  </si>
  <si>
    <t>OTU_123;size=2;</t>
  </si>
  <si>
    <t>OTU_124;size=2;</t>
  </si>
  <si>
    <t>OTU_116;size=2;</t>
  </si>
  <si>
    <t>W1 amplicon</t>
  </si>
  <si>
    <t>W1 extended</t>
  </si>
  <si>
    <t>W2 amplicon</t>
  </si>
  <si>
    <t>W2 extended</t>
  </si>
  <si>
    <t>W3 amplicon</t>
  </si>
  <si>
    <t>W3 extended</t>
  </si>
  <si>
    <t>Desulfuromonas acetexigens (T) (U23140)</t>
  </si>
  <si>
    <t>Thermodesulfovibrio aggregans (T) TGE-P1 (AB021302)</t>
  </si>
  <si>
    <t>Treponema zuelzerae (T) type strain: DSM 1903; 2 (FR749929)</t>
  </si>
  <si>
    <t>Methanobacterium subterraneum (T) A8p, DSM 11074 (X99044)</t>
  </si>
  <si>
    <t>Cytophaga fermentans (T) ATCC 19072 (M58766)</t>
  </si>
  <si>
    <t>Methanosaeta harundinacea (T) 8Ac (AY817738)</t>
  </si>
  <si>
    <t>Parabacteroides distasonis (T) JCM 5825 (AB238922)</t>
  </si>
  <si>
    <t>Thermacetogenium phaeum (T) PB (AB020336)</t>
  </si>
  <si>
    <t>candidate division OP1 clone OPB14 (AF027045)</t>
  </si>
  <si>
    <t>Lysinibacillus sp. LAM612 (KF443809)</t>
  </si>
  <si>
    <t>Methanosarcina siciliae type strain: DSM3028 (FR733698)</t>
  </si>
  <si>
    <t>Methanocalculus pumilus (T) MHT-1 (AB008853)</t>
  </si>
  <si>
    <t>Desulfotomaculum acetoxidans (T) DSM 771 (Y11566)</t>
  </si>
  <si>
    <t>Syntrophaceticus schinkii (T) Sp3 (EU386162)</t>
  </si>
  <si>
    <t>Methanobacterium aarhusense (T) H2-LR (AY386124)</t>
  </si>
  <si>
    <t>Methanothermobacter thermoflexus (T) IDZ, VKM B-1963, DSM 7268 (X99047)</t>
  </si>
  <si>
    <t>Sulfurospirillum alkalitolerans HTRB-L1 (GQ863490)</t>
  </si>
  <si>
    <t>Methanobacterium alcaliphilum (T) NBRC 105226 (AB496639)</t>
  </si>
  <si>
    <t>Clostridium hungatei (T) AD; ATCC 700212 (AF020429)</t>
  </si>
  <si>
    <t>Natronincola peptidivorans (T) Z-7031 (EF382661)</t>
  </si>
  <si>
    <t>Pontibacter sp. JC215 A10 (HG008901)</t>
  </si>
  <si>
    <t>Porphyromonas pogonae strain MI 10-1288 (NR 136443.1)</t>
  </si>
  <si>
    <t>Acetobacterium malicum (T) DSM 4132 (X96957)</t>
  </si>
  <si>
    <t>Desulfovibrio oxamicus (T) DSM 1925 (DQ122124)</t>
  </si>
  <si>
    <t>W1 16S extended</t>
  </si>
  <si>
    <t>W1 Spades contigs</t>
  </si>
  <si>
    <t>W1 Spades 16S contigs</t>
  </si>
  <si>
    <t>WGS 16S W1</t>
  </si>
  <si>
    <t>W1 Spades</t>
  </si>
  <si>
    <t>W1 Spades 16S</t>
  </si>
  <si>
    <t>W1 WGS coverage</t>
  </si>
  <si>
    <t>W1 species amp</t>
  </si>
  <si>
    <t>#W1 Metaphlan2_Analysis</t>
  </si>
  <si>
    <t>W1 MetaPhlAn</t>
  </si>
  <si>
    <t>W2 16S extended</t>
  </si>
  <si>
    <t>W2 Spades contigs</t>
  </si>
  <si>
    <t>W2 Spades 16S contigs</t>
  </si>
  <si>
    <t>WGS 16S W2</t>
  </si>
  <si>
    <t>W2 Spades</t>
  </si>
  <si>
    <t>W2 Spades 16S</t>
  </si>
  <si>
    <t>W2 WGS coverage</t>
  </si>
  <si>
    <t>W2 species amp</t>
  </si>
  <si>
    <t>#W2 Metaphlan2_Analysis</t>
  </si>
  <si>
    <t>W2 MetaPhlAn</t>
  </si>
  <si>
    <t>W3 16S extended</t>
  </si>
  <si>
    <t>W3 Spades contigs</t>
  </si>
  <si>
    <t>W3 Spades 16S contigs</t>
  </si>
  <si>
    <t>WGS 16S W3</t>
  </si>
  <si>
    <t>W3 Spades</t>
  </si>
  <si>
    <t>W3 Spades 16S</t>
  </si>
  <si>
    <t>W3 WGS coverage</t>
  </si>
  <si>
    <t>W3 species amp</t>
  </si>
  <si>
    <t>#W3 Metaphlan2_Analysis</t>
  </si>
  <si>
    <t>W3 MetaPhlAn</t>
  </si>
  <si>
    <t>W4</t>
  </si>
  <si>
    <t>W5</t>
  </si>
  <si>
    <t>W6</t>
  </si>
  <si>
    <t>W7</t>
  </si>
  <si>
    <t>W8</t>
  </si>
  <si>
    <t>W9</t>
  </si>
  <si>
    <t>W10</t>
  </si>
  <si>
    <t>Full MrDNA sequencing run. Only 10 samples, so rest of lane would have been filled with other, unrelated, projects.</t>
  </si>
  <si>
    <t>MetaPhlAn genus</t>
  </si>
  <si>
    <t>Combined OTU table from single run of all 12 sources.</t>
  </si>
  <si>
    <t>Summary statistics from AESS OTU tables (Amplicons, Extended, Spades full, Spades 16S)</t>
  </si>
  <si>
    <t>Summary statistics for AE tables (Amplicon &amp; Extended)</t>
  </si>
  <si>
    <t>Kelpie species</t>
  </si>
  <si>
    <t>Identity</t>
  </si>
  <si>
    <t xml:space="preserve">Amplicon species </t>
  </si>
  <si>
    <t xml:space="preserve">Kelpie-&gt;Amplicon matches </t>
  </si>
  <si>
    <t>same species (97%+)</t>
  </si>
  <si>
    <t>same genus (95%+)</t>
  </si>
  <si>
    <t>not in amplicon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</si>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</sst>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Fill="1"/>
    <xf numFmtId="164" fontId="0" fillId="0" borderId="0" xfId="1" applyNumberFormat="1" applyFon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9" fontId="0" fillId="0" borderId="0" xfId="0" applyNumberFormat="1"/>
    <xf numFmtId="164" fontId="2" fillId="0" borderId="0" xfId="0" applyNumberFormat="1" applyFont="1" applyFill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3" borderId="0" xfId="0" applyFill="1"/>
    <xf numFmtId="0" fontId="0" fillId="0" borderId="0" xfId="0" applyAlignment="1">
      <alignment horizontal="right"/>
    </xf>
    <xf numFmtId="10" fontId="0" fillId="0" borderId="0" xfId="1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0" xfId="0" applyNumberFormat="1" applyAlignment="1">
      <alignment wrapText="1"/>
    </xf>
    <xf numFmtId="1" fontId="0" fillId="0" borderId="0" xfId="0" applyNumberFormat="1"/>
    <xf numFmtId="0" fontId="2" fillId="0" borderId="0" xfId="0" applyFont="1" applyFill="1" applyAlignment="1">
      <alignment wrapText="1"/>
    </xf>
    <xf numFmtId="0" fontId="0" fillId="5" borderId="0" xfId="0" applyFill="1"/>
    <xf numFmtId="2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10" fontId="0" fillId="0" borderId="0" xfId="0" applyNumberFormat="1"/>
    <xf numFmtId="10" fontId="0" fillId="0" borderId="0" xfId="0" applyNumberFormat="1" applyAlignment="1">
      <alignment wrapText="1"/>
    </xf>
    <xf numFmtId="10" fontId="0" fillId="0" borderId="0" xfId="1" applyNumberFormat="1" applyFont="1" applyFill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0" fillId="4" borderId="0" xfId="0" applyNumberFormat="1" applyFill="1"/>
    <xf numFmtId="164" fontId="0" fillId="6" borderId="0" xfId="0" applyNumberFormat="1" applyFill="1"/>
    <xf numFmtId="0" fontId="3" fillId="0" borderId="0" xfId="0" applyFont="1" applyFill="1"/>
    <xf numFmtId="164" fontId="2" fillId="0" borderId="0" xfId="1" applyNumberFormat="1" applyFont="1" applyFill="1"/>
    <xf numFmtId="1" fontId="0" fillId="0" borderId="0" xfId="1" applyNumberFormat="1" applyFont="1"/>
    <xf numFmtId="9" fontId="0" fillId="0" borderId="0" xfId="1" applyFont="1"/>
    <xf numFmtId="0" fontId="0" fillId="0" borderId="0" xfId="0" quotePrefix="1"/>
    <xf numFmtId="0" fontId="2" fillId="4" borderId="0" xfId="0" applyFont="1" applyFill="1"/>
    <xf numFmtId="10" fontId="0" fillId="4" borderId="0" xfId="1" applyNumberFormat="1" applyFont="1" applyFill="1"/>
    <xf numFmtId="0" fontId="0" fillId="0" borderId="0" xfId="0" applyFill="1" applyAlignment="1">
      <alignment horizontal="right"/>
    </xf>
    <xf numFmtId="0" fontId="4" fillId="7" borderId="0" xfId="0" applyFont="1" applyFill="1"/>
    <xf numFmtId="0" fontId="0" fillId="7" borderId="0" xfId="0" applyFill="1"/>
    <xf numFmtId="0" fontId="2" fillId="7" borderId="0" xfId="0" applyFont="1" applyFill="1"/>
    <xf numFmtId="0" fontId="0" fillId="0" borderId="0" xfId="0" applyNumberFormat="1" applyFont="1" applyFill="1" applyBorder="1" applyAlignment="1" applyProtection="1"/>
    <xf numFmtId="0" fontId="5" fillId="0" borderId="0" xfId="0" applyFont="1"/>
    <xf numFmtId="0" fontId="6" fillId="7" borderId="9" xfId="0" applyFont="1" applyFill="1" applyBorder="1"/>
    <xf numFmtId="0" fontId="6" fillId="7" borderId="10" xfId="0" applyFont="1" applyFill="1" applyBorder="1"/>
    <xf numFmtId="0" fontId="6" fillId="8" borderId="10" xfId="0" applyFont="1" applyFill="1" applyBorder="1"/>
    <xf numFmtId="0" fontId="6" fillId="9" borderId="11" xfId="0" applyFont="1" applyFill="1" applyBorder="1"/>
    <xf numFmtId="0" fontId="6" fillId="0" borderId="0" xfId="0" applyFont="1"/>
    <xf numFmtId="0" fontId="6" fillId="8" borderId="9" xfId="0" applyFont="1" applyFill="1" applyBorder="1"/>
    <xf numFmtId="0" fontId="6" fillId="8" borderId="11" xfId="0" applyFont="1" applyFill="1" applyBorder="1"/>
    <xf numFmtId="0" fontId="6" fillId="9" borderId="9" xfId="0" applyFont="1" applyFill="1" applyBorder="1"/>
    <xf numFmtId="0" fontId="6" fillId="9" borderId="10" xfId="0" applyFont="1" applyFill="1" applyBorder="1"/>
    <xf numFmtId="0" fontId="6" fillId="0" borderId="0" xfId="0" applyFont="1" applyFill="1" applyBorder="1"/>
    <xf numFmtId="0" fontId="0" fillId="8" borderId="0" xfId="0" applyFill="1"/>
    <xf numFmtId="0" fontId="0" fillId="9" borderId="0" xfId="0" applyFill="1"/>
    <xf numFmtId="0" fontId="0" fillId="10" borderId="9" xfId="0" applyFill="1" applyBorder="1" applyAlignment="1">
      <alignment horizontal="right"/>
    </xf>
    <xf numFmtId="0" fontId="0" fillId="10" borderId="11" xfId="0" applyFill="1" applyBorder="1"/>
    <xf numFmtId="9" fontId="0" fillId="0" borderId="5" xfId="1" applyFont="1" applyBorder="1"/>
    <xf numFmtId="9" fontId="0" fillId="0" borderId="8" xfId="1" applyFont="1" applyBorder="1"/>
    <xf numFmtId="0" fontId="7" fillId="7" borderId="0" xfId="0" applyFont="1" applyFill="1"/>
    <xf numFmtId="0" fontId="7" fillId="9" borderId="0" xfId="0" applyFont="1" applyFill="1"/>
    <xf numFmtId="0" fontId="6" fillId="7" borderId="11" xfId="0" applyFont="1" applyFill="1" applyBorder="1"/>
    <xf numFmtId="0" fontId="6" fillId="8" borderId="12" xfId="0" applyFont="1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8" borderId="15" xfId="0" applyFill="1" applyBorder="1"/>
    <xf numFmtId="0" fontId="0" fillId="8" borderId="13" xfId="0" applyFill="1" applyBorder="1"/>
    <xf numFmtId="0" fontId="0" fillId="8" borderId="14" xfId="0" applyFill="1" applyBorder="1"/>
    <xf numFmtId="0" fontId="0" fillId="9" borderId="15" xfId="0" applyFill="1" applyBorder="1"/>
    <xf numFmtId="0" fontId="0" fillId="9" borderId="13" xfId="0" applyFill="1" applyBorder="1"/>
    <xf numFmtId="0" fontId="0" fillId="9" borderId="14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4" xfId="0" quotePrefix="1" applyFill="1" applyBorder="1"/>
    <xf numFmtId="0" fontId="8" fillId="0" borderId="0" xfId="0" applyFont="1" applyFill="1"/>
  </cellXfs>
  <cellStyles count="2">
    <cellStyle name="Normal" xfId="0" builtinId="0"/>
    <cellStyle name="Percent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auto="1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</dxf>
    <dxf>
      <font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rgb="FF00B050"/>
      </font>
    </dxf>
    <dxf>
      <font>
        <color rgb="FFFF0000"/>
      </font>
    </dxf>
    <dxf>
      <font>
        <color auto="1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00B050"/>
      </font>
    </dxf>
    <dxf>
      <font>
        <color rgb="FFFF0000"/>
      </font>
    </dxf>
    <dxf>
      <font>
        <color auto="1"/>
      </font>
    </dxf>
    <dxf>
      <fill>
        <patternFill patternType="solid">
          <fgColor rgb="FFC00000"/>
          <bgColor rgb="FFFFFFFF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Top 98% of OTUs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'AESS summary'!$P$4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summary'!$Q$4:$S$4</c:f>
              <c:numCache>
                <c:formatCode>General</c:formatCode>
                <c:ptCount val="3"/>
                <c:pt idx="0">
                  <c:v>32</c:v>
                </c:pt>
                <c:pt idx="1">
                  <c:v>24</c:v>
                </c:pt>
                <c:pt idx="2">
                  <c:v>39</c:v>
                </c:pt>
              </c:numCache>
            </c:numRef>
          </c:val>
        </c:ser>
        <c:ser>
          <c:idx val="1"/>
          <c:order val="1"/>
          <c:tx>
            <c:strRef>
              <c:f>'AESS summary'!$P$5</c:f>
              <c:strCache>
                <c:ptCount val="1"/>
                <c:pt idx="0">
                  <c:v>Kelpie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summary'!$Q$5:$S$5</c:f>
              <c:numCache>
                <c:formatCode>General</c:formatCode>
                <c:ptCount val="3"/>
                <c:pt idx="0">
                  <c:v>32</c:v>
                </c:pt>
                <c:pt idx="1">
                  <c:v>24</c:v>
                </c:pt>
                <c:pt idx="2">
                  <c:v>39</c:v>
                </c:pt>
              </c:numCache>
            </c:numRef>
          </c:val>
        </c:ser>
        <c:ser>
          <c:idx val="2"/>
          <c:order val="2"/>
          <c:tx>
            <c:strRef>
              <c:f>'AESS summary'!$P$6</c:f>
              <c:strCache>
                <c:ptCount val="1"/>
                <c:pt idx="0">
                  <c:v>Spades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summary'!$Q$6:$S$6</c:f>
              <c:numCache>
                <c:formatCode>General</c:formatCode>
                <c:ptCount val="3"/>
                <c:pt idx="0">
                  <c:v>16</c:v>
                </c:pt>
                <c:pt idx="1">
                  <c:v>14</c:v>
                </c:pt>
                <c:pt idx="2">
                  <c:v>24</c:v>
                </c:pt>
              </c:numCache>
            </c:numRef>
          </c:val>
        </c:ser>
        <c:ser>
          <c:idx val="3"/>
          <c:order val="3"/>
          <c:tx>
            <c:strRef>
              <c:f>'AESS summary'!$P$7</c:f>
              <c:strCache>
                <c:ptCount val="1"/>
                <c:pt idx="0">
                  <c:v>Spades 16S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summary'!$Q$7:$S$7</c:f>
              <c:numCache>
                <c:formatCode>General</c:formatCode>
                <c:ptCount val="3"/>
                <c:pt idx="0">
                  <c:v>24</c:v>
                </c:pt>
                <c:pt idx="1">
                  <c:v>14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9828344"/>
        <c:axId val="679827560"/>
      </c:barChart>
      <c:catAx>
        <c:axId val="67982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827560"/>
        <c:crosses val="autoZero"/>
        <c:auto val="1"/>
        <c:lblAlgn val="ctr"/>
        <c:lblOffset val="100"/>
        <c:noMultiLvlLbl val="0"/>
      </c:catAx>
      <c:valAx>
        <c:axId val="67982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82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Top 99% of OTUs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 summary'!$J$4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summary'!$Q$4:$S$4</c:f>
              <c:numCache>
                <c:formatCode>General</c:formatCode>
                <c:ptCount val="3"/>
                <c:pt idx="0">
                  <c:v>48</c:v>
                </c:pt>
                <c:pt idx="1">
                  <c:v>33</c:v>
                </c:pt>
                <c:pt idx="2">
                  <c:v>53</c:v>
                </c:pt>
              </c:numCache>
            </c:numRef>
          </c:val>
        </c:ser>
        <c:ser>
          <c:idx val="1"/>
          <c:order val="1"/>
          <c:tx>
            <c:strRef>
              <c:f>'AE summary'!$J$5</c:f>
              <c:strCache>
                <c:ptCount val="1"/>
                <c:pt idx="0">
                  <c:v>WGS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summary'!$Q$5:$S$5</c:f>
              <c:numCache>
                <c:formatCode>General</c:formatCode>
                <c:ptCount val="3"/>
                <c:pt idx="0">
                  <c:v>38</c:v>
                </c:pt>
                <c:pt idx="1">
                  <c:v>29</c:v>
                </c:pt>
                <c:pt idx="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962528"/>
        <c:axId val="735523480"/>
      </c:barChart>
      <c:catAx>
        <c:axId val="6779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3480"/>
        <c:crosses val="autoZero"/>
        <c:auto val="1"/>
        <c:lblAlgn val="ctr"/>
        <c:lblOffset val="100"/>
        <c:noMultiLvlLbl val="0"/>
      </c:catAx>
      <c:valAx>
        <c:axId val="73552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6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Top 99% of OTUs (adjusted)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 summary'!$J$12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summary'!$Q$12:$S$12</c:f>
              <c:numCache>
                <c:formatCode>General</c:formatCode>
                <c:ptCount val="3"/>
                <c:pt idx="0">
                  <c:v>44</c:v>
                </c:pt>
                <c:pt idx="1">
                  <c:v>29</c:v>
                </c:pt>
                <c:pt idx="2">
                  <c:v>51</c:v>
                </c:pt>
              </c:numCache>
            </c:numRef>
          </c:val>
        </c:ser>
        <c:ser>
          <c:idx val="1"/>
          <c:order val="1"/>
          <c:tx>
            <c:strRef>
              <c:f>'AE summary'!$J$13</c:f>
              <c:strCache>
                <c:ptCount val="1"/>
                <c:pt idx="0">
                  <c:v>WGS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summary'!$Q$13:$S$13</c:f>
              <c:numCache>
                <c:formatCode>General</c:formatCode>
                <c:ptCount val="3"/>
                <c:pt idx="0">
                  <c:v>39</c:v>
                </c:pt>
                <c:pt idx="1">
                  <c:v>29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525048"/>
        <c:axId val="735521912"/>
      </c:barChart>
      <c:catAx>
        <c:axId val="73552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1912"/>
        <c:crosses val="autoZero"/>
        <c:auto val="1"/>
        <c:lblAlgn val="ctr"/>
        <c:lblOffset val="100"/>
        <c:noMultiLvlLbl val="0"/>
      </c:catAx>
      <c:valAx>
        <c:axId val="73552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Top 98% of OTUs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 summary'!$U$4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 summary'!$V$3:$X$3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summary'!$V$4:$X$4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ser>
          <c:idx val="1"/>
          <c:order val="1"/>
          <c:tx>
            <c:strRef>
              <c:f>'AE summary'!$U$5</c:f>
              <c:strCache>
                <c:ptCount val="1"/>
                <c:pt idx="0">
                  <c:v>amplicon (adj)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 summary'!$V$3:$X$3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summary'!$V$5:$X$5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ser>
          <c:idx val="2"/>
          <c:order val="2"/>
          <c:tx>
            <c:strRef>
              <c:f>'AE summary'!$U$6</c:f>
              <c:strCache>
                <c:ptCount val="1"/>
                <c:pt idx="0">
                  <c:v>WGS extended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'AE summary'!$V$3:$X$3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summary'!$V$6:$X$6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ser>
          <c:idx val="3"/>
          <c:order val="3"/>
          <c:tx>
            <c:strRef>
              <c:f>'AE summary'!$U$7</c:f>
              <c:strCache>
                <c:ptCount val="1"/>
                <c:pt idx="0">
                  <c:v>WGS extended (adj)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'AE summary'!$V$3:$X$3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summary'!$V$7:$X$7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519168"/>
        <c:axId val="735521128"/>
      </c:barChart>
      <c:catAx>
        <c:axId val="7355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1128"/>
        <c:crosses val="autoZero"/>
        <c:auto val="1"/>
        <c:lblAlgn val="ctr"/>
        <c:lblOffset val="100"/>
        <c:noMultiLvlLbl val="0"/>
      </c:catAx>
      <c:valAx>
        <c:axId val="73552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1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Top 99% of OTUs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 summary'!$AA$4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 summary'!$AB$3:$AD$3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summary'!$AB$4:$AD$4</c:f>
              <c:numCache>
                <c:formatCode>General</c:formatCode>
                <c:ptCount val="3"/>
                <c:pt idx="0">
                  <c:v>48</c:v>
                </c:pt>
                <c:pt idx="1">
                  <c:v>33</c:v>
                </c:pt>
                <c:pt idx="2">
                  <c:v>53</c:v>
                </c:pt>
              </c:numCache>
            </c:numRef>
          </c:val>
        </c:ser>
        <c:ser>
          <c:idx val="1"/>
          <c:order val="1"/>
          <c:tx>
            <c:strRef>
              <c:f>'AE summary'!$AA$5</c:f>
              <c:strCache>
                <c:ptCount val="1"/>
                <c:pt idx="0">
                  <c:v>amplicon (adj)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 summary'!$AB$3:$AD$3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summary'!$AB$5:$AD$5</c:f>
              <c:numCache>
                <c:formatCode>General</c:formatCode>
                <c:ptCount val="3"/>
                <c:pt idx="0">
                  <c:v>44</c:v>
                </c:pt>
                <c:pt idx="1">
                  <c:v>29</c:v>
                </c:pt>
                <c:pt idx="2">
                  <c:v>51</c:v>
                </c:pt>
              </c:numCache>
            </c:numRef>
          </c:val>
        </c:ser>
        <c:ser>
          <c:idx val="2"/>
          <c:order val="2"/>
          <c:tx>
            <c:strRef>
              <c:f>'AE summary'!$AA$6</c:f>
              <c:strCache>
                <c:ptCount val="1"/>
                <c:pt idx="0">
                  <c:v>WGS extended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'AE summary'!$AB$3:$AD$3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summary'!$AB$6:$AD$6</c:f>
              <c:numCache>
                <c:formatCode>General</c:formatCode>
                <c:ptCount val="3"/>
                <c:pt idx="0">
                  <c:v>38</c:v>
                </c:pt>
                <c:pt idx="1">
                  <c:v>29</c:v>
                </c:pt>
                <c:pt idx="2">
                  <c:v>50</c:v>
                </c:pt>
              </c:numCache>
            </c:numRef>
          </c:val>
        </c:ser>
        <c:ser>
          <c:idx val="3"/>
          <c:order val="3"/>
          <c:tx>
            <c:strRef>
              <c:f>'AE summary'!$AA$7</c:f>
              <c:strCache>
                <c:ptCount val="1"/>
                <c:pt idx="0">
                  <c:v>WGS extended (adj)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'AE summary'!$AB$3:$AD$3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summary'!$AB$7:$AD$7</c:f>
              <c:numCache>
                <c:formatCode>General</c:formatCode>
                <c:ptCount val="3"/>
                <c:pt idx="0">
                  <c:v>39</c:v>
                </c:pt>
                <c:pt idx="1">
                  <c:v>29</c:v>
                </c:pt>
                <c:pt idx="2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5524264"/>
        <c:axId val="735518776"/>
      </c:barChart>
      <c:catAx>
        <c:axId val="73552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18776"/>
        <c:crosses val="autoZero"/>
        <c:auto val="1"/>
        <c:lblAlgn val="ctr"/>
        <c:lblOffset val="100"/>
        <c:noMultiLvlLbl val="0"/>
      </c:catAx>
      <c:valAx>
        <c:axId val="73551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 b="0" i="0" baseline="0">
                <a:effectLst/>
              </a:rPr>
              <a:t>OTU agreement by cumulative amplicon reads</a:t>
            </a:r>
            <a:endParaRPr lang="en-AU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99781277340332"/>
          <c:y val="0.16904497301956872"/>
          <c:w val="0.7570229658792651"/>
          <c:h val="0.59542183549907934"/>
        </c:manualLayout>
      </c:layout>
      <c:scatterChart>
        <c:scatterStyle val="smoothMarker"/>
        <c:varyColors val="0"/>
        <c:ser>
          <c:idx val="0"/>
          <c:order val="0"/>
          <c:tx>
            <c:v>Combined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'AE-All'!$AA$4:$AA$226</c:f>
              <c:numCache>
                <c:formatCode>0.0%</c:formatCode>
                <c:ptCount val="223"/>
                <c:pt idx="0">
                  <c:v>0.23911577123240343</c:v>
                </c:pt>
                <c:pt idx="1">
                  <c:v>0.37604948697840979</c:v>
                </c:pt>
                <c:pt idx="2">
                  <c:v>0.4337075201123109</c:v>
                </c:pt>
                <c:pt idx="3">
                  <c:v>0.48944069404609791</c:v>
                </c:pt>
                <c:pt idx="4">
                  <c:v>0.52827239773842749</c:v>
                </c:pt>
                <c:pt idx="5">
                  <c:v>0.56399471349211128</c:v>
                </c:pt>
                <c:pt idx="6">
                  <c:v>0.59834604690953153</c:v>
                </c:pt>
                <c:pt idx="7">
                  <c:v>0.62861733689423138</c:v>
                </c:pt>
                <c:pt idx="8">
                  <c:v>0.65514310313625912</c:v>
                </c:pt>
                <c:pt idx="9">
                  <c:v>0.68042950134630453</c:v>
                </c:pt>
                <c:pt idx="10">
                  <c:v>0.70378007249754582</c:v>
                </c:pt>
                <c:pt idx="11">
                  <c:v>0.72487674868796981</c:v>
                </c:pt>
                <c:pt idx="12">
                  <c:v>0.7449040586561082</c:v>
                </c:pt>
                <c:pt idx="13">
                  <c:v>0.76349457913584229</c:v>
                </c:pt>
                <c:pt idx="14">
                  <c:v>0.78204671211016108</c:v>
                </c:pt>
                <c:pt idx="15">
                  <c:v>0.79856430729746464</c:v>
                </c:pt>
                <c:pt idx="16">
                  <c:v>0.81457738098502319</c:v>
                </c:pt>
                <c:pt idx="17">
                  <c:v>0.82617040762046801</c:v>
                </c:pt>
                <c:pt idx="18">
                  <c:v>0.83768117531573705</c:v>
                </c:pt>
                <c:pt idx="19">
                  <c:v>0.84901645727196429</c:v>
                </c:pt>
                <c:pt idx="20">
                  <c:v>0.85973753914154549</c:v>
                </c:pt>
                <c:pt idx="21">
                  <c:v>0.86924667262586963</c:v>
                </c:pt>
                <c:pt idx="22">
                  <c:v>0.87778515061611917</c:v>
                </c:pt>
                <c:pt idx="23">
                  <c:v>0.8860933035738765</c:v>
                </c:pt>
                <c:pt idx="24">
                  <c:v>0.89439048867294368</c:v>
                </c:pt>
                <c:pt idx="25">
                  <c:v>0.90265477019594054</c:v>
                </c:pt>
                <c:pt idx="26">
                  <c:v>0.90904354788292885</c:v>
                </c:pt>
                <c:pt idx="27">
                  <c:v>0.91482909334196116</c:v>
                </c:pt>
                <c:pt idx="28">
                  <c:v>0.92018689231207929</c:v>
                </c:pt>
                <c:pt idx="29">
                  <c:v>0.92481532867930516</c:v>
                </c:pt>
                <c:pt idx="30">
                  <c:v>0.92862117564477287</c:v>
                </c:pt>
                <c:pt idx="31">
                  <c:v>0.9318402421703198</c:v>
                </c:pt>
                <c:pt idx="32">
                  <c:v>0.93505382476652166</c:v>
                </c:pt>
                <c:pt idx="33">
                  <c:v>0.93815772877582237</c:v>
                </c:pt>
                <c:pt idx="34">
                  <c:v>0.94081743450817368</c:v>
                </c:pt>
                <c:pt idx="35">
                  <c:v>0.94340584915903936</c:v>
                </c:pt>
                <c:pt idx="36">
                  <c:v>0.94563780840247647</c:v>
                </c:pt>
                <c:pt idx="37">
                  <c:v>0.94780396049377291</c:v>
                </c:pt>
                <c:pt idx="38">
                  <c:v>0.9498055947047177</c:v>
                </c:pt>
                <c:pt idx="39">
                  <c:v>0.95171400211679658</c:v>
                </c:pt>
                <c:pt idx="40">
                  <c:v>0.95361144167018541</c:v>
                </c:pt>
                <c:pt idx="41">
                  <c:v>0.95521274903894127</c:v>
                </c:pt>
                <c:pt idx="42">
                  <c:v>0.95669889389145102</c:v>
                </c:pt>
                <c:pt idx="43">
                  <c:v>0.95815213516789044</c:v>
                </c:pt>
                <c:pt idx="44">
                  <c:v>0.95957247286825953</c:v>
                </c:pt>
                <c:pt idx="45">
                  <c:v>0.96098184270993847</c:v>
                </c:pt>
                <c:pt idx="46">
                  <c:v>0.96231992147013168</c:v>
                </c:pt>
                <c:pt idx="47">
                  <c:v>0.96359219307818433</c:v>
                </c:pt>
                <c:pt idx="48">
                  <c:v>0.96479317360475125</c:v>
                </c:pt>
                <c:pt idx="49">
                  <c:v>0.96595576662590277</c:v>
                </c:pt>
                <c:pt idx="50">
                  <c:v>0.96710739178836413</c:v>
                </c:pt>
                <c:pt idx="51">
                  <c:v>0.96824804909213547</c:v>
                </c:pt>
                <c:pt idx="52">
                  <c:v>0.96936128674918154</c:v>
                </c:pt>
                <c:pt idx="53">
                  <c:v>0.97041968511277699</c:v>
                </c:pt>
                <c:pt idx="54">
                  <c:v>0.97147259954702736</c:v>
                </c:pt>
                <c:pt idx="55">
                  <c:v>0.97252551398127773</c:v>
                </c:pt>
                <c:pt idx="56">
                  <c:v>0.97353455698076774</c:v>
                </c:pt>
                <c:pt idx="57">
                  <c:v>0.97449424461615219</c:v>
                </c:pt>
                <c:pt idx="58">
                  <c:v>0.97545393225153665</c:v>
                </c:pt>
                <c:pt idx="59">
                  <c:v>0.97631490915871022</c:v>
                </c:pt>
                <c:pt idx="60">
                  <c:v>0.97713201463112331</c:v>
                </c:pt>
                <c:pt idx="61">
                  <c:v>0.97794363617419133</c:v>
                </c:pt>
                <c:pt idx="62">
                  <c:v>0.9786291273423231</c:v>
                </c:pt>
                <c:pt idx="63">
                  <c:v>0.97928719886372961</c:v>
                </c:pt>
                <c:pt idx="64">
                  <c:v>0.97993430252644598</c:v>
                </c:pt>
                <c:pt idx="65">
                  <c:v>0.98058140618916234</c:v>
                </c:pt>
                <c:pt idx="66">
                  <c:v>0.98121754199318867</c:v>
                </c:pt>
                <c:pt idx="67">
                  <c:v>0.98184270993852485</c:v>
                </c:pt>
                <c:pt idx="68">
                  <c:v>0.98245691002517088</c:v>
                </c:pt>
                <c:pt idx="69">
                  <c:v>0.98301078688902133</c:v>
                </c:pt>
                <c:pt idx="70">
                  <c:v>0.98351530838876633</c:v>
                </c:pt>
                <c:pt idx="71">
                  <c:v>0.983986926312441</c:v>
                </c:pt>
                <c:pt idx="72">
                  <c:v>0.98444209244808056</c:v>
                </c:pt>
                <c:pt idx="73">
                  <c:v>0.98487532286633983</c:v>
                </c:pt>
                <c:pt idx="74">
                  <c:v>0.98530306935525402</c:v>
                </c:pt>
                <c:pt idx="75">
                  <c:v>0.98572533191482326</c:v>
                </c:pt>
                <c:pt idx="76">
                  <c:v>0.98613662661570234</c:v>
                </c:pt>
                <c:pt idx="77">
                  <c:v>0.9865314695285462</c:v>
                </c:pt>
                <c:pt idx="78">
                  <c:v>0.98692631244139006</c:v>
                </c:pt>
                <c:pt idx="79">
                  <c:v>0.98728825177816359</c:v>
                </c:pt>
                <c:pt idx="80">
                  <c:v>0.98764470718559216</c:v>
                </c:pt>
                <c:pt idx="81">
                  <c:v>0.98800116259302073</c:v>
                </c:pt>
                <c:pt idx="82">
                  <c:v>0.98833568228306901</c:v>
                </c:pt>
                <c:pt idx="83">
                  <c:v>0.98866471804377232</c:v>
                </c:pt>
                <c:pt idx="84">
                  <c:v>0.98898278594578548</c:v>
                </c:pt>
                <c:pt idx="85">
                  <c:v>0.98930085384779864</c:v>
                </c:pt>
                <c:pt idx="86">
                  <c:v>0.98958601817374148</c:v>
                </c:pt>
                <c:pt idx="87">
                  <c:v>0.98987118249968431</c:v>
                </c:pt>
                <c:pt idx="88">
                  <c:v>0.99015634682562714</c:v>
                </c:pt>
                <c:pt idx="89">
                  <c:v>0.9904360272222249</c:v>
                </c:pt>
                <c:pt idx="90">
                  <c:v>0.99068280404275233</c:v>
                </c:pt>
                <c:pt idx="91">
                  <c:v>0.99092958086327976</c:v>
                </c:pt>
                <c:pt idx="92">
                  <c:v>0.99117087375446211</c:v>
                </c:pt>
                <c:pt idx="93">
                  <c:v>0.99140119878695443</c:v>
                </c:pt>
                <c:pt idx="94">
                  <c:v>0.99162603989010167</c:v>
                </c:pt>
                <c:pt idx="95">
                  <c:v>0.99185088099324892</c:v>
                </c:pt>
                <c:pt idx="96">
                  <c:v>0.99205927030836094</c:v>
                </c:pt>
                <c:pt idx="97">
                  <c:v>0.992262175694128</c:v>
                </c:pt>
                <c:pt idx="98">
                  <c:v>0.99245411322120491</c:v>
                </c:pt>
                <c:pt idx="99">
                  <c:v>0.99264605074828183</c:v>
                </c:pt>
                <c:pt idx="100">
                  <c:v>0.99282702041666859</c:v>
                </c:pt>
                <c:pt idx="101">
                  <c:v>0.99300799008505536</c:v>
                </c:pt>
                <c:pt idx="102">
                  <c:v>0.99318895975344212</c:v>
                </c:pt>
                <c:pt idx="103">
                  <c:v>0.99335896156313885</c:v>
                </c:pt>
                <c:pt idx="104">
                  <c:v>0.99351251158480036</c:v>
                </c:pt>
                <c:pt idx="105">
                  <c:v>0.9936605776771168</c:v>
                </c:pt>
                <c:pt idx="106">
                  <c:v>0.99380864376943323</c:v>
                </c:pt>
                <c:pt idx="107">
                  <c:v>0.99394574200305963</c:v>
                </c:pt>
                <c:pt idx="108">
                  <c:v>0.99408284023668603</c:v>
                </c:pt>
                <c:pt idx="109">
                  <c:v>0.99421993847031243</c:v>
                </c:pt>
                <c:pt idx="110">
                  <c:v>0.99435703670393882</c:v>
                </c:pt>
                <c:pt idx="111">
                  <c:v>0.99449413493756522</c:v>
                </c:pt>
                <c:pt idx="112">
                  <c:v>0.99462574924184655</c:v>
                </c:pt>
                <c:pt idx="113">
                  <c:v>0.99475736354612787</c:v>
                </c:pt>
                <c:pt idx="114">
                  <c:v>0.9948889778504092</c:v>
                </c:pt>
                <c:pt idx="115">
                  <c:v>0.99501510822534545</c:v>
                </c:pt>
                <c:pt idx="116">
                  <c:v>0.9951412386002817</c:v>
                </c:pt>
                <c:pt idx="117">
                  <c:v>0.99526188504587287</c:v>
                </c:pt>
                <c:pt idx="118">
                  <c:v>0.99537704756211898</c:v>
                </c:pt>
                <c:pt idx="119">
                  <c:v>0.99549221007836508</c:v>
                </c:pt>
                <c:pt idx="120">
                  <c:v>0.99560188866526622</c:v>
                </c:pt>
                <c:pt idx="121">
                  <c:v>0.99571156725216736</c:v>
                </c:pt>
                <c:pt idx="122">
                  <c:v>0.99581576190972343</c:v>
                </c:pt>
                <c:pt idx="123">
                  <c:v>0.9959199565672795</c:v>
                </c:pt>
                <c:pt idx="124">
                  <c:v>0.99601866729549049</c:v>
                </c:pt>
                <c:pt idx="125">
                  <c:v>0.99611737802370148</c:v>
                </c:pt>
                <c:pt idx="126">
                  <c:v>0.9962106048225674</c:v>
                </c:pt>
                <c:pt idx="127">
                  <c:v>0.99629834769208825</c:v>
                </c:pt>
                <c:pt idx="128">
                  <c:v>0.99638609056160909</c:v>
                </c:pt>
                <c:pt idx="129">
                  <c:v>0.99646834950178487</c:v>
                </c:pt>
                <c:pt idx="130">
                  <c:v>0.99655060844196064</c:v>
                </c:pt>
                <c:pt idx="131">
                  <c:v>0.99662738345279145</c:v>
                </c:pt>
                <c:pt idx="132">
                  <c:v>0.99670415846362226</c:v>
                </c:pt>
                <c:pt idx="133">
                  <c:v>0.99678093347445307</c:v>
                </c:pt>
                <c:pt idx="134">
                  <c:v>0.9968522245559388</c:v>
                </c:pt>
                <c:pt idx="135">
                  <c:v>0.99692351563742454</c:v>
                </c:pt>
                <c:pt idx="136">
                  <c:v>0.99699480671891028</c:v>
                </c:pt>
                <c:pt idx="137">
                  <c:v>0.99706061387105094</c:v>
                </c:pt>
                <c:pt idx="138">
                  <c:v>0.9971264210231916</c:v>
                </c:pt>
                <c:pt idx="139">
                  <c:v>0.99719222817533226</c:v>
                </c:pt>
                <c:pt idx="140">
                  <c:v>0.99725803532747292</c:v>
                </c:pt>
                <c:pt idx="141">
                  <c:v>0.99732384247961359</c:v>
                </c:pt>
                <c:pt idx="142">
                  <c:v>0.99738964963175425</c:v>
                </c:pt>
                <c:pt idx="143">
                  <c:v>0.99744997285454984</c:v>
                </c:pt>
                <c:pt idx="144">
                  <c:v>0.99751029607734543</c:v>
                </c:pt>
                <c:pt idx="145">
                  <c:v>0.99757061930014101</c:v>
                </c:pt>
                <c:pt idx="146">
                  <c:v>0.99762545859359153</c:v>
                </c:pt>
                <c:pt idx="147">
                  <c:v>0.99768029788704204</c:v>
                </c:pt>
                <c:pt idx="148">
                  <c:v>0.99773513718049256</c:v>
                </c:pt>
                <c:pt idx="149">
                  <c:v>0.99778997647394307</c:v>
                </c:pt>
                <c:pt idx="150">
                  <c:v>0.99784481576739359</c:v>
                </c:pt>
                <c:pt idx="151">
                  <c:v>0.9978996550608441</c:v>
                </c:pt>
                <c:pt idx="152">
                  <c:v>0.99795449435429462</c:v>
                </c:pt>
                <c:pt idx="153">
                  <c:v>0.99800384971840006</c:v>
                </c:pt>
                <c:pt idx="154">
                  <c:v>0.9980532050825055</c:v>
                </c:pt>
                <c:pt idx="155">
                  <c:v>0.99810256044661094</c:v>
                </c:pt>
                <c:pt idx="156">
                  <c:v>0.99815191581071638</c:v>
                </c:pt>
                <c:pt idx="157">
                  <c:v>0.99820127117482182</c:v>
                </c:pt>
                <c:pt idx="158">
                  <c:v>0.99825062653892727</c:v>
                </c:pt>
                <c:pt idx="159">
                  <c:v>0.99829998190303271</c:v>
                </c:pt>
                <c:pt idx="160">
                  <c:v>0.99834933726713815</c:v>
                </c:pt>
                <c:pt idx="161">
                  <c:v>0.99839869263124359</c:v>
                </c:pt>
                <c:pt idx="162">
                  <c:v>0.99844804799534903</c:v>
                </c:pt>
                <c:pt idx="163">
                  <c:v>0.99849191943010951</c:v>
                </c:pt>
                <c:pt idx="164">
                  <c:v>0.99853579086486999</c:v>
                </c:pt>
                <c:pt idx="165">
                  <c:v>0.99857966229963047</c:v>
                </c:pt>
                <c:pt idx="166">
                  <c:v>0.99862353373439094</c:v>
                </c:pt>
                <c:pt idx="167">
                  <c:v>0.99866192123980635</c:v>
                </c:pt>
                <c:pt idx="168">
                  <c:v>0.99870030874522175</c:v>
                </c:pt>
                <c:pt idx="169">
                  <c:v>0.99873869625063716</c:v>
                </c:pt>
                <c:pt idx="170">
                  <c:v>0.99877708375605256</c:v>
                </c:pt>
                <c:pt idx="171">
                  <c:v>0.99881547126146797</c:v>
                </c:pt>
                <c:pt idx="172">
                  <c:v>0.99885385876688337</c:v>
                </c:pt>
                <c:pt idx="173">
                  <c:v>0.99889224627229878</c:v>
                </c:pt>
                <c:pt idx="174">
                  <c:v>0.99893063377771418</c:v>
                </c:pt>
                <c:pt idx="175">
                  <c:v>0.99896902128312959</c:v>
                </c:pt>
                <c:pt idx="176">
                  <c:v>0.99900740878854499</c:v>
                </c:pt>
                <c:pt idx="177">
                  <c:v>0.99904031236461532</c:v>
                </c:pt>
                <c:pt idx="178">
                  <c:v>0.99907321594068565</c:v>
                </c:pt>
                <c:pt idx="179">
                  <c:v>0.99910611951675599</c:v>
                </c:pt>
                <c:pt idx="180">
                  <c:v>0.99913902309282632</c:v>
                </c:pt>
                <c:pt idx="181">
                  <c:v>0.99917192666889665</c:v>
                </c:pt>
                <c:pt idx="182">
                  <c:v>0.99920483024496698</c:v>
                </c:pt>
                <c:pt idx="183">
                  <c:v>0.99923773382103731</c:v>
                </c:pt>
                <c:pt idx="184">
                  <c:v>0.99927063739710764</c:v>
                </c:pt>
                <c:pt idx="185">
                  <c:v>0.99930354097317797</c:v>
                </c:pt>
                <c:pt idx="186">
                  <c:v>0.99933096061990323</c:v>
                </c:pt>
                <c:pt idx="187">
                  <c:v>0.99935838026662849</c:v>
                </c:pt>
                <c:pt idx="188">
                  <c:v>0.99938579991335375</c:v>
                </c:pt>
                <c:pt idx="189">
                  <c:v>0.999413219560079</c:v>
                </c:pt>
                <c:pt idx="190">
                  <c:v>0.99944063920680426</c:v>
                </c:pt>
                <c:pt idx="191">
                  <c:v>0.99946805885352952</c:v>
                </c:pt>
                <c:pt idx="192">
                  <c:v>0.99949547850025477</c:v>
                </c:pt>
                <c:pt idx="193">
                  <c:v>0.99951741421763496</c:v>
                </c:pt>
                <c:pt idx="194">
                  <c:v>0.99953934993501514</c:v>
                </c:pt>
                <c:pt idx="195">
                  <c:v>0.99956128565239533</c:v>
                </c:pt>
                <c:pt idx="196">
                  <c:v>0.99958322136977551</c:v>
                </c:pt>
                <c:pt idx="197">
                  <c:v>0.99960515708715569</c:v>
                </c:pt>
                <c:pt idx="198">
                  <c:v>0.99962709280453588</c:v>
                </c:pt>
                <c:pt idx="199">
                  <c:v>0.99964902852191606</c:v>
                </c:pt>
                <c:pt idx="200">
                  <c:v>0.99967096423929624</c:v>
                </c:pt>
                <c:pt idx="201">
                  <c:v>0.99969289995667643</c:v>
                </c:pt>
                <c:pt idx="202">
                  <c:v>0.99971483567405661</c:v>
                </c:pt>
                <c:pt idx="203">
                  <c:v>0.99973128746209172</c:v>
                </c:pt>
                <c:pt idx="204">
                  <c:v>0.99974773925012683</c:v>
                </c:pt>
                <c:pt idx="205">
                  <c:v>0.99976419103816194</c:v>
                </c:pt>
                <c:pt idx="206">
                  <c:v>0.99978064282619705</c:v>
                </c:pt>
                <c:pt idx="207">
                  <c:v>0.99979709461423216</c:v>
                </c:pt>
                <c:pt idx="208">
                  <c:v>0.99981354640226727</c:v>
                </c:pt>
                <c:pt idx="209">
                  <c:v>0.99982999819030238</c:v>
                </c:pt>
                <c:pt idx="210">
                  <c:v>0.99984644997833749</c:v>
                </c:pt>
                <c:pt idx="211">
                  <c:v>0.9998629017663726</c:v>
                </c:pt>
                <c:pt idx="212">
                  <c:v>0.99987935355440771</c:v>
                </c:pt>
                <c:pt idx="213">
                  <c:v>0.99989032141309786</c:v>
                </c:pt>
                <c:pt idx="214">
                  <c:v>0.99990128927178801</c:v>
                </c:pt>
                <c:pt idx="215">
                  <c:v>0.99991225713047815</c:v>
                </c:pt>
                <c:pt idx="216">
                  <c:v>0.9999232249891683</c:v>
                </c:pt>
                <c:pt idx="217">
                  <c:v>0.99993419284785845</c:v>
                </c:pt>
                <c:pt idx="218">
                  <c:v>0.9999451607065486</c:v>
                </c:pt>
                <c:pt idx="219">
                  <c:v>0.99995612856523874</c:v>
                </c:pt>
                <c:pt idx="220">
                  <c:v>0.99996709642392889</c:v>
                </c:pt>
                <c:pt idx="221">
                  <c:v>0.99997806428261904</c:v>
                </c:pt>
                <c:pt idx="222">
                  <c:v>0.99998903214130919</c:v>
                </c:pt>
              </c:numCache>
            </c:numRef>
          </c:xVal>
          <c:yVal>
            <c:numRef>
              <c:f>'AE-All'!$AK$4:$AK$226</c:f>
              <c:numCache>
                <c:formatCode>0.0%</c:formatCode>
                <c:ptCount val="2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0.98780487804878048</c:v>
                </c:pt>
                <c:pt idx="83">
                  <c:v>0.98795180722891562</c:v>
                </c:pt>
                <c:pt idx="84">
                  <c:v>0.98809523809523814</c:v>
                </c:pt>
                <c:pt idx="85">
                  <c:v>0.9882352941176471</c:v>
                </c:pt>
                <c:pt idx="86">
                  <c:v>0.98837209302325579</c:v>
                </c:pt>
                <c:pt idx="87">
                  <c:v>0.9885057471264368</c:v>
                </c:pt>
                <c:pt idx="88">
                  <c:v>0.98863636363636365</c:v>
                </c:pt>
                <c:pt idx="89">
                  <c:v>0.9887640449438202</c:v>
                </c:pt>
                <c:pt idx="90">
                  <c:v>0.98888888888888893</c:v>
                </c:pt>
                <c:pt idx="91">
                  <c:v>0.98901098901098905</c:v>
                </c:pt>
                <c:pt idx="92">
                  <c:v>0.98913043478260865</c:v>
                </c:pt>
                <c:pt idx="93">
                  <c:v>0.989247311827957</c:v>
                </c:pt>
                <c:pt idx="94">
                  <c:v>0.989247311827957</c:v>
                </c:pt>
                <c:pt idx="95">
                  <c:v>0.98936170212765961</c:v>
                </c:pt>
                <c:pt idx="96">
                  <c:v>0.98947368421052628</c:v>
                </c:pt>
                <c:pt idx="97">
                  <c:v>0.98958333333333337</c:v>
                </c:pt>
                <c:pt idx="98">
                  <c:v>0.98958333333333337</c:v>
                </c:pt>
                <c:pt idx="99">
                  <c:v>0.98958333333333337</c:v>
                </c:pt>
                <c:pt idx="100">
                  <c:v>0.98958333333333337</c:v>
                </c:pt>
                <c:pt idx="101">
                  <c:v>0.98969072164948457</c:v>
                </c:pt>
                <c:pt idx="102">
                  <c:v>0.98969072164948457</c:v>
                </c:pt>
                <c:pt idx="103">
                  <c:v>0.97959183673469385</c:v>
                </c:pt>
                <c:pt idx="104">
                  <c:v>0.97979797979797978</c:v>
                </c:pt>
                <c:pt idx="105">
                  <c:v>0.97979797979797978</c:v>
                </c:pt>
                <c:pt idx="106">
                  <c:v>0.97979797979797978</c:v>
                </c:pt>
                <c:pt idx="107">
                  <c:v>0.98</c:v>
                </c:pt>
                <c:pt idx="108">
                  <c:v>0.98</c:v>
                </c:pt>
                <c:pt idx="109">
                  <c:v>0.98</c:v>
                </c:pt>
                <c:pt idx="110">
                  <c:v>0.98019801980198018</c:v>
                </c:pt>
                <c:pt idx="111">
                  <c:v>0.97058823529411764</c:v>
                </c:pt>
                <c:pt idx="112">
                  <c:v>0.97058823529411764</c:v>
                </c:pt>
                <c:pt idx="113">
                  <c:v>0.96116504854368934</c:v>
                </c:pt>
                <c:pt idx="114">
                  <c:v>0.96153846153846156</c:v>
                </c:pt>
                <c:pt idx="115">
                  <c:v>0.96153846153846156</c:v>
                </c:pt>
                <c:pt idx="116">
                  <c:v>0.96190476190476193</c:v>
                </c:pt>
                <c:pt idx="117">
                  <c:v>0.95283018867924529</c:v>
                </c:pt>
                <c:pt idx="118">
                  <c:v>0.95327102803738317</c:v>
                </c:pt>
                <c:pt idx="119">
                  <c:v>0.94444444444444442</c:v>
                </c:pt>
                <c:pt idx="120">
                  <c:v>0.94444444444444442</c:v>
                </c:pt>
                <c:pt idx="121">
                  <c:v>0.94495412844036697</c:v>
                </c:pt>
                <c:pt idx="122">
                  <c:v>0.9363636363636364</c:v>
                </c:pt>
                <c:pt idx="123">
                  <c:v>0.93693693693693691</c:v>
                </c:pt>
                <c:pt idx="124">
                  <c:v>0.93693693693693691</c:v>
                </c:pt>
                <c:pt idx="125">
                  <c:v>0.9285714285714286</c:v>
                </c:pt>
                <c:pt idx="126">
                  <c:v>0.9285714285714286</c:v>
                </c:pt>
                <c:pt idx="127">
                  <c:v>0.9285714285714286</c:v>
                </c:pt>
                <c:pt idx="128">
                  <c:v>0.9285714285714286</c:v>
                </c:pt>
                <c:pt idx="129">
                  <c:v>0.9285714285714286</c:v>
                </c:pt>
                <c:pt idx="130">
                  <c:v>0.9285714285714286</c:v>
                </c:pt>
                <c:pt idx="131">
                  <c:v>0.9285714285714286</c:v>
                </c:pt>
                <c:pt idx="132">
                  <c:v>0.9285714285714286</c:v>
                </c:pt>
                <c:pt idx="133">
                  <c:v>0.9285714285714286</c:v>
                </c:pt>
                <c:pt idx="134">
                  <c:v>0.92035398230088494</c:v>
                </c:pt>
                <c:pt idx="135">
                  <c:v>0.92035398230088494</c:v>
                </c:pt>
                <c:pt idx="136">
                  <c:v>0.91228070175438591</c:v>
                </c:pt>
                <c:pt idx="137">
                  <c:v>0.91228070175438591</c:v>
                </c:pt>
                <c:pt idx="138">
                  <c:v>0.91228070175438591</c:v>
                </c:pt>
                <c:pt idx="139">
                  <c:v>0.90434782608695652</c:v>
                </c:pt>
                <c:pt idx="140">
                  <c:v>0.90434782608695652</c:v>
                </c:pt>
                <c:pt idx="141">
                  <c:v>0.89655172413793105</c:v>
                </c:pt>
                <c:pt idx="142">
                  <c:v>0.89655172413793105</c:v>
                </c:pt>
                <c:pt idx="143">
                  <c:v>0.88888888888888884</c:v>
                </c:pt>
                <c:pt idx="144">
                  <c:v>0.88135593220338981</c:v>
                </c:pt>
                <c:pt idx="145">
                  <c:v>0.87394957983193278</c:v>
                </c:pt>
                <c:pt idx="146">
                  <c:v>0.87394957983193278</c:v>
                </c:pt>
                <c:pt idx="147">
                  <c:v>0.87394957983193278</c:v>
                </c:pt>
                <c:pt idx="148">
                  <c:v>0.87394957983193278</c:v>
                </c:pt>
                <c:pt idx="149">
                  <c:v>0.87394957983193278</c:v>
                </c:pt>
                <c:pt idx="150">
                  <c:v>0.8666666666666667</c:v>
                </c:pt>
                <c:pt idx="151">
                  <c:v>0.8666666666666667</c:v>
                </c:pt>
                <c:pt idx="152">
                  <c:v>0.8666666666666667</c:v>
                </c:pt>
                <c:pt idx="153">
                  <c:v>0.85950413223140498</c:v>
                </c:pt>
                <c:pt idx="154">
                  <c:v>0.85245901639344257</c:v>
                </c:pt>
                <c:pt idx="155">
                  <c:v>0.85245901639344257</c:v>
                </c:pt>
                <c:pt idx="156">
                  <c:v>0.84552845528455289</c:v>
                </c:pt>
                <c:pt idx="157">
                  <c:v>0.84552845528455289</c:v>
                </c:pt>
                <c:pt idx="158">
                  <c:v>0.84552845528455289</c:v>
                </c:pt>
                <c:pt idx="159">
                  <c:v>0.84552845528455289</c:v>
                </c:pt>
                <c:pt idx="160">
                  <c:v>0.84552845528455289</c:v>
                </c:pt>
                <c:pt idx="161">
                  <c:v>0.83870967741935487</c:v>
                </c:pt>
                <c:pt idx="162">
                  <c:v>0.83870967741935487</c:v>
                </c:pt>
                <c:pt idx="163">
                  <c:v>0.83870967741935487</c:v>
                </c:pt>
                <c:pt idx="164">
                  <c:v>0.83870967741935487</c:v>
                </c:pt>
                <c:pt idx="165">
                  <c:v>0.83870967741935487</c:v>
                </c:pt>
                <c:pt idx="166">
                  <c:v>0.83870967741935487</c:v>
                </c:pt>
                <c:pt idx="167">
                  <c:v>0.83870967741935487</c:v>
                </c:pt>
                <c:pt idx="168">
                  <c:v>0.83199999999999996</c:v>
                </c:pt>
                <c:pt idx="169">
                  <c:v>0.82539682539682535</c:v>
                </c:pt>
                <c:pt idx="170">
                  <c:v>0.82539682539682535</c:v>
                </c:pt>
                <c:pt idx="171">
                  <c:v>0.81889763779527558</c:v>
                </c:pt>
                <c:pt idx="172">
                  <c:v>0.81889763779527558</c:v>
                </c:pt>
                <c:pt idx="173">
                  <c:v>0.81889763779527558</c:v>
                </c:pt>
                <c:pt idx="174">
                  <c:v>0.81889763779527558</c:v>
                </c:pt>
                <c:pt idx="175">
                  <c:v>0.81889763779527558</c:v>
                </c:pt>
                <c:pt idx="176">
                  <c:v>0.81889763779527558</c:v>
                </c:pt>
                <c:pt idx="177">
                  <c:v>0.81889763779527558</c:v>
                </c:pt>
                <c:pt idx="178">
                  <c:v>0.81889763779527558</c:v>
                </c:pt>
                <c:pt idx="179">
                  <c:v>0.81889763779527558</c:v>
                </c:pt>
                <c:pt idx="180">
                  <c:v>0.81889763779527558</c:v>
                </c:pt>
                <c:pt idx="181">
                  <c:v>0.81889763779527558</c:v>
                </c:pt>
                <c:pt idx="182">
                  <c:v>0.81889763779527558</c:v>
                </c:pt>
                <c:pt idx="183">
                  <c:v>0.81889763779527558</c:v>
                </c:pt>
                <c:pt idx="184">
                  <c:v>0.81889763779527558</c:v>
                </c:pt>
                <c:pt idx="185">
                  <c:v>0.81889763779527558</c:v>
                </c:pt>
                <c:pt idx="186">
                  <c:v>0.81889763779527558</c:v>
                </c:pt>
                <c:pt idx="187">
                  <c:v>0.81889763779527558</c:v>
                </c:pt>
                <c:pt idx="188">
                  <c:v>0.8125</c:v>
                </c:pt>
                <c:pt idx="189">
                  <c:v>0.80620155038759689</c:v>
                </c:pt>
                <c:pt idx="190">
                  <c:v>0.80620155038759689</c:v>
                </c:pt>
                <c:pt idx="191">
                  <c:v>0.80620155038759689</c:v>
                </c:pt>
                <c:pt idx="192">
                  <c:v>0.80620155038759689</c:v>
                </c:pt>
                <c:pt idx="193">
                  <c:v>0.80620155038759689</c:v>
                </c:pt>
                <c:pt idx="194">
                  <c:v>0.80620155038759689</c:v>
                </c:pt>
                <c:pt idx="195">
                  <c:v>0.80620155038759689</c:v>
                </c:pt>
                <c:pt idx="196">
                  <c:v>0.80620155038759689</c:v>
                </c:pt>
                <c:pt idx="197">
                  <c:v>0.80620155038759689</c:v>
                </c:pt>
                <c:pt idx="198">
                  <c:v>0.80620155038759689</c:v>
                </c:pt>
                <c:pt idx="199">
                  <c:v>0.80620155038759689</c:v>
                </c:pt>
                <c:pt idx="200">
                  <c:v>0.80620155038759689</c:v>
                </c:pt>
                <c:pt idx="201">
                  <c:v>0.8</c:v>
                </c:pt>
                <c:pt idx="202">
                  <c:v>0.8</c:v>
                </c:pt>
                <c:pt idx="203">
                  <c:v>0.8</c:v>
                </c:pt>
                <c:pt idx="204">
                  <c:v>0.8</c:v>
                </c:pt>
                <c:pt idx="205">
                  <c:v>0.8</c:v>
                </c:pt>
                <c:pt idx="206">
                  <c:v>0.8</c:v>
                </c:pt>
                <c:pt idx="207">
                  <c:v>0.8</c:v>
                </c:pt>
                <c:pt idx="208">
                  <c:v>0.8</c:v>
                </c:pt>
                <c:pt idx="209">
                  <c:v>0.8</c:v>
                </c:pt>
                <c:pt idx="210">
                  <c:v>0.8</c:v>
                </c:pt>
                <c:pt idx="211">
                  <c:v>0.79389312977099236</c:v>
                </c:pt>
                <c:pt idx="212">
                  <c:v>0.79389312977099236</c:v>
                </c:pt>
                <c:pt idx="213">
                  <c:v>0.79389312977099236</c:v>
                </c:pt>
                <c:pt idx="214">
                  <c:v>0.79389312977099236</c:v>
                </c:pt>
                <c:pt idx="215">
                  <c:v>0.79389312977099236</c:v>
                </c:pt>
                <c:pt idx="216">
                  <c:v>0.79389312977099236</c:v>
                </c:pt>
                <c:pt idx="217">
                  <c:v>0.79389312977099236</c:v>
                </c:pt>
                <c:pt idx="218">
                  <c:v>0.78787878787878785</c:v>
                </c:pt>
                <c:pt idx="219">
                  <c:v>0.78787878787878785</c:v>
                </c:pt>
                <c:pt idx="220">
                  <c:v>0.78787878787878785</c:v>
                </c:pt>
                <c:pt idx="221">
                  <c:v>0.78787878787878785</c:v>
                </c:pt>
                <c:pt idx="222">
                  <c:v>0.78787878787878785</c:v>
                </c:pt>
              </c:numCache>
            </c:numRef>
          </c:yVal>
          <c:smooth val="1"/>
        </c:ser>
        <c:ser>
          <c:idx val="1"/>
          <c:order val="1"/>
          <c:tx>
            <c:v>W1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'AE-W1'!$Y$4:$Y$124</c:f>
              <c:numCache>
                <c:formatCode>0.0%</c:formatCode>
                <c:ptCount val="121"/>
                <c:pt idx="0">
                  <c:v>0.6382188806126976</c:v>
                </c:pt>
                <c:pt idx="1">
                  <c:v>0.66712587853456928</c:v>
                </c:pt>
                <c:pt idx="2">
                  <c:v>0.74446027039017437</c:v>
                </c:pt>
                <c:pt idx="3">
                  <c:v>0.79909869941859102</c:v>
                </c:pt>
                <c:pt idx="4">
                  <c:v>0.8287528895323043</c:v>
                </c:pt>
                <c:pt idx="5">
                  <c:v>0.85044481285170559</c:v>
                </c:pt>
                <c:pt idx="6">
                  <c:v>0.87454176103859704</c:v>
                </c:pt>
                <c:pt idx="7">
                  <c:v>0.89926915263735485</c:v>
                </c:pt>
                <c:pt idx="8">
                  <c:v>0.91785555840941457</c:v>
                </c:pt>
                <c:pt idx="9">
                  <c:v>0.92495388423190972</c:v>
                </c:pt>
                <c:pt idx="10">
                  <c:v>0.93032432811077115</c:v>
                </c:pt>
                <c:pt idx="11">
                  <c:v>0.93511102808975632</c:v>
                </c:pt>
                <c:pt idx="12">
                  <c:v>0.9402246246526722</c:v>
                </c:pt>
                <c:pt idx="13">
                  <c:v>0.94398393536787528</c:v>
                </c:pt>
                <c:pt idx="14">
                  <c:v>0.94793004413103876</c:v>
                </c:pt>
                <c:pt idx="15">
                  <c:v>0.95201625143017243</c:v>
                </c:pt>
                <c:pt idx="16">
                  <c:v>0.9535806850818408</c:v>
                </c:pt>
                <c:pt idx="17">
                  <c:v>0.95656945384920722</c:v>
                </c:pt>
                <c:pt idx="18">
                  <c:v>0.95948817334858849</c:v>
                </c:pt>
                <c:pt idx="19">
                  <c:v>0.96203329675204896</c:v>
                </c:pt>
                <c:pt idx="20">
                  <c:v>0.96455507039951438</c:v>
                </c:pt>
                <c:pt idx="21">
                  <c:v>0.966703247951059</c:v>
                </c:pt>
                <c:pt idx="22">
                  <c:v>0.96913162257454422</c:v>
                </c:pt>
                <c:pt idx="23">
                  <c:v>0.97050925817825218</c:v>
                </c:pt>
                <c:pt idx="24">
                  <c:v>0.97216709085390074</c:v>
                </c:pt>
                <c:pt idx="25">
                  <c:v>0.9731711303616879</c:v>
                </c:pt>
                <c:pt idx="26">
                  <c:v>0.97443201718542061</c:v>
                </c:pt>
                <c:pt idx="27">
                  <c:v>0.97531930791323251</c:v>
                </c:pt>
                <c:pt idx="28">
                  <c:v>0.97655684498097017</c:v>
                </c:pt>
                <c:pt idx="29">
                  <c:v>0.97779438204870783</c:v>
                </c:pt>
                <c:pt idx="30">
                  <c:v>0.97914866789642074</c:v>
                </c:pt>
                <c:pt idx="31">
                  <c:v>0.9803395054521683</c:v>
                </c:pt>
                <c:pt idx="32">
                  <c:v>0.98087654984005446</c:v>
                </c:pt>
                <c:pt idx="33">
                  <c:v>0.98162374203189606</c:v>
                </c:pt>
                <c:pt idx="34">
                  <c:v>0.98225418544376242</c:v>
                </c:pt>
                <c:pt idx="35">
                  <c:v>0.98283792934363867</c:v>
                </c:pt>
                <c:pt idx="36">
                  <c:v>0.98330492446353968</c:v>
                </c:pt>
                <c:pt idx="37">
                  <c:v>0.98400541714339118</c:v>
                </c:pt>
                <c:pt idx="38">
                  <c:v>0.98468256006724764</c:v>
                </c:pt>
                <c:pt idx="39">
                  <c:v>0.98512620543115359</c:v>
                </c:pt>
                <c:pt idx="40">
                  <c:v>0.98570994933102984</c:v>
                </c:pt>
                <c:pt idx="41">
                  <c:v>0.9859667966469754</c:v>
                </c:pt>
                <c:pt idx="42">
                  <c:v>0.98655054054685165</c:v>
                </c:pt>
                <c:pt idx="43">
                  <c:v>0.98711093469073286</c:v>
                </c:pt>
                <c:pt idx="44">
                  <c:v>0.98764797907861901</c:v>
                </c:pt>
                <c:pt idx="45">
                  <c:v>0.98764797907861901</c:v>
                </c:pt>
                <c:pt idx="46">
                  <c:v>0.98806827468652991</c:v>
                </c:pt>
                <c:pt idx="47">
                  <c:v>0.98848857029444082</c:v>
                </c:pt>
                <c:pt idx="48">
                  <c:v>0.98890886590235172</c:v>
                </c:pt>
                <c:pt idx="49">
                  <c:v>0.98930581175426757</c:v>
                </c:pt>
                <c:pt idx="50">
                  <c:v>0.98970275760618343</c:v>
                </c:pt>
                <c:pt idx="51">
                  <c:v>0.99007635370210423</c:v>
                </c:pt>
                <c:pt idx="52">
                  <c:v>0.99042660004202998</c:v>
                </c:pt>
                <c:pt idx="53">
                  <c:v>0.99077684638195573</c:v>
                </c:pt>
                <c:pt idx="54">
                  <c:v>0.99110374296588644</c:v>
                </c:pt>
                <c:pt idx="55">
                  <c:v>0.99143063954981714</c:v>
                </c:pt>
                <c:pt idx="56">
                  <c:v>0.99173418637775279</c:v>
                </c:pt>
                <c:pt idx="57">
                  <c:v>0.99203773320568844</c:v>
                </c:pt>
                <c:pt idx="58">
                  <c:v>0.99231793027762905</c:v>
                </c:pt>
                <c:pt idx="59">
                  <c:v>0.9925747775935746</c:v>
                </c:pt>
                <c:pt idx="60">
                  <c:v>0.99283162490952015</c:v>
                </c:pt>
                <c:pt idx="61">
                  <c:v>0.9930884722254657</c:v>
                </c:pt>
                <c:pt idx="62">
                  <c:v>0.99334531954141125</c:v>
                </c:pt>
                <c:pt idx="63">
                  <c:v>0.99357881710136176</c:v>
                </c:pt>
                <c:pt idx="64">
                  <c:v>0.99381231466131226</c:v>
                </c:pt>
                <c:pt idx="65">
                  <c:v>0.99402246246526771</c:v>
                </c:pt>
                <c:pt idx="66">
                  <c:v>0.99423261026922316</c:v>
                </c:pt>
                <c:pt idx="67">
                  <c:v>0.99444275807317861</c:v>
                </c:pt>
                <c:pt idx="68">
                  <c:v>0.99462955612113901</c:v>
                </c:pt>
                <c:pt idx="69">
                  <c:v>0.99481635416909941</c:v>
                </c:pt>
                <c:pt idx="70">
                  <c:v>0.99500315221705982</c:v>
                </c:pt>
                <c:pt idx="71">
                  <c:v>0.99516660050902517</c:v>
                </c:pt>
                <c:pt idx="72">
                  <c:v>0.99533004880099052</c:v>
                </c:pt>
                <c:pt idx="73">
                  <c:v>0.99549349709295587</c:v>
                </c:pt>
                <c:pt idx="74">
                  <c:v>0.99565694538492122</c:v>
                </c:pt>
                <c:pt idx="75">
                  <c:v>0.99579704392089152</c:v>
                </c:pt>
                <c:pt idx="76">
                  <c:v>0.99593714245686182</c:v>
                </c:pt>
                <c:pt idx="77">
                  <c:v>0.99607724099283212</c:v>
                </c:pt>
                <c:pt idx="78">
                  <c:v>0.99621733952880243</c:v>
                </c:pt>
                <c:pt idx="79">
                  <c:v>0.99635743806477273</c:v>
                </c:pt>
                <c:pt idx="80">
                  <c:v>0.99649753660074303</c:v>
                </c:pt>
                <c:pt idx="81">
                  <c:v>0.99663763513671333</c:v>
                </c:pt>
                <c:pt idx="82">
                  <c:v>0.99677773367268363</c:v>
                </c:pt>
                <c:pt idx="83">
                  <c:v>0.99691783220865393</c:v>
                </c:pt>
                <c:pt idx="84">
                  <c:v>0.99703458098862918</c:v>
                </c:pt>
                <c:pt idx="85">
                  <c:v>0.99715132976860443</c:v>
                </c:pt>
                <c:pt idx="86">
                  <c:v>0.99726807854857968</c:v>
                </c:pt>
                <c:pt idx="87">
                  <c:v>0.99738482732855493</c:v>
                </c:pt>
                <c:pt idx="88">
                  <c:v>0.99750157610853019</c:v>
                </c:pt>
                <c:pt idx="89">
                  <c:v>0.99761832488850544</c:v>
                </c:pt>
                <c:pt idx="90">
                  <c:v>0.99773507366848069</c:v>
                </c:pt>
                <c:pt idx="91">
                  <c:v>0.99785182244845594</c:v>
                </c:pt>
                <c:pt idx="92">
                  <c:v>0.99796857122843119</c:v>
                </c:pt>
                <c:pt idx="93">
                  <c:v>0.99808532000840644</c:v>
                </c:pt>
                <c:pt idx="94">
                  <c:v>0.99820206878838169</c:v>
                </c:pt>
                <c:pt idx="95">
                  <c:v>0.99829546781236189</c:v>
                </c:pt>
                <c:pt idx="96">
                  <c:v>0.99838886683634209</c:v>
                </c:pt>
                <c:pt idx="97">
                  <c:v>0.99848226586032229</c:v>
                </c:pt>
                <c:pt idx="98">
                  <c:v>0.99857566488430249</c:v>
                </c:pt>
                <c:pt idx="99">
                  <c:v>0.99866906390828269</c:v>
                </c:pt>
                <c:pt idx="100">
                  <c:v>0.9987624629322629</c:v>
                </c:pt>
                <c:pt idx="101">
                  <c:v>0.9988558619562431</c:v>
                </c:pt>
                <c:pt idx="102">
                  <c:v>0.9989492609802233</c:v>
                </c:pt>
                <c:pt idx="103">
                  <c:v>0.99901931024820845</c:v>
                </c:pt>
                <c:pt idx="104">
                  <c:v>0.9990893595161936</c:v>
                </c:pt>
                <c:pt idx="105">
                  <c:v>0.99915940878417875</c:v>
                </c:pt>
                <c:pt idx="106">
                  <c:v>0.9992294580521639</c:v>
                </c:pt>
                <c:pt idx="107">
                  <c:v>0.99929950732014905</c:v>
                </c:pt>
                <c:pt idx="108">
                  <c:v>0.9993695565881342</c:v>
                </c:pt>
                <c:pt idx="109">
                  <c:v>0.99943960585611935</c:v>
                </c:pt>
                <c:pt idx="110">
                  <c:v>0.9995096551241045</c:v>
                </c:pt>
                <c:pt idx="111">
                  <c:v>0.99957970439208965</c:v>
                </c:pt>
                <c:pt idx="112">
                  <c:v>0.99962640390407975</c:v>
                </c:pt>
                <c:pt idx="113">
                  <c:v>0.99967310341606985</c:v>
                </c:pt>
                <c:pt idx="114">
                  <c:v>0.99971980292805995</c:v>
                </c:pt>
                <c:pt idx="115">
                  <c:v>0.99976650244005005</c:v>
                </c:pt>
                <c:pt idx="116">
                  <c:v>0.99981320195204015</c:v>
                </c:pt>
                <c:pt idx="117">
                  <c:v>0.99985990146403025</c:v>
                </c:pt>
                <c:pt idx="118">
                  <c:v>0.99990660097602035</c:v>
                </c:pt>
                <c:pt idx="119">
                  <c:v>0.99995330048801045</c:v>
                </c:pt>
                <c:pt idx="120">
                  <c:v>1.0000000000000004</c:v>
                </c:pt>
              </c:numCache>
            </c:numRef>
          </c:xVal>
          <c:yVal>
            <c:numRef>
              <c:f>'AE-W1'!$AJ$4:$AJ$124</c:f>
              <c:numCache>
                <c:formatCode>0.0%</c:formatCode>
                <c:ptCount val="1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0.97142857142857142</c:v>
                </c:pt>
                <c:pt idx="38">
                  <c:v>0.97142857142857142</c:v>
                </c:pt>
                <c:pt idx="39">
                  <c:v>0.97222222222222221</c:v>
                </c:pt>
                <c:pt idx="40">
                  <c:v>0.97297297297297303</c:v>
                </c:pt>
                <c:pt idx="41">
                  <c:v>0.97368421052631582</c:v>
                </c:pt>
                <c:pt idx="42">
                  <c:v>0.94871794871794868</c:v>
                </c:pt>
                <c:pt idx="43">
                  <c:v>0.94871794871794868</c:v>
                </c:pt>
                <c:pt idx="44">
                  <c:v>0.92500000000000004</c:v>
                </c:pt>
                <c:pt idx="45">
                  <c:v>0.92500000000000004</c:v>
                </c:pt>
                <c:pt idx="46">
                  <c:v>0.90243902439024393</c:v>
                </c:pt>
                <c:pt idx="47">
                  <c:v>0.90243902439024393</c:v>
                </c:pt>
                <c:pt idx="48">
                  <c:v>0.90243902439024393</c:v>
                </c:pt>
                <c:pt idx="49">
                  <c:v>0.88095238095238093</c:v>
                </c:pt>
                <c:pt idx="50">
                  <c:v>0.86046511627906974</c:v>
                </c:pt>
                <c:pt idx="51">
                  <c:v>0.86046511627906974</c:v>
                </c:pt>
                <c:pt idx="52">
                  <c:v>0.86046511627906974</c:v>
                </c:pt>
                <c:pt idx="53">
                  <c:v>0.86046511627906974</c:v>
                </c:pt>
                <c:pt idx="54">
                  <c:v>0.86046511627906974</c:v>
                </c:pt>
                <c:pt idx="55">
                  <c:v>0.86046511627906974</c:v>
                </c:pt>
                <c:pt idx="56">
                  <c:v>0.86046511627906974</c:v>
                </c:pt>
                <c:pt idx="57">
                  <c:v>0.86046511627906974</c:v>
                </c:pt>
                <c:pt idx="58">
                  <c:v>0.86046511627906974</c:v>
                </c:pt>
                <c:pt idx="59">
                  <c:v>0.84090909090909094</c:v>
                </c:pt>
                <c:pt idx="60">
                  <c:v>0.84090909090909094</c:v>
                </c:pt>
                <c:pt idx="61">
                  <c:v>0.82222222222222219</c:v>
                </c:pt>
                <c:pt idx="62">
                  <c:v>0.82222222222222219</c:v>
                </c:pt>
                <c:pt idx="63">
                  <c:v>0.82222222222222219</c:v>
                </c:pt>
                <c:pt idx="64">
                  <c:v>0.82222222222222219</c:v>
                </c:pt>
                <c:pt idx="65">
                  <c:v>0.80434782608695654</c:v>
                </c:pt>
                <c:pt idx="66">
                  <c:v>0.80434782608695654</c:v>
                </c:pt>
                <c:pt idx="67">
                  <c:v>0.80434782608695654</c:v>
                </c:pt>
                <c:pt idx="68">
                  <c:v>0.80434782608695654</c:v>
                </c:pt>
                <c:pt idx="69">
                  <c:v>0.78723404255319152</c:v>
                </c:pt>
                <c:pt idx="70">
                  <c:v>0.77083333333333337</c:v>
                </c:pt>
                <c:pt idx="71">
                  <c:v>0.77083333333333337</c:v>
                </c:pt>
                <c:pt idx="72">
                  <c:v>0.77083333333333337</c:v>
                </c:pt>
                <c:pt idx="73">
                  <c:v>0.77083333333333337</c:v>
                </c:pt>
                <c:pt idx="74">
                  <c:v>0.75510204081632648</c:v>
                </c:pt>
                <c:pt idx="75">
                  <c:v>0.74</c:v>
                </c:pt>
                <c:pt idx="76">
                  <c:v>0.74</c:v>
                </c:pt>
                <c:pt idx="77">
                  <c:v>0.74</c:v>
                </c:pt>
                <c:pt idx="78">
                  <c:v>0.74</c:v>
                </c:pt>
                <c:pt idx="79">
                  <c:v>0.74</c:v>
                </c:pt>
                <c:pt idx="80">
                  <c:v>0.74</c:v>
                </c:pt>
                <c:pt idx="81">
                  <c:v>0.74</c:v>
                </c:pt>
                <c:pt idx="82">
                  <c:v>0.74</c:v>
                </c:pt>
                <c:pt idx="83">
                  <c:v>0.74</c:v>
                </c:pt>
                <c:pt idx="84">
                  <c:v>0.74</c:v>
                </c:pt>
                <c:pt idx="85">
                  <c:v>0.74</c:v>
                </c:pt>
                <c:pt idx="86">
                  <c:v>0.74</c:v>
                </c:pt>
                <c:pt idx="87">
                  <c:v>0.74</c:v>
                </c:pt>
                <c:pt idx="88">
                  <c:v>0.74</c:v>
                </c:pt>
                <c:pt idx="89">
                  <c:v>0.74</c:v>
                </c:pt>
                <c:pt idx="90">
                  <c:v>0.74</c:v>
                </c:pt>
                <c:pt idx="91">
                  <c:v>0.74</c:v>
                </c:pt>
                <c:pt idx="92">
                  <c:v>0.74</c:v>
                </c:pt>
                <c:pt idx="93">
                  <c:v>0.72549019607843135</c:v>
                </c:pt>
                <c:pt idx="94">
                  <c:v>0.72549019607843135</c:v>
                </c:pt>
                <c:pt idx="95">
                  <c:v>0.72549019607843135</c:v>
                </c:pt>
                <c:pt idx="96">
                  <c:v>0.72549019607843135</c:v>
                </c:pt>
                <c:pt idx="97">
                  <c:v>0.72549019607843135</c:v>
                </c:pt>
                <c:pt idx="98">
                  <c:v>0.72549019607843135</c:v>
                </c:pt>
                <c:pt idx="99">
                  <c:v>0.71153846153846156</c:v>
                </c:pt>
                <c:pt idx="100">
                  <c:v>0.71153846153846156</c:v>
                </c:pt>
                <c:pt idx="101">
                  <c:v>0.71153846153846156</c:v>
                </c:pt>
                <c:pt idx="102">
                  <c:v>0.71153846153846156</c:v>
                </c:pt>
                <c:pt idx="103">
                  <c:v>0.69811320754716977</c:v>
                </c:pt>
                <c:pt idx="104">
                  <c:v>0.69811320754716977</c:v>
                </c:pt>
                <c:pt idx="105">
                  <c:v>0.69811320754716977</c:v>
                </c:pt>
                <c:pt idx="106">
                  <c:v>0.69811320754716977</c:v>
                </c:pt>
                <c:pt idx="107">
                  <c:v>0.69811320754716977</c:v>
                </c:pt>
                <c:pt idx="108">
                  <c:v>0.69811320754716977</c:v>
                </c:pt>
                <c:pt idx="109">
                  <c:v>0.69811320754716977</c:v>
                </c:pt>
                <c:pt idx="110">
                  <c:v>0.69811320754716977</c:v>
                </c:pt>
                <c:pt idx="111">
                  <c:v>0.69811320754716977</c:v>
                </c:pt>
                <c:pt idx="112">
                  <c:v>0.69811320754716977</c:v>
                </c:pt>
                <c:pt idx="113">
                  <c:v>0.69811320754716977</c:v>
                </c:pt>
                <c:pt idx="114">
                  <c:v>0.69811320754716977</c:v>
                </c:pt>
                <c:pt idx="115">
                  <c:v>0.69811320754716977</c:v>
                </c:pt>
                <c:pt idx="116">
                  <c:v>0.69811320754716977</c:v>
                </c:pt>
                <c:pt idx="117">
                  <c:v>0.69811320754716977</c:v>
                </c:pt>
                <c:pt idx="118">
                  <c:v>0.69811320754716977</c:v>
                </c:pt>
                <c:pt idx="119">
                  <c:v>0.69811320754716977</c:v>
                </c:pt>
                <c:pt idx="120">
                  <c:v>0.69811320754716977</c:v>
                </c:pt>
              </c:numCache>
            </c:numRef>
          </c:yVal>
          <c:smooth val="1"/>
        </c:ser>
        <c:ser>
          <c:idx val="2"/>
          <c:order val="2"/>
          <c:tx>
            <c:v>W2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'AE-W2'!$Y$4:$Y$105</c:f>
              <c:numCache>
                <c:formatCode>0.0%</c:formatCode>
                <c:ptCount val="102"/>
                <c:pt idx="0">
                  <c:v>0.37271678314066142</c:v>
                </c:pt>
                <c:pt idx="1">
                  <c:v>0.49996734373979496</c:v>
                </c:pt>
                <c:pt idx="2">
                  <c:v>0.5882916421744715</c:v>
                </c:pt>
                <c:pt idx="3">
                  <c:v>0.64191322143121499</c:v>
                </c:pt>
                <c:pt idx="4">
                  <c:v>0.70441730346374065</c:v>
                </c:pt>
                <c:pt idx="5">
                  <c:v>0.77199399124812229</c:v>
                </c:pt>
                <c:pt idx="6">
                  <c:v>0.83044869701521784</c:v>
                </c:pt>
                <c:pt idx="7">
                  <c:v>0.85123984934578623</c:v>
                </c:pt>
                <c:pt idx="8">
                  <c:v>0.87494829425467524</c:v>
                </c:pt>
                <c:pt idx="9">
                  <c:v>0.9004419480547754</c:v>
                </c:pt>
                <c:pt idx="10">
                  <c:v>0.9257178934535083</c:v>
                </c:pt>
                <c:pt idx="11">
                  <c:v>0.94143644003222082</c:v>
                </c:pt>
                <c:pt idx="12">
                  <c:v>0.94424487840985782</c:v>
                </c:pt>
                <c:pt idx="13">
                  <c:v>0.94988352600526849</c:v>
                </c:pt>
                <c:pt idx="14">
                  <c:v>0.9557398820020464</c:v>
                </c:pt>
                <c:pt idx="15">
                  <c:v>0.96052946683212503</c:v>
                </c:pt>
                <c:pt idx="16">
                  <c:v>0.96462238477782858</c:v>
                </c:pt>
                <c:pt idx="17">
                  <c:v>0.96697363551259441</c:v>
                </c:pt>
                <c:pt idx="18">
                  <c:v>0.9699126989310517</c:v>
                </c:pt>
                <c:pt idx="19">
                  <c:v>0.97235103302636439</c:v>
                </c:pt>
                <c:pt idx="20">
                  <c:v>0.97468051292099356</c:v>
                </c:pt>
                <c:pt idx="21">
                  <c:v>0.97620447173056402</c:v>
                </c:pt>
                <c:pt idx="22">
                  <c:v>0.97822915986327907</c:v>
                </c:pt>
                <c:pt idx="23">
                  <c:v>0.98110291076132627</c:v>
                </c:pt>
                <c:pt idx="24">
                  <c:v>0.98236561948925605</c:v>
                </c:pt>
                <c:pt idx="25">
                  <c:v>0.98345416149609211</c:v>
                </c:pt>
                <c:pt idx="26">
                  <c:v>0.98441207846210788</c:v>
                </c:pt>
                <c:pt idx="27">
                  <c:v>0.98554416214921736</c:v>
                </c:pt>
                <c:pt idx="28">
                  <c:v>0.98617551651318225</c:v>
                </c:pt>
                <c:pt idx="29">
                  <c:v>0.98685041255742056</c:v>
                </c:pt>
                <c:pt idx="30">
                  <c:v>0.98774301700302614</c:v>
                </c:pt>
                <c:pt idx="31">
                  <c:v>0.98817843380576054</c:v>
                </c:pt>
                <c:pt idx="32">
                  <c:v>0.98883155900986219</c:v>
                </c:pt>
                <c:pt idx="33">
                  <c:v>0.98946291337382708</c:v>
                </c:pt>
                <c:pt idx="34">
                  <c:v>0.99009426773779197</c:v>
                </c:pt>
                <c:pt idx="35">
                  <c:v>0.99048614286025294</c:v>
                </c:pt>
                <c:pt idx="36">
                  <c:v>0.99087801798271391</c:v>
                </c:pt>
                <c:pt idx="37">
                  <c:v>0.99124812226503811</c:v>
                </c:pt>
                <c:pt idx="38">
                  <c:v>0.99159645570722565</c:v>
                </c:pt>
                <c:pt idx="39">
                  <c:v>0.9919447891494132</c:v>
                </c:pt>
                <c:pt idx="40">
                  <c:v>0.99224958091132731</c:v>
                </c:pt>
                <c:pt idx="41">
                  <c:v>0.99255437267324143</c:v>
                </c:pt>
                <c:pt idx="42">
                  <c:v>0.99285916443515554</c:v>
                </c:pt>
                <c:pt idx="43">
                  <c:v>0.99314218535693288</c:v>
                </c:pt>
                <c:pt idx="44">
                  <c:v>0.9933816645984368</c:v>
                </c:pt>
                <c:pt idx="45">
                  <c:v>0.99359937299980405</c:v>
                </c:pt>
                <c:pt idx="46">
                  <c:v>0.99381708140117131</c:v>
                </c:pt>
                <c:pt idx="47">
                  <c:v>0.99403478980253857</c:v>
                </c:pt>
                <c:pt idx="48">
                  <c:v>0.99423072736376905</c:v>
                </c:pt>
                <c:pt idx="49">
                  <c:v>0.99442666492499954</c:v>
                </c:pt>
                <c:pt idx="50">
                  <c:v>0.99462260248623002</c:v>
                </c:pt>
                <c:pt idx="51">
                  <c:v>0.99481854004746051</c:v>
                </c:pt>
                <c:pt idx="52">
                  <c:v>0.99501447760869099</c:v>
                </c:pt>
                <c:pt idx="53">
                  <c:v>0.99521041516992148</c:v>
                </c:pt>
                <c:pt idx="54">
                  <c:v>0.99540635273115197</c:v>
                </c:pt>
                <c:pt idx="55">
                  <c:v>0.99558051945224568</c:v>
                </c:pt>
                <c:pt idx="56">
                  <c:v>0.9957546861733394</c:v>
                </c:pt>
                <c:pt idx="57">
                  <c:v>0.99590708205429646</c:v>
                </c:pt>
                <c:pt idx="58">
                  <c:v>0.99605947793525351</c:v>
                </c:pt>
                <c:pt idx="59">
                  <c:v>0.99621187381621057</c:v>
                </c:pt>
                <c:pt idx="60">
                  <c:v>0.99636426969716763</c:v>
                </c:pt>
                <c:pt idx="61">
                  <c:v>0.99649489473798791</c:v>
                </c:pt>
                <c:pt idx="62">
                  <c:v>0.9966255197788082</c:v>
                </c:pt>
                <c:pt idx="63">
                  <c:v>0.99675614481962849</c:v>
                </c:pt>
                <c:pt idx="64">
                  <c:v>0.99688676986044877</c:v>
                </c:pt>
                <c:pt idx="65">
                  <c:v>0.99701739490126906</c:v>
                </c:pt>
                <c:pt idx="66">
                  <c:v>0.99712624910195269</c:v>
                </c:pt>
                <c:pt idx="67">
                  <c:v>0.99723510330263632</c:v>
                </c:pt>
                <c:pt idx="68">
                  <c:v>0.99734395750331994</c:v>
                </c:pt>
                <c:pt idx="69">
                  <c:v>0.99745281170400357</c:v>
                </c:pt>
                <c:pt idx="70">
                  <c:v>0.9975616659046872</c:v>
                </c:pt>
                <c:pt idx="71">
                  <c:v>0.99767052010537083</c:v>
                </c:pt>
                <c:pt idx="72">
                  <c:v>0.99777937430605446</c:v>
                </c:pt>
                <c:pt idx="73">
                  <c:v>0.99788822850673808</c:v>
                </c:pt>
                <c:pt idx="74">
                  <c:v>0.99799708270742171</c:v>
                </c:pt>
                <c:pt idx="75">
                  <c:v>0.99810593690810534</c:v>
                </c:pt>
                <c:pt idx="76">
                  <c:v>0.99821479110878897</c:v>
                </c:pt>
                <c:pt idx="77">
                  <c:v>0.99830187446933583</c:v>
                </c:pt>
                <c:pt idx="78">
                  <c:v>0.99838895782988268</c:v>
                </c:pt>
                <c:pt idx="79">
                  <c:v>0.99847604119042954</c:v>
                </c:pt>
                <c:pt idx="80">
                  <c:v>0.9985631245509764</c:v>
                </c:pt>
                <c:pt idx="81">
                  <c:v>0.99865020791152326</c:v>
                </c:pt>
                <c:pt idx="82">
                  <c:v>0.99873729127207012</c:v>
                </c:pt>
                <c:pt idx="83">
                  <c:v>0.99882437463261697</c:v>
                </c:pt>
                <c:pt idx="84">
                  <c:v>0.99891145799316383</c:v>
                </c:pt>
                <c:pt idx="85">
                  <c:v>0.99899854135371069</c:v>
                </c:pt>
                <c:pt idx="86">
                  <c:v>0.99908562471425755</c:v>
                </c:pt>
                <c:pt idx="87">
                  <c:v>0.99917270807480441</c:v>
                </c:pt>
                <c:pt idx="88">
                  <c:v>0.99925979143535126</c:v>
                </c:pt>
                <c:pt idx="89">
                  <c:v>0.99934687479589812</c:v>
                </c:pt>
                <c:pt idx="90">
                  <c:v>0.99941218731630832</c:v>
                </c:pt>
                <c:pt idx="91">
                  <c:v>0.99947749983671852</c:v>
                </c:pt>
                <c:pt idx="92">
                  <c:v>0.99954281235712872</c:v>
                </c:pt>
                <c:pt idx="93">
                  <c:v>0.99960812487753892</c:v>
                </c:pt>
                <c:pt idx="94">
                  <c:v>0.99967343739794912</c:v>
                </c:pt>
                <c:pt idx="95">
                  <c:v>0.99973874991835932</c:v>
                </c:pt>
                <c:pt idx="96">
                  <c:v>0.99978229159863274</c:v>
                </c:pt>
                <c:pt idx="97">
                  <c:v>0.99982583327890617</c:v>
                </c:pt>
                <c:pt idx="98">
                  <c:v>0.9998693749591796</c:v>
                </c:pt>
                <c:pt idx="99">
                  <c:v>0.99991291663945303</c:v>
                </c:pt>
                <c:pt idx="100">
                  <c:v>0.99995645831972646</c:v>
                </c:pt>
                <c:pt idx="101">
                  <c:v>0.99999999999999989</c:v>
                </c:pt>
              </c:numCache>
            </c:numRef>
          </c:xVal>
          <c:yVal>
            <c:numRef>
              <c:f>'AE-W2'!$AJ$4:$AJ$105</c:f>
              <c:numCache>
                <c:formatCode>0.0%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0.96666666666666667</c:v>
                </c:pt>
                <c:pt idx="38">
                  <c:v>0.96666666666666667</c:v>
                </c:pt>
                <c:pt idx="39">
                  <c:v>0.96666666666666667</c:v>
                </c:pt>
                <c:pt idx="40">
                  <c:v>0.96666666666666667</c:v>
                </c:pt>
                <c:pt idx="41">
                  <c:v>0.96666666666666667</c:v>
                </c:pt>
                <c:pt idx="42">
                  <c:v>0.96666666666666667</c:v>
                </c:pt>
                <c:pt idx="43">
                  <c:v>0.96666666666666667</c:v>
                </c:pt>
                <c:pt idx="44">
                  <c:v>0.96666666666666667</c:v>
                </c:pt>
                <c:pt idx="45">
                  <c:v>0.96666666666666667</c:v>
                </c:pt>
                <c:pt idx="46">
                  <c:v>0.96666666666666667</c:v>
                </c:pt>
                <c:pt idx="47">
                  <c:v>0.96666666666666667</c:v>
                </c:pt>
                <c:pt idx="48">
                  <c:v>0.96666666666666667</c:v>
                </c:pt>
                <c:pt idx="49">
                  <c:v>0.96666666666666667</c:v>
                </c:pt>
                <c:pt idx="50">
                  <c:v>0.96666666666666667</c:v>
                </c:pt>
                <c:pt idx="51">
                  <c:v>0.96666666666666667</c:v>
                </c:pt>
                <c:pt idx="52">
                  <c:v>0.96666666666666667</c:v>
                </c:pt>
                <c:pt idx="53">
                  <c:v>0.96666666666666667</c:v>
                </c:pt>
                <c:pt idx="54">
                  <c:v>0.93548387096774188</c:v>
                </c:pt>
                <c:pt idx="55">
                  <c:v>0.93548387096774188</c:v>
                </c:pt>
                <c:pt idx="56">
                  <c:v>0.93548387096774188</c:v>
                </c:pt>
                <c:pt idx="57">
                  <c:v>0.93548387096774188</c:v>
                </c:pt>
                <c:pt idx="58">
                  <c:v>0.93548387096774188</c:v>
                </c:pt>
                <c:pt idx="59">
                  <c:v>0.93548387096774188</c:v>
                </c:pt>
                <c:pt idx="60">
                  <c:v>0.93548387096774188</c:v>
                </c:pt>
                <c:pt idx="61">
                  <c:v>0.93548387096774188</c:v>
                </c:pt>
                <c:pt idx="62">
                  <c:v>0.93548387096774188</c:v>
                </c:pt>
                <c:pt idx="63">
                  <c:v>0.93548387096774188</c:v>
                </c:pt>
                <c:pt idx="64">
                  <c:v>0.90625</c:v>
                </c:pt>
                <c:pt idx="65">
                  <c:v>0.90625</c:v>
                </c:pt>
                <c:pt idx="66">
                  <c:v>0.90625</c:v>
                </c:pt>
                <c:pt idx="67">
                  <c:v>0.90625</c:v>
                </c:pt>
                <c:pt idx="68">
                  <c:v>0.90625</c:v>
                </c:pt>
                <c:pt idx="69">
                  <c:v>0.90625</c:v>
                </c:pt>
                <c:pt idx="70">
                  <c:v>0.87878787878787878</c:v>
                </c:pt>
                <c:pt idx="71">
                  <c:v>0.87878787878787878</c:v>
                </c:pt>
                <c:pt idx="72">
                  <c:v>0.87878787878787878</c:v>
                </c:pt>
                <c:pt idx="73">
                  <c:v>0.87878787878787878</c:v>
                </c:pt>
                <c:pt idx="74">
                  <c:v>0.87878787878787878</c:v>
                </c:pt>
                <c:pt idx="75">
                  <c:v>0.87878787878787878</c:v>
                </c:pt>
                <c:pt idx="76">
                  <c:v>0.87878787878787878</c:v>
                </c:pt>
                <c:pt idx="77">
                  <c:v>0.87878787878787878</c:v>
                </c:pt>
                <c:pt idx="78">
                  <c:v>0.87878787878787878</c:v>
                </c:pt>
                <c:pt idx="79">
                  <c:v>0.87878787878787878</c:v>
                </c:pt>
                <c:pt idx="80">
                  <c:v>0.87878787878787878</c:v>
                </c:pt>
                <c:pt idx="81">
                  <c:v>0.87878787878787878</c:v>
                </c:pt>
                <c:pt idx="82">
                  <c:v>0.87878787878787878</c:v>
                </c:pt>
                <c:pt idx="83">
                  <c:v>0.87878787878787878</c:v>
                </c:pt>
                <c:pt idx="84">
                  <c:v>0.87878787878787878</c:v>
                </c:pt>
                <c:pt idx="85">
                  <c:v>0.87878787878787878</c:v>
                </c:pt>
                <c:pt idx="86">
                  <c:v>0.87878787878787878</c:v>
                </c:pt>
                <c:pt idx="87">
                  <c:v>0.87878787878787878</c:v>
                </c:pt>
                <c:pt idx="88">
                  <c:v>0.87878787878787878</c:v>
                </c:pt>
                <c:pt idx="89">
                  <c:v>0.87878787878787878</c:v>
                </c:pt>
                <c:pt idx="90">
                  <c:v>0.87878787878787878</c:v>
                </c:pt>
                <c:pt idx="91">
                  <c:v>0.87878787878787878</c:v>
                </c:pt>
                <c:pt idx="92">
                  <c:v>0.87878787878787878</c:v>
                </c:pt>
                <c:pt idx="93">
                  <c:v>0.87878787878787878</c:v>
                </c:pt>
                <c:pt idx="94">
                  <c:v>0.87878787878787878</c:v>
                </c:pt>
                <c:pt idx="95">
                  <c:v>0.87878787878787878</c:v>
                </c:pt>
                <c:pt idx="96">
                  <c:v>0.87878787878787878</c:v>
                </c:pt>
                <c:pt idx="97">
                  <c:v>0.87878787878787878</c:v>
                </c:pt>
                <c:pt idx="98">
                  <c:v>0.87878787878787878</c:v>
                </c:pt>
                <c:pt idx="99">
                  <c:v>0.87878787878787878</c:v>
                </c:pt>
                <c:pt idx="100">
                  <c:v>0.87878787878787878</c:v>
                </c:pt>
                <c:pt idx="101">
                  <c:v>0.87878787878787878</c:v>
                </c:pt>
              </c:numCache>
            </c:numRef>
          </c:yVal>
          <c:smooth val="1"/>
        </c:ser>
        <c:ser>
          <c:idx val="3"/>
          <c:order val="3"/>
          <c:tx>
            <c:v>W3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'AE-W3'!$Y$4:$Y$128</c:f>
              <c:numCache>
                <c:formatCode>0.0%</c:formatCode>
                <c:ptCount val="125"/>
                <c:pt idx="0">
                  <c:v>0.22219030933164832</c:v>
                </c:pt>
                <c:pt idx="1">
                  <c:v>0.39325616796392565</c:v>
                </c:pt>
                <c:pt idx="2">
                  <c:v>0.48760662894563001</c:v>
                </c:pt>
                <c:pt idx="3">
                  <c:v>0.5833070051986099</c:v>
                </c:pt>
                <c:pt idx="4">
                  <c:v>0.67280351552402562</c:v>
                </c:pt>
                <c:pt idx="5">
                  <c:v>0.68811212913232045</c:v>
                </c:pt>
                <c:pt idx="6">
                  <c:v>0.73274549788896237</c:v>
                </c:pt>
                <c:pt idx="7">
                  <c:v>0.76502857799350898</c:v>
                </c:pt>
                <c:pt idx="8">
                  <c:v>0.80216560875434417</c:v>
                </c:pt>
                <c:pt idx="9">
                  <c:v>0.82890541976620624</c:v>
                </c:pt>
                <c:pt idx="10">
                  <c:v>0.85360599707039675</c:v>
                </c:pt>
                <c:pt idx="11">
                  <c:v>0.87043685555906603</c:v>
                </c:pt>
                <c:pt idx="12">
                  <c:v>0.88413705948243682</c:v>
                </c:pt>
                <c:pt idx="13">
                  <c:v>0.89246632392222203</c:v>
                </c:pt>
                <c:pt idx="14">
                  <c:v>0.90363902691214071</c:v>
                </c:pt>
                <c:pt idx="15">
                  <c:v>0.91251400178073938</c:v>
                </c:pt>
                <c:pt idx="16">
                  <c:v>0.92483556883131812</c:v>
                </c:pt>
                <c:pt idx="17">
                  <c:v>0.93213085561650921</c:v>
                </c:pt>
                <c:pt idx="18">
                  <c:v>0.93652526064853381</c:v>
                </c:pt>
                <c:pt idx="19">
                  <c:v>0.93994313122899742</c:v>
                </c:pt>
                <c:pt idx="20">
                  <c:v>0.94149409771088843</c:v>
                </c:pt>
                <c:pt idx="21">
                  <c:v>0.9456874515322975</c:v>
                </c:pt>
                <c:pt idx="22">
                  <c:v>0.94965103254157457</c:v>
                </c:pt>
                <c:pt idx="23">
                  <c:v>0.95484964241606118</c:v>
                </c:pt>
                <c:pt idx="24">
                  <c:v>0.95852600741017324</c:v>
                </c:pt>
                <c:pt idx="25">
                  <c:v>0.95944509865870131</c:v>
                </c:pt>
                <c:pt idx="26">
                  <c:v>0.96254703162248334</c:v>
                </c:pt>
                <c:pt idx="27">
                  <c:v>0.96559152138323245</c:v>
                </c:pt>
                <c:pt idx="28">
                  <c:v>0.967343539075739</c:v>
                </c:pt>
                <c:pt idx="29">
                  <c:v>0.96969871040009203</c:v>
                </c:pt>
                <c:pt idx="30">
                  <c:v>0.97122095528046659</c:v>
                </c:pt>
                <c:pt idx="31">
                  <c:v>0.97297297297297314</c:v>
                </c:pt>
                <c:pt idx="32">
                  <c:v>0.97472499066547968</c:v>
                </c:pt>
                <c:pt idx="33">
                  <c:v>0.97639084355343675</c:v>
                </c:pt>
                <c:pt idx="34">
                  <c:v>0.97710888359134929</c:v>
                </c:pt>
                <c:pt idx="35">
                  <c:v>0.97802797483987736</c:v>
                </c:pt>
                <c:pt idx="36">
                  <c:v>0.97934916850963638</c:v>
                </c:pt>
                <c:pt idx="37">
                  <c:v>0.98029698135968091</c:v>
                </c:pt>
                <c:pt idx="38">
                  <c:v>0.98092885659304396</c:v>
                </c:pt>
                <c:pt idx="39">
                  <c:v>0.98173306143550598</c:v>
                </c:pt>
                <c:pt idx="40">
                  <c:v>0.98204899905218745</c:v>
                </c:pt>
                <c:pt idx="41">
                  <c:v>0.98316914151133095</c:v>
                </c:pt>
                <c:pt idx="42">
                  <c:v>0.98316914151133095</c:v>
                </c:pt>
                <c:pt idx="43">
                  <c:v>0.98400206795530942</c:v>
                </c:pt>
                <c:pt idx="44">
                  <c:v>0.98449033518108997</c:v>
                </c:pt>
                <c:pt idx="45">
                  <c:v>0.9854381480311345</c:v>
                </c:pt>
                <c:pt idx="46">
                  <c:v>0.986328517678146</c:v>
                </c:pt>
                <c:pt idx="47">
                  <c:v>0.98716144412212448</c:v>
                </c:pt>
                <c:pt idx="48">
                  <c:v>0.98756354654335543</c:v>
                </c:pt>
                <c:pt idx="49">
                  <c:v>0.98762098974638846</c:v>
                </c:pt>
                <c:pt idx="50">
                  <c:v>0.98779331935548742</c:v>
                </c:pt>
                <c:pt idx="51">
                  <c:v>0.98828158658126797</c:v>
                </c:pt>
                <c:pt idx="52">
                  <c:v>0.98874113220553195</c:v>
                </c:pt>
                <c:pt idx="53">
                  <c:v>0.98897090501766394</c:v>
                </c:pt>
                <c:pt idx="54">
                  <c:v>0.98931556423586198</c:v>
                </c:pt>
                <c:pt idx="55">
                  <c:v>0.98971766665709293</c:v>
                </c:pt>
                <c:pt idx="56">
                  <c:v>0.9900336042737744</c:v>
                </c:pt>
                <c:pt idx="57">
                  <c:v>0.99043570669500536</c:v>
                </c:pt>
                <c:pt idx="58">
                  <c:v>0.99080908751471986</c:v>
                </c:pt>
                <c:pt idx="59">
                  <c:v>0.99112502513140133</c:v>
                </c:pt>
                <c:pt idx="60">
                  <c:v>0.99146968434959937</c:v>
                </c:pt>
                <c:pt idx="61">
                  <c:v>0.99146968434959937</c:v>
                </c:pt>
                <c:pt idx="62">
                  <c:v>0.99178562196628084</c:v>
                </c:pt>
                <c:pt idx="63">
                  <c:v>0.99207283798144585</c:v>
                </c:pt>
                <c:pt idx="64">
                  <c:v>0.99236005399661087</c:v>
                </c:pt>
                <c:pt idx="65">
                  <c:v>0.99264727001177588</c:v>
                </c:pt>
                <c:pt idx="66">
                  <c:v>0.99264727001177588</c:v>
                </c:pt>
                <c:pt idx="67">
                  <c:v>0.99290576442542444</c:v>
                </c:pt>
                <c:pt idx="68">
                  <c:v>0.993164258839073</c:v>
                </c:pt>
                <c:pt idx="69">
                  <c:v>0.99339403165120499</c:v>
                </c:pt>
                <c:pt idx="70">
                  <c:v>0.99339403165120499</c:v>
                </c:pt>
                <c:pt idx="71">
                  <c:v>0.99359508286182052</c:v>
                </c:pt>
                <c:pt idx="72">
                  <c:v>0.99379613407243605</c:v>
                </c:pt>
                <c:pt idx="73">
                  <c:v>0.99399718528305159</c:v>
                </c:pt>
                <c:pt idx="74">
                  <c:v>0.99419823649366712</c:v>
                </c:pt>
                <c:pt idx="75">
                  <c:v>0.99439928770428265</c:v>
                </c:pt>
                <c:pt idx="76">
                  <c:v>0.99460033891489819</c:v>
                </c:pt>
                <c:pt idx="77">
                  <c:v>0.99480139012551372</c:v>
                </c:pt>
                <c:pt idx="78">
                  <c:v>0.99500244133612925</c:v>
                </c:pt>
                <c:pt idx="79">
                  <c:v>0.99517477094522822</c:v>
                </c:pt>
                <c:pt idx="80">
                  <c:v>0.99534710055432718</c:v>
                </c:pt>
                <c:pt idx="81">
                  <c:v>0.99551943016342614</c:v>
                </c:pt>
                <c:pt idx="82">
                  <c:v>0.99569175977252511</c:v>
                </c:pt>
                <c:pt idx="83">
                  <c:v>0.99586408938162407</c:v>
                </c:pt>
                <c:pt idx="84">
                  <c:v>0.99603641899072304</c:v>
                </c:pt>
                <c:pt idx="85">
                  <c:v>0.99618002699830555</c:v>
                </c:pt>
                <c:pt idx="86">
                  <c:v>0.99632363500588805</c:v>
                </c:pt>
                <c:pt idx="87">
                  <c:v>0.99646724301347056</c:v>
                </c:pt>
                <c:pt idx="88">
                  <c:v>0.99661085102105307</c:v>
                </c:pt>
                <c:pt idx="89">
                  <c:v>0.99675445902863558</c:v>
                </c:pt>
                <c:pt idx="90">
                  <c:v>0.99689806703621808</c:v>
                </c:pt>
                <c:pt idx="91">
                  <c:v>0.99704167504380059</c:v>
                </c:pt>
                <c:pt idx="92">
                  <c:v>0.9971852830513831</c:v>
                </c:pt>
                <c:pt idx="93">
                  <c:v>0.99732889105896561</c:v>
                </c:pt>
                <c:pt idx="94">
                  <c:v>0.99747249906654811</c:v>
                </c:pt>
                <c:pt idx="95">
                  <c:v>0.99758738547261416</c:v>
                </c:pt>
                <c:pt idx="96">
                  <c:v>0.99770227187868021</c:v>
                </c:pt>
                <c:pt idx="97">
                  <c:v>0.99770227187868021</c:v>
                </c:pt>
                <c:pt idx="98">
                  <c:v>0.99781715828474626</c:v>
                </c:pt>
                <c:pt idx="99">
                  <c:v>0.99793204469081231</c:v>
                </c:pt>
                <c:pt idx="100">
                  <c:v>0.99804693109687836</c:v>
                </c:pt>
                <c:pt idx="101">
                  <c:v>0.99816181750294442</c:v>
                </c:pt>
                <c:pt idx="102">
                  <c:v>0.99827670390901047</c:v>
                </c:pt>
                <c:pt idx="103">
                  <c:v>0.99839159031507652</c:v>
                </c:pt>
                <c:pt idx="104">
                  <c:v>0.99850647672114257</c:v>
                </c:pt>
                <c:pt idx="105">
                  <c:v>0.99862136312720862</c:v>
                </c:pt>
                <c:pt idx="106">
                  <c:v>0.99873624953327467</c:v>
                </c:pt>
                <c:pt idx="107">
                  <c:v>0.99885113593934072</c:v>
                </c:pt>
                <c:pt idx="108">
                  <c:v>0.9989373007438902</c:v>
                </c:pt>
                <c:pt idx="109">
                  <c:v>0.99902346554843968</c:v>
                </c:pt>
                <c:pt idx="110">
                  <c:v>0.99910963035298916</c:v>
                </c:pt>
                <c:pt idx="111">
                  <c:v>0.99919579515753865</c:v>
                </c:pt>
                <c:pt idx="112">
                  <c:v>0.99928195996208813</c:v>
                </c:pt>
                <c:pt idx="113">
                  <c:v>0.99936812476663761</c:v>
                </c:pt>
                <c:pt idx="114">
                  <c:v>0.99942556796967064</c:v>
                </c:pt>
                <c:pt idx="115">
                  <c:v>0.99948301117270366</c:v>
                </c:pt>
                <c:pt idx="116">
                  <c:v>0.99954045437573669</c:v>
                </c:pt>
                <c:pt idx="117">
                  <c:v>0.99959789757876971</c:v>
                </c:pt>
                <c:pt idx="118">
                  <c:v>0.99965534078180274</c:v>
                </c:pt>
                <c:pt idx="119">
                  <c:v>0.99971278398483576</c:v>
                </c:pt>
                <c:pt idx="120">
                  <c:v>0.99977022718786879</c:v>
                </c:pt>
                <c:pt idx="121">
                  <c:v>0.99982767039090181</c:v>
                </c:pt>
                <c:pt idx="122">
                  <c:v>0.99988511359393484</c:v>
                </c:pt>
                <c:pt idx="123">
                  <c:v>0.99994255679696786</c:v>
                </c:pt>
                <c:pt idx="124">
                  <c:v>1.0000000000000009</c:v>
                </c:pt>
              </c:numCache>
            </c:numRef>
          </c:xVal>
          <c:yVal>
            <c:numRef>
              <c:f>'AE-W3'!$AJ$4:$AJ$128</c:f>
              <c:numCache>
                <c:formatCode>0.0%</c:formatCode>
                <c:ptCount val="1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0.97727272727272729</c:v>
                </c:pt>
                <c:pt idx="46">
                  <c:v>0.97727272727272729</c:v>
                </c:pt>
                <c:pt idx="47">
                  <c:v>0.97727272727272729</c:v>
                </c:pt>
                <c:pt idx="48">
                  <c:v>0.97777777777777775</c:v>
                </c:pt>
                <c:pt idx="49">
                  <c:v>0.97826086956521741</c:v>
                </c:pt>
                <c:pt idx="50">
                  <c:v>0.97872340425531912</c:v>
                </c:pt>
                <c:pt idx="51">
                  <c:v>0.97916666666666663</c:v>
                </c:pt>
                <c:pt idx="52">
                  <c:v>0.97959183673469385</c:v>
                </c:pt>
                <c:pt idx="53">
                  <c:v>0.98</c:v>
                </c:pt>
                <c:pt idx="54">
                  <c:v>0.98039215686274506</c:v>
                </c:pt>
                <c:pt idx="55">
                  <c:v>0.98039215686274506</c:v>
                </c:pt>
                <c:pt idx="56">
                  <c:v>0.98076923076923073</c:v>
                </c:pt>
                <c:pt idx="57">
                  <c:v>0.98076923076923073</c:v>
                </c:pt>
                <c:pt idx="58">
                  <c:v>0.98076923076923073</c:v>
                </c:pt>
                <c:pt idx="59">
                  <c:v>0.98113207547169812</c:v>
                </c:pt>
                <c:pt idx="60">
                  <c:v>0.98113207547169812</c:v>
                </c:pt>
                <c:pt idx="61">
                  <c:v>0.98113207547169812</c:v>
                </c:pt>
                <c:pt idx="62">
                  <c:v>0.96296296296296291</c:v>
                </c:pt>
                <c:pt idx="63">
                  <c:v>0.96296296296296291</c:v>
                </c:pt>
                <c:pt idx="64">
                  <c:v>0.96296296296296291</c:v>
                </c:pt>
                <c:pt idx="65">
                  <c:v>0.94545454545454544</c:v>
                </c:pt>
                <c:pt idx="66">
                  <c:v>0.94545454545454544</c:v>
                </c:pt>
                <c:pt idx="67">
                  <c:v>0.9285714285714286</c:v>
                </c:pt>
                <c:pt idx="68">
                  <c:v>0.9285714285714286</c:v>
                </c:pt>
                <c:pt idx="69">
                  <c:v>0.91228070175438591</c:v>
                </c:pt>
                <c:pt idx="70">
                  <c:v>0.91228070175438591</c:v>
                </c:pt>
                <c:pt idx="71">
                  <c:v>0.91228070175438591</c:v>
                </c:pt>
                <c:pt idx="72">
                  <c:v>0.89655172413793105</c:v>
                </c:pt>
                <c:pt idx="73">
                  <c:v>0.89655172413793105</c:v>
                </c:pt>
                <c:pt idx="74">
                  <c:v>0.89655172413793105</c:v>
                </c:pt>
                <c:pt idx="75">
                  <c:v>0.89655172413793105</c:v>
                </c:pt>
                <c:pt idx="76">
                  <c:v>0.89655172413793105</c:v>
                </c:pt>
                <c:pt idx="77">
                  <c:v>0.88135593220338981</c:v>
                </c:pt>
                <c:pt idx="78">
                  <c:v>0.88135593220338981</c:v>
                </c:pt>
                <c:pt idx="79">
                  <c:v>0.88135593220338981</c:v>
                </c:pt>
                <c:pt idx="80">
                  <c:v>0.8666666666666667</c:v>
                </c:pt>
                <c:pt idx="81">
                  <c:v>0.8666666666666667</c:v>
                </c:pt>
                <c:pt idx="82">
                  <c:v>0.8666666666666667</c:v>
                </c:pt>
                <c:pt idx="83">
                  <c:v>0.8666666666666667</c:v>
                </c:pt>
                <c:pt idx="84">
                  <c:v>0.8666666666666667</c:v>
                </c:pt>
                <c:pt idx="85">
                  <c:v>0.8666666666666667</c:v>
                </c:pt>
                <c:pt idx="86">
                  <c:v>0.8666666666666667</c:v>
                </c:pt>
                <c:pt idx="87">
                  <c:v>0.8666666666666667</c:v>
                </c:pt>
                <c:pt idx="88">
                  <c:v>0.8666666666666667</c:v>
                </c:pt>
                <c:pt idx="89">
                  <c:v>0.8666666666666667</c:v>
                </c:pt>
                <c:pt idx="90">
                  <c:v>0.8666666666666667</c:v>
                </c:pt>
                <c:pt idx="91">
                  <c:v>0.8666666666666667</c:v>
                </c:pt>
                <c:pt idx="92">
                  <c:v>0.8666666666666667</c:v>
                </c:pt>
                <c:pt idx="93">
                  <c:v>0.8666666666666667</c:v>
                </c:pt>
                <c:pt idx="94">
                  <c:v>0.8666666666666667</c:v>
                </c:pt>
                <c:pt idx="95">
                  <c:v>0.8666666666666667</c:v>
                </c:pt>
                <c:pt idx="96">
                  <c:v>0.8666666666666667</c:v>
                </c:pt>
                <c:pt idx="97">
                  <c:v>0.8666666666666667</c:v>
                </c:pt>
                <c:pt idx="98">
                  <c:v>0.8666666666666667</c:v>
                </c:pt>
                <c:pt idx="99">
                  <c:v>0.8666666666666667</c:v>
                </c:pt>
                <c:pt idx="100">
                  <c:v>0.8666666666666667</c:v>
                </c:pt>
                <c:pt idx="101">
                  <c:v>0.85245901639344257</c:v>
                </c:pt>
                <c:pt idx="102">
                  <c:v>0.85245901639344257</c:v>
                </c:pt>
                <c:pt idx="103">
                  <c:v>0.85245901639344257</c:v>
                </c:pt>
                <c:pt idx="104">
                  <c:v>0.85245901639344257</c:v>
                </c:pt>
                <c:pt idx="105">
                  <c:v>0.85245901639344257</c:v>
                </c:pt>
                <c:pt idx="106">
                  <c:v>0.85245901639344257</c:v>
                </c:pt>
                <c:pt idx="107">
                  <c:v>0.85245901639344257</c:v>
                </c:pt>
                <c:pt idx="108">
                  <c:v>0.85245901639344257</c:v>
                </c:pt>
                <c:pt idx="109">
                  <c:v>0.85245901639344257</c:v>
                </c:pt>
                <c:pt idx="110">
                  <c:v>0.85245901639344257</c:v>
                </c:pt>
                <c:pt idx="111">
                  <c:v>0.85245901639344257</c:v>
                </c:pt>
                <c:pt idx="112">
                  <c:v>0.85245901639344257</c:v>
                </c:pt>
                <c:pt idx="113">
                  <c:v>0.85245901639344257</c:v>
                </c:pt>
                <c:pt idx="114">
                  <c:v>0.85245901639344257</c:v>
                </c:pt>
                <c:pt idx="115">
                  <c:v>0.85245901639344257</c:v>
                </c:pt>
                <c:pt idx="116">
                  <c:v>0.85245901639344257</c:v>
                </c:pt>
                <c:pt idx="117">
                  <c:v>0.85245901639344257</c:v>
                </c:pt>
                <c:pt idx="118">
                  <c:v>0.85245901639344257</c:v>
                </c:pt>
                <c:pt idx="119">
                  <c:v>0.85245901639344257</c:v>
                </c:pt>
                <c:pt idx="120">
                  <c:v>0.85245901639344257</c:v>
                </c:pt>
                <c:pt idx="121">
                  <c:v>0.85245901639344257</c:v>
                </c:pt>
                <c:pt idx="122">
                  <c:v>0.85245901639344257</c:v>
                </c:pt>
                <c:pt idx="123">
                  <c:v>0.85245901639344257</c:v>
                </c:pt>
                <c:pt idx="124">
                  <c:v>0.85245901639344257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525832"/>
        <c:axId val="735520736"/>
      </c:scatterChart>
      <c:valAx>
        <c:axId val="735525832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Cumulative reads assigned to OTUs</a:t>
                </a:r>
              </a:p>
            </c:rich>
          </c:tx>
          <c:layout>
            <c:manualLayout>
              <c:xMode val="edge"/>
              <c:yMode val="edge"/>
              <c:x val="0.3159468503937008"/>
              <c:y val="0.84349237068619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0736"/>
        <c:crosses val="autoZero"/>
        <c:crossBetween val="midCat"/>
        <c:majorUnit val="1.0000000000000002E-2"/>
      </c:valAx>
      <c:valAx>
        <c:axId val="735520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Percentage</a:t>
                </a:r>
                <a:r>
                  <a:rPr lang="en-AU" baseline="0"/>
                  <a:t> of OTUs in agreement 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5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39129483814525"/>
          <c:y val="0.91591371025394686"/>
          <c:w val="0.57055052493438319"/>
          <c:h val="8.2327673467443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OTU agreement</a:t>
            </a:r>
            <a:r>
              <a:rPr lang="en-AU" baseline="0"/>
              <a:t> by cumulative amplicon reads</a:t>
            </a:r>
            <a:endParaRPr lang="en-A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'AE-All'!$AA$4:$AA$226</c:f>
              <c:numCache>
                <c:formatCode>0.0%</c:formatCode>
                <c:ptCount val="223"/>
                <c:pt idx="0">
                  <c:v>0.23911577123240343</c:v>
                </c:pt>
                <c:pt idx="1">
                  <c:v>0.37604948697840979</c:v>
                </c:pt>
                <c:pt idx="2">
                  <c:v>0.4337075201123109</c:v>
                </c:pt>
                <c:pt idx="3">
                  <c:v>0.48944069404609791</c:v>
                </c:pt>
                <c:pt idx="4">
                  <c:v>0.52827239773842749</c:v>
                </c:pt>
                <c:pt idx="5">
                  <c:v>0.56399471349211128</c:v>
                </c:pt>
                <c:pt idx="6">
                  <c:v>0.59834604690953153</c:v>
                </c:pt>
                <c:pt idx="7">
                  <c:v>0.62861733689423138</c:v>
                </c:pt>
                <c:pt idx="8">
                  <c:v>0.65514310313625912</c:v>
                </c:pt>
                <c:pt idx="9">
                  <c:v>0.68042950134630453</c:v>
                </c:pt>
                <c:pt idx="10">
                  <c:v>0.70378007249754582</c:v>
                </c:pt>
                <c:pt idx="11">
                  <c:v>0.72487674868796981</c:v>
                </c:pt>
                <c:pt idx="12">
                  <c:v>0.7449040586561082</c:v>
                </c:pt>
                <c:pt idx="13">
                  <c:v>0.76349457913584229</c:v>
                </c:pt>
                <c:pt idx="14">
                  <c:v>0.78204671211016108</c:v>
                </c:pt>
                <c:pt idx="15">
                  <c:v>0.79856430729746464</c:v>
                </c:pt>
                <c:pt idx="16">
                  <c:v>0.81457738098502319</c:v>
                </c:pt>
                <c:pt idx="17">
                  <c:v>0.82617040762046801</c:v>
                </c:pt>
                <c:pt idx="18">
                  <c:v>0.83768117531573705</c:v>
                </c:pt>
                <c:pt idx="19">
                  <c:v>0.84901645727196429</c:v>
                </c:pt>
                <c:pt idx="20">
                  <c:v>0.85973753914154549</c:v>
                </c:pt>
                <c:pt idx="21">
                  <c:v>0.86924667262586963</c:v>
                </c:pt>
                <c:pt idx="22">
                  <c:v>0.87778515061611917</c:v>
                </c:pt>
                <c:pt idx="23">
                  <c:v>0.8860933035738765</c:v>
                </c:pt>
                <c:pt idx="24">
                  <c:v>0.89439048867294368</c:v>
                </c:pt>
                <c:pt idx="25">
                  <c:v>0.90265477019594054</c:v>
                </c:pt>
                <c:pt idx="26">
                  <c:v>0.90904354788292885</c:v>
                </c:pt>
                <c:pt idx="27">
                  <c:v>0.91482909334196116</c:v>
                </c:pt>
                <c:pt idx="28">
                  <c:v>0.92018689231207929</c:v>
                </c:pt>
                <c:pt idx="29">
                  <c:v>0.92481532867930516</c:v>
                </c:pt>
                <c:pt idx="30">
                  <c:v>0.92862117564477287</c:v>
                </c:pt>
                <c:pt idx="31">
                  <c:v>0.9318402421703198</c:v>
                </c:pt>
                <c:pt idx="32">
                  <c:v>0.93505382476652166</c:v>
                </c:pt>
                <c:pt idx="33">
                  <c:v>0.93815772877582237</c:v>
                </c:pt>
                <c:pt idx="34">
                  <c:v>0.94081743450817368</c:v>
                </c:pt>
                <c:pt idx="35">
                  <c:v>0.94340584915903936</c:v>
                </c:pt>
                <c:pt idx="36">
                  <c:v>0.94563780840247647</c:v>
                </c:pt>
                <c:pt idx="37">
                  <c:v>0.94780396049377291</c:v>
                </c:pt>
                <c:pt idx="38">
                  <c:v>0.9498055947047177</c:v>
                </c:pt>
                <c:pt idx="39">
                  <c:v>0.95171400211679658</c:v>
                </c:pt>
                <c:pt idx="40">
                  <c:v>0.95361144167018541</c:v>
                </c:pt>
                <c:pt idx="41">
                  <c:v>0.95521274903894127</c:v>
                </c:pt>
                <c:pt idx="42">
                  <c:v>0.95669889389145102</c:v>
                </c:pt>
                <c:pt idx="43">
                  <c:v>0.95815213516789044</c:v>
                </c:pt>
                <c:pt idx="44">
                  <c:v>0.95957247286825953</c:v>
                </c:pt>
                <c:pt idx="45">
                  <c:v>0.96098184270993847</c:v>
                </c:pt>
                <c:pt idx="46">
                  <c:v>0.96231992147013168</c:v>
                </c:pt>
                <c:pt idx="47">
                  <c:v>0.96359219307818433</c:v>
                </c:pt>
                <c:pt idx="48">
                  <c:v>0.96479317360475125</c:v>
                </c:pt>
                <c:pt idx="49">
                  <c:v>0.96595576662590277</c:v>
                </c:pt>
                <c:pt idx="50">
                  <c:v>0.96710739178836413</c:v>
                </c:pt>
                <c:pt idx="51">
                  <c:v>0.96824804909213547</c:v>
                </c:pt>
                <c:pt idx="52">
                  <c:v>0.96936128674918154</c:v>
                </c:pt>
                <c:pt idx="53">
                  <c:v>0.97041968511277699</c:v>
                </c:pt>
                <c:pt idx="54">
                  <c:v>0.97147259954702736</c:v>
                </c:pt>
                <c:pt idx="55">
                  <c:v>0.97252551398127773</c:v>
                </c:pt>
                <c:pt idx="56">
                  <c:v>0.97353455698076774</c:v>
                </c:pt>
                <c:pt idx="57">
                  <c:v>0.97449424461615219</c:v>
                </c:pt>
                <c:pt idx="58">
                  <c:v>0.97545393225153665</c:v>
                </c:pt>
                <c:pt idx="59">
                  <c:v>0.97631490915871022</c:v>
                </c:pt>
                <c:pt idx="60">
                  <c:v>0.97713201463112331</c:v>
                </c:pt>
                <c:pt idx="61">
                  <c:v>0.97794363617419133</c:v>
                </c:pt>
                <c:pt idx="62">
                  <c:v>0.9786291273423231</c:v>
                </c:pt>
                <c:pt idx="63">
                  <c:v>0.97928719886372961</c:v>
                </c:pt>
                <c:pt idx="64">
                  <c:v>0.97993430252644598</c:v>
                </c:pt>
                <c:pt idx="65">
                  <c:v>0.98058140618916234</c:v>
                </c:pt>
                <c:pt idx="66">
                  <c:v>0.98121754199318867</c:v>
                </c:pt>
                <c:pt idx="67">
                  <c:v>0.98184270993852485</c:v>
                </c:pt>
                <c:pt idx="68">
                  <c:v>0.98245691002517088</c:v>
                </c:pt>
                <c:pt idx="69">
                  <c:v>0.98301078688902133</c:v>
                </c:pt>
                <c:pt idx="70">
                  <c:v>0.98351530838876633</c:v>
                </c:pt>
                <c:pt idx="71">
                  <c:v>0.983986926312441</c:v>
                </c:pt>
                <c:pt idx="72">
                  <c:v>0.98444209244808056</c:v>
                </c:pt>
                <c:pt idx="73">
                  <c:v>0.98487532286633983</c:v>
                </c:pt>
                <c:pt idx="74">
                  <c:v>0.98530306935525402</c:v>
                </c:pt>
                <c:pt idx="75">
                  <c:v>0.98572533191482326</c:v>
                </c:pt>
                <c:pt idx="76">
                  <c:v>0.98613662661570234</c:v>
                </c:pt>
                <c:pt idx="77">
                  <c:v>0.9865314695285462</c:v>
                </c:pt>
                <c:pt idx="78">
                  <c:v>0.98692631244139006</c:v>
                </c:pt>
                <c:pt idx="79">
                  <c:v>0.98728825177816359</c:v>
                </c:pt>
                <c:pt idx="80">
                  <c:v>0.98764470718559216</c:v>
                </c:pt>
                <c:pt idx="81">
                  <c:v>0.98800116259302073</c:v>
                </c:pt>
                <c:pt idx="82">
                  <c:v>0.98833568228306901</c:v>
                </c:pt>
                <c:pt idx="83">
                  <c:v>0.98866471804377232</c:v>
                </c:pt>
                <c:pt idx="84">
                  <c:v>0.98898278594578548</c:v>
                </c:pt>
                <c:pt idx="85">
                  <c:v>0.98930085384779864</c:v>
                </c:pt>
                <c:pt idx="86">
                  <c:v>0.98958601817374148</c:v>
                </c:pt>
                <c:pt idx="87">
                  <c:v>0.98987118249968431</c:v>
                </c:pt>
                <c:pt idx="88">
                  <c:v>0.99015634682562714</c:v>
                </c:pt>
                <c:pt idx="89">
                  <c:v>0.9904360272222249</c:v>
                </c:pt>
                <c:pt idx="90">
                  <c:v>0.99068280404275233</c:v>
                </c:pt>
                <c:pt idx="91">
                  <c:v>0.99092958086327976</c:v>
                </c:pt>
                <c:pt idx="92">
                  <c:v>0.99117087375446211</c:v>
                </c:pt>
                <c:pt idx="93">
                  <c:v>0.99140119878695443</c:v>
                </c:pt>
                <c:pt idx="94">
                  <c:v>0.99162603989010167</c:v>
                </c:pt>
                <c:pt idx="95">
                  <c:v>0.99185088099324892</c:v>
                </c:pt>
                <c:pt idx="96">
                  <c:v>0.99205927030836094</c:v>
                </c:pt>
                <c:pt idx="97">
                  <c:v>0.992262175694128</c:v>
                </c:pt>
                <c:pt idx="98">
                  <c:v>0.99245411322120491</c:v>
                </c:pt>
                <c:pt idx="99">
                  <c:v>0.99264605074828183</c:v>
                </c:pt>
                <c:pt idx="100">
                  <c:v>0.99282702041666859</c:v>
                </c:pt>
                <c:pt idx="101">
                  <c:v>0.99300799008505536</c:v>
                </c:pt>
                <c:pt idx="102">
                  <c:v>0.99318895975344212</c:v>
                </c:pt>
                <c:pt idx="103">
                  <c:v>0.99335896156313885</c:v>
                </c:pt>
                <c:pt idx="104">
                  <c:v>0.99351251158480036</c:v>
                </c:pt>
                <c:pt idx="105">
                  <c:v>0.9936605776771168</c:v>
                </c:pt>
                <c:pt idx="106">
                  <c:v>0.99380864376943323</c:v>
                </c:pt>
                <c:pt idx="107">
                  <c:v>0.99394574200305963</c:v>
                </c:pt>
                <c:pt idx="108">
                  <c:v>0.99408284023668603</c:v>
                </c:pt>
                <c:pt idx="109">
                  <c:v>0.99421993847031243</c:v>
                </c:pt>
                <c:pt idx="110">
                  <c:v>0.99435703670393882</c:v>
                </c:pt>
                <c:pt idx="111">
                  <c:v>0.99449413493756522</c:v>
                </c:pt>
                <c:pt idx="112">
                  <c:v>0.99462574924184655</c:v>
                </c:pt>
                <c:pt idx="113">
                  <c:v>0.99475736354612787</c:v>
                </c:pt>
                <c:pt idx="114">
                  <c:v>0.9948889778504092</c:v>
                </c:pt>
                <c:pt idx="115">
                  <c:v>0.99501510822534545</c:v>
                </c:pt>
                <c:pt idx="116">
                  <c:v>0.9951412386002817</c:v>
                </c:pt>
                <c:pt idx="117">
                  <c:v>0.99526188504587287</c:v>
                </c:pt>
                <c:pt idx="118">
                  <c:v>0.99537704756211898</c:v>
                </c:pt>
                <c:pt idx="119">
                  <c:v>0.99549221007836508</c:v>
                </c:pt>
                <c:pt idx="120">
                  <c:v>0.99560188866526622</c:v>
                </c:pt>
                <c:pt idx="121">
                  <c:v>0.99571156725216736</c:v>
                </c:pt>
                <c:pt idx="122">
                  <c:v>0.99581576190972343</c:v>
                </c:pt>
                <c:pt idx="123">
                  <c:v>0.9959199565672795</c:v>
                </c:pt>
                <c:pt idx="124">
                  <c:v>0.99601866729549049</c:v>
                </c:pt>
                <c:pt idx="125">
                  <c:v>0.99611737802370148</c:v>
                </c:pt>
                <c:pt idx="126">
                  <c:v>0.9962106048225674</c:v>
                </c:pt>
                <c:pt idx="127">
                  <c:v>0.99629834769208825</c:v>
                </c:pt>
                <c:pt idx="128">
                  <c:v>0.99638609056160909</c:v>
                </c:pt>
                <c:pt idx="129">
                  <c:v>0.99646834950178487</c:v>
                </c:pt>
                <c:pt idx="130">
                  <c:v>0.99655060844196064</c:v>
                </c:pt>
                <c:pt idx="131">
                  <c:v>0.99662738345279145</c:v>
                </c:pt>
                <c:pt idx="132">
                  <c:v>0.99670415846362226</c:v>
                </c:pt>
                <c:pt idx="133">
                  <c:v>0.99678093347445307</c:v>
                </c:pt>
                <c:pt idx="134">
                  <c:v>0.9968522245559388</c:v>
                </c:pt>
                <c:pt idx="135">
                  <c:v>0.99692351563742454</c:v>
                </c:pt>
                <c:pt idx="136">
                  <c:v>0.99699480671891028</c:v>
                </c:pt>
                <c:pt idx="137">
                  <c:v>0.99706061387105094</c:v>
                </c:pt>
                <c:pt idx="138">
                  <c:v>0.9971264210231916</c:v>
                </c:pt>
                <c:pt idx="139">
                  <c:v>0.99719222817533226</c:v>
                </c:pt>
                <c:pt idx="140">
                  <c:v>0.99725803532747292</c:v>
                </c:pt>
                <c:pt idx="141">
                  <c:v>0.99732384247961359</c:v>
                </c:pt>
                <c:pt idx="142">
                  <c:v>0.99738964963175425</c:v>
                </c:pt>
                <c:pt idx="143">
                  <c:v>0.99744997285454984</c:v>
                </c:pt>
                <c:pt idx="144">
                  <c:v>0.99751029607734543</c:v>
                </c:pt>
                <c:pt idx="145">
                  <c:v>0.99757061930014101</c:v>
                </c:pt>
                <c:pt idx="146">
                  <c:v>0.99762545859359153</c:v>
                </c:pt>
                <c:pt idx="147">
                  <c:v>0.99768029788704204</c:v>
                </c:pt>
                <c:pt idx="148">
                  <c:v>0.99773513718049256</c:v>
                </c:pt>
                <c:pt idx="149">
                  <c:v>0.99778997647394307</c:v>
                </c:pt>
                <c:pt idx="150">
                  <c:v>0.99784481576739359</c:v>
                </c:pt>
                <c:pt idx="151">
                  <c:v>0.9978996550608441</c:v>
                </c:pt>
                <c:pt idx="152">
                  <c:v>0.99795449435429462</c:v>
                </c:pt>
                <c:pt idx="153">
                  <c:v>0.99800384971840006</c:v>
                </c:pt>
                <c:pt idx="154">
                  <c:v>0.9980532050825055</c:v>
                </c:pt>
                <c:pt idx="155">
                  <c:v>0.99810256044661094</c:v>
                </c:pt>
                <c:pt idx="156">
                  <c:v>0.99815191581071638</c:v>
                </c:pt>
                <c:pt idx="157">
                  <c:v>0.99820127117482182</c:v>
                </c:pt>
                <c:pt idx="158">
                  <c:v>0.99825062653892727</c:v>
                </c:pt>
                <c:pt idx="159">
                  <c:v>0.99829998190303271</c:v>
                </c:pt>
                <c:pt idx="160">
                  <c:v>0.99834933726713815</c:v>
                </c:pt>
                <c:pt idx="161">
                  <c:v>0.99839869263124359</c:v>
                </c:pt>
                <c:pt idx="162">
                  <c:v>0.99844804799534903</c:v>
                </c:pt>
                <c:pt idx="163">
                  <c:v>0.99849191943010951</c:v>
                </c:pt>
                <c:pt idx="164">
                  <c:v>0.99853579086486999</c:v>
                </c:pt>
                <c:pt idx="165">
                  <c:v>0.99857966229963047</c:v>
                </c:pt>
                <c:pt idx="166">
                  <c:v>0.99862353373439094</c:v>
                </c:pt>
                <c:pt idx="167">
                  <c:v>0.99866192123980635</c:v>
                </c:pt>
                <c:pt idx="168">
                  <c:v>0.99870030874522175</c:v>
                </c:pt>
                <c:pt idx="169">
                  <c:v>0.99873869625063716</c:v>
                </c:pt>
                <c:pt idx="170">
                  <c:v>0.99877708375605256</c:v>
                </c:pt>
                <c:pt idx="171">
                  <c:v>0.99881547126146797</c:v>
                </c:pt>
                <c:pt idx="172">
                  <c:v>0.99885385876688337</c:v>
                </c:pt>
                <c:pt idx="173">
                  <c:v>0.99889224627229878</c:v>
                </c:pt>
                <c:pt idx="174">
                  <c:v>0.99893063377771418</c:v>
                </c:pt>
                <c:pt idx="175">
                  <c:v>0.99896902128312959</c:v>
                </c:pt>
                <c:pt idx="176">
                  <c:v>0.99900740878854499</c:v>
                </c:pt>
                <c:pt idx="177">
                  <c:v>0.99904031236461532</c:v>
                </c:pt>
                <c:pt idx="178">
                  <c:v>0.99907321594068565</c:v>
                </c:pt>
                <c:pt idx="179">
                  <c:v>0.99910611951675599</c:v>
                </c:pt>
                <c:pt idx="180">
                  <c:v>0.99913902309282632</c:v>
                </c:pt>
                <c:pt idx="181">
                  <c:v>0.99917192666889665</c:v>
                </c:pt>
                <c:pt idx="182">
                  <c:v>0.99920483024496698</c:v>
                </c:pt>
                <c:pt idx="183">
                  <c:v>0.99923773382103731</c:v>
                </c:pt>
                <c:pt idx="184">
                  <c:v>0.99927063739710764</c:v>
                </c:pt>
                <c:pt idx="185">
                  <c:v>0.99930354097317797</c:v>
                </c:pt>
                <c:pt idx="186">
                  <c:v>0.99933096061990323</c:v>
                </c:pt>
                <c:pt idx="187">
                  <c:v>0.99935838026662849</c:v>
                </c:pt>
                <c:pt idx="188">
                  <c:v>0.99938579991335375</c:v>
                </c:pt>
                <c:pt idx="189">
                  <c:v>0.999413219560079</c:v>
                </c:pt>
                <c:pt idx="190">
                  <c:v>0.99944063920680426</c:v>
                </c:pt>
                <c:pt idx="191">
                  <c:v>0.99946805885352952</c:v>
                </c:pt>
                <c:pt idx="192">
                  <c:v>0.99949547850025477</c:v>
                </c:pt>
                <c:pt idx="193">
                  <c:v>0.99951741421763496</c:v>
                </c:pt>
                <c:pt idx="194">
                  <c:v>0.99953934993501514</c:v>
                </c:pt>
                <c:pt idx="195">
                  <c:v>0.99956128565239533</c:v>
                </c:pt>
                <c:pt idx="196">
                  <c:v>0.99958322136977551</c:v>
                </c:pt>
                <c:pt idx="197">
                  <c:v>0.99960515708715569</c:v>
                </c:pt>
                <c:pt idx="198">
                  <c:v>0.99962709280453588</c:v>
                </c:pt>
                <c:pt idx="199">
                  <c:v>0.99964902852191606</c:v>
                </c:pt>
                <c:pt idx="200">
                  <c:v>0.99967096423929624</c:v>
                </c:pt>
                <c:pt idx="201">
                  <c:v>0.99969289995667643</c:v>
                </c:pt>
                <c:pt idx="202">
                  <c:v>0.99971483567405661</c:v>
                </c:pt>
                <c:pt idx="203">
                  <c:v>0.99973128746209172</c:v>
                </c:pt>
                <c:pt idx="204">
                  <c:v>0.99974773925012683</c:v>
                </c:pt>
                <c:pt idx="205">
                  <c:v>0.99976419103816194</c:v>
                </c:pt>
                <c:pt idx="206">
                  <c:v>0.99978064282619705</c:v>
                </c:pt>
                <c:pt idx="207">
                  <c:v>0.99979709461423216</c:v>
                </c:pt>
                <c:pt idx="208">
                  <c:v>0.99981354640226727</c:v>
                </c:pt>
                <c:pt idx="209">
                  <c:v>0.99982999819030238</c:v>
                </c:pt>
                <c:pt idx="210">
                  <c:v>0.99984644997833749</c:v>
                </c:pt>
                <c:pt idx="211">
                  <c:v>0.9998629017663726</c:v>
                </c:pt>
                <c:pt idx="212">
                  <c:v>0.99987935355440771</c:v>
                </c:pt>
                <c:pt idx="213">
                  <c:v>0.99989032141309786</c:v>
                </c:pt>
                <c:pt idx="214">
                  <c:v>0.99990128927178801</c:v>
                </c:pt>
                <c:pt idx="215">
                  <c:v>0.99991225713047815</c:v>
                </c:pt>
                <c:pt idx="216">
                  <c:v>0.9999232249891683</c:v>
                </c:pt>
                <c:pt idx="217">
                  <c:v>0.99993419284785845</c:v>
                </c:pt>
                <c:pt idx="218">
                  <c:v>0.9999451607065486</c:v>
                </c:pt>
                <c:pt idx="219">
                  <c:v>0.99995612856523874</c:v>
                </c:pt>
                <c:pt idx="220">
                  <c:v>0.99996709642392889</c:v>
                </c:pt>
                <c:pt idx="221">
                  <c:v>0.99997806428261904</c:v>
                </c:pt>
                <c:pt idx="222">
                  <c:v>0.99998903214130919</c:v>
                </c:pt>
              </c:numCache>
            </c:numRef>
          </c:xVal>
          <c:yVal>
            <c:numRef>
              <c:f>'AE-All'!$AK$4:$AK$226</c:f>
              <c:numCache>
                <c:formatCode>0.0%</c:formatCode>
                <c:ptCount val="2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0.98780487804878048</c:v>
                </c:pt>
                <c:pt idx="83">
                  <c:v>0.98795180722891562</c:v>
                </c:pt>
                <c:pt idx="84">
                  <c:v>0.98809523809523814</c:v>
                </c:pt>
                <c:pt idx="85">
                  <c:v>0.9882352941176471</c:v>
                </c:pt>
                <c:pt idx="86">
                  <c:v>0.98837209302325579</c:v>
                </c:pt>
                <c:pt idx="87">
                  <c:v>0.9885057471264368</c:v>
                </c:pt>
                <c:pt idx="88">
                  <c:v>0.98863636363636365</c:v>
                </c:pt>
                <c:pt idx="89">
                  <c:v>0.9887640449438202</c:v>
                </c:pt>
                <c:pt idx="90">
                  <c:v>0.98888888888888893</c:v>
                </c:pt>
                <c:pt idx="91">
                  <c:v>0.98901098901098905</c:v>
                </c:pt>
                <c:pt idx="92">
                  <c:v>0.98913043478260865</c:v>
                </c:pt>
                <c:pt idx="93">
                  <c:v>0.989247311827957</c:v>
                </c:pt>
                <c:pt idx="94">
                  <c:v>0.989247311827957</c:v>
                </c:pt>
                <c:pt idx="95">
                  <c:v>0.98936170212765961</c:v>
                </c:pt>
                <c:pt idx="96">
                  <c:v>0.98947368421052628</c:v>
                </c:pt>
                <c:pt idx="97">
                  <c:v>0.98958333333333337</c:v>
                </c:pt>
                <c:pt idx="98">
                  <c:v>0.98958333333333337</c:v>
                </c:pt>
                <c:pt idx="99">
                  <c:v>0.98958333333333337</c:v>
                </c:pt>
                <c:pt idx="100">
                  <c:v>0.98958333333333337</c:v>
                </c:pt>
                <c:pt idx="101">
                  <c:v>0.98969072164948457</c:v>
                </c:pt>
                <c:pt idx="102">
                  <c:v>0.98969072164948457</c:v>
                </c:pt>
                <c:pt idx="103">
                  <c:v>0.97959183673469385</c:v>
                </c:pt>
                <c:pt idx="104">
                  <c:v>0.97979797979797978</c:v>
                </c:pt>
                <c:pt idx="105">
                  <c:v>0.97979797979797978</c:v>
                </c:pt>
                <c:pt idx="106">
                  <c:v>0.97979797979797978</c:v>
                </c:pt>
                <c:pt idx="107">
                  <c:v>0.98</c:v>
                </c:pt>
                <c:pt idx="108">
                  <c:v>0.98</c:v>
                </c:pt>
                <c:pt idx="109">
                  <c:v>0.98</c:v>
                </c:pt>
                <c:pt idx="110">
                  <c:v>0.98019801980198018</c:v>
                </c:pt>
                <c:pt idx="111">
                  <c:v>0.97058823529411764</c:v>
                </c:pt>
                <c:pt idx="112">
                  <c:v>0.97058823529411764</c:v>
                </c:pt>
                <c:pt idx="113">
                  <c:v>0.96116504854368934</c:v>
                </c:pt>
                <c:pt idx="114">
                  <c:v>0.96153846153846156</c:v>
                </c:pt>
                <c:pt idx="115">
                  <c:v>0.96153846153846156</c:v>
                </c:pt>
                <c:pt idx="116">
                  <c:v>0.96190476190476193</c:v>
                </c:pt>
                <c:pt idx="117">
                  <c:v>0.95283018867924529</c:v>
                </c:pt>
                <c:pt idx="118">
                  <c:v>0.95327102803738317</c:v>
                </c:pt>
                <c:pt idx="119">
                  <c:v>0.94444444444444442</c:v>
                </c:pt>
                <c:pt idx="120">
                  <c:v>0.94444444444444442</c:v>
                </c:pt>
                <c:pt idx="121">
                  <c:v>0.94495412844036697</c:v>
                </c:pt>
                <c:pt idx="122">
                  <c:v>0.9363636363636364</c:v>
                </c:pt>
                <c:pt idx="123">
                  <c:v>0.93693693693693691</c:v>
                </c:pt>
                <c:pt idx="124">
                  <c:v>0.93693693693693691</c:v>
                </c:pt>
                <c:pt idx="125">
                  <c:v>0.9285714285714286</c:v>
                </c:pt>
                <c:pt idx="126">
                  <c:v>0.9285714285714286</c:v>
                </c:pt>
                <c:pt idx="127">
                  <c:v>0.9285714285714286</c:v>
                </c:pt>
                <c:pt idx="128">
                  <c:v>0.9285714285714286</c:v>
                </c:pt>
                <c:pt idx="129">
                  <c:v>0.9285714285714286</c:v>
                </c:pt>
                <c:pt idx="130">
                  <c:v>0.9285714285714286</c:v>
                </c:pt>
                <c:pt idx="131">
                  <c:v>0.9285714285714286</c:v>
                </c:pt>
                <c:pt idx="132">
                  <c:v>0.9285714285714286</c:v>
                </c:pt>
                <c:pt idx="133">
                  <c:v>0.9285714285714286</c:v>
                </c:pt>
                <c:pt idx="134">
                  <c:v>0.92035398230088494</c:v>
                </c:pt>
                <c:pt idx="135">
                  <c:v>0.92035398230088494</c:v>
                </c:pt>
                <c:pt idx="136">
                  <c:v>0.91228070175438591</c:v>
                </c:pt>
                <c:pt idx="137">
                  <c:v>0.91228070175438591</c:v>
                </c:pt>
                <c:pt idx="138">
                  <c:v>0.91228070175438591</c:v>
                </c:pt>
                <c:pt idx="139">
                  <c:v>0.90434782608695652</c:v>
                </c:pt>
                <c:pt idx="140">
                  <c:v>0.90434782608695652</c:v>
                </c:pt>
                <c:pt idx="141">
                  <c:v>0.89655172413793105</c:v>
                </c:pt>
                <c:pt idx="142">
                  <c:v>0.89655172413793105</c:v>
                </c:pt>
                <c:pt idx="143">
                  <c:v>0.88888888888888884</c:v>
                </c:pt>
                <c:pt idx="144">
                  <c:v>0.88135593220338981</c:v>
                </c:pt>
                <c:pt idx="145">
                  <c:v>0.87394957983193278</c:v>
                </c:pt>
                <c:pt idx="146">
                  <c:v>0.87394957983193278</c:v>
                </c:pt>
                <c:pt idx="147">
                  <c:v>0.87394957983193278</c:v>
                </c:pt>
                <c:pt idx="148">
                  <c:v>0.87394957983193278</c:v>
                </c:pt>
                <c:pt idx="149">
                  <c:v>0.87394957983193278</c:v>
                </c:pt>
                <c:pt idx="150">
                  <c:v>0.8666666666666667</c:v>
                </c:pt>
                <c:pt idx="151">
                  <c:v>0.8666666666666667</c:v>
                </c:pt>
                <c:pt idx="152">
                  <c:v>0.8666666666666667</c:v>
                </c:pt>
                <c:pt idx="153">
                  <c:v>0.85950413223140498</c:v>
                </c:pt>
                <c:pt idx="154">
                  <c:v>0.85245901639344257</c:v>
                </c:pt>
                <c:pt idx="155">
                  <c:v>0.85245901639344257</c:v>
                </c:pt>
                <c:pt idx="156">
                  <c:v>0.84552845528455289</c:v>
                </c:pt>
                <c:pt idx="157">
                  <c:v>0.84552845528455289</c:v>
                </c:pt>
                <c:pt idx="158">
                  <c:v>0.84552845528455289</c:v>
                </c:pt>
                <c:pt idx="159">
                  <c:v>0.84552845528455289</c:v>
                </c:pt>
                <c:pt idx="160">
                  <c:v>0.84552845528455289</c:v>
                </c:pt>
                <c:pt idx="161">
                  <c:v>0.83870967741935487</c:v>
                </c:pt>
                <c:pt idx="162">
                  <c:v>0.83870967741935487</c:v>
                </c:pt>
                <c:pt idx="163">
                  <c:v>0.83870967741935487</c:v>
                </c:pt>
                <c:pt idx="164">
                  <c:v>0.83870967741935487</c:v>
                </c:pt>
                <c:pt idx="165">
                  <c:v>0.83870967741935487</c:v>
                </c:pt>
                <c:pt idx="166">
                  <c:v>0.83870967741935487</c:v>
                </c:pt>
                <c:pt idx="167">
                  <c:v>0.83870967741935487</c:v>
                </c:pt>
                <c:pt idx="168">
                  <c:v>0.83199999999999996</c:v>
                </c:pt>
                <c:pt idx="169">
                  <c:v>0.82539682539682535</c:v>
                </c:pt>
                <c:pt idx="170">
                  <c:v>0.82539682539682535</c:v>
                </c:pt>
                <c:pt idx="171">
                  <c:v>0.81889763779527558</c:v>
                </c:pt>
                <c:pt idx="172">
                  <c:v>0.81889763779527558</c:v>
                </c:pt>
                <c:pt idx="173">
                  <c:v>0.81889763779527558</c:v>
                </c:pt>
                <c:pt idx="174">
                  <c:v>0.81889763779527558</c:v>
                </c:pt>
                <c:pt idx="175">
                  <c:v>0.81889763779527558</c:v>
                </c:pt>
                <c:pt idx="176">
                  <c:v>0.81889763779527558</c:v>
                </c:pt>
                <c:pt idx="177">
                  <c:v>0.81889763779527558</c:v>
                </c:pt>
                <c:pt idx="178">
                  <c:v>0.81889763779527558</c:v>
                </c:pt>
                <c:pt idx="179">
                  <c:v>0.81889763779527558</c:v>
                </c:pt>
                <c:pt idx="180">
                  <c:v>0.81889763779527558</c:v>
                </c:pt>
                <c:pt idx="181">
                  <c:v>0.81889763779527558</c:v>
                </c:pt>
                <c:pt idx="182">
                  <c:v>0.81889763779527558</c:v>
                </c:pt>
                <c:pt idx="183">
                  <c:v>0.81889763779527558</c:v>
                </c:pt>
                <c:pt idx="184">
                  <c:v>0.81889763779527558</c:v>
                </c:pt>
                <c:pt idx="185">
                  <c:v>0.81889763779527558</c:v>
                </c:pt>
                <c:pt idx="186">
                  <c:v>0.81889763779527558</c:v>
                </c:pt>
                <c:pt idx="187">
                  <c:v>0.81889763779527558</c:v>
                </c:pt>
                <c:pt idx="188">
                  <c:v>0.8125</c:v>
                </c:pt>
                <c:pt idx="189">
                  <c:v>0.80620155038759689</c:v>
                </c:pt>
                <c:pt idx="190">
                  <c:v>0.80620155038759689</c:v>
                </c:pt>
                <c:pt idx="191">
                  <c:v>0.80620155038759689</c:v>
                </c:pt>
                <c:pt idx="192">
                  <c:v>0.80620155038759689</c:v>
                </c:pt>
                <c:pt idx="193">
                  <c:v>0.80620155038759689</c:v>
                </c:pt>
                <c:pt idx="194">
                  <c:v>0.80620155038759689</c:v>
                </c:pt>
                <c:pt idx="195">
                  <c:v>0.80620155038759689</c:v>
                </c:pt>
                <c:pt idx="196">
                  <c:v>0.80620155038759689</c:v>
                </c:pt>
                <c:pt idx="197">
                  <c:v>0.80620155038759689</c:v>
                </c:pt>
                <c:pt idx="198">
                  <c:v>0.80620155038759689</c:v>
                </c:pt>
                <c:pt idx="199">
                  <c:v>0.80620155038759689</c:v>
                </c:pt>
                <c:pt idx="200">
                  <c:v>0.80620155038759689</c:v>
                </c:pt>
                <c:pt idx="201">
                  <c:v>0.8</c:v>
                </c:pt>
                <c:pt idx="202">
                  <c:v>0.8</c:v>
                </c:pt>
                <c:pt idx="203">
                  <c:v>0.8</c:v>
                </c:pt>
                <c:pt idx="204">
                  <c:v>0.8</c:v>
                </c:pt>
                <c:pt idx="205">
                  <c:v>0.8</c:v>
                </c:pt>
                <c:pt idx="206">
                  <c:v>0.8</c:v>
                </c:pt>
                <c:pt idx="207">
                  <c:v>0.8</c:v>
                </c:pt>
                <c:pt idx="208">
                  <c:v>0.8</c:v>
                </c:pt>
                <c:pt idx="209">
                  <c:v>0.8</c:v>
                </c:pt>
                <c:pt idx="210">
                  <c:v>0.8</c:v>
                </c:pt>
                <c:pt idx="211">
                  <c:v>0.79389312977099236</c:v>
                </c:pt>
                <c:pt idx="212">
                  <c:v>0.79389312977099236</c:v>
                </c:pt>
                <c:pt idx="213">
                  <c:v>0.79389312977099236</c:v>
                </c:pt>
                <c:pt idx="214">
                  <c:v>0.79389312977099236</c:v>
                </c:pt>
                <c:pt idx="215">
                  <c:v>0.79389312977099236</c:v>
                </c:pt>
                <c:pt idx="216">
                  <c:v>0.79389312977099236</c:v>
                </c:pt>
                <c:pt idx="217">
                  <c:v>0.79389312977099236</c:v>
                </c:pt>
                <c:pt idx="218">
                  <c:v>0.78787878787878785</c:v>
                </c:pt>
                <c:pt idx="219">
                  <c:v>0.78787878787878785</c:v>
                </c:pt>
                <c:pt idx="220">
                  <c:v>0.78787878787878785</c:v>
                </c:pt>
                <c:pt idx="221">
                  <c:v>0.78787878787878785</c:v>
                </c:pt>
                <c:pt idx="222">
                  <c:v>0.78787878787878785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522304"/>
        <c:axId val="735524656"/>
      </c:scatterChart>
      <c:valAx>
        <c:axId val="735522304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4656"/>
        <c:crosses val="autoZero"/>
        <c:crossBetween val="midCat"/>
      </c:valAx>
      <c:valAx>
        <c:axId val="7355246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522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'W1 genus'!$H$2</c:f>
              <c:strCache>
                <c:ptCount val="1"/>
                <c:pt idx="0">
                  <c:v>W1 amplicon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f>'W1 genus'!$G$3:$G$26</c:f>
              <c:strCache>
                <c:ptCount val="24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  <c:pt idx="18">
                  <c:v>Thauera</c:v>
                </c:pt>
                <c:pt idx="19">
                  <c:v>Clostridiales_XI_unclassified</c:v>
                </c:pt>
                <c:pt idx="20">
                  <c:v>Ercella</c:v>
                </c:pt>
                <c:pt idx="21">
                  <c:v>Desulfomicrobium</c:v>
                </c:pt>
                <c:pt idx="22">
                  <c:v>Petrimonas</c:v>
                </c:pt>
                <c:pt idx="23">
                  <c:v>Methanoplanus</c:v>
                </c:pt>
              </c:strCache>
            </c:strRef>
          </c:cat>
          <c:val>
            <c:numRef>
              <c:f>'W1 genus'!$H$3:$H$26</c:f>
              <c:numCache>
                <c:formatCode>0.0%</c:formatCode>
                <c:ptCount val="24"/>
                <c:pt idx="0">
                  <c:v>0.63726427189444979</c:v>
                </c:pt>
                <c:pt idx="1">
                  <c:v>2.8858481549686472E-2</c:v>
                </c:pt>
                <c:pt idx="2">
                  <c:v>5.4546726030909813E-2</c:v>
                </c:pt>
                <c:pt idx="3">
                  <c:v>7.7204596843749265E-2</c:v>
                </c:pt>
                <c:pt idx="4">
                  <c:v>3.0140562717079652E-2</c:v>
                </c:pt>
                <c:pt idx="5">
                  <c:v>7.0864122706823006E-3</c:v>
                </c:pt>
                <c:pt idx="6">
                  <c:v>2.1165994545327398E-2</c:v>
                </c:pt>
                <c:pt idx="7">
                  <c:v>1.0722860672742955E-3</c:v>
                </c:pt>
                <c:pt idx="8">
                  <c:v>0</c:v>
                </c:pt>
                <c:pt idx="9">
                  <c:v>3.1236159351033825E-3</c:v>
                </c:pt>
                <c:pt idx="10">
                  <c:v>2.4802442947388051E-2</c:v>
                </c:pt>
                <c:pt idx="11">
                  <c:v>2.1655516445604792E-2</c:v>
                </c:pt>
                <c:pt idx="12">
                  <c:v>2.4056504813632019E-2</c:v>
                </c:pt>
                <c:pt idx="13">
                  <c:v>4.3823865358166856E-3</c:v>
                </c:pt>
                <c:pt idx="14">
                  <c:v>4.7786661693745777E-3</c:v>
                </c:pt>
                <c:pt idx="15">
                  <c:v>3.7063801021002822E-3</c:v>
                </c:pt>
                <c:pt idx="16">
                  <c:v>1.5618079675516912E-3</c:v>
                </c:pt>
                <c:pt idx="17">
                  <c:v>5.1050141028928415E-3</c:v>
                </c:pt>
                <c:pt idx="18">
                  <c:v>1.655050234271195E-3</c:v>
                </c:pt>
                <c:pt idx="19">
                  <c:v>5.361430336371477E-3</c:v>
                </c:pt>
                <c:pt idx="20">
                  <c:v>4.0327280356185456E-3</c:v>
                </c:pt>
                <c:pt idx="21">
                  <c:v>5.8276416699689965E-4</c:v>
                </c:pt>
                <c:pt idx="22">
                  <c:v>3.2634793351826383E-3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'W1 genus'!$I$2</c:f>
              <c:strCache>
                <c:ptCount val="1"/>
                <c:pt idx="0">
                  <c:v>W1 16S extended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'W1 genus'!$G$3:$G$26</c:f>
              <c:strCache>
                <c:ptCount val="24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  <c:pt idx="18">
                  <c:v>Thauera</c:v>
                </c:pt>
                <c:pt idx="19">
                  <c:v>Clostridiales_XI_unclassified</c:v>
                </c:pt>
                <c:pt idx="20">
                  <c:v>Ercella</c:v>
                </c:pt>
                <c:pt idx="21">
                  <c:v>Desulfomicrobium</c:v>
                </c:pt>
                <c:pt idx="22">
                  <c:v>Petrimonas</c:v>
                </c:pt>
                <c:pt idx="23">
                  <c:v>Methanoplanus</c:v>
                </c:pt>
              </c:strCache>
            </c:strRef>
          </c:cat>
          <c:val>
            <c:numRef>
              <c:f>'W1 genus'!$I$3:$I$26</c:f>
              <c:numCache>
                <c:formatCode>0.0%</c:formatCode>
                <c:ptCount val="24"/>
                <c:pt idx="0">
                  <c:v>0.69318501039384239</c:v>
                </c:pt>
                <c:pt idx="1">
                  <c:v>0.13910893870442159</c:v>
                </c:pt>
                <c:pt idx="2">
                  <c:v>2.7922917017809988E-2</c:v>
                </c:pt>
                <c:pt idx="3">
                  <c:v>2.3203550761278724E-2</c:v>
                </c:pt>
                <c:pt idx="4">
                  <c:v>1.2697342547334119E-2</c:v>
                </c:pt>
                <c:pt idx="5">
                  <c:v>5.2811955727849877E-3</c:v>
                </c:pt>
                <c:pt idx="6">
                  <c:v>1.6180684308107197E-2</c:v>
                </c:pt>
                <c:pt idx="7">
                  <c:v>1.067475700882072E-3</c:v>
                </c:pt>
                <c:pt idx="8">
                  <c:v>0</c:v>
                </c:pt>
                <c:pt idx="9">
                  <c:v>1.6293050171357942E-3</c:v>
                </c:pt>
                <c:pt idx="10">
                  <c:v>8.9892690600595539E-3</c:v>
                </c:pt>
                <c:pt idx="11">
                  <c:v>1.7360525872240015E-2</c:v>
                </c:pt>
                <c:pt idx="12">
                  <c:v>9.7196471711893922E-3</c:v>
                </c:pt>
                <c:pt idx="13">
                  <c:v>3.7080734872745658E-3</c:v>
                </c:pt>
                <c:pt idx="14">
                  <c:v>4.3260857351536605E-3</c:v>
                </c:pt>
                <c:pt idx="15">
                  <c:v>3.1462441710208441E-3</c:v>
                </c:pt>
                <c:pt idx="16">
                  <c:v>6.629585931793921E-3</c:v>
                </c:pt>
                <c:pt idx="17">
                  <c:v>3.2024271026462161E-3</c:v>
                </c:pt>
                <c:pt idx="18">
                  <c:v>1.0112927692566998E-3</c:v>
                </c:pt>
                <c:pt idx="19">
                  <c:v>4.5508174616551494E-3</c:v>
                </c:pt>
                <c:pt idx="20">
                  <c:v>2.7529636496432383E-3</c:v>
                </c:pt>
                <c:pt idx="21">
                  <c:v>5.6182931625372209E-5</c:v>
                </c:pt>
                <c:pt idx="22">
                  <c:v>8.4274397438058313E-4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'W1 genus'!$J$2</c:f>
              <c:strCache>
                <c:ptCount val="1"/>
                <c:pt idx="0">
                  <c:v>W1 Spades contigs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'W1 genus'!$G$3:$G$26</c:f>
              <c:strCache>
                <c:ptCount val="24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  <c:pt idx="18">
                  <c:v>Thauera</c:v>
                </c:pt>
                <c:pt idx="19">
                  <c:v>Clostridiales_XI_unclassified</c:v>
                </c:pt>
                <c:pt idx="20">
                  <c:v>Ercella</c:v>
                </c:pt>
                <c:pt idx="21">
                  <c:v>Desulfomicrobium</c:v>
                </c:pt>
                <c:pt idx="22">
                  <c:v>Petrimonas</c:v>
                </c:pt>
                <c:pt idx="23">
                  <c:v>Methanoplanus</c:v>
                </c:pt>
              </c:strCache>
            </c:strRef>
          </c:cat>
          <c:val>
            <c:numRef>
              <c:f>'W1 genus'!$J$3:$J$26</c:f>
              <c:numCache>
                <c:formatCode>0.0%</c:formatCode>
                <c:ptCount val="24"/>
                <c:pt idx="0">
                  <c:v>0.68870380010411247</c:v>
                </c:pt>
                <c:pt idx="1">
                  <c:v>0.22618427902134305</c:v>
                </c:pt>
                <c:pt idx="2">
                  <c:v>0</c:v>
                </c:pt>
                <c:pt idx="3">
                  <c:v>0</c:v>
                </c:pt>
                <c:pt idx="4">
                  <c:v>2.5117126496616345E-2</c:v>
                </c:pt>
                <c:pt idx="5">
                  <c:v>6.5070275897969806E-3</c:v>
                </c:pt>
                <c:pt idx="6">
                  <c:v>2.00416449765747E-2</c:v>
                </c:pt>
                <c:pt idx="7">
                  <c:v>0</c:v>
                </c:pt>
                <c:pt idx="8">
                  <c:v>0</c:v>
                </c:pt>
                <c:pt idx="9">
                  <c:v>1.0411244143675169E-3</c:v>
                </c:pt>
                <c:pt idx="10">
                  <c:v>5.8563248308172826E-3</c:v>
                </c:pt>
                <c:pt idx="11">
                  <c:v>4.8152004164497657E-3</c:v>
                </c:pt>
                <c:pt idx="12">
                  <c:v>0</c:v>
                </c:pt>
                <c:pt idx="13">
                  <c:v>7.8084331077563768E-4</c:v>
                </c:pt>
                <c:pt idx="14">
                  <c:v>6.8974492451847995E-3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1.9521082769390942E-3</c:v>
                </c:pt>
                <c:pt idx="19">
                  <c:v>0</c:v>
                </c:pt>
                <c:pt idx="20">
                  <c:v>4.034357105674128E-3</c:v>
                </c:pt>
                <c:pt idx="21">
                  <c:v>0</c:v>
                </c:pt>
                <c:pt idx="22">
                  <c:v>2.0822488287350338E-3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'W1 genus'!$K$2</c:f>
              <c:strCache>
                <c:ptCount val="1"/>
                <c:pt idx="0">
                  <c:v>W1 Spades 16S contigs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'W1 genus'!$G$3:$G$26</c:f>
              <c:strCache>
                <c:ptCount val="24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  <c:pt idx="18">
                  <c:v>Thauera</c:v>
                </c:pt>
                <c:pt idx="19">
                  <c:v>Clostridiales_XI_unclassified</c:v>
                </c:pt>
                <c:pt idx="20">
                  <c:v>Ercella</c:v>
                </c:pt>
                <c:pt idx="21">
                  <c:v>Desulfomicrobium</c:v>
                </c:pt>
                <c:pt idx="22">
                  <c:v>Petrimonas</c:v>
                </c:pt>
                <c:pt idx="23">
                  <c:v>Methanoplanus</c:v>
                </c:pt>
              </c:strCache>
            </c:strRef>
          </c:cat>
          <c:val>
            <c:numRef>
              <c:f>'W1 genus'!$K$3:$K$26</c:f>
              <c:numCache>
                <c:formatCode>0.0%</c:formatCode>
                <c:ptCount val="24"/>
                <c:pt idx="0">
                  <c:v>0.50571174903817695</c:v>
                </c:pt>
                <c:pt idx="1">
                  <c:v>0.12482983131103877</c:v>
                </c:pt>
                <c:pt idx="2">
                  <c:v>8.7303936075762062E-2</c:v>
                </c:pt>
                <c:pt idx="3">
                  <c:v>1.882213672684226E-2</c:v>
                </c:pt>
                <c:pt idx="4">
                  <c:v>8.2864752885469066E-3</c:v>
                </c:pt>
                <c:pt idx="5">
                  <c:v>5.2915063628292396E-2</c:v>
                </c:pt>
                <c:pt idx="6">
                  <c:v>6.6883693400414321E-3</c:v>
                </c:pt>
                <c:pt idx="7">
                  <c:v>5.901154187629476E-2</c:v>
                </c:pt>
                <c:pt idx="8">
                  <c:v>0</c:v>
                </c:pt>
                <c:pt idx="9">
                  <c:v>7.6353950873039363E-3</c:v>
                </c:pt>
                <c:pt idx="10">
                  <c:v>3.6105356614382954E-3</c:v>
                </c:pt>
                <c:pt idx="11">
                  <c:v>9.5294465818289431E-3</c:v>
                </c:pt>
                <c:pt idx="12">
                  <c:v>0</c:v>
                </c:pt>
                <c:pt idx="13">
                  <c:v>2.3853211009174313E-2</c:v>
                </c:pt>
                <c:pt idx="14">
                  <c:v>1.5329979283811778E-2</c:v>
                </c:pt>
                <c:pt idx="15">
                  <c:v>1.5921870375850845E-2</c:v>
                </c:pt>
                <c:pt idx="16">
                  <c:v>1.2192956496004735E-2</c:v>
                </c:pt>
                <c:pt idx="17">
                  <c:v>1.1245930748742231E-2</c:v>
                </c:pt>
                <c:pt idx="18">
                  <c:v>0</c:v>
                </c:pt>
                <c:pt idx="19">
                  <c:v>2.9002663509914177E-3</c:v>
                </c:pt>
                <c:pt idx="20">
                  <c:v>1.4797277300976619E-3</c:v>
                </c:pt>
                <c:pt idx="21">
                  <c:v>1.1423498076353952E-2</c:v>
                </c:pt>
                <c:pt idx="22">
                  <c:v>3.8472920982539215E-3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'W1 genus'!$L$2</c:f>
              <c:strCache>
                <c:ptCount val="1"/>
                <c:pt idx="0">
                  <c:v>W1 MetaPhlAn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'W1 genus'!$G$3:$G$26</c:f>
              <c:strCache>
                <c:ptCount val="24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  <c:pt idx="18">
                  <c:v>Thauera</c:v>
                </c:pt>
                <c:pt idx="19">
                  <c:v>Clostridiales_XI_unclassified</c:v>
                </c:pt>
                <c:pt idx="20">
                  <c:v>Ercella</c:v>
                </c:pt>
                <c:pt idx="21">
                  <c:v>Desulfomicrobium</c:v>
                </c:pt>
                <c:pt idx="22">
                  <c:v>Petrimonas</c:v>
                </c:pt>
                <c:pt idx="23">
                  <c:v>Methanoplanus</c:v>
                </c:pt>
              </c:strCache>
            </c:strRef>
          </c:cat>
          <c:val>
            <c:numRef>
              <c:f>'W1 genus'!$L$3:$L$26</c:f>
              <c:numCache>
                <c:formatCode>0.0%</c:formatCode>
                <c:ptCount val="24"/>
                <c:pt idx="0">
                  <c:v>0</c:v>
                </c:pt>
                <c:pt idx="1">
                  <c:v>0.84633099999999994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7.1995299999999998E-2</c:v>
                </c:pt>
                <c:pt idx="9">
                  <c:v>4.1868600000000006E-2</c:v>
                </c:pt>
                <c:pt idx="10">
                  <c:v>0</c:v>
                </c:pt>
                <c:pt idx="11">
                  <c:v>6.7500000000000001E-5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1.14033E-2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1.23506E-2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84152"/>
        <c:axId val="750085720"/>
      </c:barChart>
      <c:catAx>
        <c:axId val="75008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5720"/>
        <c:crosses val="autoZero"/>
        <c:auto val="1"/>
        <c:lblAlgn val="ctr"/>
        <c:lblOffset val="100"/>
        <c:noMultiLvlLbl val="0"/>
      </c:catAx>
      <c:valAx>
        <c:axId val="75008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'W1 genus'!$H$2</c:f>
              <c:strCache>
                <c:ptCount val="1"/>
                <c:pt idx="0">
                  <c:v>W1 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'W1 genus'!$G$3:$G$20</c:f>
              <c:strCache>
                <c:ptCount val="18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</c:strCache>
            </c:strRef>
          </c:cat>
          <c:val>
            <c:numRef>
              <c:f>'W1 genus'!$H$3:$H$20</c:f>
              <c:numCache>
                <c:formatCode>0.0%</c:formatCode>
                <c:ptCount val="18"/>
                <c:pt idx="0">
                  <c:v>0.63726427189444979</c:v>
                </c:pt>
                <c:pt idx="1">
                  <c:v>2.8858481549686472E-2</c:v>
                </c:pt>
                <c:pt idx="2">
                  <c:v>5.4546726030909813E-2</c:v>
                </c:pt>
                <c:pt idx="3">
                  <c:v>7.7204596843749265E-2</c:v>
                </c:pt>
                <c:pt idx="4">
                  <c:v>3.0140562717079652E-2</c:v>
                </c:pt>
                <c:pt idx="5">
                  <c:v>7.0864122706823006E-3</c:v>
                </c:pt>
                <c:pt idx="6">
                  <c:v>2.1165994545327398E-2</c:v>
                </c:pt>
                <c:pt idx="7">
                  <c:v>1.0722860672742955E-3</c:v>
                </c:pt>
                <c:pt idx="8">
                  <c:v>0</c:v>
                </c:pt>
                <c:pt idx="9">
                  <c:v>3.1236159351033825E-3</c:v>
                </c:pt>
                <c:pt idx="10">
                  <c:v>2.4802442947388051E-2</c:v>
                </c:pt>
                <c:pt idx="11">
                  <c:v>2.1655516445604792E-2</c:v>
                </c:pt>
                <c:pt idx="12">
                  <c:v>2.4056504813632019E-2</c:v>
                </c:pt>
                <c:pt idx="13">
                  <c:v>4.3823865358166856E-3</c:v>
                </c:pt>
                <c:pt idx="14">
                  <c:v>4.7786661693745777E-3</c:v>
                </c:pt>
                <c:pt idx="15">
                  <c:v>3.7063801021002822E-3</c:v>
                </c:pt>
                <c:pt idx="16">
                  <c:v>1.5618079675516912E-3</c:v>
                </c:pt>
                <c:pt idx="17">
                  <c:v>5.1050141028928415E-3</c:v>
                </c:pt>
              </c:numCache>
            </c:numRef>
          </c:val>
        </c:ser>
        <c:ser>
          <c:idx val="1"/>
          <c:order val="1"/>
          <c:tx>
            <c:strRef>
              <c:f>'W1 genus'!$I$2</c:f>
              <c:strCache>
                <c:ptCount val="1"/>
                <c:pt idx="0">
                  <c:v>W1 16S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'W1 genus'!$G$3:$G$20</c:f>
              <c:strCache>
                <c:ptCount val="18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</c:strCache>
            </c:strRef>
          </c:cat>
          <c:val>
            <c:numRef>
              <c:f>'W1 genus'!$I$3:$I$20</c:f>
              <c:numCache>
                <c:formatCode>0.0%</c:formatCode>
                <c:ptCount val="18"/>
                <c:pt idx="0">
                  <c:v>0.69318501039384239</c:v>
                </c:pt>
                <c:pt idx="1">
                  <c:v>0.13910893870442159</c:v>
                </c:pt>
                <c:pt idx="2">
                  <c:v>2.7922917017809988E-2</c:v>
                </c:pt>
                <c:pt idx="3">
                  <c:v>2.3203550761278724E-2</c:v>
                </c:pt>
                <c:pt idx="4">
                  <c:v>1.2697342547334119E-2</c:v>
                </c:pt>
                <c:pt idx="5">
                  <c:v>5.2811955727849877E-3</c:v>
                </c:pt>
                <c:pt idx="6">
                  <c:v>1.6180684308107197E-2</c:v>
                </c:pt>
                <c:pt idx="7">
                  <c:v>1.067475700882072E-3</c:v>
                </c:pt>
                <c:pt idx="8">
                  <c:v>0</c:v>
                </c:pt>
                <c:pt idx="9">
                  <c:v>1.6293050171357942E-3</c:v>
                </c:pt>
                <c:pt idx="10">
                  <c:v>8.9892690600595539E-3</c:v>
                </c:pt>
                <c:pt idx="11">
                  <c:v>1.7360525872240015E-2</c:v>
                </c:pt>
                <c:pt idx="12">
                  <c:v>9.7196471711893922E-3</c:v>
                </c:pt>
                <c:pt idx="13">
                  <c:v>3.7080734872745658E-3</c:v>
                </c:pt>
                <c:pt idx="14">
                  <c:v>4.3260857351536605E-3</c:v>
                </c:pt>
                <c:pt idx="15">
                  <c:v>3.1462441710208441E-3</c:v>
                </c:pt>
                <c:pt idx="16">
                  <c:v>6.629585931793921E-3</c:v>
                </c:pt>
                <c:pt idx="17">
                  <c:v>3.2024271026462161E-3</c:v>
                </c:pt>
              </c:numCache>
            </c:numRef>
          </c:val>
        </c:ser>
        <c:ser>
          <c:idx val="2"/>
          <c:order val="2"/>
          <c:tx>
            <c:strRef>
              <c:f>'W1 genus'!$J$2</c:f>
              <c:strCache>
                <c:ptCount val="1"/>
                <c:pt idx="0">
                  <c:v>W1 Spades contigs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'W1 genus'!$G$3:$G$20</c:f>
              <c:strCache>
                <c:ptCount val="18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</c:strCache>
            </c:strRef>
          </c:cat>
          <c:val>
            <c:numRef>
              <c:f>'W1 genus'!$J$3:$J$20</c:f>
              <c:numCache>
                <c:formatCode>0.0%</c:formatCode>
                <c:ptCount val="18"/>
                <c:pt idx="0">
                  <c:v>0.68870380010411247</c:v>
                </c:pt>
                <c:pt idx="1">
                  <c:v>0.22618427902134305</c:v>
                </c:pt>
                <c:pt idx="2">
                  <c:v>0</c:v>
                </c:pt>
                <c:pt idx="3">
                  <c:v>0</c:v>
                </c:pt>
                <c:pt idx="4">
                  <c:v>2.5117126496616345E-2</c:v>
                </c:pt>
                <c:pt idx="5">
                  <c:v>6.5070275897969806E-3</c:v>
                </c:pt>
                <c:pt idx="6">
                  <c:v>2.00416449765747E-2</c:v>
                </c:pt>
                <c:pt idx="7">
                  <c:v>0</c:v>
                </c:pt>
                <c:pt idx="8">
                  <c:v>0</c:v>
                </c:pt>
                <c:pt idx="9">
                  <c:v>1.0411244143675169E-3</c:v>
                </c:pt>
                <c:pt idx="10">
                  <c:v>5.8563248308172826E-3</c:v>
                </c:pt>
                <c:pt idx="11">
                  <c:v>4.8152004164497657E-3</c:v>
                </c:pt>
                <c:pt idx="12">
                  <c:v>0</c:v>
                </c:pt>
                <c:pt idx="13">
                  <c:v>7.8084331077563768E-4</c:v>
                </c:pt>
                <c:pt idx="14">
                  <c:v>6.8974492451847995E-3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strRef>
              <c:f>'W1 genus'!$K$2</c:f>
              <c:strCache>
                <c:ptCount val="1"/>
                <c:pt idx="0">
                  <c:v>W1 Spades 16S contigs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'W1 genus'!$G$3:$G$20</c:f>
              <c:strCache>
                <c:ptCount val="18"/>
                <c:pt idx="0">
                  <c:v>Desulfuromonas</c:v>
                </c:pt>
                <c:pt idx="1">
                  <c:v>Methanosarcina</c:v>
                </c:pt>
                <c:pt idx="2">
                  <c:v>Sulfurospirillum</c:v>
                </c:pt>
                <c:pt idx="3">
                  <c:v>Methanocalculus</c:v>
                </c:pt>
                <c:pt idx="4">
                  <c:v>Porphyromonadaceae_unclassified</c:v>
                </c:pt>
                <c:pt idx="5">
                  <c:v>(Thiohalocapsa)</c:v>
                </c:pt>
                <c:pt idx="6">
                  <c:v>Ornatilinea</c:v>
                </c:pt>
                <c:pt idx="7">
                  <c:v>Clostridium III</c:v>
                </c:pt>
                <c:pt idx="8">
                  <c:v>Methanosaeta</c:v>
                </c:pt>
                <c:pt idx="9">
                  <c:v>Desulfovibrio</c:v>
                </c:pt>
                <c:pt idx="10">
                  <c:v>(Porphyromonas)</c:v>
                </c:pt>
                <c:pt idx="11">
                  <c:v>Acetobacterium</c:v>
                </c:pt>
                <c:pt idx="12">
                  <c:v>Methanothrix</c:v>
                </c:pt>
                <c:pt idx="13">
                  <c:v>Aminivibrio</c:v>
                </c:pt>
                <c:pt idx="14">
                  <c:v>Aminiphilus</c:v>
                </c:pt>
                <c:pt idx="15">
                  <c:v>Smithella</c:v>
                </c:pt>
                <c:pt idx="16">
                  <c:v>Methanospirillum</c:v>
                </c:pt>
                <c:pt idx="17">
                  <c:v>Syntrophobacter</c:v>
                </c:pt>
              </c:strCache>
            </c:strRef>
          </c:cat>
          <c:val>
            <c:numRef>
              <c:f>'W1 genus'!$K$3:$K$20</c:f>
              <c:numCache>
                <c:formatCode>0.0%</c:formatCode>
                <c:ptCount val="18"/>
                <c:pt idx="0">
                  <c:v>0.50571174903817695</c:v>
                </c:pt>
                <c:pt idx="1">
                  <c:v>0.12482983131103877</c:v>
                </c:pt>
                <c:pt idx="2">
                  <c:v>8.7303936075762062E-2</c:v>
                </c:pt>
                <c:pt idx="3">
                  <c:v>1.882213672684226E-2</c:v>
                </c:pt>
                <c:pt idx="4">
                  <c:v>8.2864752885469066E-3</c:v>
                </c:pt>
                <c:pt idx="5">
                  <c:v>5.2915063628292396E-2</c:v>
                </c:pt>
                <c:pt idx="6">
                  <c:v>6.6883693400414321E-3</c:v>
                </c:pt>
                <c:pt idx="7">
                  <c:v>5.901154187629476E-2</c:v>
                </c:pt>
                <c:pt idx="8">
                  <c:v>0</c:v>
                </c:pt>
                <c:pt idx="9">
                  <c:v>7.6353950873039363E-3</c:v>
                </c:pt>
                <c:pt idx="10">
                  <c:v>3.6105356614382954E-3</c:v>
                </c:pt>
                <c:pt idx="11">
                  <c:v>9.5294465818289431E-3</c:v>
                </c:pt>
                <c:pt idx="12">
                  <c:v>0</c:v>
                </c:pt>
                <c:pt idx="13">
                  <c:v>2.3853211009174313E-2</c:v>
                </c:pt>
                <c:pt idx="14">
                  <c:v>1.5329979283811778E-2</c:v>
                </c:pt>
                <c:pt idx="15">
                  <c:v>1.5921870375850845E-2</c:v>
                </c:pt>
                <c:pt idx="16">
                  <c:v>1.2192956496004735E-2</c:v>
                </c:pt>
                <c:pt idx="17">
                  <c:v>1.1245930748742231E-2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86112"/>
        <c:axId val="750086504"/>
      </c:barChart>
      <c:catAx>
        <c:axId val="7500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6504"/>
        <c:crosses val="autoZero"/>
        <c:auto val="1"/>
        <c:lblAlgn val="ctr"/>
        <c:lblOffset val="100"/>
        <c:noMultiLvlLbl val="0"/>
      </c:catAx>
      <c:valAx>
        <c:axId val="75008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'W2 genus'!$H$2</c:f>
              <c:strCache>
                <c:ptCount val="1"/>
                <c:pt idx="0">
                  <c:v>W2 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genus'!$H$3:$H$23</c:f>
              <c:numCache>
                <c:formatCode>0.0%</c:formatCode>
                <c:ptCount val="21"/>
                <c:pt idx="0">
                  <c:v>0.37194751021117578</c:v>
                </c:pt>
                <c:pt idx="1">
                  <c:v>2.3659511601633789E-2</c:v>
                </c:pt>
                <c:pt idx="2">
                  <c:v>5.8334057530199011E-2</c:v>
                </c:pt>
                <c:pt idx="3">
                  <c:v>1.8010776049361257E-2</c:v>
                </c:pt>
                <c:pt idx="4">
                  <c:v>0.12716172764404277</c:v>
                </c:pt>
                <c:pt idx="5">
                  <c:v>4.0844703224124446E-3</c:v>
                </c:pt>
                <c:pt idx="6">
                  <c:v>2.802641870165986E-3</c:v>
                </c:pt>
                <c:pt idx="7">
                  <c:v>2.6483879377770053E-2</c:v>
                </c:pt>
                <c:pt idx="8">
                  <c:v>6.2418527852611455E-2</c:v>
                </c:pt>
                <c:pt idx="9">
                  <c:v>8.8142000521421737E-2</c:v>
                </c:pt>
                <c:pt idx="10">
                  <c:v>9.3855913791605114E-2</c:v>
                </c:pt>
                <c:pt idx="11">
                  <c:v>5.3554358216737638E-2</c:v>
                </c:pt>
                <c:pt idx="12">
                  <c:v>2.5441035891196662E-2</c:v>
                </c:pt>
                <c:pt idx="13">
                  <c:v>9.5593986269227422E-4</c:v>
                </c:pt>
                <c:pt idx="14">
                  <c:v>0</c:v>
                </c:pt>
                <c:pt idx="15">
                  <c:v>2.6722864343443121E-3</c:v>
                </c:pt>
                <c:pt idx="16">
                  <c:v>5.8442687060050406E-3</c:v>
                </c:pt>
                <c:pt idx="17">
                  <c:v>2.4333014686712434E-3</c:v>
                </c:pt>
                <c:pt idx="18">
                  <c:v>2.4550273746415225E-3</c:v>
                </c:pt>
                <c:pt idx="19">
                  <c:v>2.0205092552359433E-3</c:v>
                </c:pt>
                <c:pt idx="20">
                  <c:v>4.8883288433127659E-3</c:v>
                </c:pt>
              </c:numCache>
            </c:numRef>
          </c:val>
        </c:ser>
        <c:ser>
          <c:idx val="1"/>
          <c:order val="1"/>
          <c:tx>
            <c:strRef>
              <c:f>'W2 genus'!$I$2</c:f>
              <c:strCache>
                <c:ptCount val="1"/>
                <c:pt idx="0">
                  <c:v>W2 16S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genus'!$I$3:$I$23</c:f>
              <c:numCache>
                <c:formatCode>0.0%</c:formatCode>
                <c:ptCount val="21"/>
                <c:pt idx="0">
                  <c:v>0.49798081776880365</c:v>
                </c:pt>
                <c:pt idx="1">
                  <c:v>2.6249369005552751E-2</c:v>
                </c:pt>
                <c:pt idx="2">
                  <c:v>1.5774861181221605E-2</c:v>
                </c:pt>
                <c:pt idx="3">
                  <c:v>3.2874810701665827E-2</c:v>
                </c:pt>
                <c:pt idx="4">
                  <c:v>7.7486118122160524E-2</c:v>
                </c:pt>
                <c:pt idx="5">
                  <c:v>3.3442705704189802E-3</c:v>
                </c:pt>
                <c:pt idx="6">
                  <c:v>5.3697627460878347E-2</c:v>
                </c:pt>
                <c:pt idx="7">
                  <c:v>4.934376577486118E-2</c:v>
                </c:pt>
                <c:pt idx="8">
                  <c:v>3.2117617364967189E-2</c:v>
                </c:pt>
                <c:pt idx="9">
                  <c:v>4.9217566885411408E-2</c:v>
                </c:pt>
                <c:pt idx="10">
                  <c:v>2.3346794548207976E-2</c:v>
                </c:pt>
                <c:pt idx="11">
                  <c:v>7.483594144371529E-2</c:v>
                </c:pt>
                <c:pt idx="12">
                  <c:v>1.9560827864714792E-2</c:v>
                </c:pt>
                <c:pt idx="13">
                  <c:v>1.8929833417465926E-3</c:v>
                </c:pt>
                <c:pt idx="14">
                  <c:v>0</c:v>
                </c:pt>
                <c:pt idx="15">
                  <c:v>7.1933366986370517E-3</c:v>
                </c:pt>
                <c:pt idx="16">
                  <c:v>6.4361433619384151E-3</c:v>
                </c:pt>
                <c:pt idx="17">
                  <c:v>5.3634528016153456E-3</c:v>
                </c:pt>
                <c:pt idx="18">
                  <c:v>7.2564361433619384E-3</c:v>
                </c:pt>
                <c:pt idx="19">
                  <c:v>3.1549722362443212E-3</c:v>
                </c:pt>
                <c:pt idx="20">
                  <c:v>4.0383644623927309E-3</c:v>
                </c:pt>
              </c:numCache>
            </c:numRef>
          </c:val>
        </c:ser>
        <c:ser>
          <c:idx val="2"/>
          <c:order val="2"/>
          <c:tx>
            <c:strRef>
              <c:f>'W2 genus'!$J$2</c:f>
              <c:strCache>
                <c:ptCount val="1"/>
                <c:pt idx="0">
                  <c:v>W2 Spades contigs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genus'!$J$3:$J$23</c:f>
              <c:numCache>
                <c:formatCode>0.0%</c:formatCode>
                <c:ptCount val="21"/>
                <c:pt idx="0">
                  <c:v>0</c:v>
                </c:pt>
                <c:pt idx="1">
                  <c:v>6.7757680160780931E-2</c:v>
                </c:pt>
                <c:pt idx="2">
                  <c:v>0</c:v>
                </c:pt>
                <c:pt idx="3">
                  <c:v>1.6939420040195233E-2</c:v>
                </c:pt>
                <c:pt idx="4">
                  <c:v>0.21992535170829744</c:v>
                </c:pt>
                <c:pt idx="5">
                  <c:v>1.2345679012345678E-2</c:v>
                </c:pt>
                <c:pt idx="6">
                  <c:v>0.16049382716049382</c:v>
                </c:pt>
                <c:pt idx="7">
                  <c:v>0.13867355727820843</c:v>
                </c:pt>
                <c:pt idx="8">
                  <c:v>0.11484352569623887</c:v>
                </c:pt>
                <c:pt idx="9">
                  <c:v>0.12173413723801321</c:v>
                </c:pt>
                <c:pt idx="10">
                  <c:v>7.2638530002871085E-2</c:v>
                </c:pt>
                <c:pt idx="11">
                  <c:v>0</c:v>
                </c:pt>
                <c:pt idx="12">
                  <c:v>3.5027275337352858E-2</c:v>
                </c:pt>
                <c:pt idx="13">
                  <c:v>6.6035027275337353E-3</c:v>
                </c:pt>
                <c:pt idx="14">
                  <c:v>0</c:v>
                </c:pt>
                <c:pt idx="15">
                  <c:v>5.1679586563307496E-3</c:v>
                </c:pt>
                <c:pt idx="16">
                  <c:v>7.4648291702555268E-3</c:v>
                </c:pt>
                <c:pt idx="17">
                  <c:v>1.5216767154751652E-2</c:v>
                </c:pt>
                <c:pt idx="18">
                  <c:v>5.1679586563307496E-3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'W2 genus'!$K$2</c:f>
              <c:strCache>
                <c:ptCount val="1"/>
                <c:pt idx="0">
                  <c:v>W2 Spades 16S contigs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genus'!$K$3:$K$23</c:f>
              <c:numCache>
                <c:formatCode>0.0%</c:formatCode>
                <c:ptCount val="21"/>
                <c:pt idx="0">
                  <c:v>0</c:v>
                </c:pt>
                <c:pt idx="1">
                  <c:v>7.4814391776127934E-2</c:v>
                </c:pt>
                <c:pt idx="2">
                  <c:v>0</c:v>
                </c:pt>
                <c:pt idx="3">
                  <c:v>0</c:v>
                </c:pt>
                <c:pt idx="4">
                  <c:v>0.15476870359794404</c:v>
                </c:pt>
                <c:pt idx="5">
                  <c:v>0.16105082809822957</c:v>
                </c:pt>
                <c:pt idx="6">
                  <c:v>0</c:v>
                </c:pt>
                <c:pt idx="7">
                  <c:v>8.3380925185608218E-2</c:v>
                </c:pt>
                <c:pt idx="8">
                  <c:v>0.12364363221016562</c:v>
                </c:pt>
                <c:pt idx="9">
                  <c:v>0.10222729868646488</c:v>
                </c:pt>
                <c:pt idx="10">
                  <c:v>7.5099942889777269E-2</c:v>
                </c:pt>
                <c:pt idx="11">
                  <c:v>0</c:v>
                </c:pt>
                <c:pt idx="12">
                  <c:v>6.5391205025699603E-2</c:v>
                </c:pt>
                <c:pt idx="13">
                  <c:v>6.3106796116504854E-2</c:v>
                </c:pt>
                <c:pt idx="14">
                  <c:v>0</c:v>
                </c:pt>
                <c:pt idx="15">
                  <c:v>4.1976013706453458E-2</c:v>
                </c:pt>
                <c:pt idx="16">
                  <c:v>1.8560822387207309E-2</c:v>
                </c:pt>
                <c:pt idx="17">
                  <c:v>1.770416904625928E-2</c:v>
                </c:pt>
                <c:pt idx="18">
                  <c:v>1.2564249000571102E-2</c:v>
                </c:pt>
                <c:pt idx="19">
                  <c:v>5.7110222729868645E-3</c:v>
                </c:pt>
                <c:pt idx="20">
                  <c:v>0</c:v>
                </c:pt>
              </c:numCache>
            </c:numRef>
          </c:val>
        </c:ser>
        <c:ser>
          <c:idx val="4"/>
          <c:order val="4"/>
          <c:tx>
            <c:strRef>
              <c:f>'W2 genus'!$L$2</c:f>
              <c:strCache>
                <c:ptCount val="1"/>
                <c:pt idx="0">
                  <c:v>W2 MetaPhlAn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genus'!$L$3:$L$23</c:f>
              <c:numCache>
                <c:formatCode>0.0%</c:formatCode>
                <c:ptCount val="21"/>
                <c:pt idx="0">
                  <c:v>0</c:v>
                </c:pt>
                <c:pt idx="1">
                  <c:v>0.4185024</c:v>
                </c:pt>
                <c:pt idx="2">
                  <c:v>0.30608109999999999</c:v>
                </c:pt>
                <c:pt idx="3">
                  <c:v>0.22408349999999999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6.1599999999999993E-5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5.0814899999999996E-2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87288"/>
        <c:axId val="750084936"/>
      </c:barChart>
      <c:catAx>
        <c:axId val="75008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4936"/>
        <c:crosses val="autoZero"/>
        <c:auto val="1"/>
        <c:lblAlgn val="ctr"/>
        <c:lblOffset val="100"/>
        <c:noMultiLvlLbl val="0"/>
      </c:catAx>
      <c:valAx>
        <c:axId val="75008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'W2 genus'!$H$2</c:f>
              <c:strCache>
                <c:ptCount val="1"/>
                <c:pt idx="0">
                  <c:v>W2 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genus'!$H$3:$H$23</c:f>
              <c:numCache>
                <c:formatCode>0.0%</c:formatCode>
                <c:ptCount val="21"/>
                <c:pt idx="0">
                  <c:v>0.37194751021117578</c:v>
                </c:pt>
                <c:pt idx="1">
                  <c:v>2.3659511601633789E-2</c:v>
                </c:pt>
                <c:pt idx="2">
                  <c:v>5.8334057530199011E-2</c:v>
                </c:pt>
                <c:pt idx="3">
                  <c:v>1.8010776049361257E-2</c:v>
                </c:pt>
                <c:pt idx="4">
                  <c:v>0.12716172764404277</c:v>
                </c:pt>
                <c:pt idx="5">
                  <c:v>4.0844703224124446E-3</c:v>
                </c:pt>
                <c:pt idx="6">
                  <c:v>2.802641870165986E-3</c:v>
                </c:pt>
                <c:pt idx="7">
                  <c:v>2.6483879377770053E-2</c:v>
                </c:pt>
                <c:pt idx="8">
                  <c:v>6.2418527852611455E-2</c:v>
                </c:pt>
                <c:pt idx="9">
                  <c:v>8.8142000521421737E-2</c:v>
                </c:pt>
                <c:pt idx="10">
                  <c:v>9.3855913791605114E-2</c:v>
                </c:pt>
                <c:pt idx="11">
                  <c:v>5.3554358216737638E-2</c:v>
                </c:pt>
                <c:pt idx="12">
                  <c:v>2.5441035891196662E-2</c:v>
                </c:pt>
                <c:pt idx="13">
                  <c:v>9.5593986269227422E-4</c:v>
                </c:pt>
                <c:pt idx="14">
                  <c:v>0</c:v>
                </c:pt>
                <c:pt idx="15">
                  <c:v>2.6722864343443121E-3</c:v>
                </c:pt>
                <c:pt idx="16">
                  <c:v>5.8442687060050406E-3</c:v>
                </c:pt>
                <c:pt idx="17">
                  <c:v>2.4333014686712434E-3</c:v>
                </c:pt>
                <c:pt idx="18">
                  <c:v>2.4550273746415225E-3</c:v>
                </c:pt>
                <c:pt idx="19">
                  <c:v>2.0205092552359433E-3</c:v>
                </c:pt>
                <c:pt idx="20">
                  <c:v>4.8883288433127659E-3</c:v>
                </c:pt>
              </c:numCache>
            </c:numRef>
          </c:val>
        </c:ser>
        <c:ser>
          <c:idx val="1"/>
          <c:order val="1"/>
          <c:tx>
            <c:strRef>
              <c:f>'W2 genus'!$I$2</c:f>
              <c:strCache>
                <c:ptCount val="1"/>
                <c:pt idx="0">
                  <c:v>W2 16S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genus'!$I$3:$I$23</c:f>
              <c:numCache>
                <c:formatCode>0.0%</c:formatCode>
                <c:ptCount val="21"/>
                <c:pt idx="0">
                  <c:v>0.49798081776880365</c:v>
                </c:pt>
                <c:pt idx="1">
                  <c:v>2.6249369005552751E-2</c:v>
                </c:pt>
                <c:pt idx="2">
                  <c:v>1.5774861181221605E-2</c:v>
                </c:pt>
                <c:pt idx="3">
                  <c:v>3.2874810701665827E-2</c:v>
                </c:pt>
                <c:pt idx="4">
                  <c:v>7.7486118122160524E-2</c:v>
                </c:pt>
                <c:pt idx="5">
                  <c:v>3.3442705704189802E-3</c:v>
                </c:pt>
                <c:pt idx="6">
                  <c:v>5.3697627460878347E-2</c:v>
                </c:pt>
                <c:pt idx="7">
                  <c:v>4.934376577486118E-2</c:v>
                </c:pt>
                <c:pt idx="8">
                  <c:v>3.2117617364967189E-2</c:v>
                </c:pt>
                <c:pt idx="9">
                  <c:v>4.9217566885411408E-2</c:v>
                </c:pt>
                <c:pt idx="10">
                  <c:v>2.3346794548207976E-2</c:v>
                </c:pt>
                <c:pt idx="11">
                  <c:v>7.483594144371529E-2</c:v>
                </c:pt>
                <c:pt idx="12">
                  <c:v>1.9560827864714792E-2</c:v>
                </c:pt>
                <c:pt idx="13">
                  <c:v>1.8929833417465926E-3</c:v>
                </c:pt>
                <c:pt idx="14">
                  <c:v>0</c:v>
                </c:pt>
                <c:pt idx="15">
                  <c:v>7.1933366986370517E-3</c:v>
                </c:pt>
                <c:pt idx="16">
                  <c:v>6.4361433619384151E-3</c:v>
                </c:pt>
                <c:pt idx="17">
                  <c:v>5.3634528016153456E-3</c:v>
                </c:pt>
                <c:pt idx="18">
                  <c:v>7.2564361433619384E-3</c:v>
                </c:pt>
                <c:pt idx="19">
                  <c:v>3.1549722362443212E-3</c:v>
                </c:pt>
                <c:pt idx="20">
                  <c:v>4.0383644623927309E-3</c:v>
                </c:pt>
              </c:numCache>
            </c:numRef>
          </c:val>
        </c:ser>
        <c:ser>
          <c:idx val="2"/>
          <c:order val="2"/>
          <c:tx>
            <c:strRef>
              <c:f>'W2 genus'!$J$2</c:f>
              <c:strCache>
                <c:ptCount val="1"/>
                <c:pt idx="0">
                  <c:v>W2 Spades contigs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genus'!$J$3:$J$23</c:f>
              <c:numCache>
                <c:formatCode>0.0%</c:formatCode>
                <c:ptCount val="21"/>
                <c:pt idx="0">
                  <c:v>0</c:v>
                </c:pt>
                <c:pt idx="1">
                  <c:v>6.7757680160780931E-2</c:v>
                </c:pt>
                <c:pt idx="2">
                  <c:v>0</c:v>
                </c:pt>
                <c:pt idx="3">
                  <c:v>1.6939420040195233E-2</c:v>
                </c:pt>
                <c:pt idx="4">
                  <c:v>0.21992535170829744</c:v>
                </c:pt>
                <c:pt idx="5">
                  <c:v>1.2345679012345678E-2</c:v>
                </c:pt>
                <c:pt idx="6">
                  <c:v>0.16049382716049382</c:v>
                </c:pt>
                <c:pt idx="7">
                  <c:v>0.13867355727820843</c:v>
                </c:pt>
                <c:pt idx="8">
                  <c:v>0.11484352569623887</c:v>
                </c:pt>
                <c:pt idx="9">
                  <c:v>0.12173413723801321</c:v>
                </c:pt>
                <c:pt idx="10">
                  <c:v>7.2638530002871085E-2</c:v>
                </c:pt>
                <c:pt idx="11">
                  <c:v>0</c:v>
                </c:pt>
                <c:pt idx="12">
                  <c:v>3.5027275337352858E-2</c:v>
                </c:pt>
                <c:pt idx="13">
                  <c:v>6.6035027275337353E-3</c:v>
                </c:pt>
                <c:pt idx="14">
                  <c:v>0</c:v>
                </c:pt>
                <c:pt idx="15">
                  <c:v>5.1679586563307496E-3</c:v>
                </c:pt>
                <c:pt idx="16">
                  <c:v>7.4648291702555268E-3</c:v>
                </c:pt>
                <c:pt idx="17">
                  <c:v>1.5216767154751652E-2</c:v>
                </c:pt>
                <c:pt idx="18">
                  <c:v>5.1679586563307496E-3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'W2 genus'!$K$2</c:f>
              <c:strCache>
                <c:ptCount val="1"/>
                <c:pt idx="0">
                  <c:v>W2 Spades 16S contigs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'W2 genus'!$G$3:$G$23</c:f>
              <c:strCache>
                <c:ptCount val="21"/>
                <c:pt idx="0">
                  <c:v>(Thermodesulfovibrio)</c:v>
                </c:pt>
                <c:pt idx="1">
                  <c:v>Ignavibacterium</c:v>
                </c:pt>
                <c:pt idx="2">
                  <c:v>Methanothermobacter</c:v>
                </c:pt>
                <c:pt idx="3">
                  <c:v>Thermodesulfovibrio</c:v>
                </c:pt>
                <c:pt idx="4">
                  <c:v>(Cytophaga)</c:v>
                </c:pt>
                <c:pt idx="5">
                  <c:v>Pelotomaculum</c:v>
                </c:pt>
                <c:pt idx="6">
                  <c:v>(Moorella)</c:v>
                </c:pt>
                <c:pt idx="7">
                  <c:v>Bacteria_unclassified</c:v>
                </c:pt>
                <c:pt idx="8">
                  <c:v>Thermoanaerobacteraceae_unclassified</c:v>
                </c:pt>
                <c:pt idx="9">
                  <c:v>(Desulfosporosinus)</c:v>
                </c:pt>
                <c:pt idx="10">
                  <c:v>Methanobacterium</c:v>
                </c:pt>
                <c:pt idx="11">
                  <c:v>(Desulfotomaculum)</c:v>
                </c:pt>
                <c:pt idx="12">
                  <c:v>Spirochaetaceae_unclassified</c:v>
                </c:pt>
                <c:pt idx="13">
                  <c:v>(uncultured bacteria)</c:v>
                </c:pt>
                <c:pt idx="14">
                  <c:v>Candidatus_Desulforudis</c:v>
                </c:pt>
                <c:pt idx="15">
                  <c:v>Dethiobacter</c:v>
                </c:pt>
                <c:pt idx="16">
                  <c:v>(Pontibacter)</c:v>
                </c:pt>
                <c:pt idx="17">
                  <c:v>Prolixibacteraceae_unclassified</c:v>
                </c:pt>
                <c:pt idx="18">
                  <c:v>Anaerolineaceae_unclassified</c:v>
                </c:pt>
                <c:pt idx="19">
                  <c:v>Bellilinea</c:v>
                </c:pt>
                <c:pt idx="20">
                  <c:v>Smithella</c:v>
                </c:pt>
              </c:strCache>
            </c:strRef>
          </c:cat>
          <c:val>
            <c:numRef>
              <c:f>'W2 genus'!$K$3:$K$23</c:f>
              <c:numCache>
                <c:formatCode>0.0%</c:formatCode>
                <c:ptCount val="21"/>
                <c:pt idx="0">
                  <c:v>0</c:v>
                </c:pt>
                <c:pt idx="1">
                  <c:v>7.4814391776127934E-2</c:v>
                </c:pt>
                <c:pt idx="2">
                  <c:v>0</c:v>
                </c:pt>
                <c:pt idx="3">
                  <c:v>0</c:v>
                </c:pt>
                <c:pt idx="4">
                  <c:v>0.15476870359794404</c:v>
                </c:pt>
                <c:pt idx="5">
                  <c:v>0.16105082809822957</c:v>
                </c:pt>
                <c:pt idx="6">
                  <c:v>0</c:v>
                </c:pt>
                <c:pt idx="7">
                  <c:v>8.3380925185608218E-2</c:v>
                </c:pt>
                <c:pt idx="8">
                  <c:v>0.12364363221016562</c:v>
                </c:pt>
                <c:pt idx="9">
                  <c:v>0.10222729868646488</c:v>
                </c:pt>
                <c:pt idx="10">
                  <c:v>7.5099942889777269E-2</c:v>
                </c:pt>
                <c:pt idx="11">
                  <c:v>0</c:v>
                </c:pt>
                <c:pt idx="12">
                  <c:v>6.5391205025699603E-2</c:v>
                </c:pt>
                <c:pt idx="13">
                  <c:v>6.3106796116504854E-2</c:v>
                </c:pt>
                <c:pt idx="14">
                  <c:v>0</c:v>
                </c:pt>
                <c:pt idx="15">
                  <c:v>4.1976013706453458E-2</c:v>
                </c:pt>
                <c:pt idx="16">
                  <c:v>1.8560822387207309E-2</c:v>
                </c:pt>
                <c:pt idx="17">
                  <c:v>1.770416904625928E-2</c:v>
                </c:pt>
                <c:pt idx="18">
                  <c:v>1.2564249000571102E-2</c:v>
                </c:pt>
                <c:pt idx="19">
                  <c:v>5.7110222729868645E-3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91600"/>
        <c:axId val="750089248"/>
      </c:barChart>
      <c:catAx>
        <c:axId val="75009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9248"/>
        <c:crosses val="autoZero"/>
        <c:auto val="1"/>
        <c:lblAlgn val="ctr"/>
        <c:lblOffset val="100"/>
        <c:noMultiLvlLbl val="0"/>
      </c:catAx>
      <c:valAx>
        <c:axId val="75008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9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Top 98% of OTUs (adjusted)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'AESS summary'!$P$12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summary'!$Q$12:$S$12</c:f>
              <c:numCache>
                <c:formatCode>General</c:formatCode>
                <c:ptCount val="3"/>
                <c:pt idx="0">
                  <c:v>32</c:v>
                </c:pt>
                <c:pt idx="1">
                  <c:v>24</c:v>
                </c:pt>
                <c:pt idx="2">
                  <c:v>39</c:v>
                </c:pt>
              </c:numCache>
            </c:numRef>
          </c:val>
        </c:ser>
        <c:ser>
          <c:idx val="1"/>
          <c:order val="1"/>
          <c:tx>
            <c:strRef>
              <c:f>'AESS summary'!$P$13</c:f>
              <c:strCache>
                <c:ptCount val="1"/>
                <c:pt idx="0">
                  <c:v>Kelpie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summary'!$Q$13:$S$13</c:f>
              <c:numCache>
                <c:formatCode>General</c:formatCode>
                <c:ptCount val="3"/>
                <c:pt idx="0">
                  <c:v>32</c:v>
                </c:pt>
                <c:pt idx="1">
                  <c:v>24</c:v>
                </c:pt>
                <c:pt idx="2">
                  <c:v>39</c:v>
                </c:pt>
              </c:numCache>
            </c:numRef>
          </c:val>
        </c:ser>
        <c:ser>
          <c:idx val="2"/>
          <c:order val="2"/>
          <c:tx>
            <c:strRef>
              <c:f>'AESS summary'!$P$14</c:f>
              <c:strCache>
                <c:ptCount val="1"/>
                <c:pt idx="0">
                  <c:v>Spades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summary'!$Q$14:$S$14</c:f>
              <c:numCache>
                <c:formatCode>General</c:formatCode>
                <c:ptCount val="3"/>
                <c:pt idx="0">
                  <c:v>16</c:v>
                </c:pt>
                <c:pt idx="1">
                  <c:v>14</c:v>
                </c:pt>
                <c:pt idx="2">
                  <c:v>24</c:v>
                </c:pt>
              </c:numCache>
            </c:numRef>
          </c:val>
        </c:ser>
        <c:ser>
          <c:idx val="3"/>
          <c:order val="3"/>
          <c:tx>
            <c:strRef>
              <c:f>'AESS summary'!$P$15</c:f>
              <c:strCache>
                <c:ptCount val="1"/>
                <c:pt idx="0">
                  <c:v>Spades 16S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'AESS summary'!$Q$3:$S$3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summary'!$Q$15:$S$15</c:f>
              <c:numCache>
                <c:formatCode>General</c:formatCode>
                <c:ptCount val="3"/>
                <c:pt idx="0">
                  <c:v>24</c:v>
                </c:pt>
                <c:pt idx="1">
                  <c:v>14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679825992"/>
        <c:axId val="520046592"/>
      </c:barChart>
      <c:catAx>
        <c:axId val="67982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046592"/>
        <c:crosses val="autoZero"/>
        <c:auto val="1"/>
        <c:lblAlgn val="ctr"/>
        <c:lblOffset val="100"/>
        <c:noMultiLvlLbl val="0"/>
      </c:catAx>
      <c:valAx>
        <c:axId val="52004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825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'W3 genus'!$H$2</c:f>
              <c:strCache>
                <c:ptCount val="1"/>
                <c:pt idx="0">
                  <c:v>W3 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'W3 genus'!$G$3:$G$32</c:f>
              <c:strCache>
                <c:ptCount val="30"/>
                <c:pt idx="0">
                  <c:v>Methanobacterium</c:v>
                </c:pt>
                <c:pt idx="1">
                  <c:v>Methanosaeta</c:v>
                </c:pt>
                <c:pt idx="2">
                  <c:v>Desulfovibrio</c:v>
                </c:pt>
                <c:pt idx="3">
                  <c:v>Spirochaetaceae_unclassified</c:v>
                </c:pt>
                <c:pt idx="4">
                  <c:v>Veillonellaceae_unclassified</c:v>
                </c:pt>
                <c:pt idx="5">
                  <c:v>Porphyromonadaceae_unclassified</c:v>
                </c:pt>
                <c:pt idx="6">
                  <c:v>(Dethiobacter)</c:v>
                </c:pt>
                <c:pt idx="7">
                  <c:v>Aminiphilus</c:v>
                </c:pt>
                <c:pt idx="8">
                  <c:v>Methanothrix</c:v>
                </c:pt>
                <c:pt idx="9">
                  <c:v>(Thermacetogenium)</c:v>
                </c:pt>
                <c:pt idx="10">
                  <c:v>(Caldicoprobacter)</c:v>
                </c:pt>
                <c:pt idx="11">
                  <c:v>Sporomusa</c:v>
                </c:pt>
                <c:pt idx="12">
                  <c:v>Pseudomonas</c:v>
                </c:pt>
                <c:pt idx="13">
                  <c:v>Desulfitibacter</c:v>
                </c:pt>
                <c:pt idx="14">
                  <c:v>Desulfuromonas</c:v>
                </c:pt>
                <c:pt idx="15">
                  <c:v>Anaerorhabdus</c:v>
                </c:pt>
                <c:pt idx="16">
                  <c:v>Natronincola</c:v>
                </c:pt>
                <c:pt idx="17">
                  <c:v>(Clostridium)</c:v>
                </c:pt>
                <c:pt idx="18">
                  <c:v>Methanosarcina</c:v>
                </c:pt>
                <c:pt idx="19">
                  <c:v>Dethiobacter</c:v>
                </c:pt>
                <c:pt idx="20">
                  <c:v>Rhodospirillaceae_unclassified</c:v>
                </c:pt>
                <c:pt idx="21">
                  <c:v>Syntrophomonas</c:v>
                </c:pt>
                <c:pt idx="22">
                  <c:v>Syntrophobacter</c:v>
                </c:pt>
                <c:pt idx="23">
                  <c:v>(Porphyromonas)</c:v>
                </c:pt>
                <c:pt idx="24">
                  <c:v>Prolixibacteraceae_unclassified</c:v>
                </c:pt>
                <c:pt idx="25">
                  <c:v>Clostridium sensu stricto</c:v>
                </c:pt>
                <c:pt idx="26">
                  <c:v>Smithella</c:v>
                </c:pt>
                <c:pt idx="27">
                  <c:v>Acetobacterium</c:v>
                </c:pt>
                <c:pt idx="28">
                  <c:v>Desulfitobacterium</c:v>
                </c:pt>
                <c:pt idx="29">
                  <c:v>Tepidanaerobacter</c:v>
                </c:pt>
              </c:strCache>
            </c:strRef>
          </c:cat>
          <c:val>
            <c:numRef>
              <c:f>'W3 genus'!$H$3:$H$32</c:f>
              <c:numCache>
                <c:formatCode>0.0%</c:formatCode>
                <c:ptCount val="30"/>
                <c:pt idx="0">
                  <c:v>0.23971110856356759</c:v>
                </c:pt>
                <c:pt idx="1">
                  <c:v>0</c:v>
                </c:pt>
                <c:pt idx="2">
                  <c:v>3.6971225495815663E-2</c:v>
                </c:pt>
                <c:pt idx="3">
                  <c:v>0.17069815430471169</c:v>
                </c:pt>
                <c:pt idx="4">
                  <c:v>1.6078184110970995E-2</c:v>
                </c:pt>
                <c:pt idx="5">
                  <c:v>0.1165883297030838</c:v>
                </c:pt>
                <c:pt idx="6">
                  <c:v>7.164966181359624E-4</c:v>
                </c:pt>
                <c:pt idx="7">
                  <c:v>8.5979594176315488E-5</c:v>
                </c:pt>
                <c:pt idx="8">
                  <c:v>9.5494669265161064E-2</c:v>
                </c:pt>
                <c:pt idx="9">
                  <c:v>9.4147655623065457E-2</c:v>
                </c:pt>
                <c:pt idx="10">
                  <c:v>1.3670755474034162E-2</c:v>
                </c:pt>
                <c:pt idx="11">
                  <c:v>8.7699186059841793E-3</c:v>
                </c:pt>
                <c:pt idx="12">
                  <c:v>4.0983606557377051E-3</c:v>
                </c:pt>
                <c:pt idx="13">
                  <c:v>5.5600137567350686E-3</c:v>
                </c:pt>
                <c:pt idx="14">
                  <c:v>4.4537429783331424E-2</c:v>
                </c:pt>
                <c:pt idx="15">
                  <c:v>9.1711567121403187E-4</c:v>
                </c:pt>
                <c:pt idx="16">
                  <c:v>3.7057205089991975E-2</c:v>
                </c:pt>
                <c:pt idx="17">
                  <c:v>3.2271007680843747E-2</c:v>
                </c:pt>
                <c:pt idx="18">
                  <c:v>1.5476326951736788E-3</c:v>
                </c:pt>
                <c:pt idx="19">
                  <c:v>4.2130001146394591E-3</c:v>
                </c:pt>
                <c:pt idx="20">
                  <c:v>8.3113607703771634E-3</c:v>
                </c:pt>
                <c:pt idx="21">
                  <c:v>2.1494898544078874E-3</c:v>
                </c:pt>
                <c:pt idx="22">
                  <c:v>7.2796056402613784E-3</c:v>
                </c:pt>
                <c:pt idx="23">
                  <c:v>1.1291986701822767E-2</c:v>
                </c:pt>
                <c:pt idx="24">
                  <c:v>3.4391837670526195E-3</c:v>
                </c:pt>
                <c:pt idx="25">
                  <c:v>2.0061905307806947E-3</c:v>
                </c:pt>
                <c:pt idx="26">
                  <c:v>3.2385647139745503E-3</c:v>
                </c:pt>
                <c:pt idx="27">
                  <c:v>4.3849593029920897E-3</c:v>
                </c:pt>
                <c:pt idx="28">
                  <c:v>4.1843402499140208E-3</c:v>
                </c:pt>
                <c:pt idx="29">
                  <c:v>9.1711567121403187E-4</c:v>
                </c:pt>
              </c:numCache>
            </c:numRef>
          </c:val>
        </c:ser>
        <c:ser>
          <c:idx val="1"/>
          <c:order val="1"/>
          <c:tx>
            <c:strRef>
              <c:f>'W3 genus'!$I$2</c:f>
              <c:strCache>
                <c:ptCount val="1"/>
                <c:pt idx="0">
                  <c:v>W3 16S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'W3 genus'!$G$3:$G$32</c:f>
              <c:strCache>
                <c:ptCount val="30"/>
                <c:pt idx="0">
                  <c:v>Methanobacterium</c:v>
                </c:pt>
                <c:pt idx="1">
                  <c:v>Methanosaeta</c:v>
                </c:pt>
                <c:pt idx="2">
                  <c:v>Desulfovibrio</c:v>
                </c:pt>
                <c:pt idx="3">
                  <c:v>Spirochaetaceae_unclassified</c:v>
                </c:pt>
                <c:pt idx="4">
                  <c:v>Veillonellaceae_unclassified</c:v>
                </c:pt>
                <c:pt idx="5">
                  <c:v>Porphyromonadaceae_unclassified</c:v>
                </c:pt>
                <c:pt idx="6">
                  <c:v>(Dethiobacter)</c:v>
                </c:pt>
                <c:pt idx="7">
                  <c:v>Aminiphilus</c:v>
                </c:pt>
                <c:pt idx="8">
                  <c:v>Methanothrix</c:v>
                </c:pt>
                <c:pt idx="9">
                  <c:v>(Thermacetogenium)</c:v>
                </c:pt>
                <c:pt idx="10">
                  <c:v>(Caldicoprobacter)</c:v>
                </c:pt>
                <c:pt idx="11">
                  <c:v>Sporomusa</c:v>
                </c:pt>
                <c:pt idx="12">
                  <c:v>Pseudomonas</c:v>
                </c:pt>
                <c:pt idx="13">
                  <c:v>Desulfitibacter</c:v>
                </c:pt>
                <c:pt idx="14">
                  <c:v>Desulfuromonas</c:v>
                </c:pt>
                <c:pt idx="15">
                  <c:v>Anaerorhabdus</c:v>
                </c:pt>
                <c:pt idx="16">
                  <c:v>Natronincola</c:v>
                </c:pt>
                <c:pt idx="17">
                  <c:v>(Clostridium)</c:v>
                </c:pt>
                <c:pt idx="18">
                  <c:v>Methanosarcina</c:v>
                </c:pt>
                <c:pt idx="19">
                  <c:v>Dethiobacter</c:v>
                </c:pt>
                <c:pt idx="20">
                  <c:v>Rhodospirillaceae_unclassified</c:v>
                </c:pt>
                <c:pt idx="21">
                  <c:v>Syntrophomonas</c:v>
                </c:pt>
                <c:pt idx="22">
                  <c:v>Syntrophobacter</c:v>
                </c:pt>
                <c:pt idx="23">
                  <c:v>(Porphyromonas)</c:v>
                </c:pt>
                <c:pt idx="24">
                  <c:v>Prolixibacteraceae_unclassified</c:v>
                </c:pt>
                <c:pt idx="25">
                  <c:v>Clostridium sensu stricto</c:v>
                </c:pt>
                <c:pt idx="26">
                  <c:v>Smithella</c:v>
                </c:pt>
                <c:pt idx="27">
                  <c:v>Acetobacterium</c:v>
                </c:pt>
                <c:pt idx="28">
                  <c:v>Desulfitobacterium</c:v>
                </c:pt>
                <c:pt idx="29">
                  <c:v>Tepidanaerobacter</c:v>
                </c:pt>
              </c:strCache>
            </c:strRef>
          </c:cat>
          <c:val>
            <c:numRef>
              <c:f>'W3 genus'!$I$3:$I$32</c:f>
              <c:numCache>
                <c:formatCode>0.0%</c:formatCode>
                <c:ptCount val="30"/>
                <c:pt idx="0">
                  <c:v>0.11890875789270738</c:v>
                </c:pt>
                <c:pt idx="1">
                  <c:v>0</c:v>
                </c:pt>
                <c:pt idx="2">
                  <c:v>3.7547597242974885E-2</c:v>
                </c:pt>
                <c:pt idx="3">
                  <c:v>0.14922639417747144</c:v>
                </c:pt>
                <c:pt idx="4">
                  <c:v>0.15091338506772065</c:v>
                </c:pt>
                <c:pt idx="5">
                  <c:v>0.12676531546729647</c:v>
                </c:pt>
                <c:pt idx="6">
                  <c:v>9.1579505470670462E-4</c:v>
                </c:pt>
                <c:pt idx="7">
                  <c:v>0</c:v>
                </c:pt>
                <c:pt idx="8">
                  <c:v>8.468694269050947E-2</c:v>
                </c:pt>
                <c:pt idx="9">
                  <c:v>8.2903552320817461E-2</c:v>
                </c:pt>
                <c:pt idx="10">
                  <c:v>1.5954113847785223E-2</c:v>
                </c:pt>
                <c:pt idx="11">
                  <c:v>1.0025545862052345E-2</c:v>
                </c:pt>
                <c:pt idx="12">
                  <c:v>6.1213669446184994E-3</c:v>
                </c:pt>
                <c:pt idx="13">
                  <c:v>2.8437846435629245E-3</c:v>
                </c:pt>
                <c:pt idx="14">
                  <c:v>4.5259555598399767E-2</c:v>
                </c:pt>
                <c:pt idx="15">
                  <c:v>7.9047573143105031E-3</c:v>
                </c:pt>
                <c:pt idx="16">
                  <c:v>3.6680001927989592E-2</c:v>
                </c:pt>
                <c:pt idx="17">
                  <c:v>3.2872222489998555E-2</c:v>
                </c:pt>
                <c:pt idx="18">
                  <c:v>1.0652142478430616E-2</c:v>
                </c:pt>
                <c:pt idx="19">
                  <c:v>1.8797898491348147E-3</c:v>
                </c:pt>
                <c:pt idx="20">
                  <c:v>1.4508121656143057E-2</c:v>
                </c:pt>
                <c:pt idx="21">
                  <c:v>2.9401841230057356E-3</c:v>
                </c:pt>
                <c:pt idx="22">
                  <c:v>6.6997638212753655E-3</c:v>
                </c:pt>
                <c:pt idx="23">
                  <c:v>6.2659661637827152E-3</c:v>
                </c:pt>
                <c:pt idx="24">
                  <c:v>9.1579505470670459E-3</c:v>
                </c:pt>
                <c:pt idx="25">
                  <c:v>4.0487781365980621E-3</c:v>
                </c:pt>
                <c:pt idx="26">
                  <c:v>1.9761893285776258E-3</c:v>
                </c:pt>
                <c:pt idx="27">
                  <c:v>5.8803682460114711E-3</c:v>
                </c:pt>
                <c:pt idx="28">
                  <c:v>5.7839687665686606E-3</c:v>
                </c:pt>
                <c:pt idx="29">
                  <c:v>1.8797898491348147E-3</c:v>
                </c:pt>
              </c:numCache>
            </c:numRef>
          </c:val>
        </c:ser>
        <c:ser>
          <c:idx val="2"/>
          <c:order val="2"/>
          <c:tx>
            <c:strRef>
              <c:f>'W3 genus'!$J$2</c:f>
              <c:strCache>
                <c:ptCount val="1"/>
                <c:pt idx="0">
                  <c:v>W3 Spades contigs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'W3 genus'!$G$3:$G$32</c:f>
              <c:strCache>
                <c:ptCount val="30"/>
                <c:pt idx="0">
                  <c:v>Methanobacterium</c:v>
                </c:pt>
                <c:pt idx="1">
                  <c:v>Methanosaeta</c:v>
                </c:pt>
                <c:pt idx="2">
                  <c:v>Desulfovibrio</c:v>
                </c:pt>
                <c:pt idx="3">
                  <c:v>Spirochaetaceae_unclassified</c:v>
                </c:pt>
                <c:pt idx="4">
                  <c:v>Veillonellaceae_unclassified</c:v>
                </c:pt>
                <c:pt idx="5">
                  <c:v>Porphyromonadaceae_unclassified</c:v>
                </c:pt>
                <c:pt idx="6">
                  <c:v>(Dethiobacter)</c:v>
                </c:pt>
                <c:pt idx="7">
                  <c:v>Aminiphilus</c:v>
                </c:pt>
                <c:pt idx="8">
                  <c:v>Methanothrix</c:v>
                </c:pt>
                <c:pt idx="9">
                  <c:v>(Thermacetogenium)</c:v>
                </c:pt>
                <c:pt idx="10">
                  <c:v>(Caldicoprobacter)</c:v>
                </c:pt>
                <c:pt idx="11">
                  <c:v>Sporomusa</c:v>
                </c:pt>
                <c:pt idx="12">
                  <c:v>Pseudomonas</c:v>
                </c:pt>
                <c:pt idx="13">
                  <c:v>Desulfitibacter</c:v>
                </c:pt>
                <c:pt idx="14">
                  <c:v>Desulfuromonas</c:v>
                </c:pt>
                <c:pt idx="15">
                  <c:v>Anaerorhabdus</c:v>
                </c:pt>
                <c:pt idx="16">
                  <c:v>Natronincola</c:v>
                </c:pt>
                <c:pt idx="17">
                  <c:v>(Clostridium)</c:v>
                </c:pt>
                <c:pt idx="18">
                  <c:v>Methanosarcina</c:v>
                </c:pt>
                <c:pt idx="19">
                  <c:v>Dethiobacter</c:v>
                </c:pt>
                <c:pt idx="20">
                  <c:v>Rhodospirillaceae_unclassified</c:v>
                </c:pt>
                <c:pt idx="21">
                  <c:v>Syntrophomonas</c:v>
                </c:pt>
                <c:pt idx="22">
                  <c:v>Syntrophobacter</c:v>
                </c:pt>
                <c:pt idx="23">
                  <c:v>(Porphyromonas)</c:v>
                </c:pt>
                <c:pt idx="24">
                  <c:v>Prolixibacteraceae_unclassified</c:v>
                </c:pt>
                <c:pt idx="25">
                  <c:v>Clostridium sensu stricto</c:v>
                </c:pt>
                <c:pt idx="26">
                  <c:v>Smithella</c:v>
                </c:pt>
                <c:pt idx="27">
                  <c:v>Acetobacterium</c:v>
                </c:pt>
                <c:pt idx="28">
                  <c:v>Desulfitobacterium</c:v>
                </c:pt>
                <c:pt idx="29">
                  <c:v>Tepidanaerobacter</c:v>
                </c:pt>
              </c:strCache>
            </c:strRef>
          </c:cat>
          <c:val>
            <c:numRef>
              <c:f>'W3 genus'!$J$3:$J$32</c:f>
              <c:numCache>
                <c:formatCode>0.0%</c:formatCode>
                <c:ptCount val="30"/>
                <c:pt idx="0">
                  <c:v>0.12836781609195402</c:v>
                </c:pt>
                <c:pt idx="1">
                  <c:v>0</c:v>
                </c:pt>
                <c:pt idx="2">
                  <c:v>5.1586206896551724E-2</c:v>
                </c:pt>
                <c:pt idx="3">
                  <c:v>0.17370114942528736</c:v>
                </c:pt>
                <c:pt idx="4">
                  <c:v>0</c:v>
                </c:pt>
                <c:pt idx="5">
                  <c:v>0.11098850574712643</c:v>
                </c:pt>
                <c:pt idx="6">
                  <c:v>0</c:v>
                </c:pt>
                <c:pt idx="7">
                  <c:v>0.10832183908045977</c:v>
                </c:pt>
                <c:pt idx="8">
                  <c:v>9.6000000000000002E-2</c:v>
                </c:pt>
                <c:pt idx="9">
                  <c:v>0</c:v>
                </c:pt>
                <c:pt idx="10">
                  <c:v>8.6988505747126438E-2</c:v>
                </c:pt>
                <c:pt idx="11">
                  <c:v>7.4022988505747123E-2</c:v>
                </c:pt>
                <c:pt idx="12">
                  <c:v>9.3793103448275867E-3</c:v>
                </c:pt>
                <c:pt idx="13">
                  <c:v>2.2160919540229886E-2</c:v>
                </c:pt>
                <c:pt idx="14">
                  <c:v>1.793103448275862E-2</c:v>
                </c:pt>
                <c:pt idx="15">
                  <c:v>4.2850574712643676E-2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1.4712643678160919E-3</c:v>
                </c:pt>
                <c:pt idx="20">
                  <c:v>1.857471264367816E-2</c:v>
                </c:pt>
                <c:pt idx="21">
                  <c:v>0</c:v>
                </c:pt>
                <c:pt idx="22">
                  <c:v>1.710344827586207E-2</c:v>
                </c:pt>
                <c:pt idx="23">
                  <c:v>6.5287356321839084E-3</c:v>
                </c:pt>
                <c:pt idx="24">
                  <c:v>0</c:v>
                </c:pt>
                <c:pt idx="25">
                  <c:v>5.5172413793103444E-3</c:v>
                </c:pt>
                <c:pt idx="26">
                  <c:v>7.0804597701149422E-3</c:v>
                </c:pt>
                <c:pt idx="27">
                  <c:v>6.1609195402298851E-3</c:v>
                </c:pt>
                <c:pt idx="28">
                  <c:v>0</c:v>
                </c:pt>
                <c:pt idx="29">
                  <c:v>5.7011494252873565E-3</c:v>
                </c:pt>
              </c:numCache>
            </c:numRef>
          </c:val>
        </c:ser>
        <c:ser>
          <c:idx val="3"/>
          <c:order val="3"/>
          <c:tx>
            <c:strRef>
              <c:f>'W3 genus'!$K$2</c:f>
              <c:strCache>
                <c:ptCount val="1"/>
                <c:pt idx="0">
                  <c:v>W3 Spades 16S contigs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'W3 genus'!$G$3:$G$32</c:f>
              <c:strCache>
                <c:ptCount val="30"/>
                <c:pt idx="0">
                  <c:v>Methanobacterium</c:v>
                </c:pt>
                <c:pt idx="1">
                  <c:v>Methanosaeta</c:v>
                </c:pt>
                <c:pt idx="2">
                  <c:v>Desulfovibrio</c:v>
                </c:pt>
                <c:pt idx="3">
                  <c:v>Spirochaetaceae_unclassified</c:v>
                </c:pt>
                <c:pt idx="4">
                  <c:v>Veillonellaceae_unclassified</c:v>
                </c:pt>
                <c:pt idx="5">
                  <c:v>Porphyromonadaceae_unclassified</c:v>
                </c:pt>
                <c:pt idx="6">
                  <c:v>(Dethiobacter)</c:v>
                </c:pt>
                <c:pt idx="7">
                  <c:v>Aminiphilus</c:v>
                </c:pt>
                <c:pt idx="8">
                  <c:v>Methanothrix</c:v>
                </c:pt>
                <c:pt idx="9">
                  <c:v>(Thermacetogenium)</c:v>
                </c:pt>
                <c:pt idx="10">
                  <c:v>(Caldicoprobacter)</c:v>
                </c:pt>
                <c:pt idx="11">
                  <c:v>Sporomusa</c:v>
                </c:pt>
                <c:pt idx="12">
                  <c:v>Pseudomonas</c:v>
                </c:pt>
                <c:pt idx="13">
                  <c:v>Desulfitibacter</c:v>
                </c:pt>
                <c:pt idx="14">
                  <c:v>Desulfuromonas</c:v>
                </c:pt>
                <c:pt idx="15">
                  <c:v>Anaerorhabdus</c:v>
                </c:pt>
                <c:pt idx="16">
                  <c:v>Natronincola</c:v>
                </c:pt>
                <c:pt idx="17">
                  <c:v>(Clostridium)</c:v>
                </c:pt>
                <c:pt idx="18">
                  <c:v>Methanosarcina</c:v>
                </c:pt>
                <c:pt idx="19">
                  <c:v>Dethiobacter</c:v>
                </c:pt>
                <c:pt idx="20">
                  <c:v>Rhodospirillaceae_unclassified</c:v>
                </c:pt>
                <c:pt idx="21">
                  <c:v>Syntrophomonas</c:v>
                </c:pt>
                <c:pt idx="22">
                  <c:v>Syntrophobacter</c:v>
                </c:pt>
                <c:pt idx="23">
                  <c:v>(Porphyromonas)</c:v>
                </c:pt>
                <c:pt idx="24">
                  <c:v>Prolixibacteraceae_unclassified</c:v>
                </c:pt>
                <c:pt idx="25">
                  <c:v>Clostridium sensu stricto</c:v>
                </c:pt>
                <c:pt idx="26">
                  <c:v>Smithella</c:v>
                </c:pt>
                <c:pt idx="27">
                  <c:v>Acetobacterium</c:v>
                </c:pt>
                <c:pt idx="28">
                  <c:v>Desulfitobacterium</c:v>
                </c:pt>
                <c:pt idx="29">
                  <c:v>Tepidanaerobacter</c:v>
                </c:pt>
              </c:strCache>
            </c:strRef>
          </c:cat>
          <c:val>
            <c:numRef>
              <c:f>'W3 genus'!$K$3:$K$32</c:f>
              <c:numCache>
                <c:formatCode>0.0%</c:formatCode>
                <c:ptCount val="30"/>
                <c:pt idx="0">
                  <c:v>8.8261021693491953E-2</c:v>
                </c:pt>
                <c:pt idx="1">
                  <c:v>0</c:v>
                </c:pt>
                <c:pt idx="2">
                  <c:v>9.9720083974807559E-3</c:v>
                </c:pt>
                <c:pt idx="3">
                  <c:v>0.12963610916724982</c:v>
                </c:pt>
                <c:pt idx="4">
                  <c:v>0.12132610216934919</c:v>
                </c:pt>
                <c:pt idx="5">
                  <c:v>9.3421973407977602E-2</c:v>
                </c:pt>
                <c:pt idx="6">
                  <c:v>0.10925472358292512</c:v>
                </c:pt>
                <c:pt idx="7">
                  <c:v>0</c:v>
                </c:pt>
                <c:pt idx="8">
                  <c:v>7.9776067179846047E-2</c:v>
                </c:pt>
                <c:pt idx="9">
                  <c:v>0</c:v>
                </c:pt>
                <c:pt idx="10">
                  <c:v>3.9800559832050386E-2</c:v>
                </c:pt>
                <c:pt idx="11">
                  <c:v>4.9860041987403778E-2</c:v>
                </c:pt>
                <c:pt idx="12">
                  <c:v>6.4730580825752273E-3</c:v>
                </c:pt>
                <c:pt idx="13">
                  <c:v>5.6770468859342199E-2</c:v>
                </c:pt>
                <c:pt idx="14">
                  <c:v>4.8110566829951018E-2</c:v>
                </c:pt>
                <c:pt idx="15">
                  <c:v>2.8778866340097971E-2</c:v>
                </c:pt>
                <c:pt idx="16">
                  <c:v>4.1375087473757871E-2</c:v>
                </c:pt>
                <c:pt idx="17">
                  <c:v>0</c:v>
                </c:pt>
                <c:pt idx="18">
                  <c:v>0</c:v>
                </c:pt>
                <c:pt idx="19">
                  <c:v>2.1606018194541637E-2</c:v>
                </c:pt>
                <c:pt idx="20">
                  <c:v>1.2946116165150455E-2</c:v>
                </c:pt>
                <c:pt idx="21">
                  <c:v>1.7932120363890833E-2</c:v>
                </c:pt>
                <c:pt idx="22">
                  <c:v>1.5220433869839048E-2</c:v>
                </c:pt>
                <c:pt idx="23">
                  <c:v>5.5108467459762068E-3</c:v>
                </c:pt>
                <c:pt idx="24">
                  <c:v>0</c:v>
                </c:pt>
                <c:pt idx="25">
                  <c:v>8.74737578726382E-3</c:v>
                </c:pt>
                <c:pt idx="26">
                  <c:v>7.8726382085374386E-3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'W3 genus'!$L$2</c:f>
              <c:strCache>
                <c:ptCount val="1"/>
                <c:pt idx="0">
                  <c:v>W3 MetaPhlAn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'W3 genus'!$G$3:$G$32</c:f>
              <c:strCache>
                <c:ptCount val="30"/>
                <c:pt idx="0">
                  <c:v>Methanobacterium</c:v>
                </c:pt>
                <c:pt idx="1">
                  <c:v>Methanosaeta</c:v>
                </c:pt>
                <c:pt idx="2">
                  <c:v>Desulfovibrio</c:v>
                </c:pt>
                <c:pt idx="3">
                  <c:v>Spirochaetaceae_unclassified</c:v>
                </c:pt>
                <c:pt idx="4">
                  <c:v>Veillonellaceae_unclassified</c:v>
                </c:pt>
                <c:pt idx="5">
                  <c:v>Porphyromonadaceae_unclassified</c:v>
                </c:pt>
                <c:pt idx="6">
                  <c:v>(Dethiobacter)</c:v>
                </c:pt>
                <c:pt idx="7">
                  <c:v>Aminiphilus</c:v>
                </c:pt>
                <c:pt idx="8">
                  <c:v>Methanothrix</c:v>
                </c:pt>
                <c:pt idx="9">
                  <c:v>(Thermacetogenium)</c:v>
                </c:pt>
                <c:pt idx="10">
                  <c:v>(Caldicoprobacter)</c:v>
                </c:pt>
                <c:pt idx="11">
                  <c:v>Sporomusa</c:v>
                </c:pt>
                <c:pt idx="12">
                  <c:v>Pseudomonas</c:v>
                </c:pt>
                <c:pt idx="13">
                  <c:v>Desulfitibacter</c:v>
                </c:pt>
                <c:pt idx="14">
                  <c:v>Desulfuromonas</c:v>
                </c:pt>
                <c:pt idx="15">
                  <c:v>Anaerorhabdus</c:v>
                </c:pt>
                <c:pt idx="16">
                  <c:v>Natronincola</c:v>
                </c:pt>
                <c:pt idx="17">
                  <c:v>(Clostridium)</c:v>
                </c:pt>
                <c:pt idx="18">
                  <c:v>Methanosarcina</c:v>
                </c:pt>
                <c:pt idx="19">
                  <c:v>Dethiobacter</c:v>
                </c:pt>
                <c:pt idx="20">
                  <c:v>Rhodospirillaceae_unclassified</c:v>
                </c:pt>
                <c:pt idx="21">
                  <c:v>Syntrophomonas</c:v>
                </c:pt>
                <c:pt idx="22">
                  <c:v>Syntrophobacter</c:v>
                </c:pt>
                <c:pt idx="23">
                  <c:v>(Porphyromonas)</c:v>
                </c:pt>
                <c:pt idx="24">
                  <c:v>Prolixibacteraceae_unclassified</c:v>
                </c:pt>
                <c:pt idx="25">
                  <c:v>Clostridium sensu stricto</c:v>
                </c:pt>
                <c:pt idx="26">
                  <c:v>Smithella</c:v>
                </c:pt>
                <c:pt idx="27">
                  <c:v>Acetobacterium</c:v>
                </c:pt>
                <c:pt idx="28">
                  <c:v>Desulfitobacterium</c:v>
                </c:pt>
                <c:pt idx="29">
                  <c:v>Tepidanaerobacter</c:v>
                </c:pt>
              </c:strCache>
            </c:strRef>
          </c:cat>
          <c:val>
            <c:numRef>
              <c:f>'W3 genus'!$L$3:$L$32</c:f>
              <c:numCache>
                <c:formatCode>0.0%</c:formatCode>
                <c:ptCount val="30"/>
                <c:pt idx="0">
                  <c:v>0.45550820000000003</c:v>
                </c:pt>
                <c:pt idx="1">
                  <c:v>0.26458359999999997</c:v>
                </c:pt>
                <c:pt idx="2">
                  <c:v>0.1910385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5.9649900000000006E-2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2.8341999999999999E-2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1.8000000000000001E-6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84544"/>
        <c:axId val="750090032"/>
      </c:barChart>
      <c:catAx>
        <c:axId val="7500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90032"/>
        <c:crosses val="autoZero"/>
        <c:auto val="1"/>
        <c:lblAlgn val="ctr"/>
        <c:lblOffset val="100"/>
        <c:noMultiLvlLbl val="0"/>
      </c:catAx>
      <c:valAx>
        <c:axId val="7500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08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Top 99% of OTUs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'AESS summary'!$P$4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summary'!$X$4:$Z$4</c:f>
              <c:numCache>
                <c:formatCode>General</c:formatCode>
                <c:ptCount val="3"/>
                <c:pt idx="0">
                  <c:v>48</c:v>
                </c:pt>
                <c:pt idx="1">
                  <c:v>34</c:v>
                </c:pt>
                <c:pt idx="2">
                  <c:v>54</c:v>
                </c:pt>
              </c:numCache>
            </c:numRef>
          </c:val>
        </c:ser>
        <c:ser>
          <c:idx val="1"/>
          <c:order val="1"/>
          <c:tx>
            <c:strRef>
              <c:f>'AESS summary'!$P$5</c:f>
              <c:strCache>
                <c:ptCount val="1"/>
                <c:pt idx="0">
                  <c:v>Kelpie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summary'!$X$5:$Z$5</c:f>
              <c:numCache>
                <c:formatCode>General</c:formatCode>
                <c:ptCount val="3"/>
                <c:pt idx="0">
                  <c:v>39</c:v>
                </c:pt>
                <c:pt idx="1">
                  <c:v>30</c:v>
                </c:pt>
                <c:pt idx="2">
                  <c:v>51</c:v>
                </c:pt>
              </c:numCache>
            </c:numRef>
          </c:val>
        </c:ser>
        <c:ser>
          <c:idx val="2"/>
          <c:order val="2"/>
          <c:tx>
            <c:strRef>
              <c:f>'AESS summary'!$P$6</c:f>
              <c:strCache>
                <c:ptCount val="1"/>
                <c:pt idx="0">
                  <c:v>Spades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summary'!$X$6:$Z$6</c:f>
              <c:numCache>
                <c:formatCode>General</c:formatCode>
                <c:ptCount val="3"/>
                <c:pt idx="0">
                  <c:v>17</c:v>
                </c:pt>
                <c:pt idx="1">
                  <c:v>15</c:v>
                </c:pt>
                <c:pt idx="2">
                  <c:v>26</c:v>
                </c:pt>
              </c:numCache>
            </c:numRef>
          </c:val>
        </c:ser>
        <c:ser>
          <c:idx val="3"/>
          <c:order val="3"/>
          <c:tx>
            <c:strRef>
              <c:f>'AESS summary'!$P$7</c:f>
              <c:strCache>
                <c:ptCount val="1"/>
                <c:pt idx="0">
                  <c:v>Spades 16S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summary'!$X$7:$Z$7</c:f>
              <c:numCache>
                <c:formatCode>General</c:formatCode>
                <c:ptCount val="3"/>
                <c:pt idx="0">
                  <c:v>25</c:v>
                </c:pt>
                <c:pt idx="1">
                  <c:v>14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0045024"/>
        <c:axId val="520136528"/>
      </c:barChart>
      <c:catAx>
        <c:axId val="5200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136528"/>
        <c:crosses val="autoZero"/>
        <c:auto val="1"/>
        <c:lblAlgn val="ctr"/>
        <c:lblOffset val="100"/>
        <c:noMultiLvlLbl val="0"/>
      </c:catAx>
      <c:valAx>
        <c:axId val="52013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04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200"/>
              <a:t>Top 99% of OTUs (adjusted)</a:t>
            </a:r>
          </a:p>
        </c:rich>
      </c:tx>
      <c:layout>
        <c:manualLayout>
          <c:xMode val="edge"/>
          <c:yMode val="edge"/>
          <c:x val="0.21681840277777778"/>
          <c:y val="3.68573797678275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'AESS summary'!$P$12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summary'!$X$12:$Z$12</c:f>
              <c:numCache>
                <c:formatCode>General</c:formatCode>
                <c:ptCount val="3"/>
                <c:pt idx="0">
                  <c:v>43</c:v>
                </c:pt>
                <c:pt idx="1">
                  <c:v>30</c:v>
                </c:pt>
                <c:pt idx="2">
                  <c:v>52</c:v>
                </c:pt>
              </c:numCache>
            </c:numRef>
          </c:val>
        </c:ser>
        <c:ser>
          <c:idx val="1"/>
          <c:order val="1"/>
          <c:tx>
            <c:strRef>
              <c:f>'AESS summary'!$P$13</c:f>
              <c:strCache>
                <c:ptCount val="1"/>
                <c:pt idx="0">
                  <c:v>Kelpie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summary'!$X$13:$Z$13</c:f>
              <c:numCache>
                <c:formatCode>General</c:formatCode>
                <c:ptCount val="3"/>
                <c:pt idx="0">
                  <c:v>40</c:v>
                </c:pt>
                <c:pt idx="1">
                  <c:v>30</c:v>
                </c:pt>
                <c:pt idx="2">
                  <c:v>52</c:v>
                </c:pt>
              </c:numCache>
            </c:numRef>
          </c:val>
        </c:ser>
        <c:ser>
          <c:idx val="2"/>
          <c:order val="2"/>
          <c:tx>
            <c:strRef>
              <c:f>'AESS summary'!$P$14</c:f>
              <c:strCache>
                <c:ptCount val="1"/>
                <c:pt idx="0">
                  <c:v>Spades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summary'!$X$14:$Z$14</c:f>
              <c:numCache>
                <c:formatCode>General</c:formatCode>
                <c:ptCount val="3"/>
                <c:pt idx="0">
                  <c:v>17</c:v>
                </c:pt>
                <c:pt idx="1">
                  <c:v>15</c:v>
                </c:pt>
                <c:pt idx="2">
                  <c:v>26</c:v>
                </c:pt>
              </c:numCache>
            </c:numRef>
          </c:val>
        </c:ser>
        <c:ser>
          <c:idx val="3"/>
          <c:order val="3"/>
          <c:tx>
            <c:strRef>
              <c:f>'AESS summary'!$P$15</c:f>
              <c:strCache>
                <c:ptCount val="1"/>
                <c:pt idx="0">
                  <c:v>Spades 16S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'AESS summary'!$X$3:$Z$3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'AESS summary'!$X$15:$Z$15</c:f>
              <c:numCache>
                <c:formatCode>General</c:formatCode>
                <c:ptCount val="3"/>
                <c:pt idx="0">
                  <c:v>25</c:v>
                </c:pt>
                <c:pt idx="1">
                  <c:v>14</c:v>
                </c:pt>
                <c:pt idx="2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7962136"/>
        <c:axId val="677965664"/>
      </c:barChart>
      <c:catAx>
        <c:axId val="67796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65664"/>
        <c:crosses val="autoZero"/>
        <c:auto val="1"/>
        <c:lblAlgn val="ctr"/>
        <c:lblOffset val="100"/>
        <c:noMultiLvlLbl val="0"/>
      </c:catAx>
      <c:valAx>
        <c:axId val="6779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6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W1:  % matching</a:t>
            </a:r>
            <a:r>
              <a:rPr lang="en-AU" baseline="0"/>
              <a:t> OTUs vs % of reads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'AESS-W1'!$AL$4</c:f>
              <c:strCache>
                <c:ptCount val="1"/>
                <c:pt idx="0">
                  <c:v>Kelpie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'AESS-W1'!$Y$5:$Y$126</c:f>
              <c:numCache>
                <c:formatCode>0.0%</c:formatCode>
                <c:ptCount val="122"/>
                <c:pt idx="0">
                  <c:v>0.63863641673870886</c:v>
                </c:pt>
                <c:pt idx="1">
                  <c:v>0.66756232622257528</c:v>
                </c:pt>
                <c:pt idx="2">
                  <c:v>0.72223650085282365</c:v>
                </c:pt>
                <c:pt idx="3">
                  <c:v>0.79962148648332909</c:v>
                </c:pt>
                <c:pt idx="4">
                  <c:v>0.82929507698778016</c:v>
                </c:pt>
                <c:pt idx="5">
                  <c:v>0.85100119161662657</c:v>
                </c:pt>
                <c:pt idx="6">
                  <c:v>0.85810416131218026</c:v>
                </c:pt>
                <c:pt idx="7">
                  <c:v>0.876702726699222</c:v>
                </c:pt>
                <c:pt idx="8">
                  <c:v>0.90144629547419342</c:v>
                </c:pt>
                <c:pt idx="9">
                  <c:v>0.9255590083880465</c:v>
                </c:pt>
                <c:pt idx="10">
                  <c:v>0.92586275380265903</c:v>
                </c:pt>
                <c:pt idx="11">
                  <c:v>0.92885347788499739</c:v>
                </c:pt>
                <c:pt idx="12">
                  <c:v>0.93364330942311746</c:v>
                </c:pt>
                <c:pt idx="13">
                  <c:v>0.93876025140774322</c:v>
                </c:pt>
                <c:pt idx="14">
                  <c:v>0.94032570854459219</c:v>
                </c:pt>
                <c:pt idx="15">
                  <c:v>0.94569966588004395</c:v>
                </c:pt>
                <c:pt idx="16">
                  <c:v>0.94749877333582566</c:v>
                </c:pt>
                <c:pt idx="17">
                  <c:v>0.95144746372578803</c:v>
                </c:pt>
                <c:pt idx="18">
                  <c:v>0.95397088717026102</c:v>
                </c:pt>
                <c:pt idx="19">
                  <c:v>0.95689151615691959</c:v>
                </c:pt>
                <c:pt idx="20">
                  <c:v>0.96065328629173585</c:v>
                </c:pt>
                <c:pt idx="21">
                  <c:v>0.96123741208906754</c:v>
                </c:pt>
                <c:pt idx="22">
                  <c:v>0.9653262926703895</c:v>
                </c:pt>
                <c:pt idx="23">
                  <c:v>0.96775625598728943</c:v>
                </c:pt>
                <c:pt idx="24">
                  <c:v>0.97030304446365567</c:v>
                </c:pt>
                <c:pt idx="25">
                  <c:v>0.97154139115399896</c:v>
                </c:pt>
                <c:pt idx="26">
                  <c:v>0.97154139115399896</c:v>
                </c:pt>
                <c:pt idx="27">
                  <c:v>0.97242926236594318</c:v>
                </c:pt>
                <c:pt idx="28">
                  <c:v>0.9740881796303652</c:v>
                </c:pt>
                <c:pt idx="29">
                  <c:v>0.97546671651206807</c:v>
                </c:pt>
                <c:pt idx="30">
                  <c:v>0.97670506320241135</c:v>
                </c:pt>
                <c:pt idx="31">
                  <c:v>0.9779667749246479</c:v>
                </c:pt>
                <c:pt idx="32">
                  <c:v>0.97897147129605844</c:v>
                </c:pt>
                <c:pt idx="33">
                  <c:v>0.98037337320965456</c:v>
                </c:pt>
                <c:pt idx="34">
                  <c:v>0.98156498983621121</c:v>
                </c:pt>
                <c:pt idx="35">
                  <c:v>0.98210238556975638</c:v>
                </c:pt>
                <c:pt idx="36">
                  <c:v>0.98256968620762175</c:v>
                </c:pt>
                <c:pt idx="37">
                  <c:v>0.9833173672282064</c:v>
                </c:pt>
                <c:pt idx="38">
                  <c:v>0.98394822308932461</c:v>
                </c:pt>
                <c:pt idx="39">
                  <c:v>0.98464917404612262</c:v>
                </c:pt>
                <c:pt idx="40">
                  <c:v>0.98532675997102737</c:v>
                </c:pt>
                <c:pt idx="41">
                  <c:v>0.98577069557699948</c:v>
                </c:pt>
                <c:pt idx="42">
                  <c:v>0.98635482137433117</c:v>
                </c:pt>
                <c:pt idx="43">
                  <c:v>0.98635482137433117</c:v>
                </c:pt>
                <c:pt idx="44">
                  <c:v>0.98689221710787634</c:v>
                </c:pt>
                <c:pt idx="45">
                  <c:v>0.98747634290520803</c:v>
                </c:pt>
                <c:pt idx="46">
                  <c:v>0.98803710367064645</c:v>
                </c:pt>
                <c:pt idx="47">
                  <c:v>0.9884576742447253</c:v>
                </c:pt>
                <c:pt idx="48">
                  <c:v>0.98887824481880415</c:v>
                </c:pt>
                <c:pt idx="49">
                  <c:v>0.989298815392883</c:v>
                </c:pt>
                <c:pt idx="50">
                  <c:v>0.98969602093506859</c:v>
                </c:pt>
                <c:pt idx="51">
                  <c:v>0.99006986144536091</c:v>
                </c:pt>
                <c:pt idx="52">
                  <c:v>0.99042033692375997</c:v>
                </c:pt>
                <c:pt idx="53">
                  <c:v>0.99077081240215903</c:v>
                </c:pt>
                <c:pt idx="54">
                  <c:v>0.99109792284866483</c:v>
                </c:pt>
                <c:pt idx="55">
                  <c:v>0.99142503329517062</c:v>
                </c:pt>
                <c:pt idx="56">
                  <c:v>0.9915652234865302</c:v>
                </c:pt>
                <c:pt idx="57">
                  <c:v>0.99186896890114273</c:v>
                </c:pt>
                <c:pt idx="58">
                  <c:v>0.99205588915628884</c:v>
                </c:pt>
                <c:pt idx="59">
                  <c:v>0.99235963457090137</c:v>
                </c:pt>
                <c:pt idx="60">
                  <c:v>0.99264001495362064</c:v>
                </c:pt>
                <c:pt idx="61">
                  <c:v>0.99289703030444665</c:v>
                </c:pt>
                <c:pt idx="62">
                  <c:v>0.99315404565527265</c:v>
                </c:pt>
                <c:pt idx="63">
                  <c:v>0.99341106100609866</c:v>
                </c:pt>
                <c:pt idx="64">
                  <c:v>0.99366807635692467</c:v>
                </c:pt>
                <c:pt idx="65">
                  <c:v>0.9939017266758573</c:v>
                </c:pt>
                <c:pt idx="66">
                  <c:v>0.99413537699478993</c:v>
                </c:pt>
                <c:pt idx="67">
                  <c:v>0.9943456622818293</c:v>
                </c:pt>
                <c:pt idx="68">
                  <c:v>0.99455594756886867</c:v>
                </c:pt>
                <c:pt idx="69">
                  <c:v>0.99476623285590804</c:v>
                </c:pt>
                <c:pt idx="70">
                  <c:v>0.99495315311105414</c:v>
                </c:pt>
                <c:pt idx="71">
                  <c:v>0.99514007336620025</c:v>
                </c:pt>
                <c:pt idx="72">
                  <c:v>0.99514007336620025</c:v>
                </c:pt>
                <c:pt idx="73">
                  <c:v>0.99530362858945309</c:v>
                </c:pt>
                <c:pt idx="74">
                  <c:v>0.99546718381270594</c:v>
                </c:pt>
                <c:pt idx="75">
                  <c:v>0.99563073903595878</c:v>
                </c:pt>
                <c:pt idx="76">
                  <c:v>0.99579429425921162</c:v>
                </c:pt>
                <c:pt idx="77">
                  <c:v>0.9959344844505712</c:v>
                </c:pt>
                <c:pt idx="78">
                  <c:v>0.99607467464193078</c:v>
                </c:pt>
                <c:pt idx="79">
                  <c:v>0.99621486483329036</c:v>
                </c:pt>
                <c:pt idx="80">
                  <c:v>0.99635505502464994</c:v>
                </c:pt>
                <c:pt idx="81">
                  <c:v>0.99649524521600952</c:v>
                </c:pt>
                <c:pt idx="82">
                  <c:v>0.9966354354073691</c:v>
                </c:pt>
                <c:pt idx="83">
                  <c:v>0.99677562559872868</c:v>
                </c:pt>
                <c:pt idx="84">
                  <c:v>0.99691581579008826</c:v>
                </c:pt>
                <c:pt idx="85">
                  <c:v>0.99703264094955457</c:v>
                </c:pt>
                <c:pt idx="86">
                  <c:v>0.99714946610902089</c:v>
                </c:pt>
                <c:pt idx="87">
                  <c:v>0.9972662912684872</c:v>
                </c:pt>
                <c:pt idx="88">
                  <c:v>0.99738311642795352</c:v>
                </c:pt>
                <c:pt idx="89">
                  <c:v>0.99749994158741984</c:v>
                </c:pt>
                <c:pt idx="90">
                  <c:v>0.99761676674688615</c:v>
                </c:pt>
                <c:pt idx="91">
                  <c:v>0.99773359190635247</c:v>
                </c:pt>
                <c:pt idx="92">
                  <c:v>0.99785041706581878</c:v>
                </c:pt>
                <c:pt idx="93">
                  <c:v>0.9979672422252851</c:v>
                </c:pt>
                <c:pt idx="94">
                  <c:v>0.99808406738475142</c:v>
                </c:pt>
                <c:pt idx="95">
                  <c:v>0.99820089254421773</c:v>
                </c:pt>
                <c:pt idx="96">
                  <c:v>0.99829435267179079</c:v>
                </c:pt>
                <c:pt idx="97">
                  <c:v>0.99838781279936384</c:v>
                </c:pt>
                <c:pt idx="98">
                  <c:v>0.99848127292693689</c:v>
                </c:pt>
                <c:pt idx="99">
                  <c:v>0.99857473305450994</c:v>
                </c:pt>
                <c:pt idx="100">
                  <c:v>0.998668193182083</c:v>
                </c:pt>
                <c:pt idx="101">
                  <c:v>0.99876165330965605</c:v>
                </c:pt>
                <c:pt idx="102">
                  <c:v>0.9988551134372291</c:v>
                </c:pt>
                <c:pt idx="103">
                  <c:v>0.99894857356480216</c:v>
                </c:pt>
                <c:pt idx="104">
                  <c:v>0.99901866866048195</c:v>
                </c:pt>
                <c:pt idx="105">
                  <c:v>0.99908876375616174</c:v>
                </c:pt>
                <c:pt idx="106">
                  <c:v>0.99915885885184152</c:v>
                </c:pt>
                <c:pt idx="107">
                  <c:v>0.99922895394752131</c:v>
                </c:pt>
                <c:pt idx="108">
                  <c:v>0.9992990490432011</c:v>
                </c:pt>
                <c:pt idx="109">
                  <c:v>0.99936914413888089</c:v>
                </c:pt>
                <c:pt idx="110">
                  <c:v>0.99943923923456068</c:v>
                </c:pt>
                <c:pt idx="111">
                  <c:v>0.99950933433024047</c:v>
                </c:pt>
                <c:pt idx="112">
                  <c:v>0.99957942942592026</c:v>
                </c:pt>
                <c:pt idx="113">
                  <c:v>0.99962615948970679</c:v>
                </c:pt>
                <c:pt idx="114">
                  <c:v>0.99967288955349332</c:v>
                </c:pt>
                <c:pt idx="115">
                  <c:v>0.99971961961727984</c:v>
                </c:pt>
                <c:pt idx="116">
                  <c:v>0.99976634968106637</c:v>
                </c:pt>
                <c:pt idx="117">
                  <c:v>0.9998130797448529</c:v>
                </c:pt>
                <c:pt idx="118">
                  <c:v>0.99985980980863942</c:v>
                </c:pt>
                <c:pt idx="119">
                  <c:v>0.99990653987242595</c:v>
                </c:pt>
                <c:pt idx="120">
                  <c:v>0.99995326993621247</c:v>
                </c:pt>
                <c:pt idx="121">
                  <c:v>0.999999999999999</c:v>
                </c:pt>
              </c:numCache>
            </c:numRef>
          </c:xVal>
          <c:yVal>
            <c:numRef>
              <c:f>'AESS-W1'!$AL$5:$AL$126</c:f>
              <c:numCache>
                <c:formatCode>0.0%</c:formatCode>
                <c:ptCount val="1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0.97368421052631582</c:v>
                </c:pt>
                <c:pt idx="40">
                  <c:v>0.97368421052631582</c:v>
                </c:pt>
                <c:pt idx="41">
                  <c:v>0.97435897435897434</c:v>
                </c:pt>
                <c:pt idx="42">
                  <c:v>0.97499999999999998</c:v>
                </c:pt>
                <c:pt idx="43">
                  <c:v>0.97499999999999998</c:v>
                </c:pt>
                <c:pt idx="44">
                  <c:v>0.95121951219512191</c:v>
                </c:pt>
                <c:pt idx="45">
                  <c:v>0.9285714285714286</c:v>
                </c:pt>
                <c:pt idx="46">
                  <c:v>0.9285714285714286</c:v>
                </c:pt>
                <c:pt idx="47">
                  <c:v>0.9285714285714286</c:v>
                </c:pt>
                <c:pt idx="48">
                  <c:v>0.9285714285714286</c:v>
                </c:pt>
                <c:pt idx="49">
                  <c:v>0.90697674418604646</c:v>
                </c:pt>
                <c:pt idx="50">
                  <c:v>0.88636363636363635</c:v>
                </c:pt>
                <c:pt idx="51">
                  <c:v>0.88636363636363635</c:v>
                </c:pt>
                <c:pt idx="52">
                  <c:v>0.88636363636363635</c:v>
                </c:pt>
                <c:pt idx="53">
                  <c:v>0.88636363636363635</c:v>
                </c:pt>
                <c:pt idx="54">
                  <c:v>0.88636363636363635</c:v>
                </c:pt>
                <c:pt idx="55">
                  <c:v>0.88636363636363635</c:v>
                </c:pt>
                <c:pt idx="56">
                  <c:v>0.8666666666666667</c:v>
                </c:pt>
                <c:pt idx="57">
                  <c:v>0.8666666666666667</c:v>
                </c:pt>
                <c:pt idx="58">
                  <c:v>0.84782608695652173</c:v>
                </c:pt>
                <c:pt idx="59">
                  <c:v>0.84782608695652173</c:v>
                </c:pt>
                <c:pt idx="60">
                  <c:v>0.84782608695652173</c:v>
                </c:pt>
                <c:pt idx="61">
                  <c:v>0.82978723404255317</c:v>
                </c:pt>
                <c:pt idx="62">
                  <c:v>0.82978723404255317</c:v>
                </c:pt>
                <c:pt idx="63">
                  <c:v>0.82978723404255317</c:v>
                </c:pt>
                <c:pt idx="64">
                  <c:v>0.8125</c:v>
                </c:pt>
                <c:pt idx="65">
                  <c:v>0.8125</c:v>
                </c:pt>
                <c:pt idx="66">
                  <c:v>0.8125</c:v>
                </c:pt>
                <c:pt idx="67">
                  <c:v>0.79591836734693877</c:v>
                </c:pt>
                <c:pt idx="68">
                  <c:v>0.79591836734693877</c:v>
                </c:pt>
                <c:pt idx="69">
                  <c:v>0.79591836734693877</c:v>
                </c:pt>
                <c:pt idx="70">
                  <c:v>0.78</c:v>
                </c:pt>
                <c:pt idx="71">
                  <c:v>0.78</c:v>
                </c:pt>
                <c:pt idx="72">
                  <c:v>0.78</c:v>
                </c:pt>
                <c:pt idx="73">
                  <c:v>0.76470588235294112</c:v>
                </c:pt>
                <c:pt idx="74">
                  <c:v>0.76470588235294112</c:v>
                </c:pt>
                <c:pt idx="75">
                  <c:v>0.76470588235294112</c:v>
                </c:pt>
                <c:pt idx="76">
                  <c:v>0.76470588235294112</c:v>
                </c:pt>
                <c:pt idx="77">
                  <c:v>0.76470588235294112</c:v>
                </c:pt>
                <c:pt idx="78">
                  <c:v>0.76470588235294112</c:v>
                </c:pt>
                <c:pt idx="79">
                  <c:v>0.76470588235294112</c:v>
                </c:pt>
                <c:pt idx="80">
                  <c:v>0.76470588235294112</c:v>
                </c:pt>
                <c:pt idx="81">
                  <c:v>0.76470588235294112</c:v>
                </c:pt>
                <c:pt idx="82">
                  <c:v>0.76470588235294112</c:v>
                </c:pt>
                <c:pt idx="83">
                  <c:v>0.76470588235294112</c:v>
                </c:pt>
                <c:pt idx="84">
                  <c:v>0.76470588235294112</c:v>
                </c:pt>
                <c:pt idx="85">
                  <c:v>0.76470588235294112</c:v>
                </c:pt>
                <c:pt idx="86">
                  <c:v>0.76470588235294112</c:v>
                </c:pt>
                <c:pt idx="87">
                  <c:v>0.76470588235294112</c:v>
                </c:pt>
                <c:pt idx="88">
                  <c:v>0.76470588235294112</c:v>
                </c:pt>
                <c:pt idx="89">
                  <c:v>0.76470588235294112</c:v>
                </c:pt>
                <c:pt idx="90">
                  <c:v>0.76470588235294112</c:v>
                </c:pt>
                <c:pt idx="91">
                  <c:v>0.76470588235294112</c:v>
                </c:pt>
                <c:pt idx="92">
                  <c:v>0.76470588235294112</c:v>
                </c:pt>
                <c:pt idx="93">
                  <c:v>0.76470588235294112</c:v>
                </c:pt>
                <c:pt idx="94">
                  <c:v>0.75</c:v>
                </c:pt>
                <c:pt idx="95">
                  <c:v>0.75</c:v>
                </c:pt>
                <c:pt idx="96">
                  <c:v>0.75</c:v>
                </c:pt>
                <c:pt idx="97">
                  <c:v>0.75</c:v>
                </c:pt>
                <c:pt idx="98">
                  <c:v>0.75</c:v>
                </c:pt>
                <c:pt idx="99">
                  <c:v>0.75</c:v>
                </c:pt>
                <c:pt idx="100">
                  <c:v>0.73584905660377353</c:v>
                </c:pt>
                <c:pt idx="101">
                  <c:v>0.73584905660377353</c:v>
                </c:pt>
                <c:pt idx="102">
                  <c:v>0.73584905660377353</c:v>
                </c:pt>
                <c:pt idx="103">
                  <c:v>0.73584905660377353</c:v>
                </c:pt>
                <c:pt idx="104">
                  <c:v>0.72222222222222221</c:v>
                </c:pt>
                <c:pt idx="105">
                  <c:v>0.72222222222222221</c:v>
                </c:pt>
                <c:pt idx="106">
                  <c:v>0.72222222222222221</c:v>
                </c:pt>
                <c:pt idx="107">
                  <c:v>0.72222222222222221</c:v>
                </c:pt>
                <c:pt idx="108">
                  <c:v>0.72222222222222221</c:v>
                </c:pt>
                <c:pt idx="109">
                  <c:v>0.72222222222222221</c:v>
                </c:pt>
                <c:pt idx="110">
                  <c:v>0.72222222222222221</c:v>
                </c:pt>
                <c:pt idx="111">
                  <c:v>0.72222222222222221</c:v>
                </c:pt>
                <c:pt idx="112">
                  <c:v>0.72222222222222221</c:v>
                </c:pt>
                <c:pt idx="113">
                  <c:v>0.72222222222222221</c:v>
                </c:pt>
                <c:pt idx="114">
                  <c:v>0.72222222222222221</c:v>
                </c:pt>
                <c:pt idx="115">
                  <c:v>0.72222222222222221</c:v>
                </c:pt>
                <c:pt idx="116">
                  <c:v>0.72222222222222221</c:v>
                </c:pt>
                <c:pt idx="117">
                  <c:v>0.72222222222222221</c:v>
                </c:pt>
                <c:pt idx="118">
                  <c:v>0.72222222222222221</c:v>
                </c:pt>
                <c:pt idx="119">
                  <c:v>0.72222222222222221</c:v>
                </c:pt>
                <c:pt idx="120">
                  <c:v>0.72222222222222221</c:v>
                </c:pt>
                <c:pt idx="121">
                  <c:v>0.72222222222222221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'AESS-W1'!$AM$4</c:f>
              <c:strCache>
                <c:ptCount val="1"/>
                <c:pt idx="0">
                  <c:v>Spades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[1]AESSCel119!$Y$4:$Y$125</c:f>
              <c:numCache>
                <c:formatCode>General</c:formatCode>
                <c:ptCount val="122"/>
                <c:pt idx="0">
                  <c:v>0.63862149532710277</c:v>
                </c:pt>
                <c:pt idx="1">
                  <c:v>0.66754672897196254</c:v>
                </c:pt>
                <c:pt idx="2">
                  <c:v>0.72221962616822422</c:v>
                </c:pt>
                <c:pt idx="3">
                  <c:v>0.79960280373831771</c:v>
                </c:pt>
                <c:pt idx="4">
                  <c:v>0.82927570093457936</c:v>
                </c:pt>
                <c:pt idx="5">
                  <c:v>0.85098130841121489</c:v>
                </c:pt>
                <c:pt idx="6">
                  <c:v>0.85808411214953262</c:v>
                </c:pt>
                <c:pt idx="7">
                  <c:v>0.88282710280373822</c:v>
                </c:pt>
                <c:pt idx="8">
                  <c:v>0.90142523364485971</c:v>
                </c:pt>
                <c:pt idx="9">
                  <c:v>0.92553738317756995</c:v>
                </c:pt>
                <c:pt idx="10">
                  <c:v>0.92584112149532694</c:v>
                </c:pt>
                <c:pt idx="11">
                  <c:v>0.92883177570093445</c:v>
                </c:pt>
                <c:pt idx="12">
                  <c:v>0.9336214953271027</c:v>
                </c:pt>
                <c:pt idx="13">
                  <c:v>0.93873831775700922</c:v>
                </c:pt>
                <c:pt idx="14">
                  <c:v>0.94030373831775693</c:v>
                </c:pt>
                <c:pt idx="15">
                  <c:v>0.94210280373831767</c:v>
                </c:pt>
                <c:pt idx="16">
                  <c:v>0.94747663551401862</c:v>
                </c:pt>
                <c:pt idx="17">
                  <c:v>0.95142523364485976</c:v>
                </c:pt>
                <c:pt idx="18">
                  <c:v>0.9539485981308411</c:v>
                </c:pt>
                <c:pt idx="19">
                  <c:v>0.95453271028037379</c:v>
                </c:pt>
                <c:pt idx="20">
                  <c:v>0.95829439252336446</c:v>
                </c:pt>
                <c:pt idx="21">
                  <c:v>0.96072429906542056</c:v>
                </c:pt>
                <c:pt idx="22">
                  <c:v>0.96364485981308412</c:v>
                </c:pt>
                <c:pt idx="23">
                  <c:v>0.96773364485981306</c:v>
                </c:pt>
                <c:pt idx="24">
                  <c:v>0.97028037383177568</c:v>
                </c:pt>
                <c:pt idx="25">
                  <c:v>0.97151869158878501</c:v>
                </c:pt>
                <c:pt idx="26">
                  <c:v>0.97151869158878501</c:v>
                </c:pt>
                <c:pt idx="27">
                  <c:v>0.97317757009345796</c:v>
                </c:pt>
                <c:pt idx="28">
                  <c:v>0.97406542056074763</c:v>
                </c:pt>
                <c:pt idx="29">
                  <c:v>0.97530373831775696</c:v>
                </c:pt>
                <c:pt idx="30">
                  <c:v>0.97630841121495326</c:v>
                </c:pt>
                <c:pt idx="31">
                  <c:v>0.97768691588785051</c:v>
                </c:pt>
                <c:pt idx="32">
                  <c:v>0.97908878504672903</c:v>
                </c:pt>
                <c:pt idx="33">
                  <c:v>0.98035046728971964</c:v>
                </c:pt>
                <c:pt idx="34">
                  <c:v>0.9808411214953271</c:v>
                </c:pt>
                <c:pt idx="35">
                  <c:v>0.98203271028037387</c:v>
                </c:pt>
                <c:pt idx="36">
                  <c:v>0.98278037383177574</c:v>
                </c:pt>
                <c:pt idx="37">
                  <c:v>0.98331775700934587</c:v>
                </c:pt>
                <c:pt idx="38">
                  <c:v>0.98401869158878508</c:v>
                </c:pt>
                <c:pt idx="39">
                  <c:v>0.984696261682243</c:v>
                </c:pt>
                <c:pt idx="40">
                  <c:v>0.984696261682243</c:v>
                </c:pt>
                <c:pt idx="41">
                  <c:v>0.98514018691588789</c:v>
                </c:pt>
                <c:pt idx="42">
                  <c:v>0.98577102803738326</c:v>
                </c:pt>
                <c:pt idx="43">
                  <c:v>0.98630841121495338</c:v>
                </c:pt>
                <c:pt idx="44">
                  <c:v>0.98689252336448607</c:v>
                </c:pt>
                <c:pt idx="45">
                  <c:v>0.98747663551401876</c:v>
                </c:pt>
                <c:pt idx="46">
                  <c:v>0.98803738317757017</c:v>
                </c:pt>
                <c:pt idx="47">
                  <c:v>0.98845794392523367</c:v>
                </c:pt>
                <c:pt idx="48">
                  <c:v>0.98887850467289717</c:v>
                </c:pt>
                <c:pt idx="49">
                  <c:v>0.98929906542056067</c:v>
                </c:pt>
                <c:pt idx="50">
                  <c:v>0.98969626168224289</c:v>
                </c:pt>
                <c:pt idx="51">
                  <c:v>0.99007009345794383</c:v>
                </c:pt>
                <c:pt idx="52">
                  <c:v>0.99042056074766349</c:v>
                </c:pt>
                <c:pt idx="53">
                  <c:v>0.99077102803738315</c:v>
                </c:pt>
                <c:pt idx="54">
                  <c:v>0.99109813084112142</c:v>
                </c:pt>
                <c:pt idx="55">
                  <c:v>0.99123831775700921</c:v>
                </c:pt>
                <c:pt idx="56">
                  <c:v>0.99156542056074748</c:v>
                </c:pt>
                <c:pt idx="57">
                  <c:v>0.99175233644859795</c:v>
                </c:pt>
                <c:pt idx="58">
                  <c:v>0.99205607476635493</c:v>
                </c:pt>
                <c:pt idx="59">
                  <c:v>0.99235981308411192</c:v>
                </c:pt>
                <c:pt idx="60">
                  <c:v>0.99264018691588762</c:v>
                </c:pt>
                <c:pt idx="61">
                  <c:v>0.99289719626168205</c:v>
                </c:pt>
                <c:pt idx="62">
                  <c:v>0.99315420560747647</c:v>
                </c:pt>
                <c:pt idx="63">
                  <c:v>0.99341121495327089</c:v>
                </c:pt>
                <c:pt idx="64">
                  <c:v>0.99366822429906532</c:v>
                </c:pt>
                <c:pt idx="65">
                  <c:v>0.99390186915887835</c:v>
                </c:pt>
                <c:pt idx="66">
                  <c:v>0.99413551401869138</c:v>
                </c:pt>
                <c:pt idx="67">
                  <c:v>0.99434579439252313</c:v>
                </c:pt>
                <c:pt idx="68">
                  <c:v>0.99455607476635488</c:v>
                </c:pt>
                <c:pt idx="69">
                  <c:v>0.99476635514018663</c:v>
                </c:pt>
                <c:pt idx="70">
                  <c:v>0.9949532710280371</c:v>
                </c:pt>
                <c:pt idx="71">
                  <c:v>0.99514018691588757</c:v>
                </c:pt>
                <c:pt idx="72">
                  <c:v>0.99514018691588757</c:v>
                </c:pt>
                <c:pt idx="73">
                  <c:v>0.99530373831775676</c:v>
                </c:pt>
                <c:pt idx="74">
                  <c:v>0.99546728971962595</c:v>
                </c:pt>
                <c:pt idx="75">
                  <c:v>0.99563084112149514</c:v>
                </c:pt>
                <c:pt idx="76">
                  <c:v>0.99579439252336432</c:v>
                </c:pt>
                <c:pt idx="77">
                  <c:v>0.99593457943925212</c:v>
                </c:pt>
                <c:pt idx="78">
                  <c:v>0.99607476635513992</c:v>
                </c:pt>
                <c:pt idx="79">
                  <c:v>0.99621495327102771</c:v>
                </c:pt>
                <c:pt idx="80">
                  <c:v>0.99635514018691551</c:v>
                </c:pt>
                <c:pt idx="81">
                  <c:v>0.99649532710280331</c:v>
                </c:pt>
                <c:pt idx="82">
                  <c:v>0.9966355140186911</c:v>
                </c:pt>
                <c:pt idx="83">
                  <c:v>0.9967757009345789</c:v>
                </c:pt>
                <c:pt idx="84">
                  <c:v>0.9969158878504667</c:v>
                </c:pt>
                <c:pt idx="85">
                  <c:v>0.99703271028037321</c:v>
                </c:pt>
                <c:pt idx="86">
                  <c:v>0.99714953271027973</c:v>
                </c:pt>
                <c:pt idx="87">
                  <c:v>0.99726635514018624</c:v>
                </c:pt>
                <c:pt idx="88">
                  <c:v>0.99738317757009276</c:v>
                </c:pt>
                <c:pt idx="89">
                  <c:v>0.99749999999999928</c:v>
                </c:pt>
                <c:pt idx="90">
                  <c:v>0.99761682242990579</c:v>
                </c:pt>
                <c:pt idx="91">
                  <c:v>0.99773364485981231</c:v>
                </c:pt>
                <c:pt idx="92">
                  <c:v>0.99785046728971882</c:v>
                </c:pt>
                <c:pt idx="93">
                  <c:v>0.99796728971962534</c:v>
                </c:pt>
                <c:pt idx="94">
                  <c:v>0.99808411214953185</c:v>
                </c:pt>
                <c:pt idx="95">
                  <c:v>0.99820093457943837</c:v>
                </c:pt>
                <c:pt idx="96">
                  <c:v>0.99829439252336361</c:v>
                </c:pt>
                <c:pt idx="97">
                  <c:v>0.99838785046728884</c:v>
                </c:pt>
                <c:pt idx="98">
                  <c:v>0.99848130841121407</c:v>
                </c:pt>
                <c:pt idx="99">
                  <c:v>0.99857476635513931</c:v>
                </c:pt>
                <c:pt idx="100">
                  <c:v>0.99866822429906454</c:v>
                </c:pt>
                <c:pt idx="101">
                  <c:v>0.99876168224298978</c:v>
                </c:pt>
                <c:pt idx="102">
                  <c:v>0.99885514018691501</c:v>
                </c:pt>
                <c:pt idx="103">
                  <c:v>0.99894859813084025</c:v>
                </c:pt>
                <c:pt idx="104">
                  <c:v>0.9990186915887842</c:v>
                </c:pt>
                <c:pt idx="105">
                  <c:v>0.99908878504672816</c:v>
                </c:pt>
                <c:pt idx="106">
                  <c:v>0.99915887850467211</c:v>
                </c:pt>
                <c:pt idx="107">
                  <c:v>0.99922897196261606</c:v>
                </c:pt>
                <c:pt idx="108">
                  <c:v>0.99929906542056002</c:v>
                </c:pt>
                <c:pt idx="109">
                  <c:v>0.99936915887850397</c:v>
                </c:pt>
                <c:pt idx="110">
                  <c:v>0.99943925233644793</c:v>
                </c:pt>
                <c:pt idx="111">
                  <c:v>0.99950934579439188</c:v>
                </c:pt>
                <c:pt idx="112">
                  <c:v>0.99957943925233583</c:v>
                </c:pt>
                <c:pt idx="113">
                  <c:v>0.99962616822429839</c:v>
                </c:pt>
                <c:pt idx="114">
                  <c:v>0.99967289719626096</c:v>
                </c:pt>
                <c:pt idx="115">
                  <c:v>0.99971962616822352</c:v>
                </c:pt>
                <c:pt idx="116">
                  <c:v>0.99976635514018608</c:v>
                </c:pt>
                <c:pt idx="117">
                  <c:v>0.99981308411214864</c:v>
                </c:pt>
                <c:pt idx="118">
                  <c:v>0.9998598130841112</c:v>
                </c:pt>
                <c:pt idx="119">
                  <c:v>0.99990654205607377</c:v>
                </c:pt>
                <c:pt idx="120">
                  <c:v>0.99995327102803633</c:v>
                </c:pt>
                <c:pt idx="121">
                  <c:v>0.99999999999999889</c:v>
                </c:pt>
              </c:numCache>
            </c:numRef>
          </c:xVal>
          <c:yVal>
            <c:numRef>
              <c:f>[1]AESSCel119!$AP$4:$AP$125</c:f>
              <c:numCache>
                <c:formatCode>General</c:formatCode>
                <c:ptCount val="122"/>
                <c:pt idx="0">
                  <c:v>1</c:v>
                </c:pt>
                <c:pt idx="1">
                  <c:v>1</c:v>
                </c:pt>
                <c:pt idx="2">
                  <c:v>0.66666666666666663</c:v>
                </c:pt>
                <c:pt idx="3">
                  <c:v>0.5</c:v>
                </c:pt>
                <c:pt idx="4">
                  <c:v>0.6</c:v>
                </c:pt>
                <c:pt idx="5">
                  <c:v>0.66666666666666663</c:v>
                </c:pt>
                <c:pt idx="6">
                  <c:v>0.7142857142857143</c:v>
                </c:pt>
                <c:pt idx="7">
                  <c:v>0.75</c:v>
                </c:pt>
                <c:pt idx="8">
                  <c:v>0.77777777777777779</c:v>
                </c:pt>
                <c:pt idx="9">
                  <c:v>0.7</c:v>
                </c:pt>
                <c:pt idx="10">
                  <c:v>0.63636363636363635</c:v>
                </c:pt>
                <c:pt idx="11">
                  <c:v>0.66666666666666663</c:v>
                </c:pt>
                <c:pt idx="12">
                  <c:v>0.69230769230769229</c:v>
                </c:pt>
                <c:pt idx="13">
                  <c:v>0.6428571428571429</c:v>
                </c:pt>
                <c:pt idx="14">
                  <c:v>0.6</c:v>
                </c:pt>
                <c:pt idx="15">
                  <c:v>0.5625</c:v>
                </c:pt>
                <c:pt idx="16">
                  <c:v>0.52941176470588236</c:v>
                </c:pt>
                <c:pt idx="17">
                  <c:v>0.55555555555555558</c:v>
                </c:pt>
                <c:pt idx="18">
                  <c:v>0.57894736842105265</c:v>
                </c:pt>
                <c:pt idx="19">
                  <c:v>0.55000000000000004</c:v>
                </c:pt>
                <c:pt idx="20">
                  <c:v>0.52380952380952384</c:v>
                </c:pt>
                <c:pt idx="21">
                  <c:v>0.54545454545454541</c:v>
                </c:pt>
                <c:pt idx="22">
                  <c:v>0.56521739130434778</c:v>
                </c:pt>
                <c:pt idx="23">
                  <c:v>0.54166666666666663</c:v>
                </c:pt>
                <c:pt idx="24">
                  <c:v>0.52</c:v>
                </c:pt>
                <c:pt idx="25">
                  <c:v>0.53846153846153844</c:v>
                </c:pt>
                <c:pt idx="26">
                  <c:v>0.53846153846153844</c:v>
                </c:pt>
                <c:pt idx="27">
                  <c:v>0.55555555555555558</c:v>
                </c:pt>
                <c:pt idx="28">
                  <c:v>0.5714285714285714</c:v>
                </c:pt>
                <c:pt idx="29">
                  <c:v>0.55172413793103448</c:v>
                </c:pt>
                <c:pt idx="30">
                  <c:v>0.53333333333333333</c:v>
                </c:pt>
                <c:pt idx="31">
                  <c:v>0.5161290322580645</c:v>
                </c:pt>
                <c:pt idx="32">
                  <c:v>0.5</c:v>
                </c:pt>
                <c:pt idx="33">
                  <c:v>0.48484848484848486</c:v>
                </c:pt>
                <c:pt idx="34">
                  <c:v>0.47058823529411764</c:v>
                </c:pt>
                <c:pt idx="35">
                  <c:v>0.47058823529411764</c:v>
                </c:pt>
                <c:pt idx="36">
                  <c:v>0.45714285714285713</c:v>
                </c:pt>
                <c:pt idx="37">
                  <c:v>0.44444444444444442</c:v>
                </c:pt>
                <c:pt idx="38">
                  <c:v>0.43243243243243246</c:v>
                </c:pt>
                <c:pt idx="39">
                  <c:v>0.43243243243243246</c:v>
                </c:pt>
                <c:pt idx="40">
                  <c:v>0.43243243243243246</c:v>
                </c:pt>
                <c:pt idx="41">
                  <c:v>0.42105263157894735</c:v>
                </c:pt>
                <c:pt idx="42">
                  <c:v>0.41025641025641024</c:v>
                </c:pt>
                <c:pt idx="43">
                  <c:v>0.42499999999999999</c:v>
                </c:pt>
                <c:pt idx="44">
                  <c:v>0.41463414634146339</c:v>
                </c:pt>
                <c:pt idx="45">
                  <c:v>0.40476190476190477</c:v>
                </c:pt>
                <c:pt idx="46">
                  <c:v>0.40476190476190477</c:v>
                </c:pt>
                <c:pt idx="47">
                  <c:v>0.40476190476190477</c:v>
                </c:pt>
                <c:pt idx="48">
                  <c:v>0.40476190476190477</c:v>
                </c:pt>
                <c:pt idx="49">
                  <c:v>0.39534883720930231</c:v>
                </c:pt>
                <c:pt idx="50">
                  <c:v>0.38636363636363635</c:v>
                </c:pt>
                <c:pt idx="51">
                  <c:v>0.38636363636363635</c:v>
                </c:pt>
                <c:pt idx="52">
                  <c:v>0.38636363636363635</c:v>
                </c:pt>
                <c:pt idx="53">
                  <c:v>0.38636363636363635</c:v>
                </c:pt>
                <c:pt idx="54">
                  <c:v>0.38636363636363635</c:v>
                </c:pt>
                <c:pt idx="55">
                  <c:v>0.37777777777777777</c:v>
                </c:pt>
                <c:pt idx="56">
                  <c:v>0.37777777777777777</c:v>
                </c:pt>
                <c:pt idx="57">
                  <c:v>0.39130434782608697</c:v>
                </c:pt>
                <c:pt idx="58">
                  <c:v>0.39130434782608697</c:v>
                </c:pt>
                <c:pt idx="59">
                  <c:v>0.39130434782608697</c:v>
                </c:pt>
                <c:pt idx="60">
                  <c:v>0.39130434782608697</c:v>
                </c:pt>
                <c:pt idx="61">
                  <c:v>0.38297872340425532</c:v>
                </c:pt>
                <c:pt idx="62">
                  <c:v>0.38297872340425532</c:v>
                </c:pt>
                <c:pt idx="63">
                  <c:v>0.375</c:v>
                </c:pt>
                <c:pt idx="64">
                  <c:v>0.375</c:v>
                </c:pt>
                <c:pt idx="65">
                  <c:v>0.375</c:v>
                </c:pt>
                <c:pt idx="66">
                  <c:v>0.375</c:v>
                </c:pt>
                <c:pt idx="67">
                  <c:v>0.36734693877551022</c:v>
                </c:pt>
                <c:pt idx="68">
                  <c:v>0.36734693877551022</c:v>
                </c:pt>
                <c:pt idx="69">
                  <c:v>0.36734693877551022</c:v>
                </c:pt>
                <c:pt idx="70">
                  <c:v>0.36</c:v>
                </c:pt>
                <c:pt idx="71">
                  <c:v>0.36</c:v>
                </c:pt>
                <c:pt idx="72">
                  <c:v>0.36</c:v>
                </c:pt>
                <c:pt idx="73">
                  <c:v>0.36</c:v>
                </c:pt>
                <c:pt idx="74">
                  <c:v>0.35294117647058826</c:v>
                </c:pt>
                <c:pt idx="75">
                  <c:v>0.35294117647058826</c:v>
                </c:pt>
                <c:pt idx="76">
                  <c:v>0.35294117647058826</c:v>
                </c:pt>
                <c:pt idx="77">
                  <c:v>0.35294117647058826</c:v>
                </c:pt>
                <c:pt idx="78">
                  <c:v>0.35294117647058826</c:v>
                </c:pt>
                <c:pt idx="79">
                  <c:v>0.35294117647058826</c:v>
                </c:pt>
                <c:pt idx="80">
                  <c:v>0.35294117647058826</c:v>
                </c:pt>
                <c:pt idx="81">
                  <c:v>0.35294117647058826</c:v>
                </c:pt>
                <c:pt idx="82">
                  <c:v>0.35294117647058826</c:v>
                </c:pt>
                <c:pt idx="83">
                  <c:v>0.35294117647058826</c:v>
                </c:pt>
                <c:pt idx="84">
                  <c:v>0.35294117647058826</c:v>
                </c:pt>
                <c:pt idx="85">
                  <c:v>0.35294117647058826</c:v>
                </c:pt>
                <c:pt idx="86">
                  <c:v>0.35294117647058826</c:v>
                </c:pt>
                <c:pt idx="87">
                  <c:v>0.35294117647058826</c:v>
                </c:pt>
                <c:pt idx="88">
                  <c:v>0.35294117647058826</c:v>
                </c:pt>
                <c:pt idx="89">
                  <c:v>0.35294117647058826</c:v>
                </c:pt>
                <c:pt idx="90">
                  <c:v>0.35294117647058826</c:v>
                </c:pt>
                <c:pt idx="91">
                  <c:v>0.35294117647058826</c:v>
                </c:pt>
                <c:pt idx="92">
                  <c:v>0.35294117647058826</c:v>
                </c:pt>
                <c:pt idx="93">
                  <c:v>0.34615384615384615</c:v>
                </c:pt>
                <c:pt idx="94">
                  <c:v>0.34615384615384615</c:v>
                </c:pt>
                <c:pt idx="95">
                  <c:v>0.34615384615384615</c:v>
                </c:pt>
                <c:pt idx="96">
                  <c:v>0.34615384615384615</c:v>
                </c:pt>
                <c:pt idx="97">
                  <c:v>0.34615384615384615</c:v>
                </c:pt>
                <c:pt idx="98">
                  <c:v>0.34615384615384615</c:v>
                </c:pt>
                <c:pt idx="99">
                  <c:v>0.34615384615384615</c:v>
                </c:pt>
                <c:pt idx="100">
                  <c:v>0.34615384615384615</c:v>
                </c:pt>
                <c:pt idx="101">
                  <c:v>0.33962264150943394</c:v>
                </c:pt>
                <c:pt idx="102">
                  <c:v>0.33962264150943394</c:v>
                </c:pt>
                <c:pt idx="103">
                  <c:v>0.33962264150943394</c:v>
                </c:pt>
                <c:pt idx="104">
                  <c:v>0.33333333333333331</c:v>
                </c:pt>
                <c:pt idx="105">
                  <c:v>0.33333333333333331</c:v>
                </c:pt>
                <c:pt idx="106">
                  <c:v>0.33333333333333331</c:v>
                </c:pt>
                <c:pt idx="107">
                  <c:v>0.33333333333333331</c:v>
                </c:pt>
                <c:pt idx="108">
                  <c:v>0.33333333333333331</c:v>
                </c:pt>
                <c:pt idx="109">
                  <c:v>0.33333333333333331</c:v>
                </c:pt>
                <c:pt idx="110">
                  <c:v>0.33333333333333331</c:v>
                </c:pt>
                <c:pt idx="111">
                  <c:v>0.33333333333333331</c:v>
                </c:pt>
                <c:pt idx="112">
                  <c:v>0.33333333333333331</c:v>
                </c:pt>
                <c:pt idx="113">
                  <c:v>0.33333333333333331</c:v>
                </c:pt>
                <c:pt idx="114">
                  <c:v>0.33333333333333331</c:v>
                </c:pt>
                <c:pt idx="115">
                  <c:v>0.33333333333333331</c:v>
                </c:pt>
                <c:pt idx="116">
                  <c:v>0.33333333333333331</c:v>
                </c:pt>
                <c:pt idx="117">
                  <c:v>0.33333333333333331</c:v>
                </c:pt>
                <c:pt idx="118">
                  <c:v>0.33333333333333331</c:v>
                </c:pt>
                <c:pt idx="119">
                  <c:v>0.33333333333333331</c:v>
                </c:pt>
                <c:pt idx="120">
                  <c:v>0.33333333333333331</c:v>
                </c:pt>
                <c:pt idx="121">
                  <c:v>0.33333333333333331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'AESS-W1'!$AN$4</c:f>
              <c:strCache>
                <c:ptCount val="1"/>
                <c:pt idx="0">
                  <c:v>Spades 16S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[1]AESSCel119!$Y$4:$Y$125</c:f>
              <c:numCache>
                <c:formatCode>General</c:formatCode>
                <c:ptCount val="122"/>
                <c:pt idx="0">
                  <c:v>0.63862149532710277</c:v>
                </c:pt>
                <c:pt idx="1">
                  <c:v>0.66754672897196254</c:v>
                </c:pt>
                <c:pt idx="2">
                  <c:v>0.72221962616822422</c:v>
                </c:pt>
                <c:pt idx="3">
                  <c:v>0.79960280373831771</c:v>
                </c:pt>
                <c:pt idx="4">
                  <c:v>0.82927570093457936</c:v>
                </c:pt>
                <c:pt idx="5">
                  <c:v>0.85098130841121489</c:v>
                </c:pt>
                <c:pt idx="6">
                  <c:v>0.85808411214953262</c:v>
                </c:pt>
                <c:pt idx="7">
                  <c:v>0.88282710280373822</c:v>
                </c:pt>
                <c:pt idx="8">
                  <c:v>0.90142523364485971</c:v>
                </c:pt>
                <c:pt idx="9">
                  <c:v>0.92553738317756995</c:v>
                </c:pt>
                <c:pt idx="10">
                  <c:v>0.92584112149532694</c:v>
                </c:pt>
                <c:pt idx="11">
                  <c:v>0.92883177570093445</c:v>
                </c:pt>
                <c:pt idx="12">
                  <c:v>0.9336214953271027</c:v>
                </c:pt>
                <c:pt idx="13">
                  <c:v>0.93873831775700922</c:v>
                </c:pt>
                <c:pt idx="14">
                  <c:v>0.94030373831775693</c:v>
                </c:pt>
                <c:pt idx="15">
                  <c:v>0.94210280373831767</c:v>
                </c:pt>
                <c:pt idx="16">
                  <c:v>0.94747663551401862</c:v>
                </c:pt>
                <c:pt idx="17">
                  <c:v>0.95142523364485976</c:v>
                </c:pt>
                <c:pt idx="18">
                  <c:v>0.9539485981308411</c:v>
                </c:pt>
                <c:pt idx="19">
                  <c:v>0.95453271028037379</c:v>
                </c:pt>
                <c:pt idx="20">
                  <c:v>0.95829439252336446</c:v>
                </c:pt>
                <c:pt idx="21">
                  <c:v>0.96072429906542056</c:v>
                </c:pt>
                <c:pt idx="22">
                  <c:v>0.96364485981308412</c:v>
                </c:pt>
                <c:pt idx="23">
                  <c:v>0.96773364485981306</c:v>
                </c:pt>
                <c:pt idx="24">
                  <c:v>0.97028037383177568</c:v>
                </c:pt>
                <c:pt idx="25">
                  <c:v>0.97151869158878501</c:v>
                </c:pt>
                <c:pt idx="26">
                  <c:v>0.97151869158878501</c:v>
                </c:pt>
                <c:pt idx="27">
                  <c:v>0.97317757009345796</c:v>
                </c:pt>
                <c:pt idx="28">
                  <c:v>0.97406542056074763</c:v>
                </c:pt>
                <c:pt idx="29">
                  <c:v>0.97530373831775696</c:v>
                </c:pt>
                <c:pt idx="30">
                  <c:v>0.97630841121495326</c:v>
                </c:pt>
                <c:pt idx="31">
                  <c:v>0.97768691588785051</c:v>
                </c:pt>
                <c:pt idx="32">
                  <c:v>0.97908878504672903</c:v>
                </c:pt>
                <c:pt idx="33">
                  <c:v>0.98035046728971964</c:v>
                </c:pt>
                <c:pt idx="34">
                  <c:v>0.9808411214953271</c:v>
                </c:pt>
                <c:pt idx="35">
                  <c:v>0.98203271028037387</c:v>
                </c:pt>
                <c:pt idx="36">
                  <c:v>0.98278037383177574</c:v>
                </c:pt>
                <c:pt idx="37">
                  <c:v>0.98331775700934587</c:v>
                </c:pt>
                <c:pt idx="38">
                  <c:v>0.98401869158878508</c:v>
                </c:pt>
                <c:pt idx="39">
                  <c:v>0.984696261682243</c:v>
                </c:pt>
                <c:pt idx="40">
                  <c:v>0.984696261682243</c:v>
                </c:pt>
                <c:pt idx="41">
                  <c:v>0.98514018691588789</c:v>
                </c:pt>
                <c:pt idx="42">
                  <c:v>0.98577102803738326</c:v>
                </c:pt>
                <c:pt idx="43">
                  <c:v>0.98630841121495338</c:v>
                </c:pt>
                <c:pt idx="44">
                  <c:v>0.98689252336448607</c:v>
                </c:pt>
                <c:pt idx="45">
                  <c:v>0.98747663551401876</c:v>
                </c:pt>
                <c:pt idx="46">
                  <c:v>0.98803738317757017</c:v>
                </c:pt>
                <c:pt idx="47">
                  <c:v>0.98845794392523367</c:v>
                </c:pt>
                <c:pt idx="48">
                  <c:v>0.98887850467289717</c:v>
                </c:pt>
                <c:pt idx="49">
                  <c:v>0.98929906542056067</c:v>
                </c:pt>
                <c:pt idx="50">
                  <c:v>0.98969626168224289</c:v>
                </c:pt>
                <c:pt idx="51">
                  <c:v>0.99007009345794383</c:v>
                </c:pt>
                <c:pt idx="52">
                  <c:v>0.99042056074766349</c:v>
                </c:pt>
                <c:pt idx="53">
                  <c:v>0.99077102803738315</c:v>
                </c:pt>
                <c:pt idx="54">
                  <c:v>0.99109813084112142</c:v>
                </c:pt>
                <c:pt idx="55">
                  <c:v>0.99123831775700921</c:v>
                </c:pt>
                <c:pt idx="56">
                  <c:v>0.99156542056074748</c:v>
                </c:pt>
                <c:pt idx="57">
                  <c:v>0.99175233644859795</c:v>
                </c:pt>
                <c:pt idx="58">
                  <c:v>0.99205607476635493</c:v>
                </c:pt>
                <c:pt idx="59">
                  <c:v>0.99235981308411192</c:v>
                </c:pt>
                <c:pt idx="60">
                  <c:v>0.99264018691588762</c:v>
                </c:pt>
                <c:pt idx="61">
                  <c:v>0.99289719626168205</c:v>
                </c:pt>
                <c:pt idx="62">
                  <c:v>0.99315420560747647</c:v>
                </c:pt>
                <c:pt idx="63">
                  <c:v>0.99341121495327089</c:v>
                </c:pt>
                <c:pt idx="64">
                  <c:v>0.99366822429906532</c:v>
                </c:pt>
                <c:pt idx="65">
                  <c:v>0.99390186915887835</c:v>
                </c:pt>
                <c:pt idx="66">
                  <c:v>0.99413551401869138</c:v>
                </c:pt>
                <c:pt idx="67">
                  <c:v>0.99434579439252313</c:v>
                </c:pt>
                <c:pt idx="68">
                  <c:v>0.99455607476635488</c:v>
                </c:pt>
                <c:pt idx="69">
                  <c:v>0.99476635514018663</c:v>
                </c:pt>
                <c:pt idx="70">
                  <c:v>0.9949532710280371</c:v>
                </c:pt>
                <c:pt idx="71">
                  <c:v>0.99514018691588757</c:v>
                </c:pt>
                <c:pt idx="72">
                  <c:v>0.99514018691588757</c:v>
                </c:pt>
                <c:pt idx="73">
                  <c:v>0.99530373831775676</c:v>
                </c:pt>
                <c:pt idx="74">
                  <c:v>0.99546728971962595</c:v>
                </c:pt>
                <c:pt idx="75">
                  <c:v>0.99563084112149514</c:v>
                </c:pt>
                <c:pt idx="76">
                  <c:v>0.99579439252336432</c:v>
                </c:pt>
                <c:pt idx="77">
                  <c:v>0.99593457943925212</c:v>
                </c:pt>
                <c:pt idx="78">
                  <c:v>0.99607476635513992</c:v>
                </c:pt>
                <c:pt idx="79">
                  <c:v>0.99621495327102771</c:v>
                </c:pt>
                <c:pt idx="80">
                  <c:v>0.99635514018691551</c:v>
                </c:pt>
                <c:pt idx="81">
                  <c:v>0.99649532710280331</c:v>
                </c:pt>
                <c:pt idx="82">
                  <c:v>0.9966355140186911</c:v>
                </c:pt>
                <c:pt idx="83">
                  <c:v>0.9967757009345789</c:v>
                </c:pt>
                <c:pt idx="84">
                  <c:v>0.9969158878504667</c:v>
                </c:pt>
                <c:pt idx="85">
                  <c:v>0.99703271028037321</c:v>
                </c:pt>
                <c:pt idx="86">
                  <c:v>0.99714953271027973</c:v>
                </c:pt>
                <c:pt idx="87">
                  <c:v>0.99726635514018624</c:v>
                </c:pt>
                <c:pt idx="88">
                  <c:v>0.99738317757009276</c:v>
                </c:pt>
                <c:pt idx="89">
                  <c:v>0.99749999999999928</c:v>
                </c:pt>
                <c:pt idx="90">
                  <c:v>0.99761682242990579</c:v>
                </c:pt>
                <c:pt idx="91">
                  <c:v>0.99773364485981231</c:v>
                </c:pt>
                <c:pt idx="92">
                  <c:v>0.99785046728971882</c:v>
                </c:pt>
                <c:pt idx="93">
                  <c:v>0.99796728971962534</c:v>
                </c:pt>
                <c:pt idx="94">
                  <c:v>0.99808411214953185</c:v>
                </c:pt>
                <c:pt idx="95">
                  <c:v>0.99820093457943837</c:v>
                </c:pt>
                <c:pt idx="96">
                  <c:v>0.99829439252336361</c:v>
                </c:pt>
                <c:pt idx="97">
                  <c:v>0.99838785046728884</c:v>
                </c:pt>
                <c:pt idx="98">
                  <c:v>0.99848130841121407</c:v>
                </c:pt>
                <c:pt idx="99">
                  <c:v>0.99857476635513931</c:v>
                </c:pt>
                <c:pt idx="100">
                  <c:v>0.99866822429906454</c:v>
                </c:pt>
                <c:pt idx="101">
                  <c:v>0.99876168224298978</c:v>
                </c:pt>
                <c:pt idx="102">
                  <c:v>0.99885514018691501</c:v>
                </c:pt>
                <c:pt idx="103">
                  <c:v>0.99894859813084025</c:v>
                </c:pt>
                <c:pt idx="104">
                  <c:v>0.9990186915887842</c:v>
                </c:pt>
                <c:pt idx="105">
                  <c:v>0.99908878504672816</c:v>
                </c:pt>
                <c:pt idx="106">
                  <c:v>0.99915887850467211</c:v>
                </c:pt>
                <c:pt idx="107">
                  <c:v>0.99922897196261606</c:v>
                </c:pt>
                <c:pt idx="108">
                  <c:v>0.99929906542056002</c:v>
                </c:pt>
                <c:pt idx="109">
                  <c:v>0.99936915887850397</c:v>
                </c:pt>
                <c:pt idx="110">
                  <c:v>0.99943925233644793</c:v>
                </c:pt>
                <c:pt idx="111">
                  <c:v>0.99950934579439188</c:v>
                </c:pt>
                <c:pt idx="112">
                  <c:v>0.99957943925233583</c:v>
                </c:pt>
                <c:pt idx="113">
                  <c:v>0.99962616822429839</c:v>
                </c:pt>
                <c:pt idx="114">
                  <c:v>0.99967289719626096</c:v>
                </c:pt>
                <c:pt idx="115">
                  <c:v>0.99971962616822352</c:v>
                </c:pt>
                <c:pt idx="116">
                  <c:v>0.99976635514018608</c:v>
                </c:pt>
                <c:pt idx="117">
                  <c:v>0.99981308411214864</c:v>
                </c:pt>
                <c:pt idx="118">
                  <c:v>0.9998598130841112</c:v>
                </c:pt>
                <c:pt idx="119">
                  <c:v>0.99990654205607377</c:v>
                </c:pt>
                <c:pt idx="120">
                  <c:v>0.99995327102803633</c:v>
                </c:pt>
                <c:pt idx="121">
                  <c:v>0.99999999999999889</c:v>
                </c:pt>
              </c:numCache>
            </c:numRef>
          </c:xVal>
          <c:yVal>
            <c:numRef>
              <c:f>[1]AESSCel119!$AQ$4:$AQ$125</c:f>
              <c:numCache>
                <c:formatCode>General</c:formatCode>
                <c:ptCount val="1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</c:v>
                </c:pt>
                <c:pt idx="10">
                  <c:v>0.90909090909090906</c:v>
                </c:pt>
                <c:pt idx="11">
                  <c:v>0.91666666666666663</c:v>
                </c:pt>
                <c:pt idx="12">
                  <c:v>0.92307692307692313</c:v>
                </c:pt>
                <c:pt idx="13">
                  <c:v>0.9285714285714286</c:v>
                </c:pt>
                <c:pt idx="14">
                  <c:v>0.93333333333333335</c:v>
                </c:pt>
                <c:pt idx="15">
                  <c:v>0.9375</c:v>
                </c:pt>
                <c:pt idx="16">
                  <c:v>0.94117647058823528</c:v>
                </c:pt>
                <c:pt idx="17">
                  <c:v>0.94444444444444442</c:v>
                </c:pt>
                <c:pt idx="18">
                  <c:v>0.94736842105263153</c:v>
                </c:pt>
                <c:pt idx="19">
                  <c:v>0.95</c:v>
                </c:pt>
                <c:pt idx="20">
                  <c:v>0.90476190476190477</c:v>
                </c:pt>
                <c:pt idx="21">
                  <c:v>0.90909090909090906</c:v>
                </c:pt>
                <c:pt idx="22">
                  <c:v>0.91304347826086951</c:v>
                </c:pt>
                <c:pt idx="23">
                  <c:v>0.875</c:v>
                </c:pt>
                <c:pt idx="24">
                  <c:v>0.84</c:v>
                </c:pt>
                <c:pt idx="25">
                  <c:v>0.84615384615384615</c:v>
                </c:pt>
                <c:pt idx="26">
                  <c:v>0.81481481481481477</c:v>
                </c:pt>
                <c:pt idx="27">
                  <c:v>0.7857142857142857</c:v>
                </c:pt>
                <c:pt idx="28">
                  <c:v>0.7931034482758621</c:v>
                </c:pt>
                <c:pt idx="29">
                  <c:v>0.8</c:v>
                </c:pt>
                <c:pt idx="30">
                  <c:v>0.77419354838709675</c:v>
                </c:pt>
                <c:pt idx="31">
                  <c:v>0.75</c:v>
                </c:pt>
                <c:pt idx="32">
                  <c:v>0.72727272727272729</c:v>
                </c:pt>
                <c:pt idx="33">
                  <c:v>0.70588235294117652</c:v>
                </c:pt>
                <c:pt idx="34">
                  <c:v>0.7142857142857143</c:v>
                </c:pt>
                <c:pt idx="35">
                  <c:v>0.69444444444444442</c:v>
                </c:pt>
                <c:pt idx="36">
                  <c:v>0.67567567567567566</c:v>
                </c:pt>
                <c:pt idx="37">
                  <c:v>0.65789473684210531</c:v>
                </c:pt>
                <c:pt idx="38">
                  <c:v>0.6414701803051317</c:v>
                </c:pt>
                <c:pt idx="39">
                  <c:v>0.62584573748308514</c:v>
                </c:pt>
                <c:pt idx="40">
                  <c:v>0.61096433289299856</c:v>
                </c:pt>
                <c:pt idx="41">
                  <c:v>0.59676406173070062</c:v>
                </c:pt>
                <c:pt idx="42">
                  <c:v>0.58354876485689988</c:v>
                </c:pt>
                <c:pt idx="43">
                  <c:v>0.57121547765808278</c:v>
                </c:pt>
                <c:pt idx="44">
                  <c:v>0.55936983198103152</c:v>
                </c:pt>
                <c:pt idx="45">
                  <c:v>0.54827071604209965</c:v>
                </c:pt>
                <c:pt idx="46">
                  <c:v>0.53760349170769783</c:v>
                </c:pt>
                <c:pt idx="47">
                  <c:v>0.52734343127032479</c:v>
                </c:pt>
                <c:pt idx="48">
                  <c:v>0.51746765936525652</c:v>
                </c:pt>
                <c:pt idx="49">
                  <c:v>0.50817223381850118</c:v>
                </c:pt>
                <c:pt idx="50">
                  <c:v>0.49940515592813556</c:v>
                </c:pt>
                <c:pt idx="51">
                  <c:v>0.49093545010058193</c:v>
                </c:pt>
                <c:pt idx="52">
                  <c:v>0.48274823873064848</c:v>
                </c:pt>
                <c:pt idx="53">
                  <c:v>0.47482962037477883</c:v>
                </c:pt>
                <c:pt idx="54">
                  <c:v>0.46716659098221619</c:v>
                </c:pt>
                <c:pt idx="55">
                  <c:v>0.47830566333691238</c:v>
                </c:pt>
                <c:pt idx="56">
                  <c:v>0.47098898423932539</c:v>
                </c:pt>
                <c:pt idx="57">
                  <c:v>0.48189264678331845</c:v>
                </c:pt>
                <c:pt idx="58">
                  <c:v>0.47489090401565481</c:v>
                </c:pt>
                <c:pt idx="59">
                  <c:v>0.46808971336244498</c:v>
                </c:pt>
                <c:pt idx="60">
                  <c:v>0.46148057981298773</c:v>
                </c:pt>
                <c:pt idx="61">
                  <c:v>0.45519032231344025</c:v>
                </c:pt>
                <c:pt idx="62">
                  <c:v>0.44906923884636529</c:v>
                </c:pt>
                <c:pt idx="63">
                  <c:v>0.4432331202675826</c:v>
                </c:pt>
                <c:pt idx="64">
                  <c:v>0.43754674835372559</c:v>
                </c:pt>
                <c:pt idx="65">
                  <c:v>0.43200443267313909</c:v>
                </c:pt>
                <c:pt idx="66">
                  <c:v>0.42660076750594422</c:v>
                </c:pt>
                <c:pt idx="67">
                  <c:v>0.42143686648813083</c:v>
                </c:pt>
                <c:pt idx="68">
                  <c:v>0.41639648587699146</c:v>
                </c:pt>
                <c:pt idx="69">
                  <c:v>0.41147524614325154</c:v>
                </c:pt>
                <c:pt idx="70">
                  <c:v>0.4067639972514972</c:v>
                </c:pt>
                <c:pt idx="71">
                  <c:v>0.40215941143692024</c:v>
                </c:pt>
                <c:pt idx="72">
                  <c:v>0.39765790695327902</c:v>
                </c:pt>
                <c:pt idx="73">
                  <c:v>0.39325606064588703</c:v>
                </c:pt>
                <c:pt idx="74">
                  <c:v>0.38903411375035146</c:v>
                </c:pt>
                <c:pt idx="75">
                  <c:v>0.38490185652443548</c:v>
                </c:pt>
                <c:pt idx="76">
                  <c:v>0.38085646099901915</c:v>
                </c:pt>
                <c:pt idx="77">
                  <c:v>0.37689521685850558</c:v>
                </c:pt>
                <c:pt idx="78">
                  <c:v>0.37301552538530014</c:v>
                </c:pt>
                <c:pt idx="79">
                  <c:v>0.3692148937744853</c:v>
                </c:pt>
                <c:pt idx="80">
                  <c:v>0.36549092979255499</c:v>
                </c:pt>
                <c:pt idx="81">
                  <c:v>0.36184133675615787</c:v>
                </c:pt>
                <c:pt idx="82">
                  <c:v>0.35826390880870435</c:v>
                </c:pt>
                <c:pt idx="83">
                  <c:v>0.35475652647442346</c:v>
                </c:pt>
                <c:pt idx="84">
                  <c:v>0.35131715247104112</c:v>
                </c:pt>
                <c:pt idx="85">
                  <c:v>0.34794382776369687</c:v>
                </c:pt>
                <c:pt idx="86">
                  <c:v>0.34463466784403846</c:v>
                </c:pt>
                <c:pt idx="87">
                  <c:v>0.34138785921964504</c:v>
                </c:pt>
                <c:pt idx="88">
                  <c:v>0.33820165610003711</c:v>
                </c:pt>
                <c:pt idx="89">
                  <c:v>0.33507437726654909</c:v>
                </c:pt>
                <c:pt idx="90">
                  <c:v>0.33200440311427298</c:v>
                </c:pt>
                <c:pt idx="91">
                  <c:v>0.3289901728551366</c:v>
                </c:pt>
                <c:pt idx="92">
                  <c:v>0.32603018187196892</c:v>
                </c:pt>
                <c:pt idx="93">
                  <c:v>0.32317839793286957</c:v>
                </c:pt>
                <c:pt idx="94">
                  <c:v>0.32037607047044414</c:v>
                </c:pt>
                <c:pt idx="95">
                  <c:v>0.31762192401134115</c:v>
                </c:pt>
                <c:pt idx="96">
                  <c:v>0.31491472656734587</c:v>
                </c:pt>
                <c:pt idx="97">
                  <c:v>0.31225328779785061</c:v>
                </c:pt>
                <c:pt idx="98">
                  <c:v>0.30963645726472133</c:v>
                </c:pt>
                <c:pt idx="99">
                  <c:v>0.30706312277418518</c:v>
                </c:pt>
                <c:pt idx="100">
                  <c:v>0.30453220880071841</c:v>
                </c:pt>
                <c:pt idx="101">
                  <c:v>0.30208927051519108</c:v>
                </c:pt>
                <c:pt idx="102">
                  <c:v>0.29968521451393687</c:v>
                </c:pt>
                <c:pt idx="103">
                  <c:v>0.29731911983895071</c:v>
                </c:pt>
                <c:pt idx="104">
                  <c:v>0.29503289284245454</c:v>
                </c:pt>
                <c:pt idx="105">
                  <c:v>0.29278155730523781</c:v>
                </c:pt>
                <c:pt idx="106">
                  <c:v>0.2905643205275063</c:v>
                </c:pt>
                <c:pt idx="107">
                  <c:v>0.28838041364147021</c:v>
                </c:pt>
                <c:pt idx="108">
                  <c:v>0.2862290907224081</c:v>
                </c:pt>
                <c:pt idx="109">
                  <c:v>0.28410962793922567</c:v>
                </c:pt>
                <c:pt idx="110">
                  <c:v>0.28202132274247588</c:v>
                </c:pt>
                <c:pt idx="111">
                  <c:v>0.27996349308792856</c:v>
                </c:pt>
                <c:pt idx="112">
                  <c:v>0.27793547669388563</c:v>
                </c:pt>
                <c:pt idx="113">
                  <c:v>0.27593663033054366</c:v>
                </c:pt>
                <c:pt idx="114">
                  <c:v>0.27396632913980234</c:v>
                </c:pt>
                <c:pt idx="115">
                  <c:v>0.27202396598400658</c:v>
                </c:pt>
                <c:pt idx="116">
                  <c:v>0.27010895082219827</c:v>
                </c:pt>
                <c:pt idx="117">
                  <c:v>0.26822071011252979</c:v>
                </c:pt>
                <c:pt idx="118">
                  <c:v>0.26635868623956882</c:v>
                </c:pt>
                <c:pt idx="119">
                  <c:v>0.26452233696529331</c:v>
                </c:pt>
                <c:pt idx="120">
                  <c:v>0.26271113490264064</c:v>
                </c:pt>
                <c:pt idx="121">
                  <c:v>0.26092456701053768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964096"/>
        <c:axId val="677963704"/>
      </c:scatterChart>
      <c:valAx>
        <c:axId val="6779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63704"/>
        <c:crosses val="autoZero"/>
        <c:crossBetween val="midCat"/>
      </c:valAx>
      <c:valAx>
        <c:axId val="67796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640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W2:  % matching OTUs vs % of reads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'AESS-W2'!$AL$4</c:f>
              <c:strCache>
                <c:ptCount val="1"/>
                <c:pt idx="0">
                  <c:v>Kelpie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'AESS-W2'!$Y$5:$Y$107</c:f>
              <c:numCache>
                <c:formatCode>0.0%</c:formatCode>
                <c:ptCount val="103"/>
                <c:pt idx="0">
                  <c:v>0.37274112780317875</c:v>
                </c:pt>
                <c:pt idx="1">
                  <c:v>0.5</c:v>
                </c:pt>
                <c:pt idx="2">
                  <c:v>0.58833006749401262</c:v>
                </c:pt>
                <c:pt idx="3">
                  <c:v>0.65083823209231439</c:v>
                </c:pt>
                <c:pt idx="4">
                  <c:v>0.71841933376877853</c:v>
                </c:pt>
                <c:pt idx="5">
                  <c:v>0.77204441541476154</c:v>
                </c:pt>
                <c:pt idx="6">
                  <c:v>0.83050293925538854</c:v>
                </c:pt>
                <c:pt idx="7">
                  <c:v>0.85129544959721304</c:v>
                </c:pt>
                <c:pt idx="8">
                  <c:v>0.87500544306553441</c:v>
                </c:pt>
                <c:pt idx="9">
                  <c:v>0.90050076202917473</c:v>
                </c:pt>
                <c:pt idx="10">
                  <c:v>0.90330938384498138</c:v>
                </c:pt>
                <c:pt idx="11">
                  <c:v>0.9285869801872414</c:v>
                </c:pt>
                <c:pt idx="12">
                  <c:v>0.94430655345090353</c:v>
                </c:pt>
                <c:pt idx="13">
                  <c:v>0.94839973873285432</c:v>
                </c:pt>
                <c:pt idx="14">
                  <c:v>0.9540387546266057</c:v>
                </c:pt>
                <c:pt idx="15">
                  <c:v>0.95989549314173739</c:v>
                </c:pt>
                <c:pt idx="16">
                  <c:v>0.96211626387981708</c:v>
                </c:pt>
                <c:pt idx="17">
                  <c:v>0.9630742434138907</c:v>
                </c:pt>
                <c:pt idx="18">
                  <c:v>0.9655127367733507</c:v>
                </c:pt>
                <c:pt idx="19">
                  <c:v>0.97030263444371867</c:v>
                </c:pt>
                <c:pt idx="20">
                  <c:v>0.9732418898323536</c:v>
                </c:pt>
                <c:pt idx="21">
                  <c:v>0.97476594818201612</c:v>
                </c:pt>
                <c:pt idx="22">
                  <c:v>0.97709558023078602</c:v>
                </c:pt>
                <c:pt idx="23">
                  <c:v>0.97912040060962335</c:v>
                </c:pt>
                <c:pt idx="24">
                  <c:v>0.98199433921184409</c:v>
                </c:pt>
                <c:pt idx="25">
                  <c:v>0.98325713041585017</c:v>
                </c:pt>
                <c:pt idx="26">
                  <c:v>0.98434574352275195</c:v>
                </c:pt>
                <c:pt idx="27">
                  <c:v>0.98497713912475504</c:v>
                </c:pt>
                <c:pt idx="28">
                  <c:v>0.98610929675593295</c:v>
                </c:pt>
                <c:pt idx="29">
                  <c:v>0.98678423688221206</c:v>
                </c:pt>
                <c:pt idx="30">
                  <c:v>0.9876768996298716</c:v>
                </c:pt>
                <c:pt idx="31">
                  <c:v>0.98811234487263233</c:v>
                </c:pt>
                <c:pt idx="32">
                  <c:v>0.98876551273677338</c:v>
                </c:pt>
                <c:pt idx="33">
                  <c:v>0.98939690833877647</c:v>
                </c:pt>
                <c:pt idx="34">
                  <c:v>0.99002830394077956</c:v>
                </c:pt>
                <c:pt idx="35">
                  <c:v>0.99042020465926417</c:v>
                </c:pt>
                <c:pt idx="36">
                  <c:v>0.99081210537774878</c:v>
                </c:pt>
                <c:pt idx="37">
                  <c:v>0.99118223383409543</c:v>
                </c:pt>
                <c:pt idx="38">
                  <c:v>0.99153059002830402</c:v>
                </c:pt>
                <c:pt idx="39">
                  <c:v>0.9918789462225126</c:v>
                </c:pt>
                <c:pt idx="40">
                  <c:v>0.99218375789244506</c:v>
                </c:pt>
                <c:pt idx="41">
                  <c:v>0.99248856956237752</c:v>
                </c:pt>
                <c:pt idx="42">
                  <c:v>0.99279338123230998</c:v>
                </c:pt>
                <c:pt idx="43">
                  <c:v>0.99307642064010448</c:v>
                </c:pt>
                <c:pt idx="44">
                  <c:v>0.99331591552362286</c:v>
                </c:pt>
                <c:pt idx="45">
                  <c:v>0.99353363814500317</c:v>
                </c:pt>
                <c:pt idx="46">
                  <c:v>0.99375136076638348</c:v>
                </c:pt>
                <c:pt idx="47">
                  <c:v>0.9939690833877638</c:v>
                </c:pt>
                <c:pt idx="48">
                  <c:v>0.99416503374700615</c:v>
                </c:pt>
                <c:pt idx="49">
                  <c:v>0.99436098410624851</c:v>
                </c:pt>
                <c:pt idx="50">
                  <c:v>0.99455693446549087</c:v>
                </c:pt>
                <c:pt idx="51">
                  <c:v>0.99475288482473323</c:v>
                </c:pt>
                <c:pt idx="52">
                  <c:v>0.99494883518397559</c:v>
                </c:pt>
                <c:pt idx="53">
                  <c:v>0.99514478554321795</c:v>
                </c:pt>
                <c:pt idx="54">
                  <c:v>0.99534073590246031</c:v>
                </c:pt>
                <c:pt idx="55">
                  <c:v>0.9955149139995646</c:v>
                </c:pt>
                <c:pt idx="56">
                  <c:v>0.99568909209666889</c:v>
                </c:pt>
                <c:pt idx="57">
                  <c:v>0.99584149793163512</c:v>
                </c:pt>
                <c:pt idx="58">
                  <c:v>0.99599390376660135</c:v>
                </c:pt>
                <c:pt idx="59">
                  <c:v>0.99614630960156758</c:v>
                </c:pt>
                <c:pt idx="60">
                  <c:v>0.99629871543653381</c:v>
                </c:pt>
                <c:pt idx="61">
                  <c:v>0.99642934900936198</c:v>
                </c:pt>
                <c:pt idx="62">
                  <c:v>0.99655998258219014</c:v>
                </c:pt>
                <c:pt idx="63">
                  <c:v>0.99669061615501831</c:v>
                </c:pt>
                <c:pt idx="64">
                  <c:v>0.99682124972784647</c:v>
                </c:pt>
                <c:pt idx="65">
                  <c:v>0.99695188330067464</c:v>
                </c:pt>
                <c:pt idx="66">
                  <c:v>0.99706074461136485</c:v>
                </c:pt>
                <c:pt idx="67">
                  <c:v>0.99716960592205506</c:v>
                </c:pt>
                <c:pt idx="68">
                  <c:v>0.99727846723274527</c:v>
                </c:pt>
                <c:pt idx="69">
                  <c:v>0.99738732854343548</c:v>
                </c:pt>
                <c:pt idx="70">
                  <c:v>0.99749618985412569</c:v>
                </c:pt>
                <c:pt idx="71">
                  <c:v>0.9976050511648159</c:v>
                </c:pt>
                <c:pt idx="72">
                  <c:v>0.99771391247550612</c:v>
                </c:pt>
                <c:pt idx="73">
                  <c:v>0.99782277378619633</c:v>
                </c:pt>
                <c:pt idx="74">
                  <c:v>0.99793163509688654</c:v>
                </c:pt>
                <c:pt idx="75">
                  <c:v>0.99804049640757675</c:v>
                </c:pt>
                <c:pt idx="76">
                  <c:v>0.99814935771826696</c:v>
                </c:pt>
                <c:pt idx="77">
                  <c:v>0.99823644676681911</c:v>
                </c:pt>
                <c:pt idx="78">
                  <c:v>0.99832353581537125</c:v>
                </c:pt>
                <c:pt idx="79">
                  <c:v>0.9984106248639234</c:v>
                </c:pt>
                <c:pt idx="80">
                  <c:v>0.99849771391247555</c:v>
                </c:pt>
                <c:pt idx="81">
                  <c:v>0.9985848029610277</c:v>
                </c:pt>
                <c:pt idx="82">
                  <c:v>0.99867189200957984</c:v>
                </c:pt>
                <c:pt idx="83">
                  <c:v>0.99875898105813199</c:v>
                </c:pt>
                <c:pt idx="84">
                  <c:v>0.99884607010668414</c:v>
                </c:pt>
                <c:pt idx="85">
                  <c:v>0.99893315915523628</c:v>
                </c:pt>
                <c:pt idx="86">
                  <c:v>0.99902024820378843</c:v>
                </c:pt>
                <c:pt idx="87">
                  <c:v>0.99910733725234058</c:v>
                </c:pt>
                <c:pt idx="88">
                  <c:v>0.99919442630089272</c:v>
                </c:pt>
                <c:pt idx="89">
                  <c:v>0.99928151534944487</c:v>
                </c:pt>
                <c:pt idx="90">
                  <c:v>0.99934683213585895</c:v>
                </c:pt>
                <c:pt idx="91">
                  <c:v>0.99941214892227304</c:v>
                </c:pt>
                <c:pt idx="92">
                  <c:v>0.99947746570868712</c:v>
                </c:pt>
                <c:pt idx="93">
                  <c:v>0.9995427824951012</c:v>
                </c:pt>
                <c:pt idx="94">
                  <c:v>0.99960809928151528</c:v>
                </c:pt>
                <c:pt idx="95">
                  <c:v>0.99967341606792937</c:v>
                </c:pt>
                <c:pt idx="96">
                  <c:v>0.99973873285434345</c:v>
                </c:pt>
                <c:pt idx="97">
                  <c:v>0.99978227737861947</c:v>
                </c:pt>
                <c:pt idx="98">
                  <c:v>0.99982582190289548</c:v>
                </c:pt>
                <c:pt idx="99">
                  <c:v>0.9998693664271715</c:v>
                </c:pt>
                <c:pt idx="100">
                  <c:v>0.99991291095144752</c:v>
                </c:pt>
                <c:pt idx="101">
                  <c:v>0.99995645547572354</c:v>
                </c:pt>
                <c:pt idx="102">
                  <c:v>0.99999999999999956</c:v>
                </c:pt>
              </c:numCache>
            </c:numRef>
          </c:xVal>
          <c:yVal>
            <c:numRef>
              <c:f>'AESS-W2'!$AL$5:$AL$107</c:f>
              <c:numCache>
                <c:formatCode>0.0%</c:formatCode>
                <c:ptCount val="10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0.967741935483871</c:v>
                </c:pt>
                <c:pt idx="38">
                  <c:v>0.967741935483871</c:v>
                </c:pt>
                <c:pt idx="39">
                  <c:v>0.967741935483871</c:v>
                </c:pt>
                <c:pt idx="40">
                  <c:v>0.967741935483871</c:v>
                </c:pt>
                <c:pt idx="41">
                  <c:v>0.967741935483871</c:v>
                </c:pt>
                <c:pt idx="42">
                  <c:v>0.967741935483871</c:v>
                </c:pt>
                <c:pt idx="43">
                  <c:v>0.967741935483871</c:v>
                </c:pt>
                <c:pt idx="44">
                  <c:v>0.967741935483871</c:v>
                </c:pt>
                <c:pt idx="45">
                  <c:v>0.967741935483871</c:v>
                </c:pt>
                <c:pt idx="46">
                  <c:v>0.967741935483871</c:v>
                </c:pt>
                <c:pt idx="47">
                  <c:v>0.967741935483871</c:v>
                </c:pt>
                <c:pt idx="48">
                  <c:v>0.967741935483871</c:v>
                </c:pt>
                <c:pt idx="49">
                  <c:v>0.9375</c:v>
                </c:pt>
                <c:pt idx="50">
                  <c:v>0.9375</c:v>
                </c:pt>
                <c:pt idx="51">
                  <c:v>0.9375</c:v>
                </c:pt>
                <c:pt idx="52">
                  <c:v>0.9375</c:v>
                </c:pt>
                <c:pt idx="53">
                  <c:v>0.9375</c:v>
                </c:pt>
                <c:pt idx="54">
                  <c:v>0.9375</c:v>
                </c:pt>
                <c:pt idx="55">
                  <c:v>0.9375</c:v>
                </c:pt>
                <c:pt idx="56">
                  <c:v>0.9375</c:v>
                </c:pt>
                <c:pt idx="57">
                  <c:v>0.9375</c:v>
                </c:pt>
                <c:pt idx="58">
                  <c:v>0.9375</c:v>
                </c:pt>
                <c:pt idx="59">
                  <c:v>0.9375</c:v>
                </c:pt>
                <c:pt idx="60">
                  <c:v>0.9375</c:v>
                </c:pt>
                <c:pt idx="61">
                  <c:v>0.90909090909090906</c:v>
                </c:pt>
                <c:pt idx="62">
                  <c:v>0.90909090909090906</c:v>
                </c:pt>
                <c:pt idx="63">
                  <c:v>0.90909090909090906</c:v>
                </c:pt>
                <c:pt idx="64">
                  <c:v>0.90909090909090906</c:v>
                </c:pt>
                <c:pt idx="65">
                  <c:v>0.90909090909090906</c:v>
                </c:pt>
                <c:pt idx="66">
                  <c:v>0.90909090909090906</c:v>
                </c:pt>
                <c:pt idx="67">
                  <c:v>0.90909090909090906</c:v>
                </c:pt>
                <c:pt idx="68">
                  <c:v>0.90909090909090906</c:v>
                </c:pt>
                <c:pt idx="69">
                  <c:v>0.90909090909090906</c:v>
                </c:pt>
                <c:pt idx="70">
                  <c:v>0.90909090909090906</c:v>
                </c:pt>
                <c:pt idx="71">
                  <c:v>0.90909090909090906</c:v>
                </c:pt>
                <c:pt idx="72">
                  <c:v>0.90909090909090906</c:v>
                </c:pt>
                <c:pt idx="73">
                  <c:v>0.90909090909090906</c:v>
                </c:pt>
                <c:pt idx="74">
                  <c:v>0.90909090909090906</c:v>
                </c:pt>
                <c:pt idx="75">
                  <c:v>0.90909090909090906</c:v>
                </c:pt>
                <c:pt idx="76">
                  <c:v>0.88235294117647056</c:v>
                </c:pt>
                <c:pt idx="77">
                  <c:v>0.88235294117647056</c:v>
                </c:pt>
                <c:pt idx="78">
                  <c:v>0.88235294117647056</c:v>
                </c:pt>
                <c:pt idx="79">
                  <c:v>0.88235294117647056</c:v>
                </c:pt>
                <c:pt idx="80">
                  <c:v>0.88235294117647056</c:v>
                </c:pt>
                <c:pt idx="81">
                  <c:v>0.88235294117647056</c:v>
                </c:pt>
                <c:pt idx="82">
                  <c:v>0.88235294117647056</c:v>
                </c:pt>
                <c:pt idx="83">
                  <c:v>0.88235294117647056</c:v>
                </c:pt>
                <c:pt idx="84">
                  <c:v>0.88235294117647056</c:v>
                </c:pt>
                <c:pt idx="85">
                  <c:v>0.88235294117647056</c:v>
                </c:pt>
                <c:pt idx="86">
                  <c:v>0.88235294117647056</c:v>
                </c:pt>
                <c:pt idx="87">
                  <c:v>0.88235294117647056</c:v>
                </c:pt>
                <c:pt idx="88">
                  <c:v>0.88235294117647056</c:v>
                </c:pt>
                <c:pt idx="89">
                  <c:v>0.88235294117647056</c:v>
                </c:pt>
                <c:pt idx="90">
                  <c:v>0.88235294117647056</c:v>
                </c:pt>
                <c:pt idx="91">
                  <c:v>0.88235294117647056</c:v>
                </c:pt>
                <c:pt idx="92">
                  <c:v>0.88235294117647056</c:v>
                </c:pt>
                <c:pt idx="93">
                  <c:v>0.88235294117647056</c:v>
                </c:pt>
                <c:pt idx="94">
                  <c:v>0.88235294117647056</c:v>
                </c:pt>
                <c:pt idx="95">
                  <c:v>0.88235294117647056</c:v>
                </c:pt>
                <c:pt idx="96">
                  <c:v>0.88235294117647056</c:v>
                </c:pt>
                <c:pt idx="97">
                  <c:v>0.88235294117647056</c:v>
                </c:pt>
                <c:pt idx="98">
                  <c:v>0.88235294117647056</c:v>
                </c:pt>
                <c:pt idx="99">
                  <c:v>0.88235294117647056</c:v>
                </c:pt>
                <c:pt idx="100">
                  <c:v>0.88235294117647056</c:v>
                </c:pt>
                <c:pt idx="101">
                  <c:v>0.88235294117647056</c:v>
                </c:pt>
                <c:pt idx="102">
                  <c:v>0.88235294117647056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'AESS-W2'!$AM$4</c:f>
              <c:strCache>
                <c:ptCount val="1"/>
                <c:pt idx="0">
                  <c:v>Spades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'AESS-W2'!$Y$5:$Y$107</c:f>
              <c:numCache>
                <c:formatCode>0.0%</c:formatCode>
                <c:ptCount val="103"/>
                <c:pt idx="0">
                  <c:v>0.37274112780317875</c:v>
                </c:pt>
                <c:pt idx="1">
                  <c:v>0.5</c:v>
                </c:pt>
                <c:pt idx="2">
                  <c:v>0.58833006749401262</c:v>
                </c:pt>
                <c:pt idx="3">
                  <c:v>0.65083823209231439</c:v>
                </c:pt>
                <c:pt idx="4">
                  <c:v>0.71841933376877853</c:v>
                </c:pt>
                <c:pt idx="5">
                  <c:v>0.77204441541476154</c:v>
                </c:pt>
                <c:pt idx="6">
                  <c:v>0.83050293925538854</c:v>
                </c:pt>
                <c:pt idx="7">
                  <c:v>0.85129544959721304</c:v>
                </c:pt>
                <c:pt idx="8">
                  <c:v>0.87500544306553441</c:v>
                </c:pt>
                <c:pt idx="9">
                  <c:v>0.90050076202917473</c:v>
                </c:pt>
                <c:pt idx="10">
                  <c:v>0.90330938384498138</c:v>
                </c:pt>
                <c:pt idx="11">
                  <c:v>0.9285869801872414</c:v>
                </c:pt>
                <c:pt idx="12">
                  <c:v>0.94430655345090353</c:v>
                </c:pt>
                <c:pt idx="13">
                  <c:v>0.94839973873285432</c:v>
                </c:pt>
                <c:pt idx="14">
                  <c:v>0.9540387546266057</c:v>
                </c:pt>
                <c:pt idx="15">
                  <c:v>0.95989549314173739</c:v>
                </c:pt>
                <c:pt idx="16">
                  <c:v>0.96211626387981708</c:v>
                </c:pt>
                <c:pt idx="17">
                  <c:v>0.9630742434138907</c:v>
                </c:pt>
                <c:pt idx="18">
                  <c:v>0.9655127367733507</c:v>
                </c:pt>
                <c:pt idx="19">
                  <c:v>0.97030263444371867</c:v>
                </c:pt>
                <c:pt idx="20">
                  <c:v>0.9732418898323536</c:v>
                </c:pt>
                <c:pt idx="21">
                  <c:v>0.97476594818201612</c:v>
                </c:pt>
                <c:pt idx="22">
                  <c:v>0.97709558023078602</c:v>
                </c:pt>
                <c:pt idx="23">
                  <c:v>0.97912040060962335</c:v>
                </c:pt>
                <c:pt idx="24">
                  <c:v>0.98199433921184409</c:v>
                </c:pt>
                <c:pt idx="25">
                  <c:v>0.98325713041585017</c:v>
                </c:pt>
                <c:pt idx="26">
                  <c:v>0.98434574352275195</c:v>
                </c:pt>
                <c:pt idx="27">
                  <c:v>0.98497713912475504</c:v>
                </c:pt>
                <c:pt idx="28">
                  <c:v>0.98610929675593295</c:v>
                </c:pt>
                <c:pt idx="29">
                  <c:v>0.98678423688221206</c:v>
                </c:pt>
                <c:pt idx="30">
                  <c:v>0.9876768996298716</c:v>
                </c:pt>
                <c:pt idx="31">
                  <c:v>0.98811234487263233</c:v>
                </c:pt>
                <c:pt idx="32">
                  <c:v>0.98876551273677338</c:v>
                </c:pt>
                <c:pt idx="33">
                  <c:v>0.98939690833877647</c:v>
                </c:pt>
                <c:pt idx="34">
                  <c:v>0.99002830394077956</c:v>
                </c:pt>
                <c:pt idx="35">
                  <c:v>0.99042020465926417</c:v>
                </c:pt>
                <c:pt idx="36">
                  <c:v>0.99081210537774878</c:v>
                </c:pt>
                <c:pt idx="37">
                  <c:v>0.99118223383409543</c:v>
                </c:pt>
                <c:pt idx="38">
                  <c:v>0.99153059002830402</c:v>
                </c:pt>
                <c:pt idx="39">
                  <c:v>0.9918789462225126</c:v>
                </c:pt>
                <c:pt idx="40">
                  <c:v>0.99218375789244506</c:v>
                </c:pt>
                <c:pt idx="41">
                  <c:v>0.99248856956237752</c:v>
                </c:pt>
                <c:pt idx="42">
                  <c:v>0.99279338123230998</c:v>
                </c:pt>
                <c:pt idx="43">
                  <c:v>0.99307642064010448</c:v>
                </c:pt>
                <c:pt idx="44">
                  <c:v>0.99331591552362286</c:v>
                </c:pt>
                <c:pt idx="45">
                  <c:v>0.99353363814500317</c:v>
                </c:pt>
                <c:pt idx="46">
                  <c:v>0.99375136076638348</c:v>
                </c:pt>
                <c:pt idx="47">
                  <c:v>0.9939690833877638</c:v>
                </c:pt>
                <c:pt idx="48">
                  <c:v>0.99416503374700615</c:v>
                </c:pt>
                <c:pt idx="49">
                  <c:v>0.99436098410624851</c:v>
                </c:pt>
                <c:pt idx="50">
                  <c:v>0.99455693446549087</c:v>
                </c:pt>
                <c:pt idx="51">
                  <c:v>0.99475288482473323</c:v>
                </c:pt>
                <c:pt idx="52">
                  <c:v>0.99494883518397559</c:v>
                </c:pt>
                <c:pt idx="53">
                  <c:v>0.99514478554321795</c:v>
                </c:pt>
                <c:pt idx="54">
                  <c:v>0.99534073590246031</c:v>
                </c:pt>
                <c:pt idx="55">
                  <c:v>0.9955149139995646</c:v>
                </c:pt>
                <c:pt idx="56">
                  <c:v>0.99568909209666889</c:v>
                </c:pt>
                <c:pt idx="57">
                  <c:v>0.99584149793163512</c:v>
                </c:pt>
                <c:pt idx="58">
                  <c:v>0.99599390376660135</c:v>
                </c:pt>
                <c:pt idx="59">
                  <c:v>0.99614630960156758</c:v>
                </c:pt>
                <c:pt idx="60">
                  <c:v>0.99629871543653381</c:v>
                </c:pt>
                <c:pt idx="61">
                  <c:v>0.99642934900936198</c:v>
                </c:pt>
                <c:pt idx="62">
                  <c:v>0.99655998258219014</c:v>
                </c:pt>
                <c:pt idx="63">
                  <c:v>0.99669061615501831</c:v>
                </c:pt>
                <c:pt idx="64">
                  <c:v>0.99682124972784647</c:v>
                </c:pt>
                <c:pt idx="65">
                  <c:v>0.99695188330067464</c:v>
                </c:pt>
                <c:pt idx="66">
                  <c:v>0.99706074461136485</c:v>
                </c:pt>
                <c:pt idx="67">
                  <c:v>0.99716960592205506</c:v>
                </c:pt>
                <c:pt idx="68">
                  <c:v>0.99727846723274527</c:v>
                </c:pt>
                <c:pt idx="69">
                  <c:v>0.99738732854343548</c:v>
                </c:pt>
                <c:pt idx="70">
                  <c:v>0.99749618985412569</c:v>
                </c:pt>
                <c:pt idx="71">
                  <c:v>0.9976050511648159</c:v>
                </c:pt>
                <c:pt idx="72">
                  <c:v>0.99771391247550612</c:v>
                </c:pt>
                <c:pt idx="73">
                  <c:v>0.99782277378619633</c:v>
                </c:pt>
                <c:pt idx="74">
                  <c:v>0.99793163509688654</c:v>
                </c:pt>
                <c:pt idx="75">
                  <c:v>0.99804049640757675</c:v>
                </c:pt>
                <c:pt idx="76">
                  <c:v>0.99814935771826696</c:v>
                </c:pt>
                <c:pt idx="77">
                  <c:v>0.99823644676681911</c:v>
                </c:pt>
                <c:pt idx="78">
                  <c:v>0.99832353581537125</c:v>
                </c:pt>
                <c:pt idx="79">
                  <c:v>0.9984106248639234</c:v>
                </c:pt>
                <c:pt idx="80">
                  <c:v>0.99849771391247555</c:v>
                </c:pt>
                <c:pt idx="81">
                  <c:v>0.9985848029610277</c:v>
                </c:pt>
                <c:pt idx="82">
                  <c:v>0.99867189200957984</c:v>
                </c:pt>
                <c:pt idx="83">
                  <c:v>0.99875898105813199</c:v>
                </c:pt>
                <c:pt idx="84">
                  <c:v>0.99884607010668414</c:v>
                </c:pt>
                <c:pt idx="85">
                  <c:v>0.99893315915523628</c:v>
                </c:pt>
                <c:pt idx="86">
                  <c:v>0.99902024820378843</c:v>
                </c:pt>
                <c:pt idx="87">
                  <c:v>0.99910733725234058</c:v>
                </c:pt>
                <c:pt idx="88">
                  <c:v>0.99919442630089272</c:v>
                </c:pt>
                <c:pt idx="89">
                  <c:v>0.99928151534944487</c:v>
                </c:pt>
                <c:pt idx="90">
                  <c:v>0.99934683213585895</c:v>
                </c:pt>
                <c:pt idx="91">
                  <c:v>0.99941214892227304</c:v>
                </c:pt>
                <c:pt idx="92">
                  <c:v>0.99947746570868712</c:v>
                </c:pt>
                <c:pt idx="93">
                  <c:v>0.9995427824951012</c:v>
                </c:pt>
                <c:pt idx="94">
                  <c:v>0.99960809928151528</c:v>
                </c:pt>
                <c:pt idx="95">
                  <c:v>0.99967341606792937</c:v>
                </c:pt>
                <c:pt idx="96">
                  <c:v>0.99973873285434345</c:v>
                </c:pt>
                <c:pt idx="97">
                  <c:v>0.99978227737861947</c:v>
                </c:pt>
                <c:pt idx="98">
                  <c:v>0.99982582190289548</c:v>
                </c:pt>
                <c:pt idx="99">
                  <c:v>0.9998693664271715</c:v>
                </c:pt>
                <c:pt idx="100">
                  <c:v>0.99991291095144752</c:v>
                </c:pt>
                <c:pt idx="101">
                  <c:v>0.99995645547572354</c:v>
                </c:pt>
                <c:pt idx="102">
                  <c:v>0.99999999999999956</c:v>
                </c:pt>
              </c:numCache>
            </c:numRef>
          </c:xVal>
          <c:yVal>
            <c:numRef>
              <c:f>'AESS-W2'!$AM$5:$AM$107</c:f>
              <c:numCache>
                <c:formatCode>0.0%</c:formatCode>
                <c:ptCount val="103"/>
                <c:pt idx="0">
                  <c:v>0</c:v>
                </c:pt>
                <c:pt idx="1">
                  <c:v>0.5</c:v>
                </c:pt>
                <c:pt idx="2">
                  <c:v>0.66666666666666663</c:v>
                </c:pt>
                <c:pt idx="3">
                  <c:v>0.75</c:v>
                </c:pt>
                <c:pt idx="4">
                  <c:v>0.8</c:v>
                </c:pt>
                <c:pt idx="5">
                  <c:v>0.66666666666666663</c:v>
                </c:pt>
                <c:pt idx="6">
                  <c:v>0.5714285714285714</c:v>
                </c:pt>
                <c:pt idx="7">
                  <c:v>0.625</c:v>
                </c:pt>
                <c:pt idx="8">
                  <c:v>0.66666666666666663</c:v>
                </c:pt>
                <c:pt idx="9">
                  <c:v>0.7</c:v>
                </c:pt>
                <c:pt idx="10">
                  <c:v>0.72727272727272729</c:v>
                </c:pt>
                <c:pt idx="11">
                  <c:v>0.66666666666666663</c:v>
                </c:pt>
                <c:pt idx="12">
                  <c:v>0.69230769230769229</c:v>
                </c:pt>
                <c:pt idx="13">
                  <c:v>0.7142857142857143</c:v>
                </c:pt>
                <c:pt idx="14">
                  <c:v>0.66666666666666663</c:v>
                </c:pt>
                <c:pt idx="15">
                  <c:v>0.6875</c:v>
                </c:pt>
                <c:pt idx="16">
                  <c:v>0.70588235294117652</c:v>
                </c:pt>
                <c:pt idx="17">
                  <c:v>0.72222222222222221</c:v>
                </c:pt>
                <c:pt idx="18">
                  <c:v>0.73684210526315785</c:v>
                </c:pt>
                <c:pt idx="19">
                  <c:v>0.7</c:v>
                </c:pt>
                <c:pt idx="20">
                  <c:v>0.66666666666666663</c:v>
                </c:pt>
                <c:pt idx="21">
                  <c:v>0.63636363636363635</c:v>
                </c:pt>
                <c:pt idx="22">
                  <c:v>0.60869565217391308</c:v>
                </c:pt>
                <c:pt idx="23">
                  <c:v>0.58333333333333337</c:v>
                </c:pt>
                <c:pt idx="24">
                  <c:v>0.58333333333333337</c:v>
                </c:pt>
                <c:pt idx="25">
                  <c:v>0.56000000000000005</c:v>
                </c:pt>
                <c:pt idx="26">
                  <c:v>0.53846153846153844</c:v>
                </c:pt>
                <c:pt idx="27">
                  <c:v>0.55555555555555558</c:v>
                </c:pt>
                <c:pt idx="28">
                  <c:v>0.5357142857142857</c:v>
                </c:pt>
                <c:pt idx="29">
                  <c:v>0.51724137931034486</c:v>
                </c:pt>
                <c:pt idx="30">
                  <c:v>0.51724137931034486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0.4838709677419355</c:v>
                </c:pt>
                <c:pt idx="38">
                  <c:v>0.4838709677419355</c:v>
                </c:pt>
                <c:pt idx="39">
                  <c:v>0.4838709677419355</c:v>
                </c:pt>
                <c:pt idx="40">
                  <c:v>0.4838709677419355</c:v>
                </c:pt>
                <c:pt idx="41">
                  <c:v>0.4838709677419355</c:v>
                </c:pt>
                <c:pt idx="42">
                  <c:v>0.4838709677419355</c:v>
                </c:pt>
                <c:pt idx="43">
                  <c:v>0.4838709677419355</c:v>
                </c:pt>
                <c:pt idx="44">
                  <c:v>0.4838709677419355</c:v>
                </c:pt>
                <c:pt idx="45">
                  <c:v>0.4838709677419355</c:v>
                </c:pt>
                <c:pt idx="46">
                  <c:v>0.4838709677419355</c:v>
                </c:pt>
                <c:pt idx="47">
                  <c:v>0.4838709677419355</c:v>
                </c:pt>
                <c:pt idx="48">
                  <c:v>0.4838709677419355</c:v>
                </c:pt>
                <c:pt idx="49">
                  <c:v>0.46875</c:v>
                </c:pt>
                <c:pt idx="50">
                  <c:v>0.46875</c:v>
                </c:pt>
                <c:pt idx="51">
                  <c:v>0.46875</c:v>
                </c:pt>
                <c:pt idx="52">
                  <c:v>0.46875</c:v>
                </c:pt>
                <c:pt idx="53">
                  <c:v>0.46875</c:v>
                </c:pt>
                <c:pt idx="54">
                  <c:v>0.46875</c:v>
                </c:pt>
                <c:pt idx="55">
                  <c:v>0.46875</c:v>
                </c:pt>
                <c:pt idx="56">
                  <c:v>0.46875</c:v>
                </c:pt>
                <c:pt idx="57">
                  <c:v>0.46875</c:v>
                </c:pt>
                <c:pt idx="58">
                  <c:v>0.46875</c:v>
                </c:pt>
                <c:pt idx="59">
                  <c:v>0.46875</c:v>
                </c:pt>
                <c:pt idx="60">
                  <c:v>0.46875</c:v>
                </c:pt>
                <c:pt idx="61">
                  <c:v>0.45454545454545453</c:v>
                </c:pt>
                <c:pt idx="62">
                  <c:v>0.45454545454545453</c:v>
                </c:pt>
                <c:pt idx="63">
                  <c:v>0.45454545454545453</c:v>
                </c:pt>
                <c:pt idx="64">
                  <c:v>0.45454545454545453</c:v>
                </c:pt>
                <c:pt idx="65">
                  <c:v>0.45454545454545453</c:v>
                </c:pt>
                <c:pt idx="66">
                  <c:v>0.45454545454545453</c:v>
                </c:pt>
                <c:pt idx="67">
                  <c:v>0.45454545454545453</c:v>
                </c:pt>
                <c:pt idx="68">
                  <c:v>0.45454545454545453</c:v>
                </c:pt>
                <c:pt idx="69">
                  <c:v>0.45454545454545453</c:v>
                </c:pt>
                <c:pt idx="70">
                  <c:v>0.45454545454545453</c:v>
                </c:pt>
                <c:pt idx="71">
                  <c:v>0.45454545454545453</c:v>
                </c:pt>
                <c:pt idx="72">
                  <c:v>0.45454545454545453</c:v>
                </c:pt>
                <c:pt idx="73">
                  <c:v>0.45454545454545453</c:v>
                </c:pt>
                <c:pt idx="74">
                  <c:v>0.45454545454545453</c:v>
                </c:pt>
                <c:pt idx="75">
                  <c:v>0.45454545454545453</c:v>
                </c:pt>
                <c:pt idx="76">
                  <c:v>0.44117647058823528</c:v>
                </c:pt>
                <c:pt idx="77">
                  <c:v>0.44117647058823528</c:v>
                </c:pt>
                <c:pt idx="78">
                  <c:v>0.44117647058823528</c:v>
                </c:pt>
                <c:pt idx="79">
                  <c:v>0.44117647058823528</c:v>
                </c:pt>
                <c:pt idx="80">
                  <c:v>0.44117647058823528</c:v>
                </c:pt>
                <c:pt idx="81">
                  <c:v>0.44117647058823528</c:v>
                </c:pt>
                <c:pt idx="82">
                  <c:v>0.44117647058823528</c:v>
                </c:pt>
                <c:pt idx="83">
                  <c:v>0.44117647058823528</c:v>
                </c:pt>
                <c:pt idx="84">
                  <c:v>0.44117647058823528</c:v>
                </c:pt>
                <c:pt idx="85">
                  <c:v>0.44117647058823528</c:v>
                </c:pt>
                <c:pt idx="86">
                  <c:v>0.44117647058823528</c:v>
                </c:pt>
                <c:pt idx="87">
                  <c:v>0.44117647058823528</c:v>
                </c:pt>
                <c:pt idx="88">
                  <c:v>0.44117647058823528</c:v>
                </c:pt>
                <c:pt idx="89">
                  <c:v>0.44117647058823528</c:v>
                </c:pt>
                <c:pt idx="90">
                  <c:v>0.44117647058823528</c:v>
                </c:pt>
                <c:pt idx="91">
                  <c:v>0.44117647058823528</c:v>
                </c:pt>
                <c:pt idx="92">
                  <c:v>0.44117647058823528</c:v>
                </c:pt>
                <c:pt idx="93">
                  <c:v>0.44117647058823528</c:v>
                </c:pt>
                <c:pt idx="94">
                  <c:v>0.44117647058823528</c:v>
                </c:pt>
                <c:pt idx="95">
                  <c:v>0.44117647058823528</c:v>
                </c:pt>
                <c:pt idx="96">
                  <c:v>0.44117647058823528</c:v>
                </c:pt>
                <c:pt idx="97">
                  <c:v>0.44117647058823528</c:v>
                </c:pt>
                <c:pt idx="98">
                  <c:v>0.44117647058823528</c:v>
                </c:pt>
                <c:pt idx="99">
                  <c:v>0.44117647058823528</c:v>
                </c:pt>
                <c:pt idx="100">
                  <c:v>0.44117647058823528</c:v>
                </c:pt>
                <c:pt idx="101">
                  <c:v>0.44117647058823528</c:v>
                </c:pt>
                <c:pt idx="102">
                  <c:v>0.44117647058823528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'AESS-W2'!$AN$4</c:f>
              <c:strCache>
                <c:ptCount val="1"/>
                <c:pt idx="0">
                  <c:v>Spades 16S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'AESS-W2'!$Y$5:$Y$107</c:f>
              <c:numCache>
                <c:formatCode>0.0%</c:formatCode>
                <c:ptCount val="103"/>
                <c:pt idx="0">
                  <c:v>0.37274112780317875</c:v>
                </c:pt>
                <c:pt idx="1">
                  <c:v>0.5</c:v>
                </c:pt>
                <c:pt idx="2">
                  <c:v>0.58833006749401262</c:v>
                </c:pt>
                <c:pt idx="3">
                  <c:v>0.65083823209231439</c:v>
                </c:pt>
                <c:pt idx="4">
                  <c:v>0.71841933376877853</c:v>
                </c:pt>
                <c:pt idx="5">
                  <c:v>0.77204441541476154</c:v>
                </c:pt>
                <c:pt idx="6">
                  <c:v>0.83050293925538854</c:v>
                </c:pt>
                <c:pt idx="7">
                  <c:v>0.85129544959721304</c:v>
                </c:pt>
                <c:pt idx="8">
                  <c:v>0.87500544306553441</c:v>
                </c:pt>
                <c:pt idx="9">
                  <c:v>0.90050076202917473</c:v>
                </c:pt>
                <c:pt idx="10">
                  <c:v>0.90330938384498138</c:v>
                </c:pt>
                <c:pt idx="11">
                  <c:v>0.9285869801872414</c:v>
                </c:pt>
                <c:pt idx="12">
                  <c:v>0.94430655345090353</c:v>
                </c:pt>
                <c:pt idx="13">
                  <c:v>0.94839973873285432</c:v>
                </c:pt>
                <c:pt idx="14">
                  <c:v>0.9540387546266057</c:v>
                </c:pt>
                <c:pt idx="15">
                  <c:v>0.95989549314173739</c:v>
                </c:pt>
                <c:pt idx="16">
                  <c:v>0.96211626387981708</c:v>
                </c:pt>
                <c:pt idx="17">
                  <c:v>0.9630742434138907</c:v>
                </c:pt>
                <c:pt idx="18">
                  <c:v>0.9655127367733507</c:v>
                </c:pt>
                <c:pt idx="19">
                  <c:v>0.97030263444371867</c:v>
                </c:pt>
                <c:pt idx="20">
                  <c:v>0.9732418898323536</c:v>
                </c:pt>
                <c:pt idx="21">
                  <c:v>0.97476594818201612</c:v>
                </c:pt>
                <c:pt idx="22">
                  <c:v>0.97709558023078602</c:v>
                </c:pt>
                <c:pt idx="23">
                  <c:v>0.97912040060962335</c:v>
                </c:pt>
                <c:pt idx="24">
                  <c:v>0.98199433921184409</c:v>
                </c:pt>
                <c:pt idx="25">
                  <c:v>0.98325713041585017</c:v>
                </c:pt>
                <c:pt idx="26">
                  <c:v>0.98434574352275195</c:v>
                </c:pt>
                <c:pt idx="27">
                  <c:v>0.98497713912475504</c:v>
                </c:pt>
                <c:pt idx="28">
                  <c:v>0.98610929675593295</c:v>
                </c:pt>
                <c:pt idx="29">
                  <c:v>0.98678423688221206</c:v>
                </c:pt>
                <c:pt idx="30">
                  <c:v>0.9876768996298716</c:v>
                </c:pt>
                <c:pt idx="31">
                  <c:v>0.98811234487263233</c:v>
                </c:pt>
                <c:pt idx="32">
                  <c:v>0.98876551273677338</c:v>
                </c:pt>
                <c:pt idx="33">
                  <c:v>0.98939690833877647</c:v>
                </c:pt>
                <c:pt idx="34">
                  <c:v>0.99002830394077956</c:v>
                </c:pt>
                <c:pt idx="35">
                  <c:v>0.99042020465926417</c:v>
                </c:pt>
                <c:pt idx="36">
                  <c:v>0.99081210537774878</c:v>
                </c:pt>
                <c:pt idx="37">
                  <c:v>0.99118223383409543</c:v>
                </c:pt>
                <c:pt idx="38">
                  <c:v>0.99153059002830402</c:v>
                </c:pt>
                <c:pt idx="39">
                  <c:v>0.9918789462225126</c:v>
                </c:pt>
                <c:pt idx="40">
                  <c:v>0.99218375789244506</c:v>
                </c:pt>
                <c:pt idx="41">
                  <c:v>0.99248856956237752</c:v>
                </c:pt>
                <c:pt idx="42">
                  <c:v>0.99279338123230998</c:v>
                </c:pt>
                <c:pt idx="43">
                  <c:v>0.99307642064010448</c:v>
                </c:pt>
                <c:pt idx="44">
                  <c:v>0.99331591552362286</c:v>
                </c:pt>
                <c:pt idx="45">
                  <c:v>0.99353363814500317</c:v>
                </c:pt>
                <c:pt idx="46">
                  <c:v>0.99375136076638348</c:v>
                </c:pt>
                <c:pt idx="47">
                  <c:v>0.9939690833877638</c:v>
                </c:pt>
                <c:pt idx="48">
                  <c:v>0.99416503374700615</c:v>
                </c:pt>
                <c:pt idx="49">
                  <c:v>0.99436098410624851</c:v>
                </c:pt>
                <c:pt idx="50">
                  <c:v>0.99455693446549087</c:v>
                </c:pt>
                <c:pt idx="51">
                  <c:v>0.99475288482473323</c:v>
                </c:pt>
                <c:pt idx="52">
                  <c:v>0.99494883518397559</c:v>
                </c:pt>
                <c:pt idx="53">
                  <c:v>0.99514478554321795</c:v>
                </c:pt>
                <c:pt idx="54">
                  <c:v>0.99534073590246031</c:v>
                </c:pt>
                <c:pt idx="55">
                  <c:v>0.9955149139995646</c:v>
                </c:pt>
                <c:pt idx="56">
                  <c:v>0.99568909209666889</c:v>
                </c:pt>
                <c:pt idx="57">
                  <c:v>0.99584149793163512</c:v>
                </c:pt>
                <c:pt idx="58">
                  <c:v>0.99599390376660135</c:v>
                </c:pt>
                <c:pt idx="59">
                  <c:v>0.99614630960156758</c:v>
                </c:pt>
                <c:pt idx="60">
                  <c:v>0.99629871543653381</c:v>
                </c:pt>
                <c:pt idx="61">
                  <c:v>0.99642934900936198</c:v>
                </c:pt>
                <c:pt idx="62">
                  <c:v>0.99655998258219014</c:v>
                </c:pt>
                <c:pt idx="63">
                  <c:v>0.99669061615501831</c:v>
                </c:pt>
                <c:pt idx="64">
                  <c:v>0.99682124972784647</c:v>
                </c:pt>
                <c:pt idx="65">
                  <c:v>0.99695188330067464</c:v>
                </c:pt>
                <c:pt idx="66">
                  <c:v>0.99706074461136485</c:v>
                </c:pt>
                <c:pt idx="67">
                  <c:v>0.99716960592205506</c:v>
                </c:pt>
                <c:pt idx="68">
                  <c:v>0.99727846723274527</c:v>
                </c:pt>
                <c:pt idx="69">
                  <c:v>0.99738732854343548</c:v>
                </c:pt>
                <c:pt idx="70">
                  <c:v>0.99749618985412569</c:v>
                </c:pt>
                <c:pt idx="71">
                  <c:v>0.9976050511648159</c:v>
                </c:pt>
                <c:pt idx="72">
                  <c:v>0.99771391247550612</c:v>
                </c:pt>
                <c:pt idx="73">
                  <c:v>0.99782277378619633</c:v>
                </c:pt>
                <c:pt idx="74">
                  <c:v>0.99793163509688654</c:v>
                </c:pt>
                <c:pt idx="75">
                  <c:v>0.99804049640757675</c:v>
                </c:pt>
                <c:pt idx="76">
                  <c:v>0.99814935771826696</c:v>
                </c:pt>
                <c:pt idx="77">
                  <c:v>0.99823644676681911</c:v>
                </c:pt>
                <c:pt idx="78">
                  <c:v>0.99832353581537125</c:v>
                </c:pt>
                <c:pt idx="79">
                  <c:v>0.9984106248639234</c:v>
                </c:pt>
                <c:pt idx="80">
                  <c:v>0.99849771391247555</c:v>
                </c:pt>
                <c:pt idx="81">
                  <c:v>0.9985848029610277</c:v>
                </c:pt>
                <c:pt idx="82">
                  <c:v>0.99867189200957984</c:v>
                </c:pt>
                <c:pt idx="83">
                  <c:v>0.99875898105813199</c:v>
                </c:pt>
                <c:pt idx="84">
                  <c:v>0.99884607010668414</c:v>
                </c:pt>
                <c:pt idx="85">
                  <c:v>0.99893315915523628</c:v>
                </c:pt>
                <c:pt idx="86">
                  <c:v>0.99902024820378843</c:v>
                </c:pt>
                <c:pt idx="87">
                  <c:v>0.99910733725234058</c:v>
                </c:pt>
                <c:pt idx="88">
                  <c:v>0.99919442630089272</c:v>
                </c:pt>
                <c:pt idx="89">
                  <c:v>0.99928151534944487</c:v>
                </c:pt>
                <c:pt idx="90">
                  <c:v>0.99934683213585895</c:v>
                </c:pt>
                <c:pt idx="91">
                  <c:v>0.99941214892227304</c:v>
                </c:pt>
                <c:pt idx="92">
                  <c:v>0.99947746570868712</c:v>
                </c:pt>
                <c:pt idx="93">
                  <c:v>0.9995427824951012</c:v>
                </c:pt>
                <c:pt idx="94">
                  <c:v>0.99960809928151528</c:v>
                </c:pt>
                <c:pt idx="95">
                  <c:v>0.99967341606792937</c:v>
                </c:pt>
                <c:pt idx="96">
                  <c:v>0.99973873285434345</c:v>
                </c:pt>
                <c:pt idx="97">
                  <c:v>0.99978227737861947</c:v>
                </c:pt>
                <c:pt idx="98">
                  <c:v>0.99982582190289548</c:v>
                </c:pt>
                <c:pt idx="99">
                  <c:v>0.9998693664271715</c:v>
                </c:pt>
                <c:pt idx="100">
                  <c:v>0.99991291095144752</c:v>
                </c:pt>
                <c:pt idx="101">
                  <c:v>0.99995645547572354</c:v>
                </c:pt>
                <c:pt idx="102">
                  <c:v>0.99999999999999956</c:v>
                </c:pt>
              </c:numCache>
            </c:numRef>
          </c:xVal>
          <c:yVal>
            <c:numRef>
              <c:f>'AESS-W2'!$AN$5:$AN$107</c:f>
              <c:numCache>
                <c:formatCode>0.0%</c:formatCode>
                <c:ptCount val="103"/>
                <c:pt idx="0">
                  <c:v>0</c:v>
                </c:pt>
                <c:pt idx="1">
                  <c:v>0.5</c:v>
                </c:pt>
                <c:pt idx="2">
                  <c:v>0.66666666666666663</c:v>
                </c:pt>
                <c:pt idx="3">
                  <c:v>0.75</c:v>
                </c:pt>
                <c:pt idx="4">
                  <c:v>0.8</c:v>
                </c:pt>
                <c:pt idx="5">
                  <c:v>0.66666666666666663</c:v>
                </c:pt>
                <c:pt idx="6">
                  <c:v>0.5714285714285714</c:v>
                </c:pt>
                <c:pt idx="7">
                  <c:v>0.625</c:v>
                </c:pt>
                <c:pt idx="8">
                  <c:v>0.66666666666666663</c:v>
                </c:pt>
                <c:pt idx="9">
                  <c:v>0.7</c:v>
                </c:pt>
                <c:pt idx="10">
                  <c:v>0.63636363636363635</c:v>
                </c:pt>
                <c:pt idx="11">
                  <c:v>0.58333333333333337</c:v>
                </c:pt>
                <c:pt idx="12">
                  <c:v>0.53846153846153844</c:v>
                </c:pt>
                <c:pt idx="13">
                  <c:v>0.5714285714285714</c:v>
                </c:pt>
                <c:pt idx="14">
                  <c:v>0.53333333333333333</c:v>
                </c:pt>
                <c:pt idx="15">
                  <c:v>0.5625</c:v>
                </c:pt>
                <c:pt idx="16">
                  <c:v>0.58823529411764708</c:v>
                </c:pt>
                <c:pt idx="17">
                  <c:v>0.61111111111111116</c:v>
                </c:pt>
                <c:pt idx="18">
                  <c:v>0.63157894736842102</c:v>
                </c:pt>
                <c:pt idx="19">
                  <c:v>0.6</c:v>
                </c:pt>
                <c:pt idx="20">
                  <c:v>0.5714285714285714</c:v>
                </c:pt>
                <c:pt idx="21">
                  <c:v>0.59090909090909094</c:v>
                </c:pt>
                <c:pt idx="22">
                  <c:v>0.56521739130434778</c:v>
                </c:pt>
                <c:pt idx="23">
                  <c:v>0.58333333333333337</c:v>
                </c:pt>
                <c:pt idx="24">
                  <c:v>0.56000000000000005</c:v>
                </c:pt>
                <c:pt idx="25">
                  <c:v>0.53846153846153844</c:v>
                </c:pt>
                <c:pt idx="26">
                  <c:v>0.51851851851851849</c:v>
                </c:pt>
                <c:pt idx="27">
                  <c:v>0.5</c:v>
                </c:pt>
                <c:pt idx="28">
                  <c:v>0.48275862068965519</c:v>
                </c:pt>
                <c:pt idx="29">
                  <c:v>0.46666666666666667</c:v>
                </c:pt>
                <c:pt idx="30">
                  <c:v>0.45161290322580644</c:v>
                </c:pt>
                <c:pt idx="31">
                  <c:v>0.4375</c:v>
                </c:pt>
                <c:pt idx="32">
                  <c:v>0.42424242424242425</c:v>
                </c:pt>
                <c:pt idx="33">
                  <c:v>0.41176470588235292</c:v>
                </c:pt>
                <c:pt idx="34">
                  <c:v>0.4</c:v>
                </c:pt>
                <c:pt idx="35">
                  <c:v>0.3888888888888889</c:v>
                </c:pt>
                <c:pt idx="36">
                  <c:v>0.3783783783783784</c:v>
                </c:pt>
                <c:pt idx="37">
                  <c:v>0.36873406966864908</c:v>
                </c:pt>
                <c:pt idx="38">
                  <c:v>0.35956917978458985</c:v>
                </c:pt>
                <c:pt idx="39">
                  <c:v>0.35084882780921584</c:v>
                </c:pt>
                <c:pt idx="40">
                  <c:v>0.34254143646408836</c:v>
                </c:pt>
                <c:pt idx="41">
                  <c:v>0.33461835003855045</c:v>
                </c:pt>
                <c:pt idx="42">
                  <c:v>0.3270535041446872</c:v>
                </c:pt>
                <c:pt idx="43">
                  <c:v>0.31982313927781869</c:v>
                </c:pt>
                <c:pt idx="44">
                  <c:v>0.31290555155010807</c:v>
                </c:pt>
                <c:pt idx="45">
                  <c:v>0.3062808750882145</c:v>
                </c:pt>
                <c:pt idx="46">
                  <c:v>0.29993089149965441</c:v>
                </c:pt>
                <c:pt idx="47">
                  <c:v>0.29383886255924163</c:v>
                </c:pt>
                <c:pt idx="48">
                  <c:v>0.28798938287989378</c:v>
                </c:pt>
                <c:pt idx="49">
                  <c:v>0.28254058672742804</c:v>
                </c:pt>
                <c:pt idx="50">
                  <c:v>0.27729414583499712</c:v>
                </c:pt>
                <c:pt idx="51">
                  <c:v>0.27223899321754808</c:v>
                </c:pt>
                <c:pt idx="52">
                  <c:v>0.26736485445864772</c:v>
                </c:pt>
                <c:pt idx="53">
                  <c:v>0.26266217800809466</c:v>
                </c:pt>
                <c:pt idx="54">
                  <c:v>0.25812207270834875</c:v>
                </c:pt>
                <c:pt idx="55">
                  <c:v>0.25373625168999153</c:v>
                </c:pt>
                <c:pt idx="56">
                  <c:v>0.24949698189134803</c:v>
                </c:pt>
                <c:pt idx="57">
                  <c:v>0.24539703855532383</c:v>
                </c:pt>
                <c:pt idx="58">
                  <c:v>0.24142966414018491</c:v>
                </c:pt>
                <c:pt idx="59">
                  <c:v>0.23758853115270123</c:v>
                </c:pt>
                <c:pt idx="60">
                  <c:v>0.23386770847366289</c:v>
                </c:pt>
                <c:pt idx="61">
                  <c:v>0.23036927122917492</c:v>
                </c:pt>
                <c:pt idx="62">
                  <c:v>0.22697395789999167</c:v>
                </c:pt>
                <c:pt idx="63">
                  <c:v>0.22367727501669143</c:v>
                </c:pt>
                <c:pt idx="64">
                  <c:v>0.22047498643390714</c:v>
                </c:pt>
                <c:pt idx="65">
                  <c:v>0.21736309517034136</c:v>
                </c:pt>
                <c:pt idx="66">
                  <c:v>0.21433782676529023</c:v>
                </c:pt>
                <c:pt idx="67">
                  <c:v>0.21139561400595577</c:v>
                </c:pt>
                <c:pt idx="68">
                  <c:v>0.20853308289561337</c:v>
                </c:pt>
                <c:pt idx="69">
                  <c:v>0.20574703974658726</c:v>
                </c:pt>
                <c:pt idx="70">
                  <c:v>0.20303445929422775</c:v>
                </c:pt>
                <c:pt idx="71">
                  <c:v>0.20039247373888958</c:v>
                </c:pt>
                <c:pt idx="72">
                  <c:v>0.19781836263246771</c:v>
                </c:pt>
                <c:pt idx="73">
                  <c:v>0.19530954353451369</c:v>
                </c:pt>
                <c:pt idx="74">
                  <c:v>0.19286356337046656</c:v>
                </c:pt>
                <c:pt idx="75">
                  <c:v>0.19047809043120911</c:v>
                </c:pt>
                <c:pt idx="76">
                  <c:v>0.18821854158344267</c:v>
                </c:pt>
                <c:pt idx="77">
                  <c:v>0.18601197212272841</c:v>
                </c:pt>
                <c:pt idx="78">
                  <c:v>0.18385654033769419</c:v>
                </c:pt>
                <c:pt idx="79">
                  <c:v>0.18175048890317183</c:v>
                </c:pt>
                <c:pt idx="80">
                  <c:v>0.17969214010177137</c:v>
                </c:pt>
                <c:pt idx="81">
                  <c:v>0.17767989136651721</c:v>
                </c:pt>
                <c:pt idx="82">
                  <c:v>0.17571221111965726</c:v>
                </c:pt>
                <c:pt idx="83">
                  <c:v>0.17378763488493745</c:v>
                </c:pt>
                <c:pt idx="84">
                  <c:v>0.17190476165260146</c:v>
                </c:pt>
                <c:pt idx="85">
                  <c:v>0.1700622504781549</c:v>
                </c:pt>
                <c:pt idx="86">
                  <c:v>0.16825881729754069</c:v>
                </c:pt>
                <c:pt idx="87">
                  <c:v>0.16649323194282983</c:v>
                </c:pt>
                <c:pt idx="88">
                  <c:v>0.16476431534385219</c:v>
                </c:pt>
                <c:pt idx="89">
                  <c:v>0.16307093690238986</c:v>
                </c:pt>
                <c:pt idx="90">
                  <c:v>0.16141201202664501</c:v>
                </c:pt>
                <c:pt idx="91">
                  <c:v>0.1597864998146839</c:v>
                </c:pt>
                <c:pt idx="92">
                  <c:v>0.15819340087645931</c:v>
                </c:pt>
                <c:pt idx="93">
                  <c:v>0.15663175528483594</c:v>
                </c:pt>
                <c:pt idx="94">
                  <c:v>0.15510064064679122</c:v>
                </c:pt>
                <c:pt idx="95">
                  <c:v>0.15359917028664788</c:v>
                </c:pt>
                <c:pt idx="96">
                  <c:v>0.15212649153381932</c:v>
                </c:pt>
                <c:pt idx="97">
                  <c:v>0.15068178410812028</c:v>
                </c:pt>
                <c:pt idx="98">
                  <c:v>0.14926425859621772</c:v>
                </c:pt>
                <c:pt idx="99">
                  <c:v>0.14787315501327614</c:v>
                </c:pt>
                <c:pt idx="100">
                  <c:v>0.14650774144429066</c:v>
                </c:pt>
                <c:pt idx="101">
                  <c:v>0.14516731276000461</c:v>
                </c:pt>
                <c:pt idx="102">
                  <c:v>0.14385118940267791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7964880"/>
        <c:axId val="677965272"/>
      </c:scatterChart>
      <c:valAx>
        <c:axId val="67796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65272"/>
        <c:crosses val="autoZero"/>
        <c:crossBetween val="midCat"/>
      </c:valAx>
      <c:valAx>
        <c:axId val="67796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96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800" b="0" i="0" baseline="0">
                <a:effectLst/>
              </a:rPr>
              <a:t>W3:  % matching OTUs vs % of reads</a:t>
            </a:r>
            <a:endParaRPr lang="en-A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'AESS-W3'!$AL$4</c:f>
              <c:strCache>
                <c:ptCount val="1"/>
                <c:pt idx="0">
                  <c:v>Kelpie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'AESS-W3'!$Y$5:$Y$129</c:f>
              <c:numCache>
                <c:formatCode>0.0%</c:formatCode>
                <c:ptCount val="125"/>
                <c:pt idx="0">
                  <c:v>0.22222222222222221</c:v>
                </c:pt>
                <c:pt idx="1">
                  <c:v>0.3933126508100655</c:v>
                </c:pt>
                <c:pt idx="2">
                  <c:v>0.48902677237734116</c:v>
                </c:pt>
                <c:pt idx="3">
                  <c:v>0.5785361369642652</c:v>
                </c:pt>
                <c:pt idx="4">
                  <c:v>0.59384694932781801</c:v>
                </c:pt>
                <c:pt idx="5">
                  <c:v>0.68821096173733198</c:v>
                </c:pt>
                <c:pt idx="6">
                  <c:v>0.73285074112375048</c:v>
                </c:pt>
                <c:pt idx="7">
                  <c:v>0.76999310582557745</c:v>
                </c:pt>
                <c:pt idx="8">
                  <c:v>0.78369527749052059</c:v>
                </c:pt>
                <c:pt idx="9">
                  <c:v>0.81598299436975763</c:v>
                </c:pt>
                <c:pt idx="10">
                  <c:v>0.84272664598414349</c:v>
                </c:pt>
                <c:pt idx="11">
                  <c:v>0.8674307709985063</c:v>
                </c:pt>
                <c:pt idx="12">
                  <c:v>0.87622084338733774</c:v>
                </c:pt>
                <c:pt idx="13">
                  <c:v>0.87622084338733774</c:v>
                </c:pt>
                <c:pt idx="14">
                  <c:v>0.87622084338733774</c:v>
                </c:pt>
                <c:pt idx="15">
                  <c:v>0.87714006664368616</c:v>
                </c:pt>
                <c:pt idx="16">
                  <c:v>0.8854705274043434</c:v>
                </c:pt>
                <c:pt idx="17">
                  <c:v>0.88584396185223491</c:v>
                </c:pt>
                <c:pt idx="18">
                  <c:v>0.90267723773411468</c:v>
                </c:pt>
                <c:pt idx="19">
                  <c:v>0.90997357233137999</c:v>
                </c:pt>
                <c:pt idx="20">
                  <c:v>0.92229690911180051</c:v>
                </c:pt>
                <c:pt idx="21">
                  <c:v>0.93347121682178558</c:v>
                </c:pt>
                <c:pt idx="22">
                  <c:v>0.93714810984717911</c:v>
                </c:pt>
                <c:pt idx="23">
                  <c:v>0.94111226014018157</c:v>
                </c:pt>
                <c:pt idx="24">
                  <c:v>0.94550729633459729</c:v>
                </c:pt>
                <c:pt idx="25">
                  <c:v>0.94725956566701142</c:v>
                </c:pt>
                <c:pt idx="26">
                  <c:v>0.95036194415718722</c:v>
                </c:pt>
                <c:pt idx="27">
                  <c:v>0.95378030564173277</c:v>
                </c:pt>
                <c:pt idx="28">
                  <c:v>0.95533149488682068</c:v>
                </c:pt>
                <c:pt idx="29">
                  <c:v>0.95685395840514764</c:v>
                </c:pt>
                <c:pt idx="30">
                  <c:v>0.96104791451223714</c:v>
                </c:pt>
                <c:pt idx="31">
                  <c:v>0.96624727105595765</c:v>
                </c:pt>
                <c:pt idx="32">
                  <c:v>0.96799954038837177</c:v>
                </c:pt>
                <c:pt idx="33">
                  <c:v>0.9696656325405032</c:v>
                </c:pt>
                <c:pt idx="34">
                  <c:v>0.97271055957715724</c:v>
                </c:pt>
                <c:pt idx="35">
                  <c:v>0.97362978283350565</c:v>
                </c:pt>
                <c:pt idx="36">
                  <c:v>0.97598529242789844</c:v>
                </c:pt>
                <c:pt idx="37">
                  <c:v>0.97773756176031257</c:v>
                </c:pt>
                <c:pt idx="38">
                  <c:v>0.97805354475468231</c:v>
                </c:pt>
                <c:pt idx="39">
                  <c:v>0.9787716879237045</c:v>
                </c:pt>
                <c:pt idx="40">
                  <c:v>0.97940365391244399</c:v>
                </c:pt>
                <c:pt idx="41">
                  <c:v>0.98072503734344485</c:v>
                </c:pt>
                <c:pt idx="42">
                  <c:v>0.98184534068711948</c:v>
                </c:pt>
                <c:pt idx="43">
                  <c:v>0.98276456394346789</c:v>
                </c:pt>
                <c:pt idx="44">
                  <c:v>0.98356888429277278</c:v>
                </c:pt>
                <c:pt idx="45">
                  <c:v>0.98356888429277278</c:v>
                </c:pt>
                <c:pt idx="46">
                  <c:v>0.9844019303688385</c:v>
                </c:pt>
                <c:pt idx="47">
                  <c:v>0.98489026772377353</c:v>
                </c:pt>
                <c:pt idx="48">
                  <c:v>0.98506262208433881</c:v>
                </c:pt>
                <c:pt idx="49">
                  <c:v>0.98601057106744805</c:v>
                </c:pt>
                <c:pt idx="50">
                  <c:v>0.98690106859703552</c:v>
                </c:pt>
                <c:pt idx="51">
                  <c:v>0.98773411467310124</c:v>
                </c:pt>
                <c:pt idx="52">
                  <c:v>0.98813627484775368</c:v>
                </c:pt>
                <c:pt idx="53">
                  <c:v>0.98819372630127544</c:v>
                </c:pt>
                <c:pt idx="54">
                  <c:v>0.98868206365621047</c:v>
                </c:pt>
                <c:pt idx="55">
                  <c:v>0.98914167528438468</c:v>
                </c:pt>
                <c:pt idx="56">
                  <c:v>0.98937148109847173</c:v>
                </c:pt>
                <c:pt idx="57">
                  <c:v>0.98977364127312417</c:v>
                </c:pt>
                <c:pt idx="58">
                  <c:v>0.99017580144777662</c:v>
                </c:pt>
                <c:pt idx="59">
                  <c:v>0.99049178444214636</c:v>
                </c:pt>
                <c:pt idx="60">
                  <c:v>0.99086521889003787</c:v>
                </c:pt>
                <c:pt idx="61">
                  <c:v>0.99118120188440761</c:v>
                </c:pt>
                <c:pt idx="62">
                  <c:v>0.99118120188440761</c:v>
                </c:pt>
                <c:pt idx="63">
                  <c:v>0.9915259106055383</c:v>
                </c:pt>
                <c:pt idx="64">
                  <c:v>0.99184189359990804</c:v>
                </c:pt>
                <c:pt idx="65">
                  <c:v>0.99212915086751696</c:v>
                </c:pt>
                <c:pt idx="66">
                  <c:v>0.99241640813512588</c:v>
                </c:pt>
                <c:pt idx="67">
                  <c:v>0.9927036654027348</c:v>
                </c:pt>
                <c:pt idx="68">
                  <c:v>0.9927036654027348</c:v>
                </c:pt>
                <c:pt idx="69">
                  <c:v>0.99296219694358279</c:v>
                </c:pt>
                <c:pt idx="70">
                  <c:v>0.99322072848443077</c:v>
                </c:pt>
                <c:pt idx="71">
                  <c:v>0.99345053429851782</c:v>
                </c:pt>
                <c:pt idx="72">
                  <c:v>0.99365161438584404</c:v>
                </c:pt>
                <c:pt idx="73">
                  <c:v>0.99385269447317026</c:v>
                </c:pt>
                <c:pt idx="74">
                  <c:v>0.99405377456049648</c:v>
                </c:pt>
                <c:pt idx="75">
                  <c:v>0.99405377456049648</c:v>
                </c:pt>
                <c:pt idx="76">
                  <c:v>0.99425485464782271</c:v>
                </c:pt>
                <c:pt idx="77">
                  <c:v>0.99445593473514893</c:v>
                </c:pt>
                <c:pt idx="78">
                  <c:v>0.99465701482247515</c:v>
                </c:pt>
                <c:pt idx="79">
                  <c:v>0.99485809490980137</c:v>
                </c:pt>
                <c:pt idx="80">
                  <c:v>0.99505917499712759</c:v>
                </c:pt>
                <c:pt idx="81">
                  <c:v>0.99523152935769288</c:v>
                </c:pt>
                <c:pt idx="82">
                  <c:v>0.99540388371825816</c:v>
                </c:pt>
                <c:pt idx="83">
                  <c:v>0.99557623807882345</c:v>
                </c:pt>
                <c:pt idx="84">
                  <c:v>0.99574859243938874</c:v>
                </c:pt>
                <c:pt idx="85">
                  <c:v>0.99592094679995402</c:v>
                </c:pt>
                <c:pt idx="86">
                  <c:v>0.99609330116051931</c:v>
                </c:pt>
                <c:pt idx="87">
                  <c:v>0.99623692979432377</c:v>
                </c:pt>
                <c:pt idx="88">
                  <c:v>0.99638055842812823</c:v>
                </c:pt>
                <c:pt idx="89">
                  <c:v>0.99652418706193269</c:v>
                </c:pt>
                <c:pt idx="90">
                  <c:v>0.99666781569573715</c:v>
                </c:pt>
                <c:pt idx="91">
                  <c:v>0.99681144432954161</c:v>
                </c:pt>
                <c:pt idx="92">
                  <c:v>0.99695507296334607</c:v>
                </c:pt>
                <c:pt idx="93">
                  <c:v>0.99709870159715053</c:v>
                </c:pt>
                <c:pt idx="94">
                  <c:v>0.99724233023095499</c:v>
                </c:pt>
                <c:pt idx="95">
                  <c:v>0.99738595886475945</c:v>
                </c:pt>
                <c:pt idx="96">
                  <c:v>0.99752958749856391</c:v>
                </c:pt>
                <c:pt idx="97">
                  <c:v>0.99764449040560743</c:v>
                </c:pt>
                <c:pt idx="98">
                  <c:v>0.99775939331265096</c:v>
                </c:pt>
                <c:pt idx="99">
                  <c:v>0.99787429621969448</c:v>
                </c:pt>
                <c:pt idx="100">
                  <c:v>0.997989199126738</c:v>
                </c:pt>
                <c:pt idx="101">
                  <c:v>0.99810410203378153</c:v>
                </c:pt>
                <c:pt idx="102">
                  <c:v>0.99821900494082505</c:v>
                </c:pt>
                <c:pt idx="103">
                  <c:v>0.99833390784786857</c:v>
                </c:pt>
                <c:pt idx="104">
                  <c:v>0.9984488107549121</c:v>
                </c:pt>
                <c:pt idx="105">
                  <c:v>0.99856371366195562</c:v>
                </c:pt>
                <c:pt idx="106">
                  <c:v>0.99867861656899914</c:v>
                </c:pt>
                <c:pt idx="107">
                  <c:v>0.99879351947604267</c:v>
                </c:pt>
                <c:pt idx="108">
                  <c:v>0.99890842238308619</c:v>
                </c:pt>
                <c:pt idx="109">
                  <c:v>0.99899459956336889</c:v>
                </c:pt>
                <c:pt idx="110">
                  <c:v>0.99908077674365159</c:v>
                </c:pt>
                <c:pt idx="111">
                  <c:v>0.99916695392393429</c:v>
                </c:pt>
                <c:pt idx="112">
                  <c:v>0.99925313110421699</c:v>
                </c:pt>
                <c:pt idx="113">
                  <c:v>0.99933930828449968</c:v>
                </c:pt>
                <c:pt idx="114">
                  <c:v>0.99942548546478238</c:v>
                </c:pt>
                <c:pt idx="115">
                  <c:v>0.99948293691830414</c:v>
                </c:pt>
                <c:pt idx="116">
                  <c:v>0.99954038837182591</c:v>
                </c:pt>
                <c:pt idx="117">
                  <c:v>0.99959783982534767</c:v>
                </c:pt>
                <c:pt idx="118">
                  <c:v>0.99965529127886943</c:v>
                </c:pt>
                <c:pt idx="119">
                  <c:v>0.99971274273239119</c:v>
                </c:pt>
                <c:pt idx="120">
                  <c:v>0.99977019418591295</c:v>
                </c:pt>
                <c:pt idx="121">
                  <c:v>0.99982764563943471</c:v>
                </c:pt>
                <c:pt idx="122">
                  <c:v>0.99988509709295648</c:v>
                </c:pt>
                <c:pt idx="123">
                  <c:v>0.99994254854647824</c:v>
                </c:pt>
                <c:pt idx="124">
                  <c:v>1</c:v>
                </c:pt>
              </c:numCache>
            </c:numRef>
          </c:xVal>
          <c:yVal>
            <c:numRef>
              <c:f>'AESS-W3'!$AL$5:$AL$129</c:f>
              <c:numCache>
                <c:formatCode>0.0%</c:formatCode>
                <c:ptCount val="1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0.97872340425531912</c:v>
                </c:pt>
                <c:pt idx="50">
                  <c:v>0.97872340425531912</c:v>
                </c:pt>
                <c:pt idx="51">
                  <c:v>0.97872340425531912</c:v>
                </c:pt>
                <c:pt idx="52">
                  <c:v>0.97916666666666663</c:v>
                </c:pt>
                <c:pt idx="53">
                  <c:v>0.97959183673469385</c:v>
                </c:pt>
                <c:pt idx="54">
                  <c:v>0.98</c:v>
                </c:pt>
                <c:pt idx="55">
                  <c:v>0.98039215686274506</c:v>
                </c:pt>
                <c:pt idx="56">
                  <c:v>0.98076923076923073</c:v>
                </c:pt>
                <c:pt idx="57">
                  <c:v>0.98076923076923073</c:v>
                </c:pt>
                <c:pt idx="58">
                  <c:v>0.98076923076923073</c:v>
                </c:pt>
                <c:pt idx="59">
                  <c:v>0.98113207547169812</c:v>
                </c:pt>
                <c:pt idx="60">
                  <c:v>0.98113207547169812</c:v>
                </c:pt>
                <c:pt idx="61">
                  <c:v>0.98148148148148151</c:v>
                </c:pt>
                <c:pt idx="62">
                  <c:v>0.98148148148148151</c:v>
                </c:pt>
                <c:pt idx="63">
                  <c:v>0.98148148148148151</c:v>
                </c:pt>
                <c:pt idx="64">
                  <c:v>0.96363636363636362</c:v>
                </c:pt>
                <c:pt idx="65">
                  <c:v>0.9464285714285714</c:v>
                </c:pt>
                <c:pt idx="66">
                  <c:v>0.9464285714285714</c:v>
                </c:pt>
                <c:pt idx="67">
                  <c:v>0.9464285714285714</c:v>
                </c:pt>
                <c:pt idx="68">
                  <c:v>0.9464285714285714</c:v>
                </c:pt>
                <c:pt idx="69">
                  <c:v>0.92982456140350878</c:v>
                </c:pt>
                <c:pt idx="70">
                  <c:v>0.92982456140350878</c:v>
                </c:pt>
                <c:pt idx="71">
                  <c:v>0.91379310344827591</c:v>
                </c:pt>
                <c:pt idx="72">
                  <c:v>0.91379310344827591</c:v>
                </c:pt>
                <c:pt idx="73">
                  <c:v>0.91379310344827591</c:v>
                </c:pt>
                <c:pt idx="74">
                  <c:v>0.89830508474576276</c:v>
                </c:pt>
                <c:pt idx="75">
                  <c:v>0.89830508474576276</c:v>
                </c:pt>
                <c:pt idx="76">
                  <c:v>0.89830508474576276</c:v>
                </c:pt>
                <c:pt idx="77">
                  <c:v>0.8833333333333333</c:v>
                </c:pt>
                <c:pt idx="78">
                  <c:v>0.8833333333333333</c:v>
                </c:pt>
                <c:pt idx="79">
                  <c:v>0.8833333333333333</c:v>
                </c:pt>
                <c:pt idx="80">
                  <c:v>0.8833333333333333</c:v>
                </c:pt>
                <c:pt idx="81">
                  <c:v>0.8833333333333333</c:v>
                </c:pt>
                <c:pt idx="82">
                  <c:v>0.8833333333333333</c:v>
                </c:pt>
                <c:pt idx="83">
                  <c:v>0.8833333333333333</c:v>
                </c:pt>
                <c:pt idx="84">
                  <c:v>0.8833333333333333</c:v>
                </c:pt>
                <c:pt idx="85">
                  <c:v>0.8833333333333333</c:v>
                </c:pt>
                <c:pt idx="86">
                  <c:v>0.8833333333333333</c:v>
                </c:pt>
                <c:pt idx="87">
                  <c:v>0.8833333333333333</c:v>
                </c:pt>
                <c:pt idx="88">
                  <c:v>0.8833333333333333</c:v>
                </c:pt>
                <c:pt idx="89">
                  <c:v>0.8833333333333333</c:v>
                </c:pt>
                <c:pt idx="90">
                  <c:v>0.8833333333333333</c:v>
                </c:pt>
                <c:pt idx="91">
                  <c:v>0.8833333333333333</c:v>
                </c:pt>
                <c:pt idx="92">
                  <c:v>0.8833333333333333</c:v>
                </c:pt>
                <c:pt idx="93">
                  <c:v>0.8833333333333333</c:v>
                </c:pt>
                <c:pt idx="94">
                  <c:v>0.8833333333333333</c:v>
                </c:pt>
                <c:pt idx="95">
                  <c:v>0.8833333333333333</c:v>
                </c:pt>
                <c:pt idx="96">
                  <c:v>0.8833333333333333</c:v>
                </c:pt>
                <c:pt idx="97">
                  <c:v>0.8833333333333333</c:v>
                </c:pt>
                <c:pt idx="98">
                  <c:v>0.8833333333333333</c:v>
                </c:pt>
                <c:pt idx="99">
                  <c:v>0.8833333333333333</c:v>
                </c:pt>
                <c:pt idx="100">
                  <c:v>0.8833333333333333</c:v>
                </c:pt>
                <c:pt idx="101">
                  <c:v>0.8833333333333333</c:v>
                </c:pt>
                <c:pt idx="102">
                  <c:v>0.8833333333333333</c:v>
                </c:pt>
                <c:pt idx="103">
                  <c:v>0.8833333333333333</c:v>
                </c:pt>
                <c:pt idx="104">
                  <c:v>0.86885245901639341</c:v>
                </c:pt>
                <c:pt idx="105">
                  <c:v>0.86885245901639341</c:v>
                </c:pt>
                <c:pt idx="106">
                  <c:v>0.86885245901639341</c:v>
                </c:pt>
                <c:pt idx="107">
                  <c:v>0.86885245901639341</c:v>
                </c:pt>
                <c:pt idx="108">
                  <c:v>0.86885245901639341</c:v>
                </c:pt>
                <c:pt idx="109">
                  <c:v>0.86885245901639341</c:v>
                </c:pt>
                <c:pt idx="110">
                  <c:v>0.86885245901639341</c:v>
                </c:pt>
                <c:pt idx="111">
                  <c:v>0.86885245901639341</c:v>
                </c:pt>
                <c:pt idx="112">
                  <c:v>0.86885245901639341</c:v>
                </c:pt>
                <c:pt idx="113">
                  <c:v>0.86885245901639341</c:v>
                </c:pt>
                <c:pt idx="114">
                  <c:v>0.86885245901639341</c:v>
                </c:pt>
                <c:pt idx="115">
                  <c:v>0.86885245901639341</c:v>
                </c:pt>
                <c:pt idx="116">
                  <c:v>0.86885245901639341</c:v>
                </c:pt>
                <c:pt idx="117">
                  <c:v>0.86885245901639341</c:v>
                </c:pt>
                <c:pt idx="118">
                  <c:v>0.86885245901639341</c:v>
                </c:pt>
                <c:pt idx="119">
                  <c:v>0.86885245901639341</c:v>
                </c:pt>
                <c:pt idx="120">
                  <c:v>0.86885245901639341</c:v>
                </c:pt>
                <c:pt idx="121">
                  <c:v>0.86885245901639341</c:v>
                </c:pt>
                <c:pt idx="122">
                  <c:v>0.86885245901639341</c:v>
                </c:pt>
                <c:pt idx="123">
                  <c:v>0.86885245901639341</c:v>
                </c:pt>
                <c:pt idx="124">
                  <c:v>0.86885245901639341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'AESS-W3'!$AM$4</c:f>
              <c:strCache>
                <c:ptCount val="1"/>
                <c:pt idx="0">
                  <c:v>Spades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'AESS-W3'!$Y$5:$Y$129</c:f>
              <c:numCache>
                <c:formatCode>0.0%</c:formatCode>
                <c:ptCount val="125"/>
                <c:pt idx="0">
                  <c:v>0.22222222222222221</c:v>
                </c:pt>
                <c:pt idx="1">
                  <c:v>0.3933126508100655</c:v>
                </c:pt>
                <c:pt idx="2">
                  <c:v>0.48902677237734116</c:v>
                </c:pt>
                <c:pt idx="3">
                  <c:v>0.5785361369642652</c:v>
                </c:pt>
                <c:pt idx="4">
                  <c:v>0.59384694932781801</c:v>
                </c:pt>
                <c:pt idx="5">
                  <c:v>0.68821096173733198</c:v>
                </c:pt>
                <c:pt idx="6">
                  <c:v>0.73285074112375048</c:v>
                </c:pt>
                <c:pt idx="7">
                  <c:v>0.76999310582557745</c:v>
                </c:pt>
                <c:pt idx="8">
                  <c:v>0.78369527749052059</c:v>
                </c:pt>
                <c:pt idx="9">
                  <c:v>0.81598299436975763</c:v>
                </c:pt>
                <c:pt idx="10">
                  <c:v>0.84272664598414349</c:v>
                </c:pt>
                <c:pt idx="11">
                  <c:v>0.8674307709985063</c:v>
                </c:pt>
                <c:pt idx="12">
                  <c:v>0.87622084338733774</c:v>
                </c:pt>
                <c:pt idx="13">
                  <c:v>0.87622084338733774</c:v>
                </c:pt>
                <c:pt idx="14">
                  <c:v>0.87622084338733774</c:v>
                </c:pt>
                <c:pt idx="15">
                  <c:v>0.87714006664368616</c:v>
                </c:pt>
                <c:pt idx="16">
                  <c:v>0.8854705274043434</c:v>
                </c:pt>
                <c:pt idx="17">
                  <c:v>0.88584396185223491</c:v>
                </c:pt>
                <c:pt idx="18">
                  <c:v>0.90267723773411468</c:v>
                </c:pt>
                <c:pt idx="19">
                  <c:v>0.90997357233137999</c:v>
                </c:pt>
                <c:pt idx="20">
                  <c:v>0.92229690911180051</c:v>
                </c:pt>
                <c:pt idx="21">
                  <c:v>0.93347121682178558</c:v>
                </c:pt>
                <c:pt idx="22">
                  <c:v>0.93714810984717911</c:v>
                </c:pt>
                <c:pt idx="23">
                  <c:v>0.94111226014018157</c:v>
                </c:pt>
                <c:pt idx="24">
                  <c:v>0.94550729633459729</c:v>
                </c:pt>
                <c:pt idx="25">
                  <c:v>0.94725956566701142</c:v>
                </c:pt>
                <c:pt idx="26">
                  <c:v>0.95036194415718722</c:v>
                </c:pt>
                <c:pt idx="27">
                  <c:v>0.95378030564173277</c:v>
                </c:pt>
                <c:pt idx="28">
                  <c:v>0.95533149488682068</c:v>
                </c:pt>
                <c:pt idx="29">
                  <c:v>0.95685395840514764</c:v>
                </c:pt>
                <c:pt idx="30">
                  <c:v>0.96104791451223714</c:v>
                </c:pt>
                <c:pt idx="31">
                  <c:v>0.96624727105595765</c:v>
                </c:pt>
                <c:pt idx="32">
                  <c:v>0.96799954038837177</c:v>
                </c:pt>
                <c:pt idx="33">
                  <c:v>0.9696656325405032</c:v>
                </c:pt>
                <c:pt idx="34">
                  <c:v>0.97271055957715724</c:v>
                </c:pt>
                <c:pt idx="35">
                  <c:v>0.97362978283350565</c:v>
                </c:pt>
                <c:pt idx="36">
                  <c:v>0.97598529242789844</c:v>
                </c:pt>
                <c:pt idx="37">
                  <c:v>0.97773756176031257</c:v>
                </c:pt>
                <c:pt idx="38">
                  <c:v>0.97805354475468231</c:v>
                </c:pt>
                <c:pt idx="39">
                  <c:v>0.9787716879237045</c:v>
                </c:pt>
                <c:pt idx="40">
                  <c:v>0.97940365391244399</c:v>
                </c:pt>
                <c:pt idx="41">
                  <c:v>0.98072503734344485</c:v>
                </c:pt>
                <c:pt idx="42">
                  <c:v>0.98184534068711948</c:v>
                </c:pt>
                <c:pt idx="43">
                  <c:v>0.98276456394346789</c:v>
                </c:pt>
                <c:pt idx="44">
                  <c:v>0.98356888429277278</c:v>
                </c:pt>
                <c:pt idx="45">
                  <c:v>0.98356888429277278</c:v>
                </c:pt>
                <c:pt idx="46">
                  <c:v>0.9844019303688385</c:v>
                </c:pt>
                <c:pt idx="47">
                  <c:v>0.98489026772377353</c:v>
                </c:pt>
                <c:pt idx="48">
                  <c:v>0.98506262208433881</c:v>
                </c:pt>
                <c:pt idx="49">
                  <c:v>0.98601057106744805</c:v>
                </c:pt>
                <c:pt idx="50">
                  <c:v>0.98690106859703552</c:v>
                </c:pt>
                <c:pt idx="51">
                  <c:v>0.98773411467310124</c:v>
                </c:pt>
                <c:pt idx="52">
                  <c:v>0.98813627484775368</c:v>
                </c:pt>
                <c:pt idx="53">
                  <c:v>0.98819372630127544</c:v>
                </c:pt>
                <c:pt idx="54">
                  <c:v>0.98868206365621047</c:v>
                </c:pt>
                <c:pt idx="55">
                  <c:v>0.98914167528438468</c:v>
                </c:pt>
                <c:pt idx="56">
                  <c:v>0.98937148109847173</c:v>
                </c:pt>
                <c:pt idx="57">
                  <c:v>0.98977364127312417</c:v>
                </c:pt>
                <c:pt idx="58">
                  <c:v>0.99017580144777662</c:v>
                </c:pt>
                <c:pt idx="59">
                  <c:v>0.99049178444214636</c:v>
                </c:pt>
                <c:pt idx="60">
                  <c:v>0.99086521889003787</c:v>
                </c:pt>
                <c:pt idx="61">
                  <c:v>0.99118120188440761</c:v>
                </c:pt>
                <c:pt idx="62">
                  <c:v>0.99118120188440761</c:v>
                </c:pt>
                <c:pt idx="63">
                  <c:v>0.9915259106055383</c:v>
                </c:pt>
                <c:pt idx="64">
                  <c:v>0.99184189359990804</c:v>
                </c:pt>
                <c:pt idx="65">
                  <c:v>0.99212915086751696</c:v>
                </c:pt>
                <c:pt idx="66">
                  <c:v>0.99241640813512588</c:v>
                </c:pt>
                <c:pt idx="67">
                  <c:v>0.9927036654027348</c:v>
                </c:pt>
                <c:pt idx="68">
                  <c:v>0.9927036654027348</c:v>
                </c:pt>
                <c:pt idx="69">
                  <c:v>0.99296219694358279</c:v>
                </c:pt>
                <c:pt idx="70">
                  <c:v>0.99322072848443077</c:v>
                </c:pt>
                <c:pt idx="71">
                  <c:v>0.99345053429851782</c:v>
                </c:pt>
                <c:pt idx="72">
                  <c:v>0.99365161438584404</c:v>
                </c:pt>
                <c:pt idx="73">
                  <c:v>0.99385269447317026</c:v>
                </c:pt>
                <c:pt idx="74">
                  <c:v>0.99405377456049648</c:v>
                </c:pt>
                <c:pt idx="75">
                  <c:v>0.99405377456049648</c:v>
                </c:pt>
                <c:pt idx="76">
                  <c:v>0.99425485464782271</c:v>
                </c:pt>
                <c:pt idx="77">
                  <c:v>0.99445593473514893</c:v>
                </c:pt>
                <c:pt idx="78">
                  <c:v>0.99465701482247515</c:v>
                </c:pt>
                <c:pt idx="79">
                  <c:v>0.99485809490980137</c:v>
                </c:pt>
                <c:pt idx="80">
                  <c:v>0.99505917499712759</c:v>
                </c:pt>
                <c:pt idx="81">
                  <c:v>0.99523152935769288</c:v>
                </c:pt>
                <c:pt idx="82">
                  <c:v>0.99540388371825816</c:v>
                </c:pt>
                <c:pt idx="83">
                  <c:v>0.99557623807882345</c:v>
                </c:pt>
                <c:pt idx="84">
                  <c:v>0.99574859243938874</c:v>
                </c:pt>
                <c:pt idx="85">
                  <c:v>0.99592094679995402</c:v>
                </c:pt>
                <c:pt idx="86">
                  <c:v>0.99609330116051931</c:v>
                </c:pt>
                <c:pt idx="87">
                  <c:v>0.99623692979432377</c:v>
                </c:pt>
                <c:pt idx="88">
                  <c:v>0.99638055842812823</c:v>
                </c:pt>
                <c:pt idx="89">
                  <c:v>0.99652418706193269</c:v>
                </c:pt>
                <c:pt idx="90">
                  <c:v>0.99666781569573715</c:v>
                </c:pt>
                <c:pt idx="91">
                  <c:v>0.99681144432954161</c:v>
                </c:pt>
                <c:pt idx="92">
                  <c:v>0.99695507296334607</c:v>
                </c:pt>
                <c:pt idx="93">
                  <c:v>0.99709870159715053</c:v>
                </c:pt>
                <c:pt idx="94">
                  <c:v>0.99724233023095499</c:v>
                </c:pt>
                <c:pt idx="95">
                  <c:v>0.99738595886475945</c:v>
                </c:pt>
                <c:pt idx="96">
                  <c:v>0.99752958749856391</c:v>
                </c:pt>
                <c:pt idx="97">
                  <c:v>0.99764449040560743</c:v>
                </c:pt>
                <c:pt idx="98">
                  <c:v>0.99775939331265096</c:v>
                </c:pt>
                <c:pt idx="99">
                  <c:v>0.99787429621969448</c:v>
                </c:pt>
                <c:pt idx="100">
                  <c:v>0.997989199126738</c:v>
                </c:pt>
                <c:pt idx="101">
                  <c:v>0.99810410203378153</c:v>
                </c:pt>
                <c:pt idx="102">
                  <c:v>0.99821900494082505</c:v>
                </c:pt>
                <c:pt idx="103">
                  <c:v>0.99833390784786857</c:v>
                </c:pt>
                <c:pt idx="104">
                  <c:v>0.9984488107549121</c:v>
                </c:pt>
                <c:pt idx="105">
                  <c:v>0.99856371366195562</c:v>
                </c:pt>
                <c:pt idx="106">
                  <c:v>0.99867861656899914</c:v>
                </c:pt>
                <c:pt idx="107">
                  <c:v>0.99879351947604267</c:v>
                </c:pt>
                <c:pt idx="108">
                  <c:v>0.99890842238308619</c:v>
                </c:pt>
                <c:pt idx="109">
                  <c:v>0.99899459956336889</c:v>
                </c:pt>
                <c:pt idx="110">
                  <c:v>0.99908077674365159</c:v>
                </c:pt>
                <c:pt idx="111">
                  <c:v>0.99916695392393429</c:v>
                </c:pt>
                <c:pt idx="112">
                  <c:v>0.99925313110421699</c:v>
                </c:pt>
                <c:pt idx="113">
                  <c:v>0.99933930828449968</c:v>
                </c:pt>
                <c:pt idx="114">
                  <c:v>0.99942548546478238</c:v>
                </c:pt>
                <c:pt idx="115">
                  <c:v>0.99948293691830414</c:v>
                </c:pt>
                <c:pt idx="116">
                  <c:v>0.99954038837182591</c:v>
                </c:pt>
                <c:pt idx="117">
                  <c:v>0.99959783982534767</c:v>
                </c:pt>
                <c:pt idx="118">
                  <c:v>0.99965529127886943</c:v>
                </c:pt>
                <c:pt idx="119">
                  <c:v>0.99971274273239119</c:v>
                </c:pt>
                <c:pt idx="120">
                  <c:v>0.99977019418591295</c:v>
                </c:pt>
                <c:pt idx="121">
                  <c:v>0.99982764563943471</c:v>
                </c:pt>
                <c:pt idx="122">
                  <c:v>0.99988509709295648</c:v>
                </c:pt>
                <c:pt idx="123">
                  <c:v>0.99994254854647824</c:v>
                </c:pt>
                <c:pt idx="124">
                  <c:v>1</c:v>
                </c:pt>
              </c:numCache>
            </c:numRef>
          </c:xVal>
          <c:yVal>
            <c:numRef>
              <c:f>'AESS-W3'!$AM$5:$AM$129</c:f>
              <c:numCache>
                <c:formatCode>0.0%</c:formatCode>
                <c:ptCount val="1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</c:v>
                </c:pt>
                <c:pt idx="5">
                  <c:v>0.66666666666666663</c:v>
                </c:pt>
                <c:pt idx="6">
                  <c:v>0.7142857142857143</c:v>
                </c:pt>
                <c:pt idx="7">
                  <c:v>0.625</c:v>
                </c:pt>
                <c:pt idx="8">
                  <c:v>0.66666666666666663</c:v>
                </c:pt>
                <c:pt idx="9">
                  <c:v>0.6</c:v>
                </c:pt>
                <c:pt idx="10">
                  <c:v>0.54545454545454541</c:v>
                </c:pt>
                <c:pt idx="11">
                  <c:v>0.58333333333333337</c:v>
                </c:pt>
                <c:pt idx="12">
                  <c:v>0.61538461538461542</c:v>
                </c:pt>
                <c:pt idx="13">
                  <c:v>0.61538461538461542</c:v>
                </c:pt>
                <c:pt idx="14">
                  <c:v>0.61538461538461542</c:v>
                </c:pt>
                <c:pt idx="15">
                  <c:v>0.6428571428571429</c:v>
                </c:pt>
                <c:pt idx="16">
                  <c:v>0.66666666666666663</c:v>
                </c:pt>
                <c:pt idx="17">
                  <c:v>0.6875</c:v>
                </c:pt>
                <c:pt idx="18">
                  <c:v>0.6470588235294118</c:v>
                </c:pt>
                <c:pt idx="19">
                  <c:v>0.66666666666666663</c:v>
                </c:pt>
                <c:pt idx="20">
                  <c:v>0.68421052631578949</c:v>
                </c:pt>
                <c:pt idx="21">
                  <c:v>0.7</c:v>
                </c:pt>
                <c:pt idx="22">
                  <c:v>0.7142857142857143</c:v>
                </c:pt>
                <c:pt idx="23">
                  <c:v>0.72727272727272729</c:v>
                </c:pt>
                <c:pt idx="24">
                  <c:v>0.73913043478260865</c:v>
                </c:pt>
                <c:pt idx="25">
                  <c:v>0.70833333333333337</c:v>
                </c:pt>
                <c:pt idx="26">
                  <c:v>0.72</c:v>
                </c:pt>
                <c:pt idx="27">
                  <c:v>0.69230769230769229</c:v>
                </c:pt>
                <c:pt idx="28">
                  <c:v>0.66666666666666663</c:v>
                </c:pt>
                <c:pt idx="29">
                  <c:v>0.6785714285714286</c:v>
                </c:pt>
                <c:pt idx="30">
                  <c:v>0.65517241379310343</c:v>
                </c:pt>
                <c:pt idx="31">
                  <c:v>0.6333333333333333</c:v>
                </c:pt>
                <c:pt idx="32">
                  <c:v>0.64516129032258063</c:v>
                </c:pt>
                <c:pt idx="33">
                  <c:v>0.65625</c:v>
                </c:pt>
                <c:pt idx="34">
                  <c:v>0.63636363636363635</c:v>
                </c:pt>
                <c:pt idx="35">
                  <c:v>0.6470588235294118</c:v>
                </c:pt>
                <c:pt idx="36">
                  <c:v>0.62857142857142856</c:v>
                </c:pt>
                <c:pt idx="37">
                  <c:v>0.61111111111111116</c:v>
                </c:pt>
                <c:pt idx="38">
                  <c:v>0.6216216216216216</c:v>
                </c:pt>
                <c:pt idx="39">
                  <c:v>0.60526315789473684</c:v>
                </c:pt>
                <c:pt idx="40">
                  <c:v>0.61538461538461542</c:v>
                </c:pt>
                <c:pt idx="41">
                  <c:v>0.6</c:v>
                </c:pt>
                <c:pt idx="42">
                  <c:v>0.6097560975609756</c:v>
                </c:pt>
                <c:pt idx="43">
                  <c:v>0.59523809523809523</c:v>
                </c:pt>
                <c:pt idx="44">
                  <c:v>0.58139534883720934</c:v>
                </c:pt>
                <c:pt idx="45">
                  <c:v>0.58139534883720934</c:v>
                </c:pt>
                <c:pt idx="46">
                  <c:v>0.56818181818181823</c:v>
                </c:pt>
                <c:pt idx="47">
                  <c:v>0.55555555555555558</c:v>
                </c:pt>
                <c:pt idx="48">
                  <c:v>0.56521739130434778</c:v>
                </c:pt>
                <c:pt idx="49">
                  <c:v>0.55319148936170215</c:v>
                </c:pt>
                <c:pt idx="50">
                  <c:v>0.55319148936170215</c:v>
                </c:pt>
                <c:pt idx="51">
                  <c:v>0.55319148936170215</c:v>
                </c:pt>
                <c:pt idx="52">
                  <c:v>0.54166666666666663</c:v>
                </c:pt>
                <c:pt idx="53">
                  <c:v>0.53061224489795922</c:v>
                </c:pt>
                <c:pt idx="54">
                  <c:v>0.52</c:v>
                </c:pt>
                <c:pt idx="55">
                  <c:v>0.50980392156862742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0.49056603773584906</c:v>
                </c:pt>
                <c:pt idx="60">
                  <c:v>0.49056603773584906</c:v>
                </c:pt>
                <c:pt idx="61">
                  <c:v>0.48148148148148145</c:v>
                </c:pt>
                <c:pt idx="62">
                  <c:v>0.48148148148148145</c:v>
                </c:pt>
                <c:pt idx="63">
                  <c:v>0.48148148148148145</c:v>
                </c:pt>
                <c:pt idx="64">
                  <c:v>0.47272727272727272</c:v>
                </c:pt>
                <c:pt idx="65">
                  <c:v>0.4642857142857143</c:v>
                </c:pt>
                <c:pt idx="66">
                  <c:v>0.4642857142857143</c:v>
                </c:pt>
                <c:pt idx="67">
                  <c:v>0.4642857142857143</c:v>
                </c:pt>
                <c:pt idx="68">
                  <c:v>0.4642857142857143</c:v>
                </c:pt>
                <c:pt idx="69">
                  <c:v>0.45614035087719296</c:v>
                </c:pt>
                <c:pt idx="70">
                  <c:v>0.45614035087719296</c:v>
                </c:pt>
                <c:pt idx="71">
                  <c:v>0.44827586206896552</c:v>
                </c:pt>
                <c:pt idx="72">
                  <c:v>0.44827586206896552</c:v>
                </c:pt>
                <c:pt idx="73">
                  <c:v>0.44827586206896552</c:v>
                </c:pt>
                <c:pt idx="74">
                  <c:v>0.44067796610169491</c:v>
                </c:pt>
                <c:pt idx="75">
                  <c:v>0.44067796610169491</c:v>
                </c:pt>
                <c:pt idx="76">
                  <c:v>0.44067796610169491</c:v>
                </c:pt>
                <c:pt idx="77">
                  <c:v>0.43333333333333335</c:v>
                </c:pt>
                <c:pt idx="78">
                  <c:v>0.43333333333333335</c:v>
                </c:pt>
                <c:pt idx="79">
                  <c:v>0.43333333333333335</c:v>
                </c:pt>
                <c:pt idx="80">
                  <c:v>0.43333333333333335</c:v>
                </c:pt>
                <c:pt idx="81">
                  <c:v>0.43333333333333335</c:v>
                </c:pt>
                <c:pt idx="82">
                  <c:v>0.43333333333333335</c:v>
                </c:pt>
                <c:pt idx="83">
                  <c:v>0.43333333333333335</c:v>
                </c:pt>
                <c:pt idx="84">
                  <c:v>0.43333333333333335</c:v>
                </c:pt>
                <c:pt idx="85">
                  <c:v>0.43333333333333335</c:v>
                </c:pt>
                <c:pt idx="86">
                  <c:v>0.43333333333333335</c:v>
                </c:pt>
                <c:pt idx="87">
                  <c:v>0.43333333333333335</c:v>
                </c:pt>
                <c:pt idx="88">
                  <c:v>0.43333333333333335</c:v>
                </c:pt>
                <c:pt idx="89">
                  <c:v>0.43333333333333335</c:v>
                </c:pt>
                <c:pt idx="90">
                  <c:v>0.43333333333333335</c:v>
                </c:pt>
                <c:pt idx="91">
                  <c:v>0.43333333333333335</c:v>
                </c:pt>
                <c:pt idx="92">
                  <c:v>0.43333333333333335</c:v>
                </c:pt>
                <c:pt idx="93">
                  <c:v>0.43333333333333335</c:v>
                </c:pt>
                <c:pt idx="94">
                  <c:v>0.43333333333333335</c:v>
                </c:pt>
                <c:pt idx="95">
                  <c:v>0.43333333333333335</c:v>
                </c:pt>
                <c:pt idx="96">
                  <c:v>0.43333333333333335</c:v>
                </c:pt>
                <c:pt idx="97">
                  <c:v>0.43333333333333335</c:v>
                </c:pt>
                <c:pt idx="98">
                  <c:v>0.43333333333333335</c:v>
                </c:pt>
                <c:pt idx="99">
                  <c:v>0.43333333333333335</c:v>
                </c:pt>
                <c:pt idx="100">
                  <c:v>0.43333333333333335</c:v>
                </c:pt>
                <c:pt idx="101">
                  <c:v>0.43333333333333335</c:v>
                </c:pt>
                <c:pt idx="102">
                  <c:v>0.43333333333333335</c:v>
                </c:pt>
                <c:pt idx="103">
                  <c:v>0.43333333333333335</c:v>
                </c:pt>
                <c:pt idx="104">
                  <c:v>0.42622950819672129</c:v>
                </c:pt>
                <c:pt idx="105">
                  <c:v>0.42622950819672129</c:v>
                </c:pt>
                <c:pt idx="106">
                  <c:v>0.42622950819672129</c:v>
                </c:pt>
                <c:pt idx="107">
                  <c:v>0.42622950819672129</c:v>
                </c:pt>
                <c:pt idx="108">
                  <c:v>0.42622950819672129</c:v>
                </c:pt>
                <c:pt idx="109">
                  <c:v>0.42622950819672129</c:v>
                </c:pt>
                <c:pt idx="110">
                  <c:v>0.42622950819672129</c:v>
                </c:pt>
                <c:pt idx="111">
                  <c:v>0.42622950819672129</c:v>
                </c:pt>
                <c:pt idx="112">
                  <c:v>0.42622950819672129</c:v>
                </c:pt>
                <c:pt idx="113">
                  <c:v>0.42622950819672129</c:v>
                </c:pt>
                <c:pt idx="114">
                  <c:v>0.42622950819672129</c:v>
                </c:pt>
                <c:pt idx="115">
                  <c:v>0.42622950819672129</c:v>
                </c:pt>
                <c:pt idx="116">
                  <c:v>0.42622950819672129</c:v>
                </c:pt>
                <c:pt idx="117">
                  <c:v>0.42622950819672129</c:v>
                </c:pt>
                <c:pt idx="118">
                  <c:v>0.42622950819672129</c:v>
                </c:pt>
                <c:pt idx="119">
                  <c:v>0.42622950819672129</c:v>
                </c:pt>
                <c:pt idx="120">
                  <c:v>0.42622950819672129</c:v>
                </c:pt>
                <c:pt idx="121">
                  <c:v>0.42622950819672129</c:v>
                </c:pt>
                <c:pt idx="122">
                  <c:v>0.42622950819672129</c:v>
                </c:pt>
                <c:pt idx="123">
                  <c:v>0.42622950819672129</c:v>
                </c:pt>
                <c:pt idx="124">
                  <c:v>0.42622950819672129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'AESS-W3'!$AN$4</c:f>
              <c:strCache>
                <c:ptCount val="1"/>
                <c:pt idx="0">
                  <c:v>Spades 16S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'AESS-W3'!$Y$5:$Y$129</c:f>
              <c:numCache>
                <c:formatCode>0.0%</c:formatCode>
                <c:ptCount val="125"/>
                <c:pt idx="0">
                  <c:v>0.22222222222222221</c:v>
                </c:pt>
                <c:pt idx="1">
                  <c:v>0.3933126508100655</c:v>
                </c:pt>
                <c:pt idx="2">
                  <c:v>0.48902677237734116</c:v>
                </c:pt>
                <c:pt idx="3">
                  <c:v>0.5785361369642652</c:v>
                </c:pt>
                <c:pt idx="4">
                  <c:v>0.59384694932781801</c:v>
                </c:pt>
                <c:pt idx="5">
                  <c:v>0.68821096173733198</c:v>
                </c:pt>
                <c:pt idx="6">
                  <c:v>0.73285074112375048</c:v>
                </c:pt>
                <c:pt idx="7">
                  <c:v>0.76999310582557745</c:v>
                </c:pt>
                <c:pt idx="8">
                  <c:v>0.78369527749052059</c:v>
                </c:pt>
                <c:pt idx="9">
                  <c:v>0.81598299436975763</c:v>
                </c:pt>
                <c:pt idx="10">
                  <c:v>0.84272664598414349</c:v>
                </c:pt>
                <c:pt idx="11">
                  <c:v>0.8674307709985063</c:v>
                </c:pt>
                <c:pt idx="12">
                  <c:v>0.87622084338733774</c:v>
                </c:pt>
                <c:pt idx="13">
                  <c:v>0.87622084338733774</c:v>
                </c:pt>
                <c:pt idx="14">
                  <c:v>0.87622084338733774</c:v>
                </c:pt>
                <c:pt idx="15">
                  <c:v>0.87714006664368616</c:v>
                </c:pt>
                <c:pt idx="16">
                  <c:v>0.8854705274043434</c:v>
                </c:pt>
                <c:pt idx="17">
                  <c:v>0.88584396185223491</c:v>
                </c:pt>
                <c:pt idx="18">
                  <c:v>0.90267723773411468</c:v>
                </c:pt>
                <c:pt idx="19">
                  <c:v>0.90997357233137999</c:v>
                </c:pt>
                <c:pt idx="20">
                  <c:v>0.92229690911180051</c:v>
                </c:pt>
                <c:pt idx="21">
                  <c:v>0.93347121682178558</c:v>
                </c:pt>
                <c:pt idx="22">
                  <c:v>0.93714810984717911</c:v>
                </c:pt>
                <c:pt idx="23">
                  <c:v>0.94111226014018157</c:v>
                </c:pt>
                <c:pt idx="24">
                  <c:v>0.94550729633459729</c:v>
                </c:pt>
                <c:pt idx="25">
                  <c:v>0.94725956566701142</c:v>
                </c:pt>
                <c:pt idx="26">
                  <c:v>0.95036194415718722</c:v>
                </c:pt>
                <c:pt idx="27">
                  <c:v>0.95378030564173277</c:v>
                </c:pt>
                <c:pt idx="28">
                  <c:v>0.95533149488682068</c:v>
                </c:pt>
                <c:pt idx="29">
                  <c:v>0.95685395840514764</c:v>
                </c:pt>
                <c:pt idx="30">
                  <c:v>0.96104791451223714</c:v>
                </c:pt>
                <c:pt idx="31">
                  <c:v>0.96624727105595765</c:v>
                </c:pt>
                <c:pt idx="32">
                  <c:v>0.96799954038837177</c:v>
                </c:pt>
                <c:pt idx="33">
                  <c:v>0.9696656325405032</c:v>
                </c:pt>
                <c:pt idx="34">
                  <c:v>0.97271055957715724</c:v>
                </c:pt>
                <c:pt idx="35">
                  <c:v>0.97362978283350565</c:v>
                </c:pt>
                <c:pt idx="36">
                  <c:v>0.97598529242789844</c:v>
                </c:pt>
                <c:pt idx="37">
                  <c:v>0.97773756176031257</c:v>
                </c:pt>
                <c:pt idx="38">
                  <c:v>0.97805354475468231</c:v>
                </c:pt>
                <c:pt idx="39">
                  <c:v>0.9787716879237045</c:v>
                </c:pt>
                <c:pt idx="40">
                  <c:v>0.97940365391244399</c:v>
                </c:pt>
                <c:pt idx="41">
                  <c:v>0.98072503734344485</c:v>
                </c:pt>
                <c:pt idx="42">
                  <c:v>0.98184534068711948</c:v>
                </c:pt>
                <c:pt idx="43">
                  <c:v>0.98276456394346789</c:v>
                </c:pt>
                <c:pt idx="44">
                  <c:v>0.98356888429277278</c:v>
                </c:pt>
                <c:pt idx="45">
                  <c:v>0.98356888429277278</c:v>
                </c:pt>
                <c:pt idx="46">
                  <c:v>0.9844019303688385</c:v>
                </c:pt>
                <c:pt idx="47">
                  <c:v>0.98489026772377353</c:v>
                </c:pt>
                <c:pt idx="48">
                  <c:v>0.98506262208433881</c:v>
                </c:pt>
                <c:pt idx="49">
                  <c:v>0.98601057106744805</c:v>
                </c:pt>
                <c:pt idx="50">
                  <c:v>0.98690106859703552</c:v>
                </c:pt>
                <c:pt idx="51">
                  <c:v>0.98773411467310124</c:v>
                </c:pt>
                <c:pt idx="52">
                  <c:v>0.98813627484775368</c:v>
                </c:pt>
                <c:pt idx="53">
                  <c:v>0.98819372630127544</c:v>
                </c:pt>
                <c:pt idx="54">
                  <c:v>0.98868206365621047</c:v>
                </c:pt>
                <c:pt idx="55">
                  <c:v>0.98914167528438468</c:v>
                </c:pt>
                <c:pt idx="56">
                  <c:v>0.98937148109847173</c:v>
                </c:pt>
                <c:pt idx="57">
                  <c:v>0.98977364127312417</c:v>
                </c:pt>
                <c:pt idx="58">
                  <c:v>0.99017580144777662</c:v>
                </c:pt>
                <c:pt idx="59">
                  <c:v>0.99049178444214636</c:v>
                </c:pt>
                <c:pt idx="60">
                  <c:v>0.99086521889003787</c:v>
                </c:pt>
                <c:pt idx="61">
                  <c:v>0.99118120188440761</c:v>
                </c:pt>
                <c:pt idx="62">
                  <c:v>0.99118120188440761</c:v>
                </c:pt>
                <c:pt idx="63">
                  <c:v>0.9915259106055383</c:v>
                </c:pt>
                <c:pt idx="64">
                  <c:v>0.99184189359990804</c:v>
                </c:pt>
                <c:pt idx="65">
                  <c:v>0.99212915086751696</c:v>
                </c:pt>
                <c:pt idx="66">
                  <c:v>0.99241640813512588</c:v>
                </c:pt>
                <c:pt idx="67">
                  <c:v>0.9927036654027348</c:v>
                </c:pt>
                <c:pt idx="68">
                  <c:v>0.9927036654027348</c:v>
                </c:pt>
                <c:pt idx="69">
                  <c:v>0.99296219694358279</c:v>
                </c:pt>
                <c:pt idx="70">
                  <c:v>0.99322072848443077</c:v>
                </c:pt>
                <c:pt idx="71">
                  <c:v>0.99345053429851782</c:v>
                </c:pt>
                <c:pt idx="72">
                  <c:v>0.99365161438584404</c:v>
                </c:pt>
                <c:pt idx="73">
                  <c:v>0.99385269447317026</c:v>
                </c:pt>
                <c:pt idx="74">
                  <c:v>0.99405377456049648</c:v>
                </c:pt>
                <c:pt idx="75">
                  <c:v>0.99405377456049648</c:v>
                </c:pt>
                <c:pt idx="76">
                  <c:v>0.99425485464782271</c:v>
                </c:pt>
                <c:pt idx="77">
                  <c:v>0.99445593473514893</c:v>
                </c:pt>
                <c:pt idx="78">
                  <c:v>0.99465701482247515</c:v>
                </c:pt>
                <c:pt idx="79">
                  <c:v>0.99485809490980137</c:v>
                </c:pt>
                <c:pt idx="80">
                  <c:v>0.99505917499712759</c:v>
                </c:pt>
                <c:pt idx="81">
                  <c:v>0.99523152935769288</c:v>
                </c:pt>
                <c:pt idx="82">
                  <c:v>0.99540388371825816</c:v>
                </c:pt>
                <c:pt idx="83">
                  <c:v>0.99557623807882345</c:v>
                </c:pt>
                <c:pt idx="84">
                  <c:v>0.99574859243938874</c:v>
                </c:pt>
                <c:pt idx="85">
                  <c:v>0.99592094679995402</c:v>
                </c:pt>
                <c:pt idx="86">
                  <c:v>0.99609330116051931</c:v>
                </c:pt>
                <c:pt idx="87">
                  <c:v>0.99623692979432377</c:v>
                </c:pt>
                <c:pt idx="88">
                  <c:v>0.99638055842812823</c:v>
                </c:pt>
                <c:pt idx="89">
                  <c:v>0.99652418706193269</c:v>
                </c:pt>
                <c:pt idx="90">
                  <c:v>0.99666781569573715</c:v>
                </c:pt>
                <c:pt idx="91">
                  <c:v>0.99681144432954161</c:v>
                </c:pt>
                <c:pt idx="92">
                  <c:v>0.99695507296334607</c:v>
                </c:pt>
                <c:pt idx="93">
                  <c:v>0.99709870159715053</c:v>
                </c:pt>
                <c:pt idx="94">
                  <c:v>0.99724233023095499</c:v>
                </c:pt>
                <c:pt idx="95">
                  <c:v>0.99738595886475945</c:v>
                </c:pt>
                <c:pt idx="96">
                  <c:v>0.99752958749856391</c:v>
                </c:pt>
                <c:pt idx="97">
                  <c:v>0.99764449040560743</c:v>
                </c:pt>
                <c:pt idx="98">
                  <c:v>0.99775939331265096</c:v>
                </c:pt>
                <c:pt idx="99">
                  <c:v>0.99787429621969448</c:v>
                </c:pt>
                <c:pt idx="100">
                  <c:v>0.997989199126738</c:v>
                </c:pt>
                <c:pt idx="101">
                  <c:v>0.99810410203378153</c:v>
                </c:pt>
                <c:pt idx="102">
                  <c:v>0.99821900494082505</c:v>
                </c:pt>
                <c:pt idx="103">
                  <c:v>0.99833390784786857</c:v>
                </c:pt>
                <c:pt idx="104">
                  <c:v>0.9984488107549121</c:v>
                </c:pt>
                <c:pt idx="105">
                  <c:v>0.99856371366195562</c:v>
                </c:pt>
                <c:pt idx="106">
                  <c:v>0.99867861656899914</c:v>
                </c:pt>
                <c:pt idx="107">
                  <c:v>0.99879351947604267</c:v>
                </c:pt>
                <c:pt idx="108">
                  <c:v>0.99890842238308619</c:v>
                </c:pt>
                <c:pt idx="109">
                  <c:v>0.99899459956336889</c:v>
                </c:pt>
                <c:pt idx="110">
                  <c:v>0.99908077674365159</c:v>
                </c:pt>
                <c:pt idx="111">
                  <c:v>0.99916695392393429</c:v>
                </c:pt>
                <c:pt idx="112">
                  <c:v>0.99925313110421699</c:v>
                </c:pt>
                <c:pt idx="113">
                  <c:v>0.99933930828449968</c:v>
                </c:pt>
                <c:pt idx="114">
                  <c:v>0.99942548546478238</c:v>
                </c:pt>
                <c:pt idx="115">
                  <c:v>0.99948293691830414</c:v>
                </c:pt>
                <c:pt idx="116">
                  <c:v>0.99954038837182591</c:v>
                </c:pt>
                <c:pt idx="117">
                  <c:v>0.99959783982534767</c:v>
                </c:pt>
                <c:pt idx="118">
                  <c:v>0.99965529127886943</c:v>
                </c:pt>
                <c:pt idx="119">
                  <c:v>0.99971274273239119</c:v>
                </c:pt>
                <c:pt idx="120">
                  <c:v>0.99977019418591295</c:v>
                </c:pt>
                <c:pt idx="121">
                  <c:v>0.99982764563943471</c:v>
                </c:pt>
                <c:pt idx="122">
                  <c:v>0.99988509709295648</c:v>
                </c:pt>
                <c:pt idx="123">
                  <c:v>0.99994254854647824</c:v>
                </c:pt>
                <c:pt idx="124">
                  <c:v>1</c:v>
                </c:pt>
              </c:numCache>
            </c:numRef>
          </c:xVal>
          <c:yVal>
            <c:numRef>
              <c:f>'AESS-W3'!$AN$5:$AN$129</c:f>
              <c:numCache>
                <c:formatCode>0.0%</c:formatCode>
                <c:ptCount val="1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0.83333333333333337</c:v>
                </c:pt>
                <c:pt idx="6">
                  <c:v>0.8571428571428571</c:v>
                </c:pt>
                <c:pt idx="7">
                  <c:v>0.875</c:v>
                </c:pt>
                <c:pt idx="8">
                  <c:v>0.88888888888888884</c:v>
                </c:pt>
                <c:pt idx="9">
                  <c:v>0.8</c:v>
                </c:pt>
                <c:pt idx="10">
                  <c:v>0.72727272727272729</c:v>
                </c:pt>
                <c:pt idx="11">
                  <c:v>0.66666666666666663</c:v>
                </c:pt>
                <c:pt idx="12">
                  <c:v>0.69230769230769229</c:v>
                </c:pt>
                <c:pt idx="13">
                  <c:v>0.6428571428571429</c:v>
                </c:pt>
                <c:pt idx="14">
                  <c:v>0.6</c:v>
                </c:pt>
                <c:pt idx="15">
                  <c:v>0.625</c:v>
                </c:pt>
                <c:pt idx="16">
                  <c:v>0.6470588235294118</c:v>
                </c:pt>
                <c:pt idx="17">
                  <c:v>0.66666666666666663</c:v>
                </c:pt>
                <c:pt idx="18">
                  <c:v>0.63157894736842102</c:v>
                </c:pt>
                <c:pt idx="19">
                  <c:v>0.65</c:v>
                </c:pt>
                <c:pt idx="20">
                  <c:v>0.66666666666666663</c:v>
                </c:pt>
                <c:pt idx="21">
                  <c:v>0.68181818181818177</c:v>
                </c:pt>
                <c:pt idx="22">
                  <c:v>0.69565217391304346</c:v>
                </c:pt>
                <c:pt idx="23">
                  <c:v>0.70833333333333337</c:v>
                </c:pt>
                <c:pt idx="24">
                  <c:v>0.68</c:v>
                </c:pt>
                <c:pt idx="25">
                  <c:v>0.69230769230769229</c:v>
                </c:pt>
                <c:pt idx="26">
                  <c:v>0.70370370370370372</c:v>
                </c:pt>
                <c:pt idx="27">
                  <c:v>0.6785714285714286</c:v>
                </c:pt>
                <c:pt idx="28">
                  <c:v>0.65517241379310343</c:v>
                </c:pt>
                <c:pt idx="29">
                  <c:v>0.66666666666666663</c:v>
                </c:pt>
                <c:pt idx="30">
                  <c:v>0.64516129032258063</c:v>
                </c:pt>
                <c:pt idx="31">
                  <c:v>0.625</c:v>
                </c:pt>
                <c:pt idx="32">
                  <c:v>0.63636363636363635</c:v>
                </c:pt>
                <c:pt idx="33">
                  <c:v>0.6470588235294118</c:v>
                </c:pt>
                <c:pt idx="34">
                  <c:v>0.62857142857142856</c:v>
                </c:pt>
                <c:pt idx="35">
                  <c:v>0.61111111111111116</c:v>
                </c:pt>
                <c:pt idx="36">
                  <c:v>0.59459459459459463</c:v>
                </c:pt>
                <c:pt idx="37">
                  <c:v>0.57894736842105265</c:v>
                </c:pt>
                <c:pt idx="38">
                  <c:v>0.58974358974358976</c:v>
                </c:pt>
                <c:pt idx="39">
                  <c:v>0.57499999999999996</c:v>
                </c:pt>
                <c:pt idx="40">
                  <c:v>0.58536585365853655</c:v>
                </c:pt>
                <c:pt idx="41">
                  <c:v>0.5714285714285714</c:v>
                </c:pt>
                <c:pt idx="42">
                  <c:v>0.55813953488372092</c:v>
                </c:pt>
                <c:pt idx="43">
                  <c:v>0.54545454545454541</c:v>
                </c:pt>
                <c:pt idx="44">
                  <c:v>0.53333333333333333</c:v>
                </c:pt>
                <c:pt idx="45">
                  <c:v>0.52173913043478259</c:v>
                </c:pt>
                <c:pt idx="46">
                  <c:v>0.51063829787234039</c:v>
                </c:pt>
                <c:pt idx="47">
                  <c:v>0.5</c:v>
                </c:pt>
                <c:pt idx="48">
                  <c:v>0.48979591836734693</c:v>
                </c:pt>
                <c:pt idx="49">
                  <c:v>0.48020434227330777</c:v>
                </c:pt>
                <c:pt idx="50">
                  <c:v>0.47098121085594991</c:v>
                </c:pt>
                <c:pt idx="51">
                  <c:v>0.46210569438754606</c:v>
                </c:pt>
                <c:pt idx="52">
                  <c:v>0.45355470484264138</c:v>
                </c:pt>
                <c:pt idx="53">
                  <c:v>0.4453109146204422</c:v>
                </c:pt>
                <c:pt idx="54">
                  <c:v>0.43735819911742491</c:v>
                </c:pt>
                <c:pt idx="55">
                  <c:v>0.42968153480948829</c:v>
                </c:pt>
                <c:pt idx="56">
                  <c:v>0.42226690745561485</c:v>
                </c:pt>
                <c:pt idx="57">
                  <c:v>0.41510383435252551</c:v>
                </c:pt>
                <c:pt idx="58">
                  <c:v>0.40817972740738095</c:v>
                </c:pt>
                <c:pt idx="59">
                  <c:v>0.401480387728477</c:v>
                </c:pt>
                <c:pt idx="60">
                  <c:v>0.39499740580629739</c:v>
                </c:pt>
                <c:pt idx="61">
                  <c:v>0.38871826731821763</c:v>
                </c:pt>
                <c:pt idx="62">
                  <c:v>0.3826356395941638</c:v>
                </c:pt>
                <c:pt idx="63">
                  <c:v>0.37674043981413963</c:v>
                </c:pt>
                <c:pt idx="64">
                  <c:v>0.37112652047088862</c:v>
                </c:pt>
                <c:pt idx="65">
                  <c:v>0.36577335513874498</c:v>
                </c:pt>
                <c:pt idx="66">
                  <c:v>0.36057242314164645</c:v>
                </c:pt>
                <c:pt idx="67">
                  <c:v>0.35551732170249456</c:v>
                </c:pt>
                <c:pt idx="68">
                  <c:v>0.35060200213884246</c:v>
                </c:pt>
                <c:pt idx="69">
                  <c:v>0.34590350329201924</c:v>
                </c:pt>
                <c:pt idx="70">
                  <c:v>0.34132927047551326</c:v>
                </c:pt>
                <c:pt idx="71">
                  <c:v>0.33695026021346203</c:v>
                </c:pt>
                <c:pt idx="72">
                  <c:v>0.33268218585861115</c:v>
                </c:pt>
                <c:pt idx="73">
                  <c:v>0.32852088453939787</c:v>
                </c:pt>
                <c:pt idx="74">
                  <c:v>0.32453035141813263</c:v>
                </c:pt>
                <c:pt idx="75">
                  <c:v>0.32063560059934559</c:v>
                </c:pt>
                <c:pt idx="76">
                  <c:v>0.31683322447321832</c:v>
                </c:pt>
                <c:pt idx="77">
                  <c:v>0.3131811493003131</c:v>
                </c:pt>
                <c:pt idx="78">
                  <c:v>0.30961230822946045</c:v>
                </c:pt>
                <c:pt idx="79">
                  <c:v>0.30612388784985445</c:v>
                </c:pt>
                <c:pt idx="80">
                  <c:v>0.30271320013346459</c:v>
                </c:pt>
                <c:pt idx="81">
                  <c:v>0.29937767552722133</c:v>
                </c:pt>
                <c:pt idx="82">
                  <c:v>0.29611485649691749</c:v>
                </c:pt>
                <c:pt idx="83">
                  <c:v>0.29292239148873528</c:v>
                </c:pt>
                <c:pt idx="84">
                  <c:v>0.28979802927721854</c:v>
                </c:pt>
                <c:pt idx="85">
                  <c:v>0.28673961367113993</c:v>
                </c:pt>
                <c:pt idx="86">
                  <c:v>0.28374507855110104</c:v>
                </c:pt>
                <c:pt idx="87">
                  <c:v>0.28081244321486432</c:v>
                </c:pt>
                <c:pt idx="88">
                  <c:v>0.2779398080083812</c:v>
                </c:pt>
                <c:pt idx="89">
                  <c:v>0.27512535022226464</c:v>
                </c:pt>
                <c:pt idx="90">
                  <c:v>0.27236732023508048</c:v>
                </c:pt>
                <c:pt idx="91">
                  <c:v>0.26966403788630833</c:v>
                </c:pt>
                <c:pt idx="92">
                  <c:v>0.26701388906317319</c:v>
                </c:pt>
                <c:pt idx="93">
                  <c:v>0.26441532248677757</c:v>
                </c:pt>
                <c:pt idx="94">
                  <c:v>0.26186684668408855</c:v>
                </c:pt>
                <c:pt idx="95">
                  <c:v>0.25936702713335963</c:v>
                </c:pt>
                <c:pt idx="96">
                  <c:v>0.25691448357150781</c:v>
                </c:pt>
                <c:pt idx="97">
                  <c:v>0.25450788745282699</c:v>
                </c:pt>
                <c:pt idx="98">
                  <c:v>0.25214595954920499</c:v>
                </c:pt>
                <c:pt idx="99">
                  <c:v>0.24982746768273803</c:v>
                </c:pt>
                <c:pt idx="100">
                  <c:v>0.24755122458229686</c:v>
                </c:pt>
                <c:pt idx="101">
                  <c:v>0.24531608585621184</c:v>
                </c:pt>
                <c:pt idx="102">
                  <c:v>0.24312094807380269</c:v>
                </c:pt>
                <c:pt idx="103">
                  <c:v>0.24096474694899572</c:v>
                </c:pt>
                <c:pt idx="104">
                  <c:v>0.23888088139555924</c:v>
                </c:pt>
                <c:pt idx="105">
                  <c:v>0.23683274939846846</c:v>
                </c:pt>
                <c:pt idx="106">
                  <c:v>0.23481943964730345</c:v>
                </c:pt>
                <c:pt idx="107">
                  <c:v>0.23284007155855119</c:v>
                </c:pt>
                <c:pt idx="108">
                  <c:v>0.23089379399139595</c:v>
                </c:pt>
                <c:pt idx="109">
                  <c:v>0.22897978402738306</c:v>
                </c:pt>
                <c:pt idx="110">
                  <c:v>0.22709724581027982</c:v>
                </c:pt>
                <c:pt idx="111">
                  <c:v>0.22524540944269797</c:v>
                </c:pt>
                <c:pt idx="112">
                  <c:v>0.22342352993626341</c:v>
                </c:pt>
                <c:pt idx="113">
                  <c:v>0.22163088621232599</c:v>
                </c:pt>
                <c:pt idx="114">
                  <c:v>0.21986678015039343</c:v>
                </c:pt>
                <c:pt idx="115">
                  <c:v>0.21813053568165117</c:v>
                </c:pt>
                <c:pt idx="116">
                  <c:v>0.21642149792509541</c:v>
                </c:pt>
                <c:pt idx="117">
                  <c:v>0.21473903236396066</c:v>
                </c:pt>
                <c:pt idx="118">
                  <c:v>0.21308252406026551</c:v>
                </c:pt>
                <c:pt idx="119">
                  <c:v>0.21145137690543456</c:v>
                </c:pt>
                <c:pt idx="120">
                  <c:v>0.2098450129050777</c:v>
                </c:pt>
                <c:pt idx="121">
                  <c:v>0.20826287149612421</c:v>
                </c:pt>
                <c:pt idx="122">
                  <c:v>0.20670440889461669</c:v>
                </c:pt>
                <c:pt idx="123">
                  <c:v>0.20516909747257092</c:v>
                </c:pt>
                <c:pt idx="124">
                  <c:v>0.2036564251624014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6936"/>
        <c:axId val="750128112"/>
      </c:scatterChart>
      <c:valAx>
        <c:axId val="75012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28112"/>
        <c:crosses val="autoZero"/>
        <c:crossBetween val="midCat"/>
      </c:valAx>
      <c:valAx>
        <c:axId val="7501281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2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Top 98% of OTUs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 summary'!$J$4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 summary'!$K$3:$M$3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summary'!$K$4:$M$4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ser>
          <c:idx val="1"/>
          <c:order val="1"/>
          <c:tx>
            <c:strRef>
              <c:f>'AE summary'!$J$5</c:f>
              <c:strCache>
                <c:ptCount val="1"/>
                <c:pt idx="0">
                  <c:v>WGS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 summary'!$K$3:$M$3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summary'!$K$5:$M$5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125368"/>
        <c:axId val="750128504"/>
      </c:barChart>
      <c:catAx>
        <c:axId val="75012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28504"/>
        <c:crosses val="autoZero"/>
        <c:auto val="1"/>
        <c:lblAlgn val="ctr"/>
        <c:lblOffset val="100"/>
        <c:noMultiLvlLbl val="0"/>
      </c:catAx>
      <c:valAx>
        <c:axId val="75012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25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Top 98% of OTUs (adjusted)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'AE summary'!$J$12</c:f>
              <c:strCache>
                <c:ptCount val="1"/>
                <c:pt idx="0">
                  <c:v>amplicon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'AE summary'!$K$3:$M$3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summary'!$K$12:$M$12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ser>
          <c:idx val="1"/>
          <c:order val="1"/>
          <c:tx>
            <c:strRef>
              <c:f>'AE summary'!$J$13</c:f>
              <c:strCache>
                <c:ptCount val="1"/>
                <c:pt idx="0">
                  <c:v>WGS 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'AE summary'!$K$3:$M$3</c:f>
              <c:strCache>
                <c:ptCount val="3"/>
                <c:pt idx="0">
                  <c:v>W1</c:v>
                </c:pt>
                <c:pt idx="1">
                  <c:v>W2</c:v>
                </c:pt>
                <c:pt idx="2">
                  <c:v>W3</c:v>
                </c:pt>
              </c:strCache>
            </c:strRef>
          </c:cat>
          <c:val>
            <c:numRef>
              <c:f>'AE summary'!$K$13:$M$13</c:f>
              <c:numCache>
                <c:formatCode>General</c:formatCode>
                <c:ptCount val="3"/>
                <c:pt idx="0">
                  <c:v>30</c:v>
                </c:pt>
                <c:pt idx="1">
                  <c:v>22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125760"/>
        <c:axId val="750126152"/>
      </c:barChart>
      <c:catAx>
        <c:axId val="7501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26152"/>
        <c:crosses val="autoZero"/>
        <c:auto val="1"/>
        <c:lblAlgn val="ctr"/>
        <c:lblOffset val="100"/>
        <c:noMultiLvlLbl val="0"/>
      </c:catAx>
      <c:valAx>
        <c:axId val="75012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12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23</xdr:row>
      <xdr:rowOff>142874</xdr:rowOff>
    </xdr:from>
    <xdr:to>
      <xdr:col>5</xdr:col>
      <xdr:colOff>398375</xdr:colOff>
      <xdr:row>36</xdr:row>
      <xdr:rowOff>186374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23</xdr:row>
      <xdr:rowOff>165100</xdr:rowOff>
    </xdr:from>
    <xdr:to>
      <xdr:col>12</xdr:col>
      <xdr:colOff>457200</xdr:colOff>
      <xdr:row>36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21</xdr:col>
      <xdr:colOff>192000</xdr:colOff>
      <xdr:row>36</xdr:row>
      <xdr:rowOff>43500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23</xdr:row>
      <xdr:rowOff>0</xdr:rowOff>
    </xdr:from>
    <xdr:to>
      <xdr:col>28</xdr:col>
      <xdr:colOff>441600</xdr:colOff>
      <xdr:row>35</xdr:row>
      <xdr:rowOff>126000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586317</xdr:colOff>
      <xdr:row>3</xdr:row>
      <xdr:rowOff>5292</xdr:rowOff>
    </xdr:from>
    <xdr:to>
      <xdr:col>51</xdr:col>
      <xdr:colOff>7143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583406</xdr:colOff>
      <xdr:row>3</xdr:row>
      <xdr:rowOff>2380</xdr:rowOff>
    </xdr:from>
    <xdr:to>
      <xdr:col>51</xdr:col>
      <xdr:colOff>464342</xdr:colOff>
      <xdr:row>24</xdr:row>
      <xdr:rowOff>69055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590550</xdr:colOff>
      <xdr:row>3</xdr:row>
      <xdr:rowOff>9525</xdr:rowOff>
    </xdr:from>
    <xdr:to>
      <xdr:col>55</xdr:col>
      <xdr:colOff>461962</xdr:colOff>
      <xdr:row>22</xdr:row>
      <xdr:rowOff>7144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23</xdr:row>
      <xdr:rowOff>47625</xdr:rowOff>
    </xdr:from>
    <xdr:to>
      <xdr:col>5</xdr:col>
      <xdr:colOff>0</xdr:colOff>
      <xdr:row>40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38100</xdr:rowOff>
    </xdr:from>
    <xdr:to>
      <xdr:col>9</xdr:col>
      <xdr:colOff>304800</xdr:colOff>
      <xdr:row>40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23</xdr:row>
      <xdr:rowOff>0</xdr:rowOff>
    </xdr:from>
    <xdr:to>
      <xdr:col>17</xdr:col>
      <xdr:colOff>304800</xdr:colOff>
      <xdr:row>39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23</xdr:row>
      <xdr:rowOff>0</xdr:rowOff>
    </xdr:from>
    <xdr:to>
      <xdr:col>25</xdr:col>
      <xdr:colOff>304800</xdr:colOff>
      <xdr:row>39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5952</xdr:colOff>
      <xdr:row>10</xdr:row>
      <xdr:rowOff>569119</xdr:rowOff>
    </xdr:from>
    <xdr:to>
      <xdr:col>33</xdr:col>
      <xdr:colOff>327421</xdr:colOff>
      <xdr:row>25</xdr:row>
      <xdr:rowOff>73819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17858</xdr:colOff>
      <xdr:row>26</xdr:row>
      <xdr:rowOff>128588</xdr:rowOff>
    </xdr:from>
    <xdr:to>
      <xdr:col>33</xdr:col>
      <xdr:colOff>339327</xdr:colOff>
      <xdr:row>41</xdr:row>
      <xdr:rowOff>14288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560705</xdr:colOff>
      <xdr:row>25</xdr:row>
      <xdr:rowOff>28892</xdr:rowOff>
    </xdr:from>
    <xdr:to>
      <xdr:col>10</xdr:col>
      <xdr:colOff>335280</xdr:colOff>
      <xdr:row>38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8</xdr:row>
      <xdr:rowOff>133350</xdr:rowOff>
    </xdr:from>
    <xdr:to>
      <xdr:col>10</xdr:col>
      <xdr:colOff>323850</xdr:colOff>
      <xdr:row>23</xdr:row>
      <xdr:rowOff>11430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314324</xdr:colOff>
      <xdr:row>15</xdr:row>
      <xdr:rowOff>76200</xdr:rowOff>
    </xdr:from>
    <xdr:to>
      <xdr:col>23</xdr:col>
      <xdr:colOff>152399</xdr:colOff>
      <xdr:row>44</xdr:row>
      <xdr:rowOff>177800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336550</xdr:colOff>
      <xdr:row>45</xdr:row>
      <xdr:rowOff>158750</xdr:rowOff>
    </xdr:from>
    <xdr:to>
      <xdr:col>23</xdr:col>
      <xdr:colOff>120650</xdr:colOff>
      <xdr:row>68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9524</xdr:colOff>
      <xdr:row>13</xdr:row>
      <xdr:rowOff>0</xdr:rowOff>
    </xdr:from>
    <xdr:to>
      <xdr:col>27</xdr:col>
      <xdr:colOff>6349</xdr:colOff>
      <xdr:row>40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40</xdr:row>
      <xdr:rowOff>66674</xdr:rowOff>
    </xdr:from>
    <xdr:to>
      <xdr:col>27</xdr:col>
      <xdr:colOff>12700</xdr:colOff>
      <xdr:row>69</xdr:row>
      <xdr:rowOff>57149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15874</xdr:colOff>
      <xdr:row>18</xdr:row>
      <xdr:rowOff>127000</xdr:rowOff>
    </xdr:from>
    <xdr:to>
      <xdr:col>26</xdr:col>
      <xdr:colOff>577849</xdr:colOff>
      <xdr:row>44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403/Documents/Genetics/MECSM_Method_comparison/PerSiteComparisons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SSAllSitesCounts"/>
      <sheetName val="Sheet1"/>
      <sheetName val="AESSAllSitesPct"/>
      <sheetName val="Kelpie stats"/>
      <sheetName val="MECSM"/>
      <sheetName val="AESS summary"/>
      <sheetName val="AESSCel119"/>
      <sheetName val="AESSFav95"/>
      <sheetName val="AESSTal69"/>
      <sheetName val="AEAll"/>
      <sheetName val="Sheet4"/>
      <sheetName val="AECel119"/>
      <sheetName val="AEFav95"/>
      <sheetName val="AETal69"/>
      <sheetName val="CelMaps"/>
      <sheetName val="FavMaps"/>
      <sheetName val="TalMaps"/>
      <sheetName val="MetaPhlAn"/>
      <sheetName val="MPA species"/>
      <sheetName val="MPA genus"/>
      <sheetName val="AESS genus"/>
      <sheetName val="Cell119 genus"/>
      <sheetName val="Fav95 genus"/>
      <sheetName val="Tal69 g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Y4">
            <v>0.63862149532710277</v>
          </cell>
          <cell r="AP4">
            <v>1</v>
          </cell>
          <cell r="AQ4">
            <v>1</v>
          </cell>
        </row>
        <row r="5">
          <cell r="Y5">
            <v>0.66754672897196254</v>
          </cell>
          <cell r="AP5">
            <v>1</v>
          </cell>
          <cell r="AQ5">
            <v>1</v>
          </cell>
        </row>
        <row r="6">
          <cell r="Y6">
            <v>0.72221962616822422</v>
          </cell>
          <cell r="AP6">
            <v>0.66666666666666663</v>
          </cell>
          <cell r="AQ6">
            <v>1</v>
          </cell>
        </row>
        <row r="7">
          <cell r="Y7">
            <v>0.79960280373831771</v>
          </cell>
          <cell r="AP7">
            <v>0.5</v>
          </cell>
          <cell r="AQ7">
            <v>1</v>
          </cell>
        </row>
        <row r="8">
          <cell r="Y8">
            <v>0.82927570093457936</v>
          </cell>
          <cell r="AP8">
            <v>0.6</v>
          </cell>
          <cell r="AQ8">
            <v>1</v>
          </cell>
        </row>
        <row r="9">
          <cell r="Y9">
            <v>0.85098130841121489</v>
          </cell>
          <cell r="AP9">
            <v>0.66666666666666663</v>
          </cell>
          <cell r="AQ9">
            <v>1</v>
          </cell>
        </row>
        <row r="10">
          <cell r="Y10">
            <v>0.85808411214953262</v>
          </cell>
          <cell r="AP10">
            <v>0.7142857142857143</v>
          </cell>
          <cell r="AQ10">
            <v>1</v>
          </cell>
        </row>
        <row r="11">
          <cell r="Y11">
            <v>0.88282710280373822</v>
          </cell>
          <cell r="AP11">
            <v>0.75</v>
          </cell>
          <cell r="AQ11">
            <v>1</v>
          </cell>
        </row>
        <row r="12">
          <cell r="Y12">
            <v>0.90142523364485971</v>
          </cell>
          <cell r="AP12">
            <v>0.77777777777777779</v>
          </cell>
          <cell r="AQ12">
            <v>1</v>
          </cell>
        </row>
        <row r="13">
          <cell r="Y13">
            <v>0.92553738317756995</v>
          </cell>
          <cell r="AP13">
            <v>0.7</v>
          </cell>
          <cell r="AQ13">
            <v>0.9</v>
          </cell>
        </row>
        <row r="14">
          <cell r="Y14">
            <v>0.92584112149532694</v>
          </cell>
          <cell r="AP14">
            <v>0.63636363636363635</v>
          </cell>
          <cell r="AQ14">
            <v>0.90909090909090906</v>
          </cell>
        </row>
        <row r="15">
          <cell r="Y15">
            <v>0.92883177570093445</v>
          </cell>
          <cell r="AP15">
            <v>0.66666666666666663</v>
          </cell>
          <cell r="AQ15">
            <v>0.91666666666666663</v>
          </cell>
        </row>
        <row r="16">
          <cell r="Y16">
            <v>0.9336214953271027</v>
          </cell>
          <cell r="AP16">
            <v>0.69230769230769229</v>
          </cell>
          <cell r="AQ16">
            <v>0.92307692307692313</v>
          </cell>
        </row>
        <row r="17">
          <cell r="Y17">
            <v>0.93873831775700922</v>
          </cell>
          <cell r="AP17">
            <v>0.6428571428571429</v>
          </cell>
          <cell r="AQ17">
            <v>0.9285714285714286</v>
          </cell>
        </row>
        <row r="18">
          <cell r="Y18">
            <v>0.94030373831775693</v>
          </cell>
          <cell r="AP18">
            <v>0.6</v>
          </cell>
          <cell r="AQ18">
            <v>0.93333333333333335</v>
          </cell>
        </row>
        <row r="19">
          <cell r="Y19">
            <v>0.94210280373831767</v>
          </cell>
          <cell r="AP19">
            <v>0.5625</v>
          </cell>
          <cell r="AQ19">
            <v>0.9375</v>
          </cell>
        </row>
        <row r="20">
          <cell r="Y20">
            <v>0.94747663551401862</v>
          </cell>
          <cell r="AP20">
            <v>0.52941176470588236</v>
          </cell>
          <cell r="AQ20">
            <v>0.94117647058823528</v>
          </cell>
        </row>
        <row r="21">
          <cell r="Y21">
            <v>0.95142523364485976</v>
          </cell>
          <cell r="AP21">
            <v>0.55555555555555558</v>
          </cell>
          <cell r="AQ21">
            <v>0.94444444444444442</v>
          </cell>
        </row>
        <row r="22">
          <cell r="Y22">
            <v>0.9539485981308411</v>
          </cell>
          <cell r="AP22">
            <v>0.57894736842105265</v>
          </cell>
          <cell r="AQ22">
            <v>0.94736842105263153</v>
          </cell>
        </row>
        <row r="23">
          <cell r="Y23">
            <v>0.95453271028037379</v>
          </cell>
          <cell r="AP23">
            <v>0.55000000000000004</v>
          </cell>
          <cell r="AQ23">
            <v>0.95</v>
          </cell>
        </row>
        <row r="24">
          <cell r="Y24">
            <v>0.95829439252336446</v>
          </cell>
          <cell r="AP24">
            <v>0.52380952380952384</v>
          </cell>
          <cell r="AQ24">
            <v>0.90476190476190477</v>
          </cell>
        </row>
        <row r="25">
          <cell r="Y25">
            <v>0.96072429906542056</v>
          </cell>
          <cell r="AP25">
            <v>0.54545454545454541</v>
          </cell>
          <cell r="AQ25">
            <v>0.90909090909090906</v>
          </cell>
        </row>
        <row r="26">
          <cell r="Y26">
            <v>0.96364485981308412</v>
          </cell>
          <cell r="AP26">
            <v>0.56521739130434778</v>
          </cell>
          <cell r="AQ26">
            <v>0.91304347826086951</v>
          </cell>
        </row>
        <row r="27">
          <cell r="Y27">
            <v>0.96773364485981306</v>
          </cell>
          <cell r="AP27">
            <v>0.54166666666666663</v>
          </cell>
          <cell r="AQ27">
            <v>0.875</v>
          </cell>
        </row>
        <row r="28">
          <cell r="Y28">
            <v>0.97028037383177568</v>
          </cell>
          <cell r="AP28">
            <v>0.52</v>
          </cell>
          <cell r="AQ28">
            <v>0.84</v>
          </cell>
        </row>
        <row r="29">
          <cell r="Y29">
            <v>0.97151869158878501</v>
          </cell>
          <cell r="AP29">
            <v>0.53846153846153844</v>
          </cell>
          <cell r="AQ29">
            <v>0.84615384615384615</v>
          </cell>
        </row>
        <row r="30">
          <cell r="Y30">
            <v>0.97151869158878501</v>
          </cell>
          <cell r="AP30">
            <v>0.53846153846153844</v>
          </cell>
          <cell r="AQ30">
            <v>0.81481481481481477</v>
          </cell>
        </row>
        <row r="31">
          <cell r="Y31">
            <v>0.97317757009345796</v>
          </cell>
          <cell r="AP31">
            <v>0.55555555555555558</v>
          </cell>
          <cell r="AQ31">
            <v>0.7857142857142857</v>
          </cell>
        </row>
        <row r="32">
          <cell r="Y32">
            <v>0.97406542056074763</v>
          </cell>
          <cell r="AP32">
            <v>0.5714285714285714</v>
          </cell>
          <cell r="AQ32">
            <v>0.7931034482758621</v>
          </cell>
        </row>
        <row r="33">
          <cell r="Y33">
            <v>0.97530373831775696</v>
          </cell>
          <cell r="AP33">
            <v>0.55172413793103448</v>
          </cell>
          <cell r="AQ33">
            <v>0.8</v>
          </cell>
        </row>
        <row r="34">
          <cell r="Y34">
            <v>0.97630841121495326</v>
          </cell>
          <cell r="AP34">
            <v>0.53333333333333333</v>
          </cell>
          <cell r="AQ34">
            <v>0.77419354838709675</v>
          </cell>
        </row>
        <row r="35">
          <cell r="Y35">
            <v>0.97768691588785051</v>
          </cell>
          <cell r="AP35">
            <v>0.5161290322580645</v>
          </cell>
          <cell r="AQ35">
            <v>0.75</v>
          </cell>
        </row>
        <row r="36">
          <cell r="Y36">
            <v>0.97908878504672903</v>
          </cell>
          <cell r="AP36">
            <v>0.5</v>
          </cell>
          <cell r="AQ36">
            <v>0.72727272727272729</v>
          </cell>
        </row>
        <row r="37">
          <cell r="Y37">
            <v>0.98035046728971964</v>
          </cell>
          <cell r="AP37">
            <v>0.48484848484848486</v>
          </cell>
          <cell r="AQ37">
            <v>0.70588235294117652</v>
          </cell>
        </row>
        <row r="38">
          <cell r="Y38">
            <v>0.9808411214953271</v>
          </cell>
          <cell r="AP38">
            <v>0.47058823529411764</v>
          </cell>
          <cell r="AQ38">
            <v>0.7142857142857143</v>
          </cell>
        </row>
        <row r="39">
          <cell r="Y39">
            <v>0.98203271028037387</v>
          </cell>
          <cell r="AP39">
            <v>0.47058823529411764</v>
          </cell>
          <cell r="AQ39">
            <v>0.69444444444444442</v>
          </cell>
        </row>
        <row r="40">
          <cell r="Y40">
            <v>0.98278037383177574</v>
          </cell>
          <cell r="AP40">
            <v>0.45714285714285713</v>
          </cell>
          <cell r="AQ40">
            <v>0.67567567567567566</v>
          </cell>
        </row>
        <row r="41">
          <cell r="Y41">
            <v>0.98331775700934587</v>
          </cell>
          <cell r="AP41">
            <v>0.44444444444444442</v>
          </cell>
          <cell r="AQ41">
            <v>0.65789473684210531</v>
          </cell>
        </row>
        <row r="42">
          <cell r="Y42">
            <v>0.98401869158878508</v>
          </cell>
          <cell r="AP42">
            <v>0.43243243243243246</v>
          </cell>
          <cell r="AQ42">
            <v>0.6414701803051317</v>
          </cell>
        </row>
        <row r="43">
          <cell r="Y43">
            <v>0.984696261682243</v>
          </cell>
          <cell r="AP43">
            <v>0.43243243243243246</v>
          </cell>
          <cell r="AQ43">
            <v>0.62584573748308514</v>
          </cell>
        </row>
        <row r="44">
          <cell r="Y44">
            <v>0.984696261682243</v>
          </cell>
          <cell r="AP44">
            <v>0.43243243243243246</v>
          </cell>
          <cell r="AQ44">
            <v>0.61096433289299856</v>
          </cell>
        </row>
        <row r="45">
          <cell r="Y45">
            <v>0.98514018691588789</v>
          </cell>
          <cell r="AP45">
            <v>0.42105263157894735</v>
          </cell>
          <cell r="AQ45">
            <v>0.59676406173070062</v>
          </cell>
        </row>
        <row r="46">
          <cell r="Y46">
            <v>0.98577102803738326</v>
          </cell>
          <cell r="AP46">
            <v>0.41025641025641024</v>
          </cell>
          <cell r="AQ46">
            <v>0.58354876485689988</v>
          </cell>
        </row>
        <row r="47">
          <cell r="Y47">
            <v>0.98630841121495338</v>
          </cell>
          <cell r="AP47">
            <v>0.42499999999999999</v>
          </cell>
          <cell r="AQ47">
            <v>0.57121547765808278</v>
          </cell>
        </row>
        <row r="48">
          <cell r="Y48">
            <v>0.98689252336448607</v>
          </cell>
          <cell r="AP48">
            <v>0.41463414634146339</v>
          </cell>
          <cell r="AQ48">
            <v>0.55936983198103152</v>
          </cell>
        </row>
        <row r="49">
          <cell r="Y49">
            <v>0.98747663551401876</v>
          </cell>
          <cell r="AP49">
            <v>0.40476190476190477</v>
          </cell>
          <cell r="AQ49">
            <v>0.54827071604209965</v>
          </cell>
        </row>
        <row r="50">
          <cell r="Y50">
            <v>0.98803738317757017</v>
          </cell>
          <cell r="AP50">
            <v>0.40476190476190477</v>
          </cell>
          <cell r="AQ50">
            <v>0.53760349170769783</v>
          </cell>
        </row>
        <row r="51">
          <cell r="Y51">
            <v>0.98845794392523367</v>
          </cell>
          <cell r="AP51">
            <v>0.40476190476190477</v>
          </cell>
          <cell r="AQ51">
            <v>0.52734343127032479</v>
          </cell>
        </row>
        <row r="52">
          <cell r="Y52">
            <v>0.98887850467289717</v>
          </cell>
          <cell r="AP52">
            <v>0.40476190476190477</v>
          </cell>
          <cell r="AQ52">
            <v>0.51746765936525652</v>
          </cell>
        </row>
        <row r="53">
          <cell r="Y53">
            <v>0.98929906542056067</v>
          </cell>
          <cell r="AP53">
            <v>0.39534883720930231</v>
          </cell>
          <cell r="AQ53">
            <v>0.50817223381850118</v>
          </cell>
        </row>
        <row r="54">
          <cell r="Y54">
            <v>0.98969626168224289</v>
          </cell>
          <cell r="AP54">
            <v>0.38636363636363635</v>
          </cell>
          <cell r="AQ54">
            <v>0.49940515592813556</v>
          </cell>
        </row>
        <row r="55">
          <cell r="Y55">
            <v>0.99007009345794383</v>
          </cell>
          <cell r="AP55">
            <v>0.38636363636363635</v>
          </cell>
          <cell r="AQ55">
            <v>0.49093545010058193</v>
          </cell>
        </row>
        <row r="56">
          <cell r="Y56">
            <v>0.99042056074766349</v>
          </cell>
          <cell r="AP56">
            <v>0.38636363636363635</v>
          </cell>
          <cell r="AQ56">
            <v>0.48274823873064848</v>
          </cell>
        </row>
        <row r="57">
          <cell r="Y57">
            <v>0.99077102803738315</v>
          </cell>
          <cell r="AP57">
            <v>0.38636363636363635</v>
          </cell>
          <cell r="AQ57">
            <v>0.47482962037477883</v>
          </cell>
        </row>
        <row r="58">
          <cell r="Y58">
            <v>0.99109813084112142</v>
          </cell>
          <cell r="AP58">
            <v>0.38636363636363635</v>
          </cell>
          <cell r="AQ58">
            <v>0.46716659098221619</v>
          </cell>
        </row>
        <row r="59">
          <cell r="Y59">
            <v>0.99123831775700921</v>
          </cell>
          <cell r="AP59">
            <v>0.37777777777777777</v>
          </cell>
          <cell r="AQ59">
            <v>0.47830566333691238</v>
          </cell>
        </row>
        <row r="60">
          <cell r="Y60">
            <v>0.99156542056074748</v>
          </cell>
          <cell r="AP60">
            <v>0.37777777777777777</v>
          </cell>
          <cell r="AQ60">
            <v>0.47098898423932539</v>
          </cell>
        </row>
        <row r="61">
          <cell r="Y61">
            <v>0.99175233644859795</v>
          </cell>
          <cell r="AP61">
            <v>0.39130434782608697</v>
          </cell>
          <cell r="AQ61">
            <v>0.48189264678331845</v>
          </cell>
        </row>
        <row r="62">
          <cell r="Y62">
            <v>0.99205607476635493</v>
          </cell>
          <cell r="AP62">
            <v>0.39130434782608697</v>
          </cell>
          <cell r="AQ62">
            <v>0.47489090401565481</v>
          </cell>
        </row>
        <row r="63">
          <cell r="Y63">
            <v>0.99235981308411192</v>
          </cell>
          <cell r="AP63">
            <v>0.39130434782608697</v>
          </cell>
          <cell r="AQ63">
            <v>0.46808971336244498</v>
          </cell>
        </row>
        <row r="64">
          <cell r="Y64">
            <v>0.99264018691588762</v>
          </cell>
          <cell r="AP64">
            <v>0.39130434782608697</v>
          </cell>
          <cell r="AQ64">
            <v>0.46148057981298773</v>
          </cell>
        </row>
        <row r="65">
          <cell r="Y65">
            <v>0.99289719626168205</v>
          </cell>
          <cell r="AP65">
            <v>0.38297872340425532</v>
          </cell>
          <cell r="AQ65">
            <v>0.45519032231344025</v>
          </cell>
        </row>
        <row r="66">
          <cell r="Y66">
            <v>0.99315420560747647</v>
          </cell>
          <cell r="AP66">
            <v>0.38297872340425532</v>
          </cell>
          <cell r="AQ66">
            <v>0.44906923884636529</v>
          </cell>
        </row>
        <row r="67">
          <cell r="Y67">
            <v>0.99341121495327089</v>
          </cell>
          <cell r="AP67">
            <v>0.375</v>
          </cell>
          <cell r="AQ67">
            <v>0.4432331202675826</v>
          </cell>
        </row>
        <row r="68">
          <cell r="Y68">
            <v>0.99366822429906532</v>
          </cell>
          <cell r="AP68">
            <v>0.375</v>
          </cell>
          <cell r="AQ68">
            <v>0.43754674835372559</v>
          </cell>
        </row>
        <row r="69">
          <cell r="Y69">
            <v>0.99390186915887835</v>
          </cell>
          <cell r="AP69">
            <v>0.375</v>
          </cell>
          <cell r="AQ69">
            <v>0.43200443267313909</v>
          </cell>
        </row>
        <row r="70">
          <cell r="Y70">
            <v>0.99413551401869138</v>
          </cell>
          <cell r="AP70">
            <v>0.375</v>
          </cell>
          <cell r="AQ70">
            <v>0.42660076750594422</v>
          </cell>
        </row>
        <row r="71">
          <cell r="Y71">
            <v>0.99434579439252313</v>
          </cell>
          <cell r="AP71">
            <v>0.36734693877551022</v>
          </cell>
          <cell r="AQ71">
            <v>0.42143686648813083</v>
          </cell>
        </row>
        <row r="72">
          <cell r="Y72">
            <v>0.99455607476635488</v>
          </cell>
          <cell r="AP72">
            <v>0.36734693877551022</v>
          </cell>
          <cell r="AQ72">
            <v>0.41639648587699146</v>
          </cell>
        </row>
        <row r="73">
          <cell r="Y73">
            <v>0.99476635514018663</v>
          </cell>
          <cell r="AP73">
            <v>0.36734693877551022</v>
          </cell>
          <cell r="AQ73">
            <v>0.41147524614325154</v>
          </cell>
        </row>
        <row r="74">
          <cell r="Y74">
            <v>0.9949532710280371</v>
          </cell>
          <cell r="AP74">
            <v>0.36</v>
          </cell>
          <cell r="AQ74">
            <v>0.4067639972514972</v>
          </cell>
        </row>
        <row r="75">
          <cell r="Y75">
            <v>0.99514018691588757</v>
          </cell>
          <cell r="AP75">
            <v>0.36</v>
          </cell>
          <cell r="AQ75">
            <v>0.40215941143692024</v>
          </cell>
        </row>
        <row r="76">
          <cell r="Y76">
            <v>0.99514018691588757</v>
          </cell>
          <cell r="AP76">
            <v>0.36</v>
          </cell>
          <cell r="AQ76">
            <v>0.39765790695327902</v>
          </cell>
        </row>
        <row r="77">
          <cell r="Y77">
            <v>0.99530373831775676</v>
          </cell>
          <cell r="AP77">
            <v>0.36</v>
          </cell>
          <cell r="AQ77">
            <v>0.39325606064588703</v>
          </cell>
        </row>
        <row r="78">
          <cell r="Y78">
            <v>0.99546728971962595</v>
          </cell>
          <cell r="AP78">
            <v>0.35294117647058826</v>
          </cell>
          <cell r="AQ78">
            <v>0.38903411375035146</v>
          </cell>
        </row>
        <row r="79">
          <cell r="Y79">
            <v>0.99563084112149514</v>
          </cell>
          <cell r="AP79">
            <v>0.35294117647058826</v>
          </cell>
          <cell r="AQ79">
            <v>0.38490185652443548</v>
          </cell>
        </row>
        <row r="80">
          <cell r="Y80">
            <v>0.99579439252336432</v>
          </cell>
          <cell r="AP80">
            <v>0.35294117647058826</v>
          </cell>
          <cell r="AQ80">
            <v>0.38085646099901915</v>
          </cell>
        </row>
        <row r="81">
          <cell r="Y81">
            <v>0.99593457943925212</v>
          </cell>
          <cell r="AP81">
            <v>0.35294117647058826</v>
          </cell>
          <cell r="AQ81">
            <v>0.37689521685850558</v>
          </cell>
        </row>
        <row r="82">
          <cell r="Y82">
            <v>0.99607476635513992</v>
          </cell>
          <cell r="AP82">
            <v>0.35294117647058826</v>
          </cell>
          <cell r="AQ82">
            <v>0.37301552538530014</v>
          </cell>
        </row>
        <row r="83">
          <cell r="Y83">
            <v>0.99621495327102771</v>
          </cell>
          <cell r="AP83">
            <v>0.35294117647058826</v>
          </cell>
          <cell r="AQ83">
            <v>0.3692148937744853</v>
          </cell>
        </row>
        <row r="84">
          <cell r="Y84">
            <v>0.99635514018691551</v>
          </cell>
          <cell r="AP84">
            <v>0.35294117647058826</v>
          </cell>
          <cell r="AQ84">
            <v>0.36549092979255499</v>
          </cell>
        </row>
        <row r="85">
          <cell r="Y85">
            <v>0.99649532710280331</v>
          </cell>
          <cell r="AP85">
            <v>0.35294117647058826</v>
          </cell>
          <cell r="AQ85">
            <v>0.36184133675615787</v>
          </cell>
        </row>
        <row r="86">
          <cell r="Y86">
            <v>0.9966355140186911</v>
          </cell>
          <cell r="AP86">
            <v>0.35294117647058826</v>
          </cell>
          <cell r="AQ86">
            <v>0.35826390880870435</v>
          </cell>
        </row>
        <row r="87">
          <cell r="Y87">
            <v>0.9967757009345789</v>
          </cell>
          <cell r="AP87">
            <v>0.35294117647058826</v>
          </cell>
          <cell r="AQ87">
            <v>0.35475652647442346</v>
          </cell>
        </row>
        <row r="88">
          <cell r="Y88">
            <v>0.9969158878504667</v>
          </cell>
          <cell r="AP88">
            <v>0.35294117647058826</v>
          </cell>
          <cell r="AQ88">
            <v>0.35131715247104112</v>
          </cell>
        </row>
        <row r="89">
          <cell r="Y89">
            <v>0.99703271028037321</v>
          </cell>
          <cell r="AP89">
            <v>0.35294117647058826</v>
          </cell>
          <cell r="AQ89">
            <v>0.34794382776369687</v>
          </cell>
        </row>
        <row r="90">
          <cell r="Y90">
            <v>0.99714953271027973</v>
          </cell>
          <cell r="AP90">
            <v>0.35294117647058826</v>
          </cell>
          <cell r="AQ90">
            <v>0.34463466784403846</v>
          </cell>
        </row>
        <row r="91">
          <cell r="Y91">
            <v>0.99726635514018624</v>
          </cell>
          <cell r="AP91">
            <v>0.35294117647058826</v>
          </cell>
          <cell r="AQ91">
            <v>0.34138785921964504</v>
          </cell>
        </row>
        <row r="92">
          <cell r="Y92">
            <v>0.99738317757009276</v>
          </cell>
          <cell r="AP92">
            <v>0.35294117647058826</v>
          </cell>
          <cell r="AQ92">
            <v>0.33820165610003711</v>
          </cell>
        </row>
        <row r="93">
          <cell r="Y93">
            <v>0.99749999999999928</v>
          </cell>
          <cell r="AP93">
            <v>0.35294117647058826</v>
          </cell>
          <cell r="AQ93">
            <v>0.33507437726654909</v>
          </cell>
        </row>
        <row r="94">
          <cell r="Y94">
            <v>0.99761682242990579</v>
          </cell>
          <cell r="AP94">
            <v>0.35294117647058826</v>
          </cell>
          <cell r="AQ94">
            <v>0.33200440311427298</v>
          </cell>
        </row>
        <row r="95">
          <cell r="Y95">
            <v>0.99773364485981231</v>
          </cell>
          <cell r="AP95">
            <v>0.35294117647058826</v>
          </cell>
          <cell r="AQ95">
            <v>0.3289901728551366</v>
          </cell>
        </row>
        <row r="96">
          <cell r="Y96">
            <v>0.99785046728971882</v>
          </cell>
          <cell r="AP96">
            <v>0.35294117647058826</v>
          </cell>
          <cell r="AQ96">
            <v>0.32603018187196892</v>
          </cell>
        </row>
        <row r="97">
          <cell r="Y97">
            <v>0.99796728971962534</v>
          </cell>
          <cell r="AP97">
            <v>0.34615384615384615</v>
          </cell>
          <cell r="AQ97">
            <v>0.32317839793286957</v>
          </cell>
        </row>
        <row r="98">
          <cell r="Y98">
            <v>0.99808411214953185</v>
          </cell>
          <cell r="AP98">
            <v>0.34615384615384615</v>
          </cell>
          <cell r="AQ98">
            <v>0.32037607047044414</v>
          </cell>
        </row>
        <row r="99">
          <cell r="Y99">
            <v>0.99820093457943837</v>
          </cell>
          <cell r="AP99">
            <v>0.34615384615384615</v>
          </cell>
          <cell r="AQ99">
            <v>0.31762192401134115</v>
          </cell>
        </row>
        <row r="100">
          <cell r="Y100">
            <v>0.99829439252336361</v>
          </cell>
          <cell r="AP100">
            <v>0.34615384615384615</v>
          </cell>
          <cell r="AQ100">
            <v>0.31491472656734587</v>
          </cell>
        </row>
        <row r="101">
          <cell r="Y101">
            <v>0.99838785046728884</v>
          </cell>
          <cell r="AP101">
            <v>0.34615384615384615</v>
          </cell>
          <cell r="AQ101">
            <v>0.31225328779785061</v>
          </cell>
        </row>
        <row r="102">
          <cell r="Y102">
            <v>0.99848130841121407</v>
          </cell>
          <cell r="AP102">
            <v>0.34615384615384615</v>
          </cell>
          <cell r="AQ102">
            <v>0.30963645726472133</v>
          </cell>
        </row>
        <row r="103">
          <cell r="Y103">
            <v>0.99857476635513931</v>
          </cell>
          <cell r="AP103">
            <v>0.34615384615384615</v>
          </cell>
          <cell r="AQ103">
            <v>0.30706312277418518</v>
          </cell>
        </row>
        <row r="104">
          <cell r="Y104">
            <v>0.99866822429906454</v>
          </cell>
          <cell r="AP104">
            <v>0.34615384615384615</v>
          </cell>
          <cell r="AQ104">
            <v>0.30453220880071841</v>
          </cell>
        </row>
        <row r="105">
          <cell r="Y105">
            <v>0.99876168224298978</v>
          </cell>
          <cell r="AP105">
            <v>0.33962264150943394</v>
          </cell>
          <cell r="AQ105">
            <v>0.30208927051519108</v>
          </cell>
        </row>
        <row r="106">
          <cell r="Y106">
            <v>0.99885514018691501</v>
          </cell>
          <cell r="AP106">
            <v>0.33962264150943394</v>
          </cell>
          <cell r="AQ106">
            <v>0.29968521451393687</v>
          </cell>
        </row>
        <row r="107">
          <cell r="Y107">
            <v>0.99894859813084025</v>
          </cell>
          <cell r="AP107">
            <v>0.33962264150943394</v>
          </cell>
          <cell r="AQ107">
            <v>0.29731911983895071</v>
          </cell>
        </row>
        <row r="108">
          <cell r="Y108">
            <v>0.9990186915887842</v>
          </cell>
          <cell r="AP108">
            <v>0.33333333333333331</v>
          </cell>
          <cell r="AQ108">
            <v>0.29503289284245454</v>
          </cell>
        </row>
        <row r="109">
          <cell r="Y109">
            <v>0.99908878504672816</v>
          </cell>
          <cell r="AP109">
            <v>0.33333333333333331</v>
          </cell>
          <cell r="AQ109">
            <v>0.29278155730523781</v>
          </cell>
        </row>
        <row r="110">
          <cell r="Y110">
            <v>0.99915887850467211</v>
          </cell>
          <cell r="AP110">
            <v>0.33333333333333331</v>
          </cell>
          <cell r="AQ110">
            <v>0.2905643205275063</v>
          </cell>
        </row>
        <row r="111">
          <cell r="Y111">
            <v>0.99922897196261606</v>
          </cell>
          <cell r="AP111">
            <v>0.33333333333333331</v>
          </cell>
          <cell r="AQ111">
            <v>0.28838041364147021</v>
          </cell>
        </row>
        <row r="112">
          <cell r="Y112">
            <v>0.99929906542056002</v>
          </cell>
          <cell r="AP112">
            <v>0.33333333333333331</v>
          </cell>
          <cell r="AQ112">
            <v>0.2862290907224081</v>
          </cell>
        </row>
        <row r="113">
          <cell r="Y113">
            <v>0.99936915887850397</v>
          </cell>
          <cell r="AP113">
            <v>0.33333333333333331</v>
          </cell>
          <cell r="AQ113">
            <v>0.28410962793922567</v>
          </cell>
        </row>
        <row r="114">
          <cell r="Y114">
            <v>0.99943925233644793</v>
          </cell>
          <cell r="AP114">
            <v>0.33333333333333331</v>
          </cell>
          <cell r="AQ114">
            <v>0.28202132274247588</v>
          </cell>
        </row>
        <row r="115">
          <cell r="Y115">
            <v>0.99950934579439188</v>
          </cell>
          <cell r="AP115">
            <v>0.33333333333333331</v>
          </cell>
          <cell r="AQ115">
            <v>0.27996349308792856</v>
          </cell>
        </row>
        <row r="116">
          <cell r="Y116">
            <v>0.99957943925233583</v>
          </cell>
          <cell r="AP116">
            <v>0.33333333333333331</v>
          </cell>
          <cell r="AQ116">
            <v>0.27793547669388563</v>
          </cell>
        </row>
        <row r="117">
          <cell r="Y117">
            <v>0.99962616822429839</v>
          </cell>
          <cell r="AP117">
            <v>0.33333333333333331</v>
          </cell>
          <cell r="AQ117">
            <v>0.27593663033054366</v>
          </cell>
        </row>
        <row r="118">
          <cell r="Y118">
            <v>0.99967289719626096</v>
          </cell>
          <cell r="AP118">
            <v>0.33333333333333331</v>
          </cell>
          <cell r="AQ118">
            <v>0.27396632913980234</v>
          </cell>
        </row>
        <row r="119">
          <cell r="Y119">
            <v>0.99971962616822352</v>
          </cell>
          <cell r="AP119">
            <v>0.33333333333333331</v>
          </cell>
          <cell r="AQ119">
            <v>0.27202396598400658</v>
          </cell>
        </row>
        <row r="120">
          <cell r="Y120">
            <v>0.99976635514018608</v>
          </cell>
          <cell r="AP120">
            <v>0.33333333333333331</v>
          </cell>
          <cell r="AQ120">
            <v>0.27010895082219827</v>
          </cell>
        </row>
        <row r="121">
          <cell r="Y121">
            <v>0.99981308411214864</v>
          </cell>
          <cell r="AP121">
            <v>0.33333333333333331</v>
          </cell>
          <cell r="AQ121">
            <v>0.26822071011252979</v>
          </cell>
        </row>
        <row r="122">
          <cell r="Y122">
            <v>0.9998598130841112</v>
          </cell>
          <cell r="AP122">
            <v>0.33333333333333331</v>
          </cell>
          <cell r="AQ122">
            <v>0.26635868623956882</v>
          </cell>
        </row>
        <row r="123">
          <cell r="Y123">
            <v>0.99990654205607377</v>
          </cell>
          <cell r="AP123">
            <v>0.33333333333333331</v>
          </cell>
          <cell r="AQ123">
            <v>0.26452233696529331</v>
          </cell>
        </row>
        <row r="124">
          <cell r="Y124">
            <v>0.99995327102803633</v>
          </cell>
          <cell r="AP124">
            <v>0.33333333333333331</v>
          </cell>
          <cell r="AQ124">
            <v>0.26271113490264064</v>
          </cell>
        </row>
        <row r="125">
          <cell r="Y125">
            <v>0.99999999999999889</v>
          </cell>
          <cell r="AP125">
            <v>0.33333333333333331</v>
          </cell>
          <cell r="AQ125">
            <v>0.26092456701053768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7"/>
  <sheetViews>
    <sheetView workbookViewId="0">
      <selection activeCell="AE18" sqref="AE18"/>
    </sheetView>
  </sheetViews>
  <sheetFormatPr defaultRowHeight="14.5" x14ac:dyDescent="0.35"/>
  <cols>
    <col min="16" max="16" width="10" customWidth="1"/>
  </cols>
  <sheetData>
    <row r="1" spans="1:28" x14ac:dyDescent="0.35">
      <c r="A1" t="s">
        <v>2157</v>
      </c>
    </row>
    <row r="3" spans="1:28" s="1" customFormat="1" ht="43.5" x14ac:dyDescent="0.35">
      <c r="B3" s="1" t="str">
        <f>'AESS-W1'!S4</f>
        <v>W1 amplicon</v>
      </c>
      <c r="C3" s="1" t="str">
        <f>'AESS-W1'!T4</f>
        <v>W1 extended</v>
      </c>
      <c r="D3" s="1" t="str">
        <f>'AESS-W1'!U4</f>
        <v>W1 Spades</v>
      </c>
      <c r="E3" s="1" t="str">
        <f>'AESS-W1'!V4</f>
        <v>W1 Spades 16S</v>
      </c>
      <c r="F3" s="1" t="str">
        <f>'AESS-W2'!S4</f>
        <v>W2 amplicon</v>
      </c>
      <c r="G3" s="1" t="str">
        <f>'AESS-W2'!T4</f>
        <v>W2 extended</v>
      </c>
      <c r="H3" s="1" t="str">
        <f>'AESS-W2'!U4</f>
        <v>W2 Spades</v>
      </c>
      <c r="I3" s="1" t="str">
        <f>'AESS-W2'!V4</f>
        <v>W2 Spades 16S</v>
      </c>
      <c r="J3" s="1" t="str">
        <f>'AESS-W3'!S4</f>
        <v>W3 amplicon</v>
      </c>
      <c r="K3" s="1" t="str">
        <f>'AESS-W3'!T4</f>
        <v>W3 extended</v>
      </c>
      <c r="L3" s="1" t="str">
        <f>'AESS-W3'!U4</f>
        <v>W3 Spades</v>
      </c>
      <c r="M3" s="1" t="str">
        <f>'AESS-W3'!V4</f>
        <v>W3 Spades 16S</v>
      </c>
      <c r="O3" s="33">
        <v>0.98</v>
      </c>
      <c r="Q3" s="1" t="s">
        <v>1963</v>
      </c>
      <c r="R3" s="1" t="s">
        <v>1964</v>
      </c>
      <c r="S3" s="1" t="s">
        <v>1965</v>
      </c>
      <c r="T3" s="1" t="s">
        <v>2166</v>
      </c>
      <c r="V3" s="33">
        <v>0.99</v>
      </c>
      <c r="X3" s="1" t="s">
        <v>1963</v>
      </c>
      <c r="Y3" s="1" t="s">
        <v>1964</v>
      </c>
      <c r="Z3" s="1" t="s">
        <v>1965</v>
      </c>
      <c r="AA3" s="1" t="s">
        <v>2166</v>
      </c>
    </row>
    <row r="4" spans="1:28" x14ac:dyDescent="0.35">
      <c r="A4" s="19">
        <v>0.98</v>
      </c>
      <c r="B4" s="8">
        <f>COUNTIF('AESS-W1'!$S5:$S37,"&gt;0")</f>
        <v>32</v>
      </c>
      <c r="C4" s="8">
        <f>COUNTIFS('AESS-W1'!$S5:$S37, "&gt;0",'AESS-W1'!$T5:$T37,"&gt;0")</f>
        <v>32</v>
      </c>
      <c r="D4" s="8">
        <f>COUNTIFS('AESS-W1'!$S5:$S37, "&gt;0",'AESS-W1'!$U5:$U37,"&gt;0")</f>
        <v>16</v>
      </c>
      <c r="E4" s="8">
        <f>COUNTIFS('AESS-W1'!$S5:$S37, "&gt;0",'AESS-W1'!$V5:$V37,"&gt;0")</f>
        <v>24</v>
      </c>
      <c r="F4" s="8">
        <f>COUNTIF('AESS-W2'!$S5:$S28,"&gt;0")</f>
        <v>24</v>
      </c>
      <c r="G4" s="8">
        <f>COUNTIFS('AESS-W2'!$S5:$S28, "&gt;0",'AESS-W2'!$T5:$T28,"&gt;0")</f>
        <v>24</v>
      </c>
      <c r="H4" s="8">
        <f>COUNTIFS('AESS-W2'!$S5:$S28, "&gt;0",'AESS-W2'!$U5:$U28,"&gt;0")</f>
        <v>14</v>
      </c>
      <c r="I4" s="8">
        <f>COUNTIFS('AESS-W2'!$S5:$S28, "&gt;0",'AESS-W2'!$V5:$V28,"&gt;0")</f>
        <v>14</v>
      </c>
      <c r="J4" s="8">
        <f>COUNTIF('AESS-W3'!$S5:$S45,"&gt;0")</f>
        <v>39</v>
      </c>
      <c r="K4" s="8">
        <f>COUNTIFS('AESS-W3'!$S5:$S45, "&gt;0",'AESS-W3'!$T5:$T45,"&gt;0")</f>
        <v>39</v>
      </c>
      <c r="L4" s="8">
        <f>COUNTIFS('AESS-W3'!$S5:$S45, "&gt;0",'AESS-W3'!$U5:$U45,"&gt;0")</f>
        <v>24</v>
      </c>
      <c r="M4" s="8">
        <f>COUNTIFS('AESS-W3'!$S5:$S45, "&gt;0",'AESS-W3'!$V5:$V45,"&gt;0")</f>
        <v>24</v>
      </c>
      <c r="P4" t="s">
        <v>619</v>
      </c>
      <c r="Q4">
        <f>$B4</f>
        <v>32</v>
      </c>
      <c r="R4">
        <f>$F4</f>
        <v>24</v>
      </c>
      <c r="S4">
        <f>$J4</f>
        <v>39</v>
      </c>
      <c r="T4">
        <f>SUM(Q4:S4)</f>
        <v>95</v>
      </c>
      <c r="U4" s="57">
        <f>T4/T$4</f>
        <v>1</v>
      </c>
      <c r="W4" t="s">
        <v>619</v>
      </c>
      <c r="X4">
        <f>$B5</f>
        <v>48</v>
      </c>
      <c r="Y4">
        <f>$F5</f>
        <v>34</v>
      </c>
      <c r="Z4">
        <f>$J5</f>
        <v>54</v>
      </c>
      <c r="AA4">
        <f>SUM(X4:Z4)</f>
        <v>136</v>
      </c>
      <c r="AB4" s="57">
        <f>AA4/AA$4</f>
        <v>1</v>
      </c>
    </row>
    <row r="5" spans="1:28" x14ac:dyDescent="0.35">
      <c r="A5" s="19">
        <v>0.99</v>
      </c>
      <c r="B5" s="8">
        <f>COUNTIF('AESS-W1'!$S5:$S54,"&gt;0")</f>
        <v>48</v>
      </c>
      <c r="C5" s="8">
        <f>COUNTIFS('AESS-W1'!$S5:$S54, "&gt;0",'AESS-W1'!$T5:$T54,"&gt;0")</f>
        <v>39</v>
      </c>
      <c r="D5" s="8">
        <f>COUNTIFS('AESS-W1'!$S5:$S54, "&gt;0",'AESS-W1'!$U5:$U54,"&gt;0")</f>
        <v>17</v>
      </c>
      <c r="E5" s="8">
        <f>COUNTIFS('AESS-W1'!$S5:$S54, "&gt;0",'AESS-W1'!$V5:$V54,"&gt;0")</f>
        <v>25</v>
      </c>
      <c r="F5" s="8">
        <f>COUNTIF('AESS-W2'!$S5:$S38,"&gt;0")</f>
        <v>34</v>
      </c>
      <c r="G5" s="8">
        <f>COUNTIFS('AESS-W2'!$S5:$S38, "&gt;0",'AESS-W2'!$T5:$T38,"&gt;0")</f>
        <v>30</v>
      </c>
      <c r="H5" s="8">
        <f>COUNTIFS('AESS-W2'!$S5:$S38, "&gt;0",'AESS-W2'!$U5:$U38,"&gt;0")</f>
        <v>15</v>
      </c>
      <c r="I5" s="8">
        <f>COUNTIFS('AESS-W2'!$S5:$S38, "&gt;0",'AESS-W2'!$V5:$V38,"&gt;0")</f>
        <v>14</v>
      </c>
      <c r="J5" s="8">
        <f>COUNTIF('AESS-W3'!$S5:$S61,"&gt;0")</f>
        <v>54</v>
      </c>
      <c r="K5" s="8">
        <f>COUNTIFS('AESS-W3'!$S5:$S61, "&gt;0",'AESS-W3'!$T5:$T61,"&gt;0")</f>
        <v>51</v>
      </c>
      <c r="L5" s="8">
        <f>COUNTIFS('AESS-W3'!$S5:$S61, "&gt;0",'AESS-W3'!$U5:$U61,"&gt;0")</f>
        <v>26</v>
      </c>
      <c r="M5" s="8">
        <f>COUNTIFS('AESS-W3'!$S5:$S61, "&gt;0",'AESS-W3'!$V5:$V61,"&gt;0")</f>
        <v>24</v>
      </c>
      <c r="P5" t="s">
        <v>1477</v>
      </c>
      <c r="Q5">
        <f>$C4</f>
        <v>32</v>
      </c>
      <c r="R5">
        <f>$G4</f>
        <v>24</v>
      </c>
      <c r="S5">
        <f>$K4</f>
        <v>39</v>
      </c>
      <c r="T5">
        <f t="shared" ref="T5:T7" si="0">SUM(Q5:S5)</f>
        <v>95</v>
      </c>
      <c r="U5" s="57">
        <f t="shared" ref="U5:U7" si="1">T5/T$4</f>
        <v>1</v>
      </c>
      <c r="W5" t="s">
        <v>1477</v>
      </c>
      <c r="X5">
        <f>$C5</f>
        <v>39</v>
      </c>
      <c r="Y5">
        <f>$G5</f>
        <v>30</v>
      </c>
      <c r="Z5">
        <f>$K5</f>
        <v>51</v>
      </c>
      <c r="AA5">
        <f t="shared" ref="AA5:AA7" si="2">SUM(X5:Z5)</f>
        <v>120</v>
      </c>
      <c r="AB5" s="57">
        <f t="shared" ref="AB5:AB7" si="3">AA5/AA$4</f>
        <v>0.88235294117647056</v>
      </c>
    </row>
    <row r="6" spans="1:28" x14ac:dyDescent="0.35">
      <c r="P6" t="s">
        <v>621</v>
      </c>
      <c r="Q6">
        <f>$D4</f>
        <v>16</v>
      </c>
      <c r="R6">
        <f>$H4</f>
        <v>14</v>
      </c>
      <c r="S6">
        <f>$L4</f>
        <v>24</v>
      </c>
      <c r="T6">
        <f t="shared" si="0"/>
        <v>54</v>
      </c>
      <c r="U6" s="57">
        <f t="shared" si="1"/>
        <v>0.56842105263157894</v>
      </c>
      <c r="W6" t="s">
        <v>621</v>
      </c>
      <c r="X6">
        <f>$D5</f>
        <v>17</v>
      </c>
      <c r="Y6">
        <f>$H5</f>
        <v>15</v>
      </c>
      <c r="Z6">
        <f>$L5</f>
        <v>26</v>
      </c>
      <c r="AA6">
        <f t="shared" si="2"/>
        <v>58</v>
      </c>
      <c r="AB6" s="57">
        <f t="shared" si="3"/>
        <v>0.4264705882352941</v>
      </c>
    </row>
    <row r="7" spans="1:28" x14ac:dyDescent="0.35">
      <c r="P7" t="s">
        <v>622</v>
      </c>
      <c r="Q7">
        <f>$E4</f>
        <v>24</v>
      </c>
      <c r="R7">
        <f>$I4</f>
        <v>14</v>
      </c>
      <c r="S7">
        <f>$M4</f>
        <v>24</v>
      </c>
      <c r="T7">
        <f t="shared" si="0"/>
        <v>62</v>
      </c>
      <c r="U7" s="57">
        <f t="shared" si="1"/>
        <v>0.65263157894736845</v>
      </c>
      <c r="W7" t="s">
        <v>622</v>
      </c>
      <c r="X7">
        <f>$E5</f>
        <v>25</v>
      </c>
      <c r="Y7">
        <f>$I5</f>
        <v>14</v>
      </c>
      <c r="Z7">
        <f>$M5</f>
        <v>24</v>
      </c>
      <c r="AA7">
        <f t="shared" si="2"/>
        <v>63</v>
      </c>
      <c r="AB7" s="57">
        <f t="shared" si="3"/>
        <v>0.46323529411764708</v>
      </c>
    </row>
    <row r="9" spans="1:28" x14ac:dyDescent="0.35">
      <c r="W9" s="19"/>
      <c r="X9" s="8"/>
      <c r="Y9" s="8"/>
      <c r="Z9" s="8"/>
    </row>
    <row r="10" spans="1:28" x14ac:dyDescent="0.35">
      <c r="A10" t="s">
        <v>1083</v>
      </c>
      <c r="W10" s="19"/>
      <c r="X10" s="8"/>
      <c r="Y10" s="8"/>
      <c r="Z10" s="8"/>
    </row>
    <row r="11" spans="1:28" ht="43.5" x14ac:dyDescent="0.35">
      <c r="B11" s="1" t="str">
        <f t="shared" ref="B11:M11" si="4">B3</f>
        <v>W1 amplicon</v>
      </c>
      <c r="C11" s="1" t="str">
        <f t="shared" si="4"/>
        <v>W1 extended</v>
      </c>
      <c r="D11" s="1" t="str">
        <f t="shared" si="4"/>
        <v>W1 Spades</v>
      </c>
      <c r="E11" s="1" t="str">
        <f t="shared" si="4"/>
        <v>W1 Spades 16S</v>
      </c>
      <c r="F11" s="1" t="str">
        <f t="shared" si="4"/>
        <v>W2 amplicon</v>
      </c>
      <c r="G11" s="1" t="str">
        <f t="shared" si="4"/>
        <v>W2 extended</v>
      </c>
      <c r="H11" s="1" t="str">
        <f t="shared" si="4"/>
        <v>W2 Spades</v>
      </c>
      <c r="I11" s="1" t="str">
        <f t="shared" si="4"/>
        <v>W2 Spades 16S</v>
      </c>
      <c r="J11" s="1" t="str">
        <f t="shared" si="4"/>
        <v>W3 amplicon</v>
      </c>
      <c r="K11" s="1" t="str">
        <f t="shared" si="4"/>
        <v>W3 extended</v>
      </c>
      <c r="L11" s="1" t="str">
        <f t="shared" si="4"/>
        <v>W3 Spades</v>
      </c>
      <c r="M11" s="1" t="str">
        <f t="shared" si="4"/>
        <v>W3 Spades 16S</v>
      </c>
      <c r="O11" s="33">
        <v>0.98</v>
      </c>
      <c r="P11" s="1"/>
      <c r="Q11" s="1" t="s">
        <v>1963</v>
      </c>
      <c r="R11" s="1" t="s">
        <v>1964</v>
      </c>
      <c r="S11" s="1" t="s">
        <v>1965</v>
      </c>
      <c r="T11" s="1" t="s">
        <v>2166</v>
      </c>
      <c r="V11" s="33">
        <v>0.99</v>
      </c>
      <c r="W11" s="1"/>
      <c r="X11" s="1" t="s">
        <v>1963</v>
      </c>
      <c r="Y11" s="1" t="s">
        <v>1964</v>
      </c>
      <c r="Z11" s="1" t="s">
        <v>1965</v>
      </c>
      <c r="AA11" s="1" t="s">
        <v>2166</v>
      </c>
    </row>
    <row r="12" spans="1:28" x14ac:dyDescent="0.35">
      <c r="A12" s="19">
        <f>A4</f>
        <v>0.98</v>
      </c>
      <c r="B12">
        <f>B4-B18</f>
        <v>32</v>
      </c>
      <c r="C12">
        <f>C4+C21</f>
        <v>32</v>
      </c>
      <c r="D12">
        <f>D4+D21</f>
        <v>16</v>
      </c>
      <c r="E12">
        <f>E4+E21</f>
        <v>24</v>
      </c>
      <c r="F12">
        <f>F4-F18</f>
        <v>24</v>
      </c>
      <c r="G12">
        <f>G4+G21</f>
        <v>24</v>
      </c>
      <c r="H12">
        <f>H4+H21</f>
        <v>14</v>
      </c>
      <c r="I12">
        <f>I4+I21</f>
        <v>14</v>
      </c>
      <c r="J12">
        <f>J4-J18</f>
        <v>39</v>
      </c>
      <c r="K12">
        <f>K4+K21</f>
        <v>39</v>
      </c>
      <c r="L12">
        <f>L4+L21</f>
        <v>24</v>
      </c>
      <c r="M12">
        <f>M4+M21</f>
        <v>24</v>
      </c>
      <c r="P12" t="s">
        <v>619</v>
      </c>
      <c r="Q12">
        <f>B12</f>
        <v>32</v>
      </c>
      <c r="R12">
        <f>F12</f>
        <v>24</v>
      </c>
      <c r="S12">
        <f>J12</f>
        <v>39</v>
      </c>
      <c r="T12">
        <f>SUM(Q12:S12)</f>
        <v>95</v>
      </c>
      <c r="U12" s="57">
        <f>T12/T$12</f>
        <v>1</v>
      </c>
      <c r="W12" t="s">
        <v>619</v>
      </c>
      <c r="X12">
        <f>$B13</f>
        <v>43</v>
      </c>
      <c r="Y12">
        <f>$F13</f>
        <v>30</v>
      </c>
      <c r="Z12">
        <f>$J13</f>
        <v>52</v>
      </c>
      <c r="AA12">
        <f>SUM(X12:Z12)</f>
        <v>125</v>
      </c>
      <c r="AB12" s="57">
        <f>AA12/AA$12</f>
        <v>1</v>
      </c>
    </row>
    <row r="13" spans="1:28" x14ac:dyDescent="0.35">
      <c r="A13" s="19">
        <f>A5</f>
        <v>0.99</v>
      </c>
      <c r="B13">
        <f>B5-B18-B19</f>
        <v>43</v>
      </c>
      <c r="C13">
        <f>C5+C21+C22</f>
        <v>40</v>
      </c>
      <c r="D13">
        <f>D5+D22</f>
        <v>17</v>
      </c>
      <c r="E13">
        <f>E5+E22</f>
        <v>25</v>
      </c>
      <c r="F13">
        <f>F5-F18-F19</f>
        <v>30</v>
      </c>
      <c r="G13">
        <f>G5+G21+G22</f>
        <v>30</v>
      </c>
      <c r="H13">
        <f>H5+H22</f>
        <v>15</v>
      </c>
      <c r="I13">
        <f>I5+I22</f>
        <v>14</v>
      </c>
      <c r="J13">
        <f>J5-J18-J19</f>
        <v>52</v>
      </c>
      <c r="K13">
        <f>K5+K21+K22</f>
        <v>52</v>
      </c>
      <c r="L13">
        <f>L5+L22</f>
        <v>26</v>
      </c>
      <c r="M13">
        <f>M5+M22</f>
        <v>24</v>
      </c>
      <c r="P13" t="s">
        <v>1477</v>
      </c>
      <c r="Q13">
        <f>C12</f>
        <v>32</v>
      </c>
      <c r="R13">
        <f>G12</f>
        <v>24</v>
      </c>
      <c r="S13">
        <f>K12</f>
        <v>39</v>
      </c>
      <c r="T13">
        <f t="shared" ref="T13:T15" si="5">SUM(Q13:S13)</f>
        <v>95</v>
      </c>
      <c r="U13" s="57">
        <f t="shared" ref="U13:U15" si="6">T13/T$12</f>
        <v>1</v>
      </c>
      <c r="W13" t="s">
        <v>1477</v>
      </c>
      <c r="X13">
        <f>$C13</f>
        <v>40</v>
      </c>
      <c r="Y13">
        <f>$G13</f>
        <v>30</v>
      </c>
      <c r="Z13">
        <f>$K13</f>
        <v>52</v>
      </c>
      <c r="AA13">
        <f t="shared" ref="AA13:AA15" si="7">SUM(X13:Z13)</f>
        <v>122</v>
      </c>
      <c r="AB13" s="57">
        <f t="shared" ref="AB13:AB15" si="8">AA13/AA$12</f>
        <v>0.97599999999999998</v>
      </c>
    </row>
    <row r="14" spans="1:28" x14ac:dyDescent="0.35">
      <c r="P14" t="s">
        <v>621</v>
      </c>
      <c r="Q14">
        <f>D12</f>
        <v>16</v>
      </c>
      <c r="R14">
        <f>H12</f>
        <v>14</v>
      </c>
      <c r="S14">
        <f>L12</f>
        <v>24</v>
      </c>
      <c r="T14">
        <f t="shared" si="5"/>
        <v>54</v>
      </c>
      <c r="U14" s="57">
        <f t="shared" si="6"/>
        <v>0.56842105263157894</v>
      </c>
      <c r="W14" t="s">
        <v>621</v>
      </c>
      <c r="X14">
        <f>$D13</f>
        <v>17</v>
      </c>
      <c r="Y14">
        <f>$H13</f>
        <v>15</v>
      </c>
      <c r="Z14">
        <f>$L13</f>
        <v>26</v>
      </c>
      <c r="AA14">
        <f t="shared" si="7"/>
        <v>58</v>
      </c>
      <c r="AB14" s="57">
        <f t="shared" si="8"/>
        <v>0.46400000000000002</v>
      </c>
    </row>
    <row r="15" spans="1:28" x14ac:dyDescent="0.35">
      <c r="P15" t="s">
        <v>622</v>
      </c>
      <c r="Q15">
        <f>E12</f>
        <v>24</v>
      </c>
      <c r="R15">
        <f>I12</f>
        <v>14</v>
      </c>
      <c r="S15">
        <f>M12</f>
        <v>24</v>
      </c>
      <c r="T15">
        <f t="shared" si="5"/>
        <v>62</v>
      </c>
      <c r="U15" s="57">
        <f t="shared" si="6"/>
        <v>0.65263157894736845</v>
      </c>
      <c r="W15" t="s">
        <v>622</v>
      </c>
      <c r="X15">
        <f>$E13</f>
        <v>25</v>
      </c>
      <c r="Y15">
        <f>$I13</f>
        <v>14</v>
      </c>
      <c r="Z15">
        <f>$M13</f>
        <v>24</v>
      </c>
      <c r="AA15">
        <f t="shared" si="7"/>
        <v>63</v>
      </c>
      <c r="AB15" s="57">
        <f t="shared" si="8"/>
        <v>0.504</v>
      </c>
    </row>
    <row r="16" spans="1:28" x14ac:dyDescent="0.35">
      <c r="A16" t="s">
        <v>1084</v>
      </c>
      <c r="B16" t="str">
        <f>B11</f>
        <v>W1 amplicon</v>
      </c>
      <c r="C16" t="str">
        <f t="shared" ref="C16:M16" si="9">C11</f>
        <v>W1 extended</v>
      </c>
      <c r="D16" t="str">
        <f t="shared" si="9"/>
        <v>W1 Spades</v>
      </c>
      <c r="E16" t="str">
        <f t="shared" si="9"/>
        <v>W1 Spades 16S</v>
      </c>
      <c r="F16" t="str">
        <f t="shared" si="9"/>
        <v>W2 amplicon</v>
      </c>
      <c r="G16" t="str">
        <f t="shared" si="9"/>
        <v>W2 extended</v>
      </c>
      <c r="H16" t="str">
        <f t="shared" si="9"/>
        <v>W2 Spades</v>
      </c>
      <c r="I16" t="str">
        <f t="shared" si="9"/>
        <v>W2 Spades 16S</v>
      </c>
      <c r="J16" t="str">
        <f t="shared" si="9"/>
        <v>W3 amplicon</v>
      </c>
      <c r="K16" t="str">
        <f t="shared" si="9"/>
        <v>W3 extended</v>
      </c>
      <c r="L16" t="str">
        <f t="shared" si="9"/>
        <v>W3 Spades</v>
      </c>
      <c r="M16" t="str">
        <f t="shared" si="9"/>
        <v>W3 Spades 16S</v>
      </c>
    </row>
    <row r="17" spans="1:17" x14ac:dyDescent="0.35">
      <c r="A17" t="s">
        <v>1085</v>
      </c>
    </row>
    <row r="18" spans="1:17" x14ac:dyDescent="0.35">
      <c r="A18" s="19">
        <v>0.98</v>
      </c>
      <c r="B18">
        <v>0</v>
      </c>
      <c r="F18">
        <v>0</v>
      </c>
    </row>
    <row r="19" spans="1:17" x14ac:dyDescent="0.35">
      <c r="A19" s="19">
        <v>0.99</v>
      </c>
      <c r="B19">
        <v>5</v>
      </c>
      <c r="F19">
        <v>4</v>
      </c>
      <c r="J19">
        <v>2</v>
      </c>
    </row>
    <row r="20" spans="1:17" x14ac:dyDescent="0.35">
      <c r="A20" t="s">
        <v>1086</v>
      </c>
    </row>
    <row r="21" spans="1:17" x14ac:dyDescent="0.35">
      <c r="A21" s="19">
        <v>0.98</v>
      </c>
      <c r="C21">
        <v>0</v>
      </c>
    </row>
    <row r="22" spans="1:17" x14ac:dyDescent="0.35">
      <c r="A22" s="19">
        <v>0.99</v>
      </c>
      <c r="C22">
        <v>1</v>
      </c>
      <c r="K22">
        <v>1</v>
      </c>
    </row>
    <row r="25" spans="1:17" x14ac:dyDescent="0.35">
      <c r="A25" s="19"/>
    </row>
    <row r="26" spans="1:17" x14ac:dyDescent="0.35">
      <c r="A26" s="19"/>
    </row>
    <row r="27" spans="1:17" x14ac:dyDescent="0.35">
      <c r="Q27" t="s">
        <v>1079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I28"/>
  <sheetViews>
    <sheetView workbookViewId="0">
      <selection activeCell="C39" sqref="C39"/>
    </sheetView>
  </sheetViews>
  <sheetFormatPr defaultRowHeight="14.5" x14ac:dyDescent="0.35"/>
  <cols>
    <col min="2" max="2" width="6.81640625" customWidth="1"/>
    <col min="3" max="3" width="41.1796875" customWidth="1"/>
  </cols>
  <sheetData>
    <row r="3" spans="1:9" ht="29" x14ac:dyDescent="0.35">
      <c r="A3" s="65" t="s">
        <v>0</v>
      </c>
      <c r="B3" s="65" t="s">
        <v>1</v>
      </c>
      <c r="C3" s="65" t="s">
        <v>3</v>
      </c>
      <c r="D3" s="13" t="s">
        <v>2087</v>
      </c>
      <c r="E3" s="35" t="s">
        <v>2088</v>
      </c>
      <c r="F3" s="1" t="s">
        <v>2089</v>
      </c>
      <c r="G3" s="35" t="s">
        <v>2090</v>
      </c>
      <c r="H3" s="1" t="s">
        <v>2091</v>
      </c>
      <c r="I3" s="1" t="s">
        <v>2092</v>
      </c>
    </row>
    <row r="4" spans="1:9" x14ac:dyDescent="0.35">
      <c r="A4" s="65">
        <v>1</v>
      </c>
      <c r="B4" s="65">
        <v>43603</v>
      </c>
      <c r="C4" s="65" t="s">
        <v>2093</v>
      </c>
      <c r="D4">
        <v>27333</v>
      </c>
      <c r="E4">
        <v>13574</v>
      </c>
      <c r="F4" s="66">
        <v>132</v>
      </c>
      <c r="G4">
        <v>0</v>
      </c>
      <c r="H4">
        <v>1554</v>
      </c>
      <c r="I4">
        <v>1010</v>
      </c>
    </row>
    <row r="5" spans="1:9" x14ac:dyDescent="0.35">
      <c r="A5" s="65">
        <v>2</v>
      </c>
      <c r="B5" s="65">
        <v>24970</v>
      </c>
      <c r="C5" s="65" t="s">
        <v>2094</v>
      </c>
      <c r="D5" s="66">
        <v>24</v>
      </c>
      <c r="E5">
        <v>0</v>
      </c>
      <c r="F5">
        <v>17120</v>
      </c>
      <c r="G5">
        <v>7816</v>
      </c>
      <c r="H5" s="66">
        <v>10</v>
      </c>
      <c r="I5">
        <v>0</v>
      </c>
    </row>
    <row r="6" spans="1:9" x14ac:dyDescent="0.35">
      <c r="A6" s="65">
        <v>3</v>
      </c>
      <c r="B6" s="65">
        <v>10514</v>
      </c>
      <c r="C6" s="65" t="s">
        <v>2095</v>
      </c>
      <c r="D6" s="66">
        <v>13</v>
      </c>
      <c r="E6">
        <v>0</v>
      </c>
      <c r="F6">
        <v>1171</v>
      </c>
      <c r="G6">
        <v>305</v>
      </c>
      <c r="H6">
        <v>5956</v>
      </c>
      <c r="I6">
        <v>3069</v>
      </c>
    </row>
    <row r="7" spans="1:9" x14ac:dyDescent="0.35">
      <c r="A7" s="65">
        <v>4</v>
      </c>
      <c r="B7" s="65">
        <v>10163</v>
      </c>
      <c r="C7" s="65" t="s">
        <v>2096</v>
      </c>
      <c r="D7" s="66">
        <v>5</v>
      </c>
      <c r="E7">
        <v>0</v>
      </c>
      <c r="F7" s="66">
        <v>29</v>
      </c>
      <c r="G7">
        <v>0</v>
      </c>
      <c r="H7">
        <v>7736</v>
      </c>
      <c r="I7">
        <v>2393</v>
      </c>
    </row>
    <row r="8" spans="1:9" x14ac:dyDescent="0.35">
      <c r="A8" s="65">
        <v>5</v>
      </c>
      <c r="B8" s="65">
        <v>7081</v>
      </c>
      <c r="C8" s="65" t="s">
        <v>2097</v>
      </c>
      <c r="D8" s="66">
        <v>9</v>
      </c>
      <c r="E8">
        <v>0</v>
      </c>
      <c r="F8">
        <v>5845</v>
      </c>
      <c r="G8">
        <v>1220</v>
      </c>
      <c r="H8" s="66">
        <v>7</v>
      </c>
      <c r="I8">
        <v>0</v>
      </c>
    </row>
    <row r="9" spans="1:9" x14ac:dyDescent="0.35">
      <c r="A9" s="65">
        <v>7</v>
      </c>
      <c r="B9" s="65">
        <v>6514</v>
      </c>
      <c r="C9" s="65" t="s">
        <v>2098</v>
      </c>
      <c r="D9">
        <v>1032</v>
      </c>
      <c r="E9">
        <v>192</v>
      </c>
      <c r="F9" s="66">
        <v>16</v>
      </c>
      <c r="G9">
        <v>0</v>
      </c>
      <c r="H9">
        <v>3332</v>
      </c>
      <c r="I9">
        <v>1942</v>
      </c>
    </row>
    <row r="10" spans="1:9" x14ac:dyDescent="0.35">
      <c r="A10" s="65">
        <v>6</v>
      </c>
      <c r="B10" s="65">
        <v>6264</v>
      </c>
      <c r="C10" s="65" t="s">
        <v>2099</v>
      </c>
      <c r="D10">
        <v>1270</v>
      </c>
      <c r="E10">
        <v>271</v>
      </c>
      <c r="F10" s="66">
        <v>9</v>
      </c>
      <c r="G10">
        <v>0</v>
      </c>
      <c r="H10">
        <v>3116</v>
      </c>
      <c r="I10">
        <v>1598</v>
      </c>
    </row>
    <row r="11" spans="1:9" x14ac:dyDescent="0.35">
      <c r="A11" s="65">
        <v>8</v>
      </c>
      <c r="B11" s="65">
        <v>5520</v>
      </c>
      <c r="C11" s="65" t="s">
        <v>2100</v>
      </c>
      <c r="D11" s="66">
        <v>5</v>
      </c>
      <c r="E11">
        <v>0</v>
      </c>
      <c r="F11" s="66">
        <v>14</v>
      </c>
      <c r="G11">
        <v>0</v>
      </c>
      <c r="H11">
        <v>3285</v>
      </c>
      <c r="I11">
        <v>2216</v>
      </c>
    </row>
    <row r="12" spans="1:9" x14ac:dyDescent="0.35">
      <c r="A12" s="65">
        <v>10</v>
      </c>
      <c r="B12" s="65">
        <v>4837</v>
      </c>
      <c r="C12" s="65" t="s">
        <v>2101</v>
      </c>
      <c r="D12" s="66">
        <v>3</v>
      </c>
      <c r="E12">
        <v>0</v>
      </c>
      <c r="F12">
        <v>4057</v>
      </c>
      <c r="G12">
        <v>771</v>
      </c>
      <c r="H12" s="66">
        <v>6</v>
      </c>
      <c r="I12">
        <v>0</v>
      </c>
    </row>
    <row r="13" spans="1:9" x14ac:dyDescent="0.35">
      <c r="A13" s="65">
        <v>12</v>
      </c>
      <c r="B13" s="65">
        <v>4611</v>
      </c>
      <c r="C13" s="65" t="s">
        <v>2102</v>
      </c>
      <c r="D13" s="66">
        <v>3</v>
      </c>
      <c r="E13">
        <v>0</v>
      </c>
      <c r="F13" s="66">
        <v>7</v>
      </c>
      <c r="G13">
        <v>0</v>
      </c>
      <c r="H13">
        <v>533</v>
      </c>
      <c r="I13">
        <v>4068</v>
      </c>
    </row>
    <row r="14" spans="1:9" x14ac:dyDescent="0.35">
      <c r="A14" s="65">
        <v>9</v>
      </c>
      <c r="B14" s="65">
        <v>4258</v>
      </c>
      <c r="C14" s="65" t="s">
        <v>2103</v>
      </c>
      <c r="D14">
        <v>1238</v>
      </c>
      <c r="E14">
        <v>2733</v>
      </c>
      <c r="F14" s="66">
        <v>11</v>
      </c>
      <c r="G14">
        <v>0</v>
      </c>
      <c r="H14">
        <v>54</v>
      </c>
      <c r="I14">
        <v>222</v>
      </c>
    </row>
    <row r="15" spans="1:9" x14ac:dyDescent="0.35">
      <c r="A15" s="65">
        <v>13</v>
      </c>
      <c r="B15" s="65">
        <v>3847</v>
      </c>
      <c r="C15" s="65" t="s">
        <v>2104</v>
      </c>
      <c r="D15">
        <v>3312</v>
      </c>
      <c r="E15">
        <v>476</v>
      </c>
      <c r="F15" s="66">
        <v>30</v>
      </c>
      <c r="G15">
        <v>0</v>
      </c>
      <c r="H15" s="66">
        <v>29</v>
      </c>
      <c r="I15">
        <v>0</v>
      </c>
    </row>
    <row r="16" spans="1:9" x14ac:dyDescent="0.35">
      <c r="A16" s="65">
        <v>11</v>
      </c>
      <c r="B16" s="65">
        <v>3652</v>
      </c>
      <c r="C16" s="65" t="s">
        <v>2105</v>
      </c>
      <c r="D16" s="66">
        <v>6</v>
      </c>
      <c r="E16">
        <v>0</v>
      </c>
      <c r="F16">
        <v>2463</v>
      </c>
      <c r="G16">
        <v>1177</v>
      </c>
      <c r="H16" s="66">
        <v>6</v>
      </c>
      <c r="I16">
        <v>0</v>
      </c>
    </row>
    <row r="17" spans="1:9" x14ac:dyDescent="0.35">
      <c r="A17" s="65">
        <v>14</v>
      </c>
      <c r="B17" s="65">
        <v>3390</v>
      </c>
      <c r="C17" s="65" t="s">
        <v>2106</v>
      </c>
      <c r="D17" s="66">
        <v>6</v>
      </c>
      <c r="E17">
        <v>0</v>
      </c>
      <c r="F17">
        <v>2871</v>
      </c>
      <c r="G17">
        <v>506</v>
      </c>
      <c r="H17" s="66">
        <v>7</v>
      </c>
      <c r="I17">
        <v>0</v>
      </c>
    </row>
    <row r="18" spans="1:9" x14ac:dyDescent="0.35">
      <c r="A18" s="65">
        <v>15</v>
      </c>
      <c r="B18" s="65">
        <v>3383</v>
      </c>
      <c r="C18" s="65" t="s">
        <v>2107</v>
      </c>
      <c r="D18" s="66">
        <v>1</v>
      </c>
      <c r="E18">
        <v>0</v>
      </c>
      <c r="F18">
        <v>3104</v>
      </c>
      <c r="G18">
        <v>271</v>
      </c>
      <c r="H18" s="66">
        <v>7</v>
      </c>
      <c r="I18">
        <v>0</v>
      </c>
    </row>
    <row r="19" spans="1:9" x14ac:dyDescent="0.35">
      <c r="A19" s="65">
        <v>17</v>
      </c>
      <c r="B19" s="65">
        <v>3012</v>
      </c>
      <c r="C19" s="65" t="s">
        <v>2108</v>
      </c>
      <c r="D19" s="66">
        <v>1</v>
      </c>
      <c r="E19">
        <v>0</v>
      </c>
      <c r="F19">
        <v>2685</v>
      </c>
      <c r="G19">
        <v>326</v>
      </c>
      <c r="H19" s="66">
        <v>0</v>
      </c>
      <c r="I19">
        <v>0</v>
      </c>
    </row>
    <row r="20" spans="1:9" x14ac:dyDescent="0.35">
      <c r="A20" s="65">
        <v>16</v>
      </c>
      <c r="B20" s="65">
        <v>2920</v>
      </c>
      <c r="C20" s="65" t="s">
        <v>2109</v>
      </c>
      <c r="D20">
        <v>2340</v>
      </c>
      <c r="E20">
        <v>508</v>
      </c>
      <c r="F20" s="66">
        <v>41</v>
      </c>
      <c r="G20">
        <v>0</v>
      </c>
      <c r="H20" s="66">
        <v>31</v>
      </c>
      <c r="I20">
        <v>0</v>
      </c>
    </row>
    <row r="21" spans="1:9" x14ac:dyDescent="0.35">
      <c r="A21" s="65">
        <v>21</v>
      </c>
      <c r="B21" s="65">
        <v>2114</v>
      </c>
      <c r="C21" s="65" t="s">
        <v>2110</v>
      </c>
      <c r="D21" s="66">
        <v>2</v>
      </c>
      <c r="E21">
        <v>0</v>
      </c>
      <c r="F21">
        <v>1161</v>
      </c>
      <c r="G21">
        <v>100</v>
      </c>
      <c r="H21">
        <v>586</v>
      </c>
      <c r="I21">
        <v>265</v>
      </c>
    </row>
    <row r="22" spans="1:9" x14ac:dyDescent="0.35">
      <c r="A22" s="65">
        <v>18</v>
      </c>
      <c r="B22" s="65">
        <v>2099</v>
      </c>
      <c r="C22" s="65" t="s">
        <v>2111</v>
      </c>
      <c r="D22" s="66">
        <v>5</v>
      </c>
      <c r="E22">
        <v>0</v>
      </c>
      <c r="F22" s="66">
        <v>5</v>
      </c>
      <c r="G22">
        <v>0</v>
      </c>
      <c r="H22">
        <v>1124</v>
      </c>
      <c r="I22">
        <v>965</v>
      </c>
    </row>
    <row r="23" spans="1:9" x14ac:dyDescent="0.35">
      <c r="A23" s="65">
        <v>20</v>
      </c>
      <c r="B23" s="65">
        <v>2067</v>
      </c>
      <c r="C23" s="65" t="s">
        <v>2112</v>
      </c>
      <c r="D23" s="66">
        <v>12</v>
      </c>
      <c r="E23">
        <v>0</v>
      </c>
      <c r="F23" s="66">
        <v>8</v>
      </c>
      <c r="G23">
        <v>0</v>
      </c>
      <c r="H23">
        <v>1293</v>
      </c>
      <c r="I23">
        <v>754</v>
      </c>
    </row>
    <row r="24" spans="1:9" x14ac:dyDescent="0.35">
      <c r="A24" s="65">
        <v>19</v>
      </c>
      <c r="B24" s="65">
        <v>1955</v>
      </c>
      <c r="C24" s="65" t="s">
        <v>2113</v>
      </c>
      <c r="D24">
        <v>4</v>
      </c>
      <c r="E24">
        <v>0</v>
      </c>
      <c r="F24" s="66">
        <v>2</v>
      </c>
      <c r="G24">
        <v>0</v>
      </c>
      <c r="H24">
        <v>931</v>
      </c>
      <c r="I24">
        <v>1018</v>
      </c>
    </row>
    <row r="25" spans="1:9" x14ac:dyDescent="0.35">
      <c r="A25" s="65">
        <v>23</v>
      </c>
      <c r="B25" s="65">
        <v>1734</v>
      </c>
      <c r="C25" s="65" t="s">
        <v>2114</v>
      </c>
      <c r="D25">
        <v>1059</v>
      </c>
      <c r="E25">
        <v>128</v>
      </c>
      <c r="F25" s="66">
        <v>29</v>
      </c>
      <c r="G25">
        <v>0</v>
      </c>
      <c r="H25">
        <v>389</v>
      </c>
      <c r="I25">
        <v>129</v>
      </c>
    </row>
    <row r="26" spans="1:9" x14ac:dyDescent="0.35">
      <c r="A26" s="65">
        <v>25</v>
      </c>
      <c r="B26" s="65">
        <v>1557</v>
      </c>
      <c r="C26" s="65" t="s">
        <v>2115</v>
      </c>
      <c r="D26">
        <v>929</v>
      </c>
      <c r="E26">
        <v>304</v>
      </c>
      <c r="F26" s="66">
        <v>16</v>
      </c>
      <c r="G26">
        <v>0</v>
      </c>
      <c r="H26">
        <v>153</v>
      </c>
      <c r="I26">
        <v>155</v>
      </c>
    </row>
    <row r="27" spans="1:9" x14ac:dyDescent="0.35">
      <c r="A27" s="65">
        <v>22</v>
      </c>
      <c r="B27" s="65">
        <v>1515</v>
      </c>
      <c r="C27" s="65" t="s">
        <v>2116</v>
      </c>
      <c r="D27" s="66">
        <v>19</v>
      </c>
      <c r="E27">
        <v>10</v>
      </c>
      <c r="F27" s="66">
        <v>2</v>
      </c>
      <c r="G27">
        <v>0</v>
      </c>
      <c r="H27">
        <v>860</v>
      </c>
      <c r="I27">
        <v>624</v>
      </c>
    </row>
    <row r="28" spans="1:9" x14ac:dyDescent="0.35">
      <c r="A28" s="65">
        <v>24</v>
      </c>
      <c r="B28" s="65">
        <v>1513</v>
      </c>
      <c r="C28" s="65" t="s">
        <v>98</v>
      </c>
      <c r="D28" s="66">
        <v>2</v>
      </c>
      <c r="E28">
        <v>0</v>
      </c>
      <c r="F28">
        <v>955</v>
      </c>
      <c r="G28">
        <v>556</v>
      </c>
      <c r="H28" s="66">
        <v>0</v>
      </c>
      <c r="I2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26"/>
  <sheetViews>
    <sheetView topLeftCell="F3" zoomScale="80" zoomScaleNormal="80" workbookViewId="0">
      <selection activeCell="K32" sqref="K32"/>
    </sheetView>
  </sheetViews>
  <sheetFormatPr defaultColWidth="8.81640625" defaultRowHeight="14.5" x14ac:dyDescent="0.35"/>
  <cols>
    <col min="16" max="16" width="23.81640625" customWidth="1"/>
    <col min="19" max="19" width="10.81640625" style="8" customWidth="1"/>
    <col min="20" max="22" width="10.81640625" style="14" customWidth="1"/>
    <col min="23" max="23" width="3.81640625" customWidth="1"/>
    <col min="24" max="25" width="11.81640625" customWidth="1"/>
    <col min="26" max="26" width="4" customWidth="1"/>
    <col min="31" max="32" width="11.81640625" customWidth="1"/>
    <col min="33" max="33" width="8.81640625" customWidth="1"/>
    <col min="34" max="36" width="9.81640625" customWidth="1"/>
  </cols>
  <sheetData>
    <row r="1" spans="1:37" x14ac:dyDescent="0.35">
      <c r="S1" s="8">
        <f>SUM(S4:S124)</f>
        <v>42827</v>
      </c>
      <c r="T1" s="8">
        <f>SUM(T4:T124)</f>
        <v>19600</v>
      </c>
    </row>
    <row r="2" spans="1:37" x14ac:dyDescent="0.35">
      <c r="AA2" s="1"/>
    </row>
    <row r="3" spans="1:37" s="1" customFormat="1" ht="43.5" x14ac:dyDescent="0.35">
      <c r="A3" s="1" t="s">
        <v>0</v>
      </c>
      <c r="B3" s="1" t="s">
        <v>1</v>
      </c>
      <c r="C3" s="1" t="s">
        <v>2</v>
      </c>
      <c r="P3" s="1" t="s">
        <v>3</v>
      </c>
      <c r="Q3" s="1" t="s">
        <v>4</v>
      </c>
      <c r="R3" s="1" t="s">
        <v>5</v>
      </c>
      <c r="S3" s="13" t="s">
        <v>2087</v>
      </c>
      <c r="T3" s="35" t="s">
        <v>2088</v>
      </c>
      <c r="U3" s="35" t="str">
        <f>S3</f>
        <v>W1 amplicon</v>
      </c>
      <c r="V3" s="35" t="str">
        <f>T3</f>
        <v>W1 extended</v>
      </c>
      <c r="X3" s="1" t="s">
        <v>627</v>
      </c>
      <c r="Y3" s="1" t="s">
        <v>618</v>
      </c>
      <c r="AA3" s="1" t="s">
        <v>2134</v>
      </c>
      <c r="AB3" s="1" t="s">
        <v>2144</v>
      </c>
      <c r="AC3" s="1" t="s">
        <v>1467</v>
      </c>
      <c r="AE3" s="1" t="s">
        <v>2123</v>
      </c>
      <c r="AF3" s="1" t="s">
        <v>1082</v>
      </c>
      <c r="AH3" s="1" t="s">
        <v>1477</v>
      </c>
      <c r="AI3" s="1" t="s">
        <v>1478</v>
      </c>
      <c r="AJ3" s="1" t="str">
        <f>AH3</f>
        <v>Kelpie</v>
      </c>
    </row>
    <row r="4" spans="1:37" x14ac:dyDescent="0.35">
      <c r="A4" t="s">
        <v>6</v>
      </c>
      <c r="B4">
        <v>40907</v>
      </c>
      <c r="C4" t="s">
        <v>7</v>
      </c>
      <c r="D4" t="s">
        <v>8</v>
      </c>
      <c r="E4" t="s">
        <v>9</v>
      </c>
      <c r="G4" t="s">
        <v>10</v>
      </c>
      <c r="I4" t="s">
        <v>11</v>
      </c>
      <c r="K4" t="s">
        <v>12</v>
      </c>
      <c r="M4" t="s">
        <v>13</v>
      </c>
      <c r="O4">
        <v>0.91</v>
      </c>
      <c r="P4" t="s">
        <v>14</v>
      </c>
      <c r="Q4">
        <v>96.8</v>
      </c>
      <c r="R4">
        <v>1</v>
      </c>
      <c r="S4">
        <v>27333</v>
      </c>
      <c r="T4" s="14">
        <v>13574</v>
      </c>
      <c r="U4" s="55">
        <f>S4/S$1</f>
        <v>0.6382188806126976</v>
      </c>
      <c r="V4" s="55">
        <f>T4/T$1</f>
        <v>0.6925510204081633</v>
      </c>
      <c r="X4" s="11">
        <f t="shared" ref="X4:X35" si="0">S4/S$1</f>
        <v>0.6382188806126976</v>
      </c>
      <c r="Y4" s="12">
        <f>X4</f>
        <v>0.6382188806126976</v>
      </c>
      <c r="AA4">
        <f>IF(P4="*","-",IFERROR(VLOOKUP(P4,'AE-W2'!$P$4:$T$105,4,FALSE),"-"))</f>
        <v>132</v>
      </c>
      <c r="AB4">
        <f>IF(P4="*","-",IFERROR(VLOOKUP(P4,'AE-W3'!$P$4:$T$128,4,FALSE),"-"))</f>
        <v>1554</v>
      </c>
      <c r="AC4" s="25">
        <f>IF(P4="*","-",IFERROR(VLOOKUP(P4,'All MECSM samples'!$P$4:$AD$454,15,FALSE),"-"))</f>
        <v>27497</v>
      </c>
      <c r="AE4">
        <v>100</v>
      </c>
      <c r="AF4">
        <v>8104</v>
      </c>
      <c r="AH4">
        <f>IF(AND(S4&gt;0,AE4&gt;=90, T4&gt;0), 1, 0)</f>
        <v>1</v>
      </c>
      <c r="AI4">
        <f>IF(AND(S4&gt;0,AE4&gt;=90),1,0)</f>
        <v>1</v>
      </c>
      <c r="AJ4" s="11">
        <f>SUM(AH4:AH$5)/SUM(AI4:AI$5)</f>
        <v>1</v>
      </c>
      <c r="AK4" s="11"/>
    </row>
    <row r="5" spans="1:37" x14ac:dyDescent="0.35">
      <c r="A5" t="s">
        <v>15</v>
      </c>
      <c r="B5">
        <v>3971</v>
      </c>
      <c r="C5" t="s">
        <v>7</v>
      </c>
      <c r="D5" t="s">
        <v>24</v>
      </c>
      <c r="E5" t="s">
        <v>25</v>
      </c>
      <c r="G5" t="s">
        <v>40</v>
      </c>
      <c r="I5" t="s">
        <v>41</v>
      </c>
      <c r="K5" t="s">
        <v>52</v>
      </c>
      <c r="M5" t="s">
        <v>53</v>
      </c>
      <c r="O5">
        <v>1</v>
      </c>
      <c r="P5" t="s">
        <v>54</v>
      </c>
      <c r="Q5">
        <v>100</v>
      </c>
      <c r="R5">
        <v>7</v>
      </c>
      <c r="S5" s="8">
        <v>1238</v>
      </c>
      <c r="T5" s="14">
        <v>2733</v>
      </c>
      <c r="U5" s="55">
        <f t="shared" ref="U5:U68" si="1">S5/S$1</f>
        <v>2.8906997921871718E-2</v>
      </c>
      <c r="V5" s="55">
        <f t="shared" ref="V5:V68" si="2">T5/T$1</f>
        <v>0.13943877551020409</v>
      </c>
      <c r="X5" s="11">
        <f t="shared" si="0"/>
        <v>2.8906997921871718E-2</v>
      </c>
      <c r="Y5" s="12">
        <f t="shared" ref="Y5:Y36" si="3">Y4+X5</f>
        <v>0.66712587853456928</v>
      </c>
      <c r="AA5">
        <f>IF(P5="*","-",IFERROR(VLOOKUP(P5,'AE-W2'!$P$4:$T$105,4,FALSE),"-"))</f>
        <v>11</v>
      </c>
      <c r="AB5">
        <f>IF(P5="*","-",IFERROR(VLOOKUP(P5,'AE-W3'!$P$4:$T$128,4,FALSE),"-"))</f>
        <v>54</v>
      </c>
      <c r="AC5" s="25">
        <f>IF(P5="*","-",IFERROR(VLOOKUP(P5,'All MECSM samples'!$P$4:$AD$454,15,FALSE),"-"))</f>
        <v>2085</v>
      </c>
      <c r="AE5">
        <v>100</v>
      </c>
      <c r="AF5">
        <v>1868</v>
      </c>
      <c r="AH5">
        <f t="shared" ref="AH5:AH68" si="4">IF(AND(S5&gt;0,AE5&gt;=90, T5&gt;0), 1, 0)</f>
        <v>1</v>
      </c>
      <c r="AI5">
        <f t="shared" ref="AI5:AI68" si="5">IF(AND(S5&gt;0,AE5&gt;=90),1,0)</f>
        <v>1</v>
      </c>
      <c r="AJ5" s="11">
        <f>SUM(AH5:AH$5)/SUM(AI5:AI$5)</f>
        <v>1</v>
      </c>
    </row>
    <row r="6" spans="1:37" x14ac:dyDescent="0.35">
      <c r="A6" t="s">
        <v>17</v>
      </c>
      <c r="B6">
        <v>3788</v>
      </c>
      <c r="C6" t="s">
        <v>7</v>
      </c>
      <c r="D6" t="s">
        <v>24</v>
      </c>
      <c r="E6" t="s">
        <v>25</v>
      </c>
      <c r="G6" t="s">
        <v>40</v>
      </c>
      <c r="I6" t="s">
        <v>56</v>
      </c>
      <c r="K6" t="s">
        <v>57</v>
      </c>
      <c r="M6" t="s">
        <v>58</v>
      </c>
      <c r="O6">
        <v>1</v>
      </c>
      <c r="P6" t="s">
        <v>59</v>
      </c>
      <c r="Q6">
        <v>99.6</v>
      </c>
      <c r="R6">
        <v>1</v>
      </c>
      <c r="S6" s="8">
        <v>3312</v>
      </c>
      <c r="T6" s="14">
        <v>476</v>
      </c>
      <c r="U6" s="55">
        <f t="shared" si="1"/>
        <v>7.7334391855605103E-2</v>
      </c>
      <c r="V6" s="55">
        <f t="shared" si="2"/>
        <v>2.4285714285714285E-2</v>
      </c>
      <c r="X6" s="11">
        <f t="shared" si="0"/>
        <v>7.7334391855605103E-2</v>
      </c>
      <c r="Y6" s="12">
        <f t="shared" si="3"/>
        <v>0.74446027039017437</v>
      </c>
      <c r="AA6">
        <f>IF(P6="*","-",IFERROR(VLOOKUP(P6,'AE-W2'!$P$4:$T$105,4,FALSE),"-"))</f>
        <v>30</v>
      </c>
      <c r="AB6">
        <f>IF(P6="*","-",IFERROR(VLOOKUP(P6,'AE-W3'!$P$4:$T$128,4,FALSE),"-"))</f>
        <v>29</v>
      </c>
      <c r="AC6" s="25">
        <f>IF(P6="*","-",IFERROR(VLOOKUP(P6,'All MECSM samples'!$P$4:$AD$454,15,FALSE),"-"))</f>
        <v>10512</v>
      </c>
      <c r="AE6">
        <v>100</v>
      </c>
      <c r="AF6">
        <v>305</v>
      </c>
      <c r="AH6">
        <f t="shared" si="4"/>
        <v>1</v>
      </c>
      <c r="AI6">
        <f t="shared" si="5"/>
        <v>1</v>
      </c>
      <c r="AJ6" s="11">
        <f>SUM(AH$5:AH6)/SUM(AI$5:AI6)</f>
        <v>1</v>
      </c>
    </row>
    <row r="7" spans="1:37" x14ac:dyDescent="0.35">
      <c r="A7" t="s">
        <v>23</v>
      </c>
      <c r="B7">
        <v>2848</v>
      </c>
      <c r="C7" t="s">
        <v>7</v>
      </c>
      <c r="D7" t="s">
        <v>8</v>
      </c>
      <c r="E7" t="s">
        <v>9</v>
      </c>
      <c r="G7" t="s">
        <v>78</v>
      </c>
      <c r="I7" t="s">
        <v>79</v>
      </c>
      <c r="K7" t="s">
        <v>80</v>
      </c>
      <c r="M7" t="s">
        <v>81</v>
      </c>
      <c r="O7">
        <v>0.62</v>
      </c>
      <c r="P7" t="s">
        <v>82</v>
      </c>
      <c r="Q7">
        <v>97.2</v>
      </c>
      <c r="R7">
        <v>1</v>
      </c>
      <c r="S7" s="8">
        <v>2340</v>
      </c>
      <c r="T7" s="14">
        <v>508</v>
      </c>
      <c r="U7" s="55">
        <f t="shared" si="1"/>
        <v>5.4638429028416653E-2</v>
      </c>
      <c r="V7" s="55">
        <f t="shared" si="2"/>
        <v>2.5918367346938774E-2</v>
      </c>
      <c r="X7" s="11">
        <f t="shared" si="0"/>
        <v>5.4638429028416653E-2</v>
      </c>
      <c r="Y7" s="12">
        <f t="shared" si="3"/>
        <v>0.79909869941859102</v>
      </c>
      <c r="AA7">
        <f>IF(P7="*","-",IFERROR(VLOOKUP(P7,'AE-W2'!$P$4:$T$105,4,FALSE),"-"))</f>
        <v>41</v>
      </c>
      <c r="AB7">
        <f>IF(P7="*","-",IFERROR(VLOOKUP(P7,'AE-W3'!$P$4:$T$128,4,FALSE),"-"))</f>
        <v>31</v>
      </c>
      <c r="AC7" s="25">
        <f>IF(P7="*","-",IFERROR(VLOOKUP(P7,'All MECSM samples'!$P$4:$AD$454,15,FALSE),"-"))</f>
        <v>14011</v>
      </c>
      <c r="AE7">
        <v>100</v>
      </c>
      <c r="AF7">
        <v>311</v>
      </c>
      <c r="AH7">
        <f t="shared" si="4"/>
        <v>1</v>
      </c>
      <c r="AI7">
        <f t="shared" si="5"/>
        <v>1</v>
      </c>
      <c r="AJ7" s="11">
        <f>SUM(AH$5:AH7)/SUM(AI$5:AI7)</f>
        <v>1</v>
      </c>
    </row>
    <row r="8" spans="1:37" x14ac:dyDescent="0.35">
      <c r="A8" t="s">
        <v>34</v>
      </c>
      <c r="B8">
        <v>1541</v>
      </c>
      <c r="C8" t="s">
        <v>7</v>
      </c>
      <c r="D8" t="s">
        <v>8</v>
      </c>
      <c r="E8" t="s">
        <v>32</v>
      </c>
      <c r="G8" t="s">
        <v>35</v>
      </c>
      <c r="I8" t="s">
        <v>36</v>
      </c>
      <c r="K8" t="s">
        <v>37</v>
      </c>
      <c r="O8">
        <v>0.67</v>
      </c>
      <c r="P8" t="s">
        <v>38</v>
      </c>
      <c r="Q8">
        <v>85.8</v>
      </c>
      <c r="R8">
        <v>1</v>
      </c>
      <c r="S8" s="8">
        <v>1270</v>
      </c>
      <c r="T8" s="14">
        <v>271</v>
      </c>
      <c r="U8" s="55">
        <f t="shared" si="1"/>
        <v>2.965419011371331E-2</v>
      </c>
      <c r="V8" s="55">
        <f t="shared" si="2"/>
        <v>1.3826530612244897E-2</v>
      </c>
      <c r="X8" s="11">
        <f t="shared" si="0"/>
        <v>2.965419011371331E-2</v>
      </c>
      <c r="Y8" s="12">
        <f t="shared" si="3"/>
        <v>0.8287528895323043</v>
      </c>
      <c r="AA8">
        <f>IF(P8="*","-",IFERROR(VLOOKUP(P8,'AE-W2'!$P$4:$T$105,4,FALSE),"-"))</f>
        <v>9</v>
      </c>
      <c r="AB8">
        <f>IF(P8="*","-",IFERROR(VLOOKUP(P8,'AE-W3'!$P$4:$T$128,4,FALSE),"-"))</f>
        <v>3116</v>
      </c>
      <c r="AC8" s="25">
        <f>IF(P8="*","-",IFERROR(VLOOKUP(P8,'All MECSM samples'!$P$4:$AD$454,15,FALSE),"-"))</f>
        <v>3129</v>
      </c>
      <c r="AE8">
        <v>100</v>
      </c>
      <c r="AF8">
        <v>175</v>
      </c>
      <c r="AH8">
        <f t="shared" si="4"/>
        <v>1</v>
      </c>
      <c r="AI8">
        <f t="shared" si="5"/>
        <v>1</v>
      </c>
      <c r="AJ8" s="11">
        <f>SUM(AH$5:AH8)/SUM(AI$5:AI8)</f>
        <v>1</v>
      </c>
    </row>
    <row r="9" spans="1:37" x14ac:dyDescent="0.35">
      <c r="A9" t="s">
        <v>51</v>
      </c>
      <c r="B9">
        <v>1233</v>
      </c>
      <c r="C9" t="s">
        <v>7</v>
      </c>
      <c r="D9" t="s">
        <v>8</v>
      </c>
      <c r="E9" t="s">
        <v>46</v>
      </c>
      <c r="G9" t="s">
        <v>47</v>
      </c>
      <c r="I9" t="s">
        <v>61</v>
      </c>
      <c r="K9" t="s">
        <v>94</v>
      </c>
      <c r="M9" t="s">
        <v>95</v>
      </c>
      <c r="O9">
        <v>1</v>
      </c>
      <c r="P9" t="s">
        <v>96</v>
      </c>
      <c r="Q9">
        <v>100</v>
      </c>
      <c r="R9">
        <v>3</v>
      </c>
      <c r="S9" s="8">
        <v>929</v>
      </c>
      <c r="T9" s="14">
        <v>304</v>
      </c>
      <c r="U9" s="55">
        <f t="shared" si="1"/>
        <v>2.1691923319401313E-2</v>
      </c>
      <c r="V9" s="55">
        <f t="shared" si="2"/>
        <v>1.5510204081632653E-2</v>
      </c>
      <c r="X9" s="11">
        <f t="shared" si="0"/>
        <v>2.1691923319401313E-2</v>
      </c>
      <c r="Y9" s="12">
        <f t="shared" si="3"/>
        <v>0.85044481285170559</v>
      </c>
      <c r="AA9">
        <f>IF(P9="*","-",IFERROR(VLOOKUP(P9,'AE-W2'!$P$4:$T$105,4,FALSE),"-"))</f>
        <v>16</v>
      </c>
      <c r="AB9">
        <f>IF(P9="*","-",IFERROR(VLOOKUP(P9,'AE-W3'!$P$4:$T$128,4,FALSE),"-"))</f>
        <v>153</v>
      </c>
      <c r="AC9" s="25">
        <f>IF(P9="*","-",IFERROR(VLOOKUP(P9,'All MECSM samples'!$P$4:$AD$454,15,FALSE),"-"))</f>
        <v>2442</v>
      </c>
      <c r="AE9">
        <v>100</v>
      </c>
      <c r="AF9">
        <v>174</v>
      </c>
      <c r="AH9">
        <f t="shared" si="4"/>
        <v>1</v>
      </c>
      <c r="AI9">
        <f t="shared" si="5"/>
        <v>1</v>
      </c>
      <c r="AJ9" s="11">
        <f>SUM(AH$5:AH9)/SUM(AI$5:AI9)</f>
        <v>1</v>
      </c>
    </row>
    <row r="10" spans="1:37" x14ac:dyDescent="0.35">
      <c r="A10" t="s">
        <v>31</v>
      </c>
      <c r="B10">
        <v>1224</v>
      </c>
      <c r="C10" t="s">
        <v>7</v>
      </c>
      <c r="D10" t="s">
        <v>24</v>
      </c>
      <c r="E10" t="s">
        <v>25</v>
      </c>
      <c r="G10" t="s">
        <v>40</v>
      </c>
      <c r="I10" t="s">
        <v>41</v>
      </c>
      <c r="K10" t="s">
        <v>42</v>
      </c>
      <c r="M10" t="s">
        <v>43</v>
      </c>
      <c r="O10">
        <v>1</v>
      </c>
      <c r="P10" t="s">
        <v>44</v>
      </c>
      <c r="Q10">
        <v>97.2</v>
      </c>
      <c r="R10">
        <v>1</v>
      </c>
      <c r="S10" s="8">
        <v>1032</v>
      </c>
      <c r="T10" s="14">
        <v>192</v>
      </c>
      <c r="U10" s="55">
        <f t="shared" si="1"/>
        <v>2.4096948186891447E-2</v>
      </c>
      <c r="V10" s="55">
        <f t="shared" si="2"/>
        <v>9.7959183673469383E-3</v>
      </c>
      <c r="X10" s="11">
        <f t="shared" si="0"/>
        <v>2.4096948186891447E-2</v>
      </c>
      <c r="Y10" s="12">
        <f t="shared" si="3"/>
        <v>0.87454176103859704</v>
      </c>
      <c r="AA10">
        <f>IF(P10="*","-",IFERROR(VLOOKUP(P10,'AE-W2'!$P$4:$T$105,4,FALSE),"-"))</f>
        <v>16</v>
      </c>
      <c r="AB10">
        <f>IF(P10="*","-",IFERROR(VLOOKUP(P10,'AE-W3'!$P$4:$T$128,4,FALSE),"-"))</f>
        <v>3332</v>
      </c>
      <c r="AC10" s="25">
        <f>IF(P10="*","-",IFERROR(VLOOKUP(P10,'All MECSM samples'!$P$4:$AD$454,15,FALSE),"-"))</f>
        <v>11703</v>
      </c>
      <c r="AE10">
        <v>100</v>
      </c>
      <c r="AF10">
        <v>120</v>
      </c>
      <c r="AH10">
        <f t="shared" si="4"/>
        <v>1</v>
      </c>
      <c r="AI10">
        <f t="shared" si="5"/>
        <v>1</v>
      </c>
      <c r="AJ10" s="11">
        <f>SUM(AH$5:AH10)/SUM(AI$5:AI10)</f>
        <v>1</v>
      </c>
    </row>
    <row r="11" spans="1:37" x14ac:dyDescent="0.35">
      <c r="A11" t="s">
        <v>39</v>
      </c>
      <c r="B11">
        <v>1187</v>
      </c>
      <c r="C11" t="s">
        <v>7</v>
      </c>
      <c r="D11" t="s">
        <v>8</v>
      </c>
      <c r="E11" t="s">
        <v>32</v>
      </c>
      <c r="G11" t="s">
        <v>35</v>
      </c>
      <c r="I11" t="s">
        <v>36</v>
      </c>
      <c r="O11">
        <v>0.61</v>
      </c>
      <c r="P11" t="s">
        <v>92</v>
      </c>
      <c r="Q11">
        <v>86.2</v>
      </c>
      <c r="R11">
        <v>2</v>
      </c>
      <c r="S11" s="8">
        <v>1059</v>
      </c>
      <c r="T11" s="14">
        <v>128</v>
      </c>
      <c r="U11" s="55">
        <f t="shared" si="1"/>
        <v>2.4727391598757795E-2</v>
      </c>
      <c r="V11" s="55">
        <f t="shared" si="2"/>
        <v>6.5306122448979594E-3</v>
      </c>
      <c r="X11" s="11">
        <f t="shared" si="0"/>
        <v>2.4727391598757795E-2</v>
      </c>
      <c r="Y11" s="12">
        <f t="shared" si="3"/>
        <v>0.89926915263735485</v>
      </c>
      <c r="AA11">
        <f>IF(P11="*","-",IFERROR(VLOOKUP(P11,'AE-W2'!$P$4:$T$105,4,FALSE),"-"))</f>
        <v>29</v>
      </c>
      <c r="AB11">
        <f>IF(P11="*","-",IFERROR(VLOOKUP(P11,'AE-W3'!$P$4:$T$128,4,FALSE),"-"))</f>
        <v>389</v>
      </c>
      <c r="AC11" s="25">
        <f>IF(P11="*","-",IFERROR(VLOOKUP(P11,'All MECSM samples'!$P$4:$AD$454,15,FALSE),"-"))</f>
        <v>6717</v>
      </c>
      <c r="AE11">
        <v>100</v>
      </c>
      <c r="AF11">
        <v>77</v>
      </c>
      <c r="AH11">
        <f t="shared" si="4"/>
        <v>1</v>
      </c>
      <c r="AI11">
        <f t="shared" si="5"/>
        <v>1</v>
      </c>
      <c r="AJ11" s="11">
        <f>SUM(AH$5:AH11)/SUM(AI$5:AI11)</f>
        <v>1</v>
      </c>
    </row>
    <row r="12" spans="1:37" x14ac:dyDescent="0.35">
      <c r="A12" t="s">
        <v>63</v>
      </c>
      <c r="B12">
        <v>1050</v>
      </c>
      <c r="C12" t="s">
        <v>7</v>
      </c>
      <c r="D12" t="s">
        <v>8</v>
      </c>
      <c r="E12" t="s">
        <v>120</v>
      </c>
      <c r="G12" t="s">
        <v>121</v>
      </c>
      <c r="I12" t="s">
        <v>122</v>
      </c>
      <c r="K12" t="s">
        <v>123</v>
      </c>
      <c r="M12" t="s">
        <v>124</v>
      </c>
      <c r="O12">
        <v>0.94</v>
      </c>
      <c r="P12" t="s">
        <v>125</v>
      </c>
      <c r="Q12">
        <v>89.7</v>
      </c>
      <c r="R12">
        <v>1</v>
      </c>
      <c r="S12" s="8">
        <v>796</v>
      </c>
      <c r="T12" s="14">
        <v>254</v>
      </c>
      <c r="U12" s="55">
        <f t="shared" si="1"/>
        <v>1.858640577205968E-2</v>
      </c>
      <c r="V12" s="55">
        <f t="shared" si="2"/>
        <v>1.2959183673469387E-2</v>
      </c>
      <c r="X12" s="11">
        <f t="shared" si="0"/>
        <v>1.858640577205968E-2</v>
      </c>
      <c r="Y12" s="12">
        <f t="shared" si="3"/>
        <v>0.91785555840941457</v>
      </c>
      <c r="AA12">
        <f>IF(P12="*","-",IFERROR(VLOOKUP(P12,'AE-W2'!$P$4:$T$105,4,FALSE),"-"))</f>
        <v>4</v>
      </c>
      <c r="AB12">
        <f>IF(P12="*","-",IFERROR(VLOOKUP(P12,'AE-W3'!$P$4:$T$128,4,FALSE),"-"))</f>
        <v>8</v>
      </c>
      <c r="AC12" s="25">
        <f>IF(P12="*","-",IFERROR(VLOOKUP(P12,'All MECSM samples'!$P$4:$AD$454,15,FALSE),"-"))</f>
        <v>799</v>
      </c>
      <c r="AE12">
        <v>100</v>
      </c>
      <c r="AF12">
        <v>123</v>
      </c>
      <c r="AH12">
        <f t="shared" si="4"/>
        <v>1</v>
      </c>
      <c r="AI12">
        <f t="shared" si="5"/>
        <v>1</v>
      </c>
      <c r="AJ12" s="11">
        <f>SUM(AH$5:AH12)/SUM(AI$5:AI12)</f>
        <v>1</v>
      </c>
    </row>
    <row r="13" spans="1:37" x14ac:dyDescent="0.35">
      <c r="A13" t="s">
        <v>49</v>
      </c>
      <c r="B13">
        <v>402</v>
      </c>
      <c r="C13" t="s">
        <v>7</v>
      </c>
      <c r="D13" t="s">
        <v>8</v>
      </c>
      <c r="E13" t="s">
        <v>9</v>
      </c>
      <c r="G13" t="s">
        <v>10</v>
      </c>
      <c r="O13">
        <v>0.5</v>
      </c>
      <c r="P13" t="s">
        <v>154</v>
      </c>
      <c r="Q13">
        <v>89.7</v>
      </c>
      <c r="R13">
        <v>1</v>
      </c>
      <c r="S13" s="8">
        <v>304</v>
      </c>
      <c r="T13" s="14">
        <v>98</v>
      </c>
      <c r="U13" s="55">
        <f t="shared" si="1"/>
        <v>7.0983258224951553E-3</v>
      </c>
      <c r="V13" s="55">
        <f t="shared" si="2"/>
        <v>5.0000000000000001E-3</v>
      </c>
      <c r="X13" s="11">
        <f t="shared" si="0"/>
        <v>7.0983258224951553E-3</v>
      </c>
      <c r="Y13" s="12">
        <f t="shared" si="3"/>
        <v>0.92495388423190972</v>
      </c>
      <c r="AA13" t="str">
        <f>IF(P13="*","-",IFERROR(VLOOKUP(P13,'AE-W2'!$P$4:$T$105,4,FALSE),"-"))</f>
        <v>-</v>
      </c>
      <c r="AB13">
        <f>IF(P13="*","-",IFERROR(VLOOKUP(P13,'AE-W3'!$P$4:$T$128,4,FALSE),"-"))</f>
        <v>5</v>
      </c>
      <c r="AC13" s="25">
        <f>IF(P13="*","-",IFERROR(VLOOKUP(P13,'All MECSM samples'!$P$4:$AD$454,15,FALSE),"-"))</f>
        <v>305</v>
      </c>
      <c r="AE13">
        <v>100</v>
      </c>
      <c r="AF13">
        <v>64</v>
      </c>
      <c r="AH13">
        <f t="shared" si="4"/>
        <v>1</v>
      </c>
      <c r="AI13">
        <f t="shared" si="5"/>
        <v>1</v>
      </c>
      <c r="AJ13" s="11">
        <f>SUM(AH$5:AH13)/SUM(AI$5:AI13)</f>
        <v>1</v>
      </c>
    </row>
    <row r="14" spans="1:37" x14ac:dyDescent="0.35">
      <c r="A14" t="s">
        <v>45</v>
      </c>
      <c r="B14">
        <v>345</v>
      </c>
      <c r="C14" t="s">
        <v>7</v>
      </c>
      <c r="D14" t="s">
        <v>8</v>
      </c>
      <c r="E14" t="s">
        <v>46</v>
      </c>
      <c r="G14" t="s">
        <v>47</v>
      </c>
      <c r="I14" t="s">
        <v>61</v>
      </c>
      <c r="K14" t="s">
        <v>157</v>
      </c>
      <c r="O14">
        <v>0.77</v>
      </c>
      <c r="P14" t="s">
        <v>158</v>
      </c>
      <c r="Q14">
        <v>94.8</v>
      </c>
      <c r="R14">
        <v>1</v>
      </c>
      <c r="S14" s="8">
        <v>230</v>
      </c>
      <c r="T14" s="14">
        <v>115</v>
      </c>
      <c r="U14" s="55">
        <f t="shared" si="1"/>
        <v>5.3704438788614662E-3</v>
      </c>
      <c r="V14" s="55">
        <f t="shared" si="2"/>
        <v>5.8673469387755103E-3</v>
      </c>
      <c r="X14" s="11">
        <f t="shared" si="0"/>
        <v>5.3704438788614662E-3</v>
      </c>
      <c r="Y14" s="12">
        <f t="shared" si="3"/>
        <v>0.93032432811077115</v>
      </c>
      <c r="AA14" t="str">
        <f>IF(P14="*","-",IFERROR(VLOOKUP(P14,'AE-W2'!$P$4:$T$105,4,FALSE),"-"))</f>
        <v>-</v>
      </c>
      <c r="AB14">
        <f>IF(P14="*","-",IFERROR(VLOOKUP(P14,'AE-W3'!$P$4:$T$128,4,FALSE),"-"))</f>
        <v>4</v>
      </c>
      <c r="AC14" s="25">
        <f>IF(P14="*","-",IFERROR(VLOOKUP(P14,'All MECSM samples'!$P$4:$AD$454,15,FALSE),"-"))</f>
        <v>231</v>
      </c>
      <c r="AE14">
        <v>100</v>
      </c>
      <c r="AF14">
        <v>53</v>
      </c>
      <c r="AH14">
        <f t="shared" si="4"/>
        <v>1</v>
      </c>
      <c r="AI14">
        <f t="shared" si="5"/>
        <v>1</v>
      </c>
      <c r="AJ14" s="11">
        <f>SUM(AH$5:AH14)/SUM(AI$5:AI14)</f>
        <v>1</v>
      </c>
    </row>
    <row r="15" spans="1:37" x14ac:dyDescent="0.35">
      <c r="A15" t="s">
        <v>77</v>
      </c>
      <c r="B15">
        <v>287</v>
      </c>
      <c r="C15" t="s">
        <v>7</v>
      </c>
      <c r="D15" t="s">
        <v>8</v>
      </c>
      <c r="E15" t="s">
        <v>165</v>
      </c>
      <c r="G15" t="s">
        <v>166</v>
      </c>
      <c r="I15" t="s">
        <v>167</v>
      </c>
      <c r="K15" t="s">
        <v>168</v>
      </c>
      <c r="M15" t="s">
        <v>169</v>
      </c>
      <c r="O15">
        <v>1</v>
      </c>
      <c r="P15" t="s">
        <v>170</v>
      </c>
      <c r="Q15">
        <v>99.6</v>
      </c>
      <c r="R15">
        <v>1</v>
      </c>
      <c r="S15" s="8">
        <v>205</v>
      </c>
      <c r="T15" s="14">
        <v>82</v>
      </c>
      <c r="U15" s="55">
        <f t="shared" si="1"/>
        <v>4.7866999789852194E-3</v>
      </c>
      <c r="V15" s="55">
        <f t="shared" si="2"/>
        <v>4.183673469387755E-3</v>
      </c>
      <c r="X15" s="11">
        <f t="shared" si="0"/>
        <v>4.7866999789852194E-3</v>
      </c>
      <c r="Y15" s="12">
        <f t="shared" si="3"/>
        <v>0.93511102808975632</v>
      </c>
      <c r="AA15" t="str">
        <f>IF(P15="*","-",IFERROR(VLOOKUP(P15,'AE-W2'!$P$4:$T$105,4,FALSE),"-"))</f>
        <v>-</v>
      </c>
      <c r="AB15">
        <f>IF(P15="*","-",IFERROR(VLOOKUP(P15,'AE-W3'!$P$4:$T$128,4,FALSE),"-"))</f>
        <v>0</v>
      </c>
      <c r="AC15" s="25">
        <f>IF(P15="*","-",IFERROR(VLOOKUP(P15,'All MECSM samples'!$P$4:$AD$454,15,FALSE),"-"))</f>
        <v>205</v>
      </c>
      <c r="AE15">
        <v>100</v>
      </c>
      <c r="AF15">
        <v>61</v>
      </c>
      <c r="AH15">
        <f t="shared" si="4"/>
        <v>1</v>
      </c>
      <c r="AI15">
        <f t="shared" si="5"/>
        <v>1</v>
      </c>
      <c r="AJ15" s="11">
        <f>SUM(AH$5:AH15)/SUM(AI$5:AI15)</f>
        <v>1</v>
      </c>
    </row>
    <row r="16" spans="1:37" x14ac:dyDescent="0.35">
      <c r="A16" t="s">
        <v>68</v>
      </c>
      <c r="B16">
        <v>284</v>
      </c>
      <c r="C16" t="s">
        <v>7</v>
      </c>
      <c r="D16" t="s">
        <v>8</v>
      </c>
      <c r="E16" t="s">
        <v>9</v>
      </c>
      <c r="G16" t="s">
        <v>10</v>
      </c>
      <c r="I16" t="s">
        <v>131</v>
      </c>
      <c r="K16" t="s">
        <v>132</v>
      </c>
      <c r="M16" t="s">
        <v>133</v>
      </c>
      <c r="O16">
        <v>1</v>
      </c>
      <c r="P16" t="s">
        <v>134</v>
      </c>
      <c r="Q16">
        <v>100</v>
      </c>
      <c r="R16">
        <v>1</v>
      </c>
      <c r="S16" s="8">
        <v>219</v>
      </c>
      <c r="T16" s="14">
        <v>65</v>
      </c>
      <c r="U16" s="55">
        <f t="shared" si="1"/>
        <v>5.1135965629159176E-3</v>
      </c>
      <c r="V16" s="55">
        <f t="shared" si="2"/>
        <v>3.3163265306122448E-3</v>
      </c>
      <c r="X16" s="11">
        <f t="shared" si="0"/>
        <v>5.1135965629159176E-3</v>
      </c>
      <c r="Y16" s="12">
        <f t="shared" si="3"/>
        <v>0.9402246246526722</v>
      </c>
      <c r="AA16">
        <f>IF(P16="*","-",IFERROR(VLOOKUP(P16,'AE-W2'!$P$4:$T$105,4,FALSE),"-"))</f>
        <v>17</v>
      </c>
      <c r="AB16">
        <f>IF(P16="*","-",IFERROR(VLOOKUP(P16,'AE-W3'!$P$4:$T$128,4,FALSE),"-"))</f>
        <v>254</v>
      </c>
      <c r="AC16" s="25">
        <f>IF(P16="*","-",IFERROR(VLOOKUP(P16,'All MECSM samples'!$P$4:$AD$454,15,FALSE),"-"))</f>
        <v>255</v>
      </c>
      <c r="AE16">
        <v>100</v>
      </c>
      <c r="AF16">
        <v>39</v>
      </c>
      <c r="AH16">
        <f t="shared" si="4"/>
        <v>1</v>
      </c>
      <c r="AI16">
        <f t="shared" si="5"/>
        <v>1</v>
      </c>
      <c r="AJ16" s="11">
        <f>SUM(AH$5:AH16)/SUM(AI$5:AI16)</f>
        <v>1</v>
      </c>
    </row>
    <row r="17" spans="1:36" x14ac:dyDescent="0.35">
      <c r="A17" t="s">
        <v>60</v>
      </c>
      <c r="B17">
        <v>231</v>
      </c>
      <c r="C17" t="s">
        <v>7</v>
      </c>
      <c r="D17" t="s">
        <v>8</v>
      </c>
      <c r="O17">
        <v>0.94</v>
      </c>
      <c r="P17" s="8" t="s">
        <v>98</v>
      </c>
      <c r="Q17">
        <v>0</v>
      </c>
      <c r="R17">
        <v>1</v>
      </c>
      <c r="S17" s="8">
        <v>161</v>
      </c>
      <c r="T17" s="14">
        <v>70</v>
      </c>
      <c r="U17" s="55">
        <f t="shared" si="1"/>
        <v>3.7593107152030262E-3</v>
      </c>
      <c r="V17" s="55">
        <f t="shared" si="2"/>
        <v>3.5714285714285713E-3</v>
      </c>
      <c r="X17" s="11">
        <f t="shared" si="0"/>
        <v>3.7593107152030262E-3</v>
      </c>
      <c r="Y17" s="12">
        <f t="shared" si="3"/>
        <v>0.94398393536787528</v>
      </c>
      <c r="AA17" t="str">
        <f>IF(P17="*","-",IFERROR(VLOOKUP(P17,'AE-W2'!$P$4:$T$105,4,FALSE),"-"))</f>
        <v>-</v>
      </c>
      <c r="AB17" t="str">
        <f>IF(P17="*","-",IFERROR(VLOOKUP(P17,'AE-W3'!$P$4:$T$128,4,FALSE),"-"))</f>
        <v>-</v>
      </c>
      <c r="AC17" s="25" t="str">
        <f>IF(P17="*","-",IFERROR(VLOOKUP(P17,'All MECSM samples'!$P$4:$AD$454,15,FALSE),"-"))</f>
        <v>-</v>
      </c>
      <c r="AE17">
        <v>100</v>
      </c>
      <c r="AF17">
        <v>40</v>
      </c>
      <c r="AH17">
        <f t="shared" si="4"/>
        <v>1</v>
      </c>
      <c r="AI17">
        <f t="shared" si="5"/>
        <v>1</v>
      </c>
      <c r="AJ17" s="11">
        <f>SUM(AH$5:AH17)/SUM(AI$5:AI17)</f>
        <v>1</v>
      </c>
    </row>
    <row r="18" spans="1:36" x14ac:dyDescent="0.35">
      <c r="A18" t="s">
        <v>72</v>
      </c>
      <c r="B18">
        <v>216</v>
      </c>
      <c r="C18" t="s">
        <v>7</v>
      </c>
      <c r="D18" t="s">
        <v>8</v>
      </c>
      <c r="E18" t="s">
        <v>46</v>
      </c>
      <c r="G18" t="s">
        <v>47</v>
      </c>
      <c r="I18" t="s">
        <v>61</v>
      </c>
      <c r="K18" t="s">
        <v>190</v>
      </c>
      <c r="M18" t="s">
        <v>191</v>
      </c>
      <c r="O18">
        <v>0.85</v>
      </c>
      <c r="P18" t="s">
        <v>192</v>
      </c>
      <c r="Q18">
        <v>96</v>
      </c>
      <c r="R18">
        <v>1</v>
      </c>
      <c r="S18" s="8">
        <v>169</v>
      </c>
      <c r="T18" s="14">
        <v>47</v>
      </c>
      <c r="U18" s="55">
        <f t="shared" si="1"/>
        <v>3.9461087631634251E-3</v>
      </c>
      <c r="V18" s="55">
        <f t="shared" si="2"/>
        <v>2.3979591836734695E-3</v>
      </c>
      <c r="X18" s="11">
        <f t="shared" si="0"/>
        <v>3.9461087631634251E-3</v>
      </c>
      <c r="Y18" s="12">
        <f t="shared" si="3"/>
        <v>0.94793004413103876</v>
      </c>
      <c r="AA18" t="str">
        <f>IF(P18="*","-",IFERROR(VLOOKUP(P18,'AE-W2'!$P$4:$T$105,4,FALSE),"-"))</f>
        <v>-</v>
      </c>
      <c r="AB18">
        <f>IF(P18="*","-",IFERROR(VLOOKUP(P18,'AE-W3'!$P$4:$T$128,4,FALSE),"-"))</f>
        <v>46</v>
      </c>
      <c r="AC18" s="25">
        <f>IF(P18="*","-",IFERROR(VLOOKUP(P18,'All MECSM samples'!$P$4:$AD$454,15,FALSE),"-"))</f>
        <v>245</v>
      </c>
      <c r="AE18">
        <v>100</v>
      </c>
      <c r="AF18">
        <v>38</v>
      </c>
      <c r="AH18">
        <f t="shared" si="4"/>
        <v>1</v>
      </c>
      <c r="AI18">
        <f t="shared" si="5"/>
        <v>1</v>
      </c>
      <c r="AJ18" s="11">
        <f>SUM(AH$5:AH18)/SUM(AI$5:AI18)</f>
        <v>1</v>
      </c>
    </row>
    <row r="19" spans="1:36" x14ac:dyDescent="0.35">
      <c r="A19" t="s">
        <v>97</v>
      </c>
      <c r="B19">
        <v>208</v>
      </c>
      <c r="C19" t="s">
        <v>7</v>
      </c>
      <c r="D19" t="s">
        <v>8</v>
      </c>
      <c r="E19" t="s">
        <v>32</v>
      </c>
      <c r="G19" t="s">
        <v>35</v>
      </c>
      <c r="I19" t="s">
        <v>36</v>
      </c>
      <c r="K19" t="s">
        <v>37</v>
      </c>
      <c r="M19" t="s">
        <v>201</v>
      </c>
      <c r="O19">
        <v>0.54</v>
      </c>
      <c r="P19" t="s">
        <v>202</v>
      </c>
      <c r="Q19">
        <v>86.2</v>
      </c>
      <c r="R19">
        <v>1</v>
      </c>
      <c r="S19" s="8">
        <v>175</v>
      </c>
      <c r="T19" s="14">
        <v>33</v>
      </c>
      <c r="U19" s="55">
        <f t="shared" si="1"/>
        <v>4.0862072991337244E-3</v>
      </c>
      <c r="V19" s="55">
        <f t="shared" si="2"/>
        <v>1.6836734693877551E-3</v>
      </c>
      <c r="X19" s="11">
        <f t="shared" si="0"/>
        <v>4.0862072991337244E-3</v>
      </c>
      <c r="Y19" s="12">
        <f t="shared" si="3"/>
        <v>0.95201625143017243</v>
      </c>
      <c r="AA19" t="str">
        <f>IF(P19="*","-",IFERROR(VLOOKUP(P19,'AE-W2'!$P$4:$T$105,4,FALSE),"-"))</f>
        <v>-</v>
      </c>
      <c r="AB19">
        <f>IF(P19="*","-",IFERROR(VLOOKUP(P19,'AE-W3'!$P$4:$T$128,4,FALSE),"-"))</f>
        <v>4</v>
      </c>
      <c r="AC19" s="25">
        <f>IF(P19="*","-",IFERROR(VLOOKUP(P19,'All MECSM samples'!$P$4:$AD$454,15,FALSE),"-"))</f>
        <v>611</v>
      </c>
      <c r="AE19">
        <v>100</v>
      </c>
      <c r="AF19">
        <v>38</v>
      </c>
      <c r="AH19">
        <f t="shared" si="4"/>
        <v>1</v>
      </c>
      <c r="AI19">
        <f t="shared" si="5"/>
        <v>1</v>
      </c>
      <c r="AJ19" s="11">
        <f>SUM(AH$5:AH19)/SUM(AI$5:AI19)</f>
        <v>1</v>
      </c>
    </row>
    <row r="20" spans="1:36" x14ac:dyDescent="0.35">
      <c r="A20" t="s">
        <v>55</v>
      </c>
      <c r="B20">
        <v>202</v>
      </c>
      <c r="C20" t="s">
        <v>7</v>
      </c>
      <c r="D20" t="s">
        <v>24</v>
      </c>
      <c r="E20" t="s">
        <v>25</v>
      </c>
      <c r="G20" t="s">
        <v>40</v>
      </c>
      <c r="I20" t="s">
        <v>56</v>
      </c>
      <c r="K20" t="s">
        <v>204</v>
      </c>
      <c r="M20" t="s">
        <v>205</v>
      </c>
      <c r="O20">
        <v>1</v>
      </c>
      <c r="P20" t="s">
        <v>206</v>
      </c>
      <c r="Q20">
        <v>98.4</v>
      </c>
      <c r="R20">
        <v>2</v>
      </c>
      <c r="S20" s="8">
        <v>67</v>
      </c>
      <c r="T20" s="14">
        <v>135</v>
      </c>
      <c r="U20" s="55">
        <f t="shared" si="1"/>
        <v>1.56443365166834E-3</v>
      </c>
      <c r="V20" s="55">
        <f t="shared" si="2"/>
        <v>6.8877551020408165E-3</v>
      </c>
      <c r="X20" s="11">
        <f t="shared" si="0"/>
        <v>1.56443365166834E-3</v>
      </c>
      <c r="Y20" s="12">
        <f t="shared" si="3"/>
        <v>0.9535806850818408</v>
      </c>
      <c r="AA20" t="str">
        <f>IF(P20="*","-",IFERROR(VLOOKUP(P20,'AE-W2'!$P$4:$T$105,4,FALSE),"-"))</f>
        <v>-</v>
      </c>
      <c r="AB20" t="str">
        <f>IF(P20="*","-",IFERROR(VLOOKUP(P20,'AE-W3'!$P$4:$T$128,4,FALSE),"-"))</f>
        <v>-</v>
      </c>
      <c r="AC20" s="25">
        <f>IF(P20="*","-",IFERROR(VLOOKUP(P20,'All MECSM samples'!$P$4:$AD$454,15,FALSE),"-"))</f>
        <v>465</v>
      </c>
      <c r="AE20">
        <v>100</v>
      </c>
      <c r="AF20">
        <v>90</v>
      </c>
      <c r="AH20">
        <f t="shared" si="4"/>
        <v>1</v>
      </c>
      <c r="AI20">
        <f t="shared" si="5"/>
        <v>1</v>
      </c>
      <c r="AJ20" s="11">
        <f>SUM(AH$5:AH20)/SUM(AI$5:AI20)</f>
        <v>1</v>
      </c>
    </row>
    <row r="21" spans="1:36" x14ac:dyDescent="0.35">
      <c r="A21" t="s">
        <v>74</v>
      </c>
      <c r="B21">
        <v>190</v>
      </c>
      <c r="C21" t="s">
        <v>7</v>
      </c>
      <c r="D21" t="s">
        <v>8</v>
      </c>
      <c r="E21" t="s">
        <v>165</v>
      </c>
      <c r="G21" t="s">
        <v>166</v>
      </c>
      <c r="I21" t="s">
        <v>167</v>
      </c>
      <c r="K21" t="s">
        <v>168</v>
      </c>
      <c r="M21" t="s">
        <v>198</v>
      </c>
      <c r="O21">
        <v>0.69</v>
      </c>
      <c r="P21" s="8" t="s">
        <v>199</v>
      </c>
      <c r="Q21">
        <v>91.7</v>
      </c>
      <c r="R21">
        <v>1</v>
      </c>
      <c r="S21" s="8">
        <v>128</v>
      </c>
      <c r="T21" s="14">
        <v>62</v>
      </c>
      <c r="U21" s="55">
        <f t="shared" si="1"/>
        <v>2.9887687673663811E-3</v>
      </c>
      <c r="V21" s="55">
        <f t="shared" si="2"/>
        <v>3.1632653061224492E-3</v>
      </c>
      <c r="X21" s="11">
        <f t="shared" si="0"/>
        <v>2.9887687673663811E-3</v>
      </c>
      <c r="Y21" s="12">
        <f t="shared" si="3"/>
        <v>0.95656945384920722</v>
      </c>
      <c r="AA21" t="str">
        <f>IF(P21="*","-",IFERROR(VLOOKUP(P21,'AE-W2'!$P$4:$T$105,4,FALSE),"-"))</f>
        <v>-</v>
      </c>
      <c r="AB21" t="str">
        <f>IF(P21="*","-",IFERROR(VLOOKUP(P21,'AE-W3'!$P$4:$T$128,4,FALSE),"-"))</f>
        <v>-</v>
      </c>
      <c r="AC21" s="25">
        <f>IF(P21="*","-",IFERROR(VLOOKUP(P21,'All MECSM samples'!$P$4:$AD$454,15,FALSE),"-"))</f>
        <v>128</v>
      </c>
      <c r="AE21">
        <v>100</v>
      </c>
      <c r="AF21">
        <v>32</v>
      </c>
      <c r="AH21">
        <f t="shared" si="4"/>
        <v>1</v>
      </c>
      <c r="AI21">
        <f t="shared" si="5"/>
        <v>1</v>
      </c>
      <c r="AJ21" s="11">
        <f>SUM(AH$5:AH21)/SUM(AI$5:AI21)</f>
        <v>1</v>
      </c>
    </row>
    <row r="22" spans="1:36" x14ac:dyDescent="0.35">
      <c r="A22" t="s">
        <v>135</v>
      </c>
      <c r="B22">
        <v>183</v>
      </c>
      <c r="C22" t="s">
        <v>7</v>
      </c>
      <c r="D22" t="s">
        <v>8</v>
      </c>
      <c r="E22" t="s">
        <v>32</v>
      </c>
      <c r="O22">
        <v>1</v>
      </c>
      <c r="P22" s="8" t="s">
        <v>217</v>
      </c>
      <c r="Q22">
        <v>87</v>
      </c>
      <c r="R22">
        <v>3</v>
      </c>
      <c r="S22" s="8">
        <v>125</v>
      </c>
      <c r="T22" s="14">
        <v>58</v>
      </c>
      <c r="U22" s="55">
        <f t="shared" si="1"/>
        <v>2.9187194993812314E-3</v>
      </c>
      <c r="V22" s="55">
        <f t="shared" si="2"/>
        <v>2.9591836734693877E-3</v>
      </c>
      <c r="X22" s="11">
        <f t="shared" si="0"/>
        <v>2.9187194993812314E-3</v>
      </c>
      <c r="Y22" s="12">
        <f t="shared" si="3"/>
        <v>0.95948817334858849</v>
      </c>
      <c r="AA22">
        <f>IF(P22="*","-",IFERROR(VLOOKUP(P22,'AE-W2'!$P$4:$T$105,4,FALSE),"-"))</f>
        <v>8</v>
      </c>
      <c r="AB22" t="str">
        <f>IF(P22="*","-",IFERROR(VLOOKUP(P22,'AE-W3'!$P$4:$T$128,4,FALSE),"-"))</f>
        <v>-</v>
      </c>
      <c r="AC22" s="25">
        <f>IF(P22="*","-",IFERROR(VLOOKUP(P22,'All MECSM samples'!$P$4:$AD$454,15,FALSE),"-"))</f>
        <v>257</v>
      </c>
      <c r="AE22">
        <v>100</v>
      </c>
      <c r="AF22">
        <v>35</v>
      </c>
      <c r="AH22">
        <f t="shared" si="4"/>
        <v>1</v>
      </c>
      <c r="AI22">
        <f t="shared" si="5"/>
        <v>1</v>
      </c>
      <c r="AJ22" s="11">
        <f>SUM(AH$5:AH22)/SUM(AI$5:AI22)</f>
        <v>1</v>
      </c>
    </row>
    <row r="23" spans="1:36" x14ac:dyDescent="0.35">
      <c r="A23" t="s">
        <v>99</v>
      </c>
      <c r="B23">
        <v>143</v>
      </c>
      <c r="C23" t="s">
        <v>7</v>
      </c>
      <c r="D23" t="s">
        <v>8</v>
      </c>
      <c r="E23" t="s">
        <v>120</v>
      </c>
      <c r="G23" t="s">
        <v>121</v>
      </c>
      <c r="I23" t="s">
        <v>122</v>
      </c>
      <c r="K23" t="s">
        <v>123</v>
      </c>
      <c r="M23" t="s">
        <v>124</v>
      </c>
      <c r="O23">
        <v>1</v>
      </c>
      <c r="P23" s="8" t="s">
        <v>125</v>
      </c>
      <c r="Q23">
        <v>99.6</v>
      </c>
      <c r="R23">
        <v>1</v>
      </c>
      <c r="S23" s="8">
        <v>109</v>
      </c>
      <c r="T23" s="14">
        <v>34</v>
      </c>
      <c r="U23" s="55">
        <f t="shared" si="1"/>
        <v>2.5451234034604337E-3</v>
      </c>
      <c r="V23" s="55">
        <f t="shared" si="2"/>
        <v>1.7346938775510204E-3</v>
      </c>
      <c r="X23" s="11">
        <f t="shared" si="0"/>
        <v>2.5451234034604337E-3</v>
      </c>
      <c r="Y23" s="12">
        <f t="shared" si="3"/>
        <v>0.96203329675204896</v>
      </c>
      <c r="AA23">
        <f>IF(P23="*","-",IFERROR(VLOOKUP(P23,'AE-W2'!$P$4:$T$105,4,FALSE),"-"))</f>
        <v>4</v>
      </c>
      <c r="AB23">
        <f>IF(P23="*","-",IFERROR(VLOOKUP(P23,'AE-W3'!$P$4:$T$128,4,FALSE),"-"))</f>
        <v>8</v>
      </c>
      <c r="AC23" s="25">
        <f>IF(P23="*","-",IFERROR(VLOOKUP(P23,'All MECSM samples'!$P$4:$AD$454,15,FALSE),"-"))</f>
        <v>799</v>
      </c>
      <c r="AE23">
        <v>100</v>
      </c>
      <c r="AF23">
        <v>31</v>
      </c>
      <c r="AH23">
        <f t="shared" si="4"/>
        <v>1</v>
      </c>
      <c r="AI23">
        <f t="shared" si="5"/>
        <v>1</v>
      </c>
      <c r="AJ23" s="11">
        <f>SUM(AH$5:AH23)/SUM(AI$5:AI23)</f>
        <v>1</v>
      </c>
    </row>
    <row r="24" spans="1:36" x14ac:dyDescent="0.35">
      <c r="A24" t="s">
        <v>106</v>
      </c>
      <c r="B24">
        <v>131</v>
      </c>
      <c r="C24" t="s">
        <v>7</v>
      </c>
      <c r="D24" t="s">
        <v>8</v>
      </c>
      <c r="E24" t="s">
        <v>9</v>
      </c>
      <c r="G24" t="s">
        <v>10</v>
      </c>
      <c r="I24" t="s">
        <v>107</v>
      </c>
      <c r="K24" t="s">
        <v>108</v>
      </c>
      <c r="M24" t="s">
        <v>109</v>
      </c>
      <c r="O24">
        <v>1</v>
      </c>
      <c r="P24" s="8" t="s">
        <v>129</v>
      </c>
      <c r="Q24">
        <v>99.2</v>
      </c>
      <c r="R24">
        <v>1</v>
      </c>
      <c r="S24" s="8">
        <v>108</v>
      </c>
      <c r="T24" s="14">
        <v>23</v>
      </c>
      <c r="U24" s="55">
        <f t="shared" si="1"/>
        <v>2.521773647465384E-3</v>
      </c>
      <c r="V24" s="55">
        <f t="shared" si="2"/>
        <v>1.173469387755102E-3</v>
      </c>
      <c r="X24" s="11">
        <f t="shared" si="0"/>
        <v>2.521773647465384E-3</v>
      </c>
      <c r="Y24" s="12">
        <f t="shared" si="3"/>
        <v>0.96455507039951438</v>
      </c>
      <c r="AA24">
        <f>IF(P24="*","-",IFERROR(VLOOKUP(P24,'AE-W2'!$P$4:$T$105,4,FALSE),"-"))</f>
        <v>4</v>
      </c>
      <c r="AB24">
        <f>IF(P24="*","-",IFERROR(VLOOKUP(P24,'AE-W3'!$P$4:$T$128,4,FALSE),"-"))</f>
        <v>429</v>
      </c>
      <c r="AC24" s="25">
        <f>IF(P24="*","-",IFERROR(VLOOKUP(P24,'All MECSM samples'!$P$4:$AD$454,15,FALSE),"-"))</f>
        <v>762</v>
      </c>
      <c r="AE24">
        <v>100</v>
      </c>
      <c r="AF24">
        <v>19</v>
      </c>
      <c r="AH24">
        <f t="shared" si="4"/>
        <v>1</v>
      </c>
      <c r="AI24">
        <f t="shared" si="5"/>
        <v>1</v>
      </c>
      <c r="AJ24" s="11">
        <f>SUM(AH$5:AH24)/SUM(AI$5:AI24)</f>
        <v>1</v>
      </c>
    </row>
    <row r="25" spans="1:36" x14ac:dyDescent="0.35">
      <c r="A25" t="s">
        <v>91</v>
      </c>
      <c r="B25">
        <v>125</v>
      </c>
      <c r="C25" t="s">
        <v>7</v>
      </c>
      <c r="D25" t="s">
        <v>8</v>
      </c>
      <c r="E25" t="s">
        <v>9</v>
      </c>
      <c r="G25" t="s">
        <v>10</v>
      </c>
      <c r="I25" t="s">
        <v>131</v>
      </c>
      <c r="K25" t="s">
        <v>150</v>
      </c>
      <c r="M25" t="s">
        <v>151</v>
      </c>
      <c r="O25">
        <v>0.99</v>
      </c>
      <c r="P25" s="8" t="s">
        <v>152</v>
      </c>
      <c r="Q25">
        <v>98.4</v>
      </c>
      <c r="R25">
        <v>1</v>
      </c>
      <c r="S25" s="8">
        <v>92</v>
      </c>
      <c r="T25" s="14">
        <v>33</v>
      </c>
      <c r="U25" s="55">
        <f t="shared" si="1"/>
        <v>2.1481775515445863E-3</v>
      </c>
      <c r="V25" s="55">
        <f t="shared" si="2"/>
        <v>1.6836734693877551E-3</v>
      </c>
      <c r="X25" s="11">
        <f t="shared" si="0"/>
        <v>2.1481775515445863E-3</v>
      </c>
      <c r="Y25" s="12">
        <f t="shared" si="3"/>
        <v>0.966703247951059</v>
      </c>
      <c r="AA25">
        <f>IF(P25="*","-",IFERROR(VLOOKUP(P25,'AE-W2'!$P$4:$T$105,4,FALSE),"-"))</f>
        <v>220</v>
      </c>
      <c r="AB25">
        <f>IF(P25="*","-",IFERROR(VLOOKUP(P25,'AE-W3'!$P$4:$T$128,4,FALSE),"-"))</f>
        <v>108</v>
      </c>
      <c r="AC25" s="25">
        <f>IF(P25="*","-",IFERROR(VLOOKUP(P25,'All MECSM samples'!$P$4:$AD$454,15,FALSE),"-"))</f>
        <v>577</v>
      </c>
      <c r="AE25">
        <v>100</v>
      </c>
      <c r="AF25">
        <v>17</v>
      </c>
      <c r="AH25">
        <f t="shared" si="4"/>
        <v>1</v>
      </c>
      <c r="AI25">
        <f t="shared" si="5"/>
        <v>1</v>
      </c>
      <c r="AJ25" s="11">
        <f>SUM(AH$5:AH25)/SUM(AI$5:AI25)</f>
        <v>1</v>
      </c>
    </row>
    <row r="26" spans="1:36" x14ac:dyDescent="0.35">
      <c r="A26" t="s">
        <v>83</v>
      </c>
      <c r="B26">
        <v>120</v>
      </c>
      <c r="C26" t="s">
        <v>7</v>
      </c>
      <c r="D26" t="s">
        <v>8</v>
      </c>
      <c r="E26" t="s">
        <v>32</v>
      </c>
      <c r="G26" t="s">
        <v>35</v>
      </c>
      <c r="I26" t="s">
        <v>36</v>
      </c>
      <c r="K26" t="s">
        <v>37</v>
      </c>
      <c r="M26" t="s">
        <v>231</v>
      </c>
      <c r="O26">
        <v>1</v>
      </c>
      <c r="P26" s="8" t="s">
        <v>232</v>
      </c>
      <c r="Q26">
        <v>100</v>
      </c>
      <c r="R26">
        <v>1</v>
      </c>
      <c r="S26" s="8">
        <v>104</v>
      </c>
      <c r="T26" s="14">
        <v>16</v>
      </c>
      <c r="U26" s="55">
        <f t="shared" si="1"/>
        <v>2.4283746234851846E-3</v>
      </c>
      <c r="V26" s="55">
        <f t="shared" si="2"/>
        <v>8.1632653061224493E-4</v>
      </c>
      <c r="X26" s="11">
        <f t="shared" si="0"/>
        <v>2.4283746234851846E-3</v>
      </c>
      <c r="Y26" s="12">
        <f t="shared" si="3"/>
        <v>0.96913162257454422</v>
      </c>
      <c r="AA26" t="str">
        <f>IF(P26="*","-",IFERROR(VLOOKUP(P26,'AE-W2'!$P$4:$T$105,4,FALSE),"-"))</f>
        <v>-</v>
      </c>
      <c r="AB26" t="str">
        <f>IF(P26="*","-",IFERROR(VLOOKUP(P26,'AE-W3'!$P$4:$T$128,4,FALSE),"-"))</f>
        <v>-</v>
      </c>
      <c r="AC26" s="25">
        <f>IF(P26="*","-",IFERROR(VLOOKUP(P26,'All MECSM samples'!$P$4:$AD$454,15,FALSE),"-"))</f>
        <v>465</v>
      </c>
      <c r="AE26">
        <v>100</v>
      </c>
      <c r="AF26">
        <v>10</v>
      </c>
      <c r="AH26">
        <f t="shared" si="4"/>
        <v>1</v>
      </c>
      <c r="AI26">
        <f t="shared" si="5"/>
        <v>1</v>
      </c>
      <c r="AJ26" s="11">
        <f>SUM(AH$5:AH26)/SUM(AI$5:AI26)</f>
        <v>1</v>
      </c>
    </row>
    <row r="27" spans="1:36" x14ac:dyDescent="0.35">
      <c r="A27" t="s">
        <v>126</v>
      </c>
      <c r="B27">
        <v>91</v>
      </c>
      <c r="C27" t="s">
        <v>7</v>
      </c>
      <c r="D27" t="s">
        <v>8</v>
      </c>
      <c r="E27" t="s">
        <v>9</v>
      </c>
      <c r="G27" t="s">
        <v>10</v>
      </c>
      <c r="I27" t="s">
        <v>131</v>
      </c>
      <c r="K27" t="s">
        <v>150</v>
      </c>
      <c r="M27" t="s">
        <v>151</v>
      </c>
      <c r="O27">
        <v>0.57999999999999996</v>
      </c>
      <c r="P27" s="8" t="s">
        <v>152</v>
      </c>
      <c r="Q27">
        <v>92.5</v>
      </c>
      <c r="R27">
        <v>2</v>
      </c>
      <c r="S27" s="8">
        <v>59</v>
      </c>
      <c r="T27" s="14">
        <v>32</v>
      </c>
      <c r="U27" s="55">
        <f t="shared" si="1"/>
        <v>1.3776356037079412E-3</v>
      </c>
      <c r="V27" s="55">
        <f t="shared" si="2"/>
        <v>1.6326530612244899E-3</v>
      </c>
      <c r="X27" s="11">
        <f t="shared" si="0"/>
        <v>1.3776356037079412E-3</v>
      </c>
      <c r="Y27" s="12">
        <f t="shared" si="3"/>
        <v>0.97050925817825218</v>
      </c>
      <c r="AA27">
        <f>IF(P27="*","-",IFERROR(VLOOKUP(P27,'AE-W2'!$P$4:$T$105,4,FALSE),"-"))</f>
        <v>220</v>
      </c>
      <c r="AB27">
        <f>IF(P27="*","-",IFERROR(VLOOKUP(P27,'AE-W3'!$P$4:$T$128,4,FALSE),"-"))</f>
        <v>108</v>
      </c>
      <c r="AC27" s="25">
        <f>IF(P27="*","-",IFERROR(VLOOKUP(P27,'All MECSM samples'!$P$4:$AD$454,15,FALSE),"-"))</f>
        <v>577</v>
      </c>
      <c r="AE27">
        <v>100</v>
      </c>
      <c r="AF27">
        <v>19</v>
      </c>
      <c r="AH27">
        <f t="shared" si="4"/>
        <v>1</v>
      </c>
      <c r="AI27">
        <f t="shared" si="5"/>
        <v>1</v>
      </c>
      <c r="AJ27" s="11">
        <f>SUM(AH$5:AH27)/SUM(AI$5:AI27)</f>
        <v>1</v>
      </c>
    </row>
    <row r="28" spans="1:36" x14ac:dyDescent="0.35">
      <c r="A28" t="s">
        <v>93</v>
      </c>
      <c r="B28">
        <v>89</v>
      </c>
      <c r="C28" t="s">
        <v>7</v>
      </c>
      <c r="D28" t="s">
        <v>8</v>
      </c>
      <c r="E28" t="s">
        <v>9</v>
      </c>
      <c r="G28" t="s">
        <v>243</v>
      </c>
      <c r="I28" t="s">
        <v>244</v>
      </c>
      <c r="K28" t="s">
        <v>245</v>
      </c>
      <c r="M28" t="s">
        <v>246</v>
      </c>
      <c r="O28">
        <v>0.98</v>
      </c>
      <c r="P28" s="9" t="s">
        <v>247</v>
      </c>
      <c r="Q28" s="9">
        <v>99.2</v>
      </c>
      <c r="R28" s="9">
        <v>1</v>
      </c>
      <c r="S28" s="14">
        <v>71</v>
      </c>
      <c r="T28" s="14">
        <v>18</v>
      </c>
      <c r="U28" s="55">
        <f t="shared" si="1"/>
        <v>1.6578326756485394E-3</v>
      </c>
      <c r="V28" s="55">
        <f t="shared" si="2"/>
        <v>9.1836734693877546E-4</v>
      </c>
      <c r="X28" s="11">
        <f t="shared" si="0"/>
        <v>1.6578326756485394E-3</v>
      </c>
      <c r="Y28" s="12">
        <f t="shared" si="3"/>
        <v>0.97216709085390074</v>
      </c>
      <c r="AA28">
        <f>IF(P28="*","-",IFERROR(VLOOKUP(P28,'AE-W2'!$P$4:$T$105,4,FALSE),"-"))</f>
        <v>10</v>
      </c>
      <c r="AB28">
        <f>IF(P28="*","-",IFERROR(VLOOKUP(P28,'AE-W3'!$P$4:$T$128,4,FALSE),"-"))</f>
        <v>13</v>
      </c>
      <c r="AC28" s="25">
        <f>IF(P28="*","-",IFERROR(VLOOKUP(P28,'All MECSM samples'!$P$4:$AD$454,15,FALSE),"-"))</f>
        <v>7416</v>
      </c>
      <c r="AE28">
        <v>100</v>
      </c>
      <c r="AF28">
        <v>19</v>
      </c>
      <c r="AH28">
        <f t="shared" si="4"/>
        <v>1</v>
      </c>
      <c r="AI28">
        <f t="shared" si="5"/>
        <v>1</v>
      </c>
      <c r="AJ28" s="11">
        <f>SUM(AH$5:AH28)/SUM(AI$5:AI28)</f>
        <v>1</v>
      </c>
    </row>
    <row r="29" spans="1:36" x14ac:dyDescent="0.35">
      <c r="A29" t="s">
        <v>145</v>
      </c>
      <c r="B29">
        <v>78</v>
      </c>
      <c r="C29" t="s">
        <v>7</v>
      </c>
      <c r="D29" t="s">
        <v>8</v>
      </c>
      <c r="E29" t="s">
        <v>46</v>
      </c>
      <c r="G29" t="s">
        <v>47</v>
      </c>
      <c r="I29" t="s">
        <v>61</v>
      </c>
      <c r="O29">
        <v>0.73</v>
      </c>
      <c r="P29" t="s">
        <v>98</v>
      </c>
      <c r="Q29">
        <v>0</v>
      </c>
      <c r="R29">
        <v>1</v>
      </c>
      <c r="S29" s="8">
        <v>43</v>
      </c>
      <c r="T29" s="14">
        <v>35</v>
      </c>
      <c r="U29" s="55">
        <f t="shared" si="1"/>
        <v>1.0040395077871437E-3</v>
      </c>
      <c r="V29" s="55">
        <f t="shared" si="2"/>
        <v>1.7857142857142857E-3</v>
      </c>
      <c r="X29" s="11">
        <f t="shared" si="0"/>
        <v>1.0040395077871437E-3</v>
      </c>
      <c r="Y29" s="12">
        <f t="shared" si="3"/>
        <v>0.9731711303616879</v>
      </c>
      <c r="AA29" t="str">
        <f>IF(P29="*","-",IFERROR(VLOOKUP(P29,'AE-W2'!$P$4:$T$105,4,FALSE),"-"))</f>
        <v>-</v>
      </c>
      <c r="AB29" t="str">
        <f>IF(P29="*","-",IFERROR(VLOOKUP(P29,'AE-W3'!$P$4:$T$128,4,FALSE),"-"))</f>
        <v>-</v>
      </c>
      <c r="AC29" s="25" t="str">
        <f>IF(P29="*","-",IFERROR(VLOOKUP(P29,'All MECSM samples'!$P$4:$AD$454,15,FALSE),"-"))</f>
        <v>-</v>
      </c>
      <c r="AE29">
        <v>100</v>
      </c>
      <c r="AF29">
        <v>22</v>
      </c>
      <c r="AH29">
        <f t="shared" si="4"/>
        <v>1</v>
      </c>
      <c r="AI29">
        <f t="shared" si="5"/>
        <v>1</v>
      </c>
      <c r="AJ29" s="11">
        <f>SUM(AH$5:AH29)/SUM(AI$5:AI29)</f>
        <v>1</v>
      </c>
    </row>
    <row r="30" spans="1:36" x14ac:dyDescent="0.35">
      <c r="A30" t="s">
        <v>153</v>
      </c>
      <c r="B30">
        <v>78</v>
      </c>
      <c r="C30" t="s">
        <v>7</v>
      </c>
      <c r="D30" t="s">
        <v>8</v>
      </c>
      <c r="E30" t="s">
        <v>9</v>
      </c>
      <c r="G30" t="s">
        <v>10</v>
      </c>
      <c r="I30" t="s">
        <v>131</v>
      </c>
      <c r="K30" t="s">
        <v>150</v>
      </c>
      <c r="M30" t="s">
        <v>278</v>
      </c>
      <c r="O30">
        <v>0.75</v>
      </c>
      <c r="P30" s="8" t="s">
        <v>152</v>
      </c>
      <c r="Q30">
        <v>95.3</v>
      </c>
      <c r="R30">
        <v>1</v>
      </c>
      <c r="S30" s="8">
        <v>54</v>
      </c>
      <c r="T30" s="14">
        <v>24</v>
      </c>
      <c r="U30" s="55">
        <f t="shared" si="1"/>
        <v>1.260886823732692E-3</v>
      </c>
      <c r="V30" s="55">
        <f t="shared" si="2"/>
        <v>1.2244897959183673E-3</v>
      </c>
      <c r="X30" s="15">
        <f t="shared" si="0"/>
        <v>1.260886823732692E-3</v>
      </c>
      <c r="Y30" s="16">
        <f t="shared" si="3"/>
        <v>0.97443201718542061</v>
      </c>
      <c r="AA30">
        <f>IF(P30="*","-",IFERROR(VLOOKUP(P30,'AE-W2'!$P$4:$T$105,4,FALSE),"-"))</f>
        <v>220</v>
      </c>
      <c r="AB30">
        <f>IF(P30="*","-",IFERROR(VLOOKUP(P30,'AE-W3'!$P$4:$T$128,4,FALSE),"-"))</f>
        <v>108</v>
      </c>
      <c r="AC30" s="25">
        <f>IF(P30="*","-",IFERROR(VLOOKUP(P30,'All MECSM samples'!$P$4:$AD$454,15,FALSE),"-"))</f>
        <v>577</v>
      </c>
      <c r="AE30">
        <v>100</v>
      </c>
      <c r="AF30">
        <v>12</v>
      </c>
      <c r="AH30">
        <f t="shared" si="4"/>
        <v>1</v>
      </c>
      <c r="AI30">
        <f t="shared" si="5"/>
        <v>1</v>
      </c>
      <c r="AJ30" s="11">
        <f>SUM(AH$5:AH30)/SUM(AI$5:AI30)</f>
        <v>1</v>
      </c>
    </row>
    <row r="31" spans="1:36" x14ac:dyDescent="0.35">
      <c r="A31" t="s">
        <v>89</v>
      </c>
      <c r="B31">
        <v>75</v>
      </c>
      <c r="C31" t="s">
        <v>7</v>
      </c>
      <c r="D31" t="s">
        <v>8</v>
      </c>
      <c r="E31" t="s">
        <v>32</v>
      </c>
      <c r="O31">
        <v>0.96</v>
      </c>
      <c r="P31" t="s">
        <v>285</v>
      </c>
      <c r="Q31">
        <v>88.1</v>
      </c>
      <c r="R31">
        <v>4</v>
      </c>
      <c r="S31" s="8">
        <v>38</v>
      </c>
      <c r="T31" s="14">
        <v>37</v>
      </c>
      <c r="U31" s="55">
        <f t="shared" si="1"/>
        <v>8.8729072781189441E-4</v>
      </c>
      <c r="V31" s="55">
        <f t="shared" si="2"/>
        <v>1.8877551020408164E-3</v>
      </c>
      <c r="W31" s="9"/>
      <c r="X31" s="15">
        <f t="shared" si="0"/>
        <v>8.8729072781189441E-4</v>
      </c>
      <c r="Y31" s="16">
        <f t="shared" si="3"/>
        <v>0.97531930791323251</v>
      </c>
      <c r="AA31" t="str">
        <f>IF(P31="*","-",IFERROR(VLOOKUP(P31,'AE-W2'!$P$4:$T$105,4,FALSE),"-"))</f>
        <v>-</v>
      </c>
      <c r="AB31" t="str">
        <f>IF(P31="*","-",IFERROR(VLOOKUP(P31,'AE-W3'!$P$4:$T$128,4,FALSE),"-"))</f>
        <v>-</v>
      </c>
      <c r="AC31" s="25">
        <f>IF(P31="*","-",IFERROR(VLOOKUP(P31,'All MECSM samples'!$P$4:$AD$454,15,FALSE),"-"))</f>
        <v>242</v>
      </c>
      <c r="AE31">
        <v>100</v>
      </c>
      <c r="AF31">
        <v>10</v>
      </c>
      <c r="AH31">
        <f t="shared" si="4"/>
        <v>1</v>
      </c>
      <c r="AI31">
        <f t="shared" si="5"/>
        <v>1</v>
      </c>
      <c r="AJ31" s="11">
        <f>SUM(AH$5:AH31)/SUM(AI$5:AI31)</f>
        <v>1</v>
      </c>
    </row>
    <row r="32" spans="1:36" x14ac:dyDescent="0.35">
      <c r="A32" t="s">
        <v>87</v>
      </c>
      <c r="B32">
        <v>74</v>
      </c>
      <c r="C32" t="s">
        <v>7</v>
      </c>
      <c r="D32" t="s">
        <v>8</v>
      </c>
      <c r="E32" t="s">
        <v>46</v>
      </c>
      <c r="G32" t="s">
        <v>47</v>
      </c>
      <c r="I32" t="s">
        <v>61</v>
      </c>
      <c r="K32" t="s">
        <v>210</v>
      </c>
      <c r="M32" t="s">
        <v>211</v>
      </c>
      <c r="O32">
        <v>1</v>
      </c>
      <c r="P32" t="s">
        <v>212</v>
      </c>
      <c r="Q32">
        <v>96.8</v>
      </c>
      <c r="R32">
        <v>1</v>
      </c>
      <c r="S32" s="8">
        <v>53</v>
      </c>
      <c r="T32" s="14">
        <v>21</v>
      </c>
      <c r="U32" s="55">
        <f t="shared" si="1"/>
        <v>1.2375370677376422E-3</v>
      </c>
      <c r="V32" s="55">
        <f t="shared" si="2"/>
        <v>1.0714285714285715E-3</v>
      </c>
      <c r="X32" s="11">
        <f t="shared" si="0"/>
        <v>1.2375370677376422E-3</v>
      </c>
      <c r="Y32" s="12">
        <f t="shared" si="3"/>
        <v>0.97655684498097017</v>
      </c>
      <c r="AA32">
        <f>IF(P32="*","-",IFERROR(VLOOKUP(P32,'AE-W2'!$P$4:$T$105,4,FALSE),"-"))</f>
        <v>4</v>
      </c>
      <c r="AB32">
        <f>IF(P32="*","-",IFERROR(VLOOKUP(P32,'AE-W3'!$P$4:$T$128,4,FALSE),"-"))</f>
        <v>61</v>
      </c>
      <c r="AC32" s="25">
        <f>IF(P32="*","-",IFERROR(VLOOKUP(P32,'All MECSM samples'!$P$4:$AD$454,15,FALSE),"-"))</f>
        <v>439</v>
      </c>
      <c r="AE32">
        <v>100</v>
      </c>
      <c r="AF32">
        <v>12</v>
      </c>
      <c r="AH32">
        <f t="shared" si="4"/>
        <v>1</v>
      </c>
      <c r="AI32">
        <f t="shared" si="5"/>
        <v>1</v>
      </c>
      <c r="AJ32" s="11">
        <f>SUM(AH$5:AH32)/SUM(AI$5:AI32)</f>
        <v>1</v>
      </c>
    </row>
    <row r="33" spans="1:36" x14ac:dyDescent="0.35">
      <c r="A33" t="s">
        <v>294</v>
      </c>
      <c r="B33">
        <v>66</v>
      </c>
      <c r="C33" t="s">
        <v>7</v>
      </c>
      <c r="D33" t="s">
        <v>8</v>
      </c>
      <c r="E33" t="s">
        <v>32</v>
      </c>
      <c r="G33" t="s">
        <v>35</v>
      </c>
      <c r="I33" t="s">
        <v>36</v>
      </c>
      <c r="K33" t="s">
        <v>143</v>
      </c>
      <c r="O33">
        <v>0.87</v>
      </c>
      <c r="P33" t="s">
        <v>144</v>
      </c>
      <c r="Q33">
        <v>91.7</v>
      </c>
      <c r="R33">
        <v>1</v>
      </c>
      <c r="S33" s="8">
        <v>53</v>
      </c>
      <c r="T33" s="14">
        <v>13</v>
      </c>
      <c r="U33" s="55">
        <f t="shared" si="1"/>
        <v>1.2375370677376422E-3</v>
      </c>
      <c r="V33" s="55">
        <f t="shared" si="2"/>
        <v>6.6326530612244902E-4</v>
      </c>
      <c r="X33" s="11">
        <f t="shared" si="0"/>
        <v>1.2375370677376422E-3</v>
      </c>
      <c r="Y33" s="12">
        <f t="shared" si="3"/>
        <v>0.97779438204870783</v>
      </c>
      <c r="AA33">
        <f>IF(P33="*","-",IFERROR(VLOOKUP(P33,'AE-W2'!$P$4:$T$105,4,FALSE),"-"))</f>
        <v>112</v>
      </c>
      <c r="AB33">
        <f>IF(P33="*","-",IFERROR(VLOOKUP(P33,'AE-W3'!$P$4:$T$128,4,FALSE),"-"))</f>
        <v>119</v>
      </c>
      <c r="AC33" s="25">
        <f>IF(P33="*","-",IFERROR(VLOOKUP(P33,'All MECSM samples'!$P$4:$AD$454,15,FALSE),"-"))</f>
        <v>1118</v>
      </c>
      <c r="AE33">
        <v>100</v>
      </c>
      <c r="AF33">
        <v>15</v>
      </c>
      <c r="AH33">
        <f t="shared" si="4"/>
        <v>1</v>
      </c>
      <c r="AI33">
        <f t="shared" si="5"/>
        <v>1</v>
      </c>
      <c r="AJ33" s="11">
        <f>SUM(AH$5:AH33)/SUM(AI$5:AI33)</f>
        <v>1</v>
      </c>
    </row>
    <row r="34" spans="1:36" x14ac:dyDescent="0.35">
      <c r="A34" t="s">
        <v>241</v>
      </c>
      <c r="B34">
        <v>63</v>
      </c>
      <c r="C34" t="s">
        <v>7</v>
      </c>
      <c r="D34" t="s">
        <v>8</v>
      </c>
      <c r="E34" t="s">
        <v>165</v>
      </c>
      <c r="G34" t="s">
        <v>166</v>
      </c>
      <c r="I34" t="s">
        <v>167</v>
      </c>
      <c r="K34" t="s">
        <v>168</v>
      </c>
      <c r="M34" t="s">
        <v>198</v>
      </c>
      <c r="O34">
        <v>0.86</v>
      </c>
      <c r="P34" t="s">
        <v>199</v>
      </c>
      <c r="Q34">
        <v>91.7</v>
      </c>
      <c r="R34">
        <v>1</v>
      </c>
      <c r="S34" s="8">
        <v>58</v>
      </c>
      <c r="T34" s="14">
        <v>5</v>
      </c>
      <c r="U34" s="55">
        <f t="shared" si="1"/>
        <v>1.3542858477128914E-3</v>
      </c>
      <c r="V34" s="55">
        <f t="shared" si="2"/>
        <v>2.5510204081632655E-4</v>
      </c>
      <c r="X34" s="11">
        <f t="shared" si="0"/>
        <v>1.3542858477128914E-3</v>
      </c>
      <c r="Y34" s="12">
        <f t="shared" si="3"/>
        <v>0.97914866789642074</v>
      </c>
      <c r="AA34" t="str">
        <f>IF(P34="*","-",IFERROR(VLOOKUP(P34,'AE-W2'!$P$4:$T$105,4,FALSE),"-"))</f>
        <v>-</v>
      </c>
      <c r="AB34" t="str">
        <f>IF(P34="*","-",IFERROR(VLOOKUP(P34,'AE-W3'!$P$4:$T$128,4,FALSE),"-"))</f>
        <v>-</v>
      </c>
      <c r="AC34" s="25">
        <f>IF(P34="*","-",IFERROR(VLOOKUP(P34,'All MECSM samples'!$P$4:$AD$454,15,FALSE),"-"))</f>
        <v>128</v>
      </c>
      <c r="AE34">
        <v>75</v>
      </c>
      <c r="AF34">
        <v>29</v>
      </c>
      <c r="AH34">
        <f t="shared" si="4"/>
        <v>0</v>
      </c>
      <c r="AI34">
        <f t="shared" si="5"/>
        <v>0</v>
      </c>
      <c r="AJ34" s="11">
        <f>SUM(AH$5:AH34)/SUM(AI$5:AI34)</f>
        <v>1</v>
      </c>
    </row>
    <row r="35" spans="1:36" x14ac:dyDescent="0.35">
      <c r="A35" t="s">
        <v>111</v>
      </c>
      <c r="B35">
        <v>51</v>
      </c>
      <c r="C35" t="s">
        <v>7</v>
      </c>
      <c r="D35" t="s">
        <v>8</v>
      </c>
      <c r="E35" t="s">
        <v>258</v>
      </c>
      <c r="G35" t="s">
        <v>258</v>
      </c>
      <c r="H35" t="s">
        <v>259</v>
      </c>
      <c r="I35" t="s">
        <v>260</v>
      </c>
      <c r="J35" t="s">
        <v>261</v>
      </c>
      <c r="K35" t="s">
        <v>262</v>
      </c>
      <c r="O35">
        <v>0.59</v>
      </c>
      <c r="P35" t="s">
        <v>263</v>
      </c>
      <c r="Q35">
        <v>88.5</v>
      </c>
      <c r="R35">
        <v>1</v>
      </c>
      <c r="S35" s="8">
        <v>51</v>
      </c>
      <c r="T35" s="14">
        <v>0</v>
      </c>
      <c r="U35" s="55">
        <f t="shared" si="1"/>
        <v>1.1908375557475425E-3</v>
      </c>
      <c r="V35" s="55">
        <f t="shared" si="2"/>
        <v>0</v>
      </c>
      <c r="X35" s="15">
        <f t="shared" si="0"/>
        <v>1.1908375557475425E-3</v>
      </c>
      <c r="Y35" s="52">
        <f t="shared" si="3"/>
        <v>0.9803395054521683</v>
      </c>
      <c r="AA35">
        <f>IF(P35="*","-",IFERROR(VLOOKUP(P35,'AE-W2'!$P$4:$T$105,4,FALSE),"-"))</f>
        <v>14</v>
      </c>
      <c r="AB35">
        <f>IF(P35="*","-",IFERROR(VLOOKUP(P35,'AE-W3'!$P$4:$T$128,4,FALSE),"-"))</f>
        <v>14</v>
      </c>
      <c r="AC35" s="25">
        <f>IF(P35="*","-",IFERROR(VLOOKUP(P35,'All MECSM samples'!$P$4:$AD$454,15,FALSE),"-"))</f>
        <v>9732</v>
      </c>
      <c r="AE35">
        <v>47</v>
      </c>
      <c r="AF35">
        <v>6</v>
      </c>
      <c r="AH35">
        <f t="shared" si="4"/>
        <v>0</v>
      </c>
      <c r="AI35">
        <f t="shared" si="5"/>
        <v>0</v>
      </c>
      <c r="AJ35" s="11">
        <f>SUM(AH$5:AH35)/SUM(AI$5:AI35)</f>
        <v>1</v>
      </c>
    </row>
    <row r="36" spans="1:36" x14ac:dyDescent="0.35">
      <c r="A36" t="s">
        <v>602</v>
      </c>
      <c r="B36">
        <v>46</v>
      </c>
      <c r="C36" t="s">
        <v>7</v>
      </c>
      <c r="D36" t="s">
        <v>8</v>
      </c>
      <c r="E36" t="s">
        <v>46</v>
      </c>
      <c r="G36" t="s">
        <v>47</v>
      </c>
      <c r="I36" t="s">
        <v>61</v>
      </c>
      <c r="O36">
        <v>0.94</v>
      </c>
      <c r="P36" t="s">
        <v>302</v>
      </c>
      <c r="Q36">
        <v>92.1</v>
      </c>
      <c r="R36">
        <v>1</v>
      </c>
      <c r="S36" s="8">
        <v>23</v>
      </c>
      <c r="T36" s="14">
        <v>23</v>
      </c>
      <c r="U36" s="55">
        <f t="shared" si="1"/>
        <v>5.3704438788614657E-4</v>
      </c>
      <c r="V36" s="55">
        <f t="shared" si="2"/>
        <v>1.173469387755102E-3</v>
      </c>
      <c r="X36" s="15">
        <f t="shared" ref="X36:X67" si="6">S36/S$1</f>
        <v>5.3704438788614657E-4</v>
      </c>
      <c r="Y36" s="16">
        <f t="shared" si="3"/>
        <v>0.98087654984005446</v>
      </c>
      <c r="AA36">
        <f>IF(P36="*","-",IFERROR(VLOOKUP(P36,'AE-W2'!$P$4:$T$105,4,FALSE),"-"))</f>
        <v>4</v>
      </c>
      <c r="AB36" t="str">
        <f>IF(P36="*","-",IFERROR(VLOOKUP(P36,'AE-W3'!$P$4:$T$128,4,FALSE),"-"))</f>
        <v>-</v>
      </c>
      <c r="AC36" s="25">
        <f>IF(P36="*","-",IFERROR(VLOOKUP(P36,'All MECSM samples'!$P$4:$AD$454,15,FALSE),"-"))</f>
        <v>469</v>
      </c>
      <c r="AE36">
        <v>100</v>
      </c>
      <c r="AF36">
        <v>21</v>
      </c>
      <c r="AH36">
        <f t="shared" si="4"/>
        <v>1</v>
      </c>
      <c r="AI36">
        <f t="shared" si="5"/>
        <v>1</v>
      </c>
      <c r="AJ36" s="11">
        <f>SUM(AH$5:AH36)/SUM(AI$5:AI36)</f>
        <v>1</v>
      </c>
    </row>
    <row r="37" spans="1:36" x14ac:dyDescent="0.35">
      <c r="A37" t="s">
        <v>113</v>
      </c>
      <c r="B37">
        <v>41</v>
      </c>
      <c r="C37" t="s">
        <v>7</v>
      </c>
      <c r="D37" t="s">
        <v>8</v>
      </c>
      <c r="E37" t="s">
        <v>46</v>
      </c>
      <c r="G37" t="s">
        <v>47</v>
      </c>
      <c r="I37" t="s">
        <v>61</v>
      </c>
      <c r="K37" t="s">
        <v>190</v>
      </c>
      <c r="M37" t="s">
        <v>273</v>
      </c>
      <c r="O37">
        <v>0.54</v>
      </c>
      <c r="P37" t="s">
        <v>90</v>
      </c>
      <c r="Q37">
        <v>94.9</v>
      </c>
      <c r="R37">
        <v>2</v>
      </c>
      <c r="S37" s="8">
        <v>32</v>
      </c>
      <c r="T37" s="14">
        <v>9</v>
      </c>
      <c r="U37" s="55">
        <f t="shared" si="1"/>
        <v>7.4719219184159527E-4</v>
      </c>
      <c r="V37" s="55">
        <f t="shared" si="2"/>
        <v>4.5918367346938773E-4</v>
      </c>
      <c r="X37" s="15">
        <f t="shared" si="6"/>
        <v>7.4719219184159527E-4</v>
      </c>
      <c r="Y37" s="16">
        <f t="shared" ref="Y37:Y68" si="7">Y36+X37</f>
        <v>0.98162374203189606</v>
      </c>
      <c r="AA37">
        <f>IF(P37="*","-",IFERROR(VLOOKUP(P37,'AE-W2'!$P$4:$T$105,4,FALSE),"-"))</f>
        <v>5</v>
      </c>
      <c r="AB37">
        <f>IF(P37="*","-",IFERROR(VLOOKUP(P37,'AE-W3'!$P$4:$T$128,4,FALSE),"-"))</f>
        <v>1124</v>
      </c>
      <c r="AC37" s="25">
        <f>IF(P37="*","-",IFERROR(VLOOKUP(P37,'All MECSM samples'!$P$4:$AD$454,15,FALSE),"-"))</f>
        <v>1132</v>
      </c>
      <c r="AE37">
        <v>100</v>
      </c>
      <c r="AF37">
        <v>8</v>
      </c>
      <c r="AH37">
        <f t="shared" si="4"/>
        <v>1</v>
      </c>
      <c r="AI37">
        <f t="shared" si="5"/>
        <v>1</v>
      </c>
      <c r="AJ37" s="11">
        <f>SUM(AH$5:AH37)/SUM(AI$5:AI37)</f>
        <v>1</v>
      </c>
    </row>
    <row r="38" spans="1:36" x14ac:dyDescent="0.35">
      <c r="A38" t="s">
        <v>181</v>
      </c>
      <c r="B38">
        <v>33</v>
      </c>
      <c r="C38" t="s">
        <v>7</v>
      </c>
      <c r="D38" t="s">
        <v>8</v>
      </c>
      <c r="E38" t="s">
        <v>32</v>
      </c>
      <c r="G38" t="s">
        <v>35</v>
      </c>
      <c r="I38" t="s">
        <v>36</v>
      </c>
      <c r="K38" t="s">
        <v>37</v>
      </c>
      <c r="M38" t="s">
        <v>304</v>
      </c>
      <c r="O38">
        <v>0.88</v>
      </c>
      <c r="P38" t="s">
        <v>305</v>
      </c>
      <c r="Q38">
        <v>98</v>
      </c>
      <c r="R38">
        <v>1</v>
      </c>
      <c r="S38" s="8">
        <v>27</v>
      </c>
      <c r="T38" s="14">
        <v>6</v>
      </c>
      <c r="U38" s="55">
        <f t="shared" si="1"/>
        <v>6.30443411866346E-4</v>
      </c>
      <c r="V38" s="55">
        <f t="shared" si="2"/>
        <v>3.0612244897959182E-4</v>
      </c>
      <c r="X38" s="15">
        <f t="shared" si="6"/>
        <v>6.30443411866346E-4</v>
      </c>
      <c r="Y38" s="16">
        <f t="shared" si="7"/>
        <v>0.98225418544376242</v>
      </c>
      <c r="AA38">
        <f>IF(P38="*","-",IFERROR(VLOOKUP(P38,'AE-W2'!$P$4:$T$105,4,FALSE),"-"))</f>
        <v>4</v>
      </c>
      <c r="AB38">
        <f>IF(P38="*","-",IFERROR(VLOOKUP(P38,'AE-W3'!$P$4:$T$128,4,FALSE),"-"))</f>
        <v>7</v>
      </c>
      <c r="AC38" s="25">
        <f>IF(P38="*","-",IFERROR(VLOOKUP(P38,'All MECSM samples'!$P$4:$AD$454,15,FALSE),"-"))</f>
        <v>2600</v>
      </c>
      <c r="AE38">
        <v>100</v>
      </c>
      <c r="AF38">
        <v>5</v>
      </c>
      <c r="AH38">
        <f t="shared" si="4"/>
        <v>1</v>
      </c>
      <c r="AI38">
        <f t="shared" si="5"/>
        <v>1</v>
      </c>
      <c r="AJ38" s="11">
        <f>SUM(AH$5:AH38)/SUM(AI$5:AI38)</f>
        <v>1</v>
      </c>
    </row>
    <row r="39" spans="1:36" x14ac:dyDescent="0.35">
      <c r="A39" t="s">
        <v>137</v>
      </c>
      <c r="B39">
        <v>33</v>
      </c>
      <c r="C39" t="s">
        <v>7</v>
      </c>
      <c r="D39" t="s">
        <v>8</v>
      </c>
      <c r="E39" t="s">
        <v>9</v>
      </c>
      <c r="G39" t="s">
        <v>10</v>
      </c>
      <c r="I39" t="s">
        <v>107</v>
      </c>
      <c r="K39" t="s">
        <v>308</v>
      </c>
      <c r="M39" t="s">
        <v>309</v>
      </c>
      <c r="O39">
        <v>1</v>
      </c>
      <c r="P39" t="s">
        <v>310</v>
      </c>
      <c r="Q39">
        <v>98.8</v>
      </c>
      <c r="R39">
        <v>2</v>
      </c>
      <c r="S39" s="8">
        <v>25</v>
      </c>
      <c r="T39" s="14">
        <v>8</v>
      </c>
      <c r="U39" s="55">
        <f t="shared" si="1"/>
        <v>5.8374389987624628E-4</v>
      </c>
      <c r="V39" s="55">
        <f t="shared" si="2"/>
        <v>4.0816326530612246E-4</v>
      </c>
      <c r="X39" s="15">
        <f t="shared" si="6"/>
        <v>5.8374389987624628E-4</v>
      </c>
      <c r="Y39" s="16">
        <f t="shared" si="7"/>
        <v>0.98283792934363867</v>
      </c>
      <c r="AA39" t="str">
        <f>IF(P39="*","-",IFERROR(VLOOKUP(P39,'AE-W2'!$P$4:$T$105,4,FALSE),"-"))</f>
        <v>-</v>
      </c>
      <c r="AB39" t="str">
        <f>IF(P39="*","-",IFERROR(VLOOKUP(P39,'AE-W3'!$P$4:$T$128,4,FALSE),"-"))</f>
        <v>-</v>
      </c>
      <c r="AC39" s="25" t="str">
        <f>IF(P39="*","-",IFERROR(VLOOKUP(P39,'All MECSM samples'!$P$4:$AD$454,15,FALSE),"-"))</f>
        <v>-</v>
      </c>
      <c r="AE39">
        <v>100</v>
      </c>
      <c r="AF39">
        <v>6</v>
      </c>
      <c r="AH39">
        <f t="shared" si="4"/>
        <v>1</v>
      </c>
      <c r="AI39">
        <f t="shared" si="5"/>
        <v>1</v>
      </c>
      <c r="AJ39" s="11">
        <f>SUM(AH$5:AH39)/SUM(AI$5:AI39)</f>
        <v>1</v>
      </c>
    </row>
    <row r="40" spans="1:36" x14ac:dyDescent="0.35">
      <c r="A40" t="s">
        <v>130</v>
      </c>
      <c r="B40">
        <v>31</v>
      </c>
      <c r="C40" t="s">
        <v>7</v>
      </c>
      <c r="D40" t="s">
        <v>8</v>
      </c>
      <c r="E40" t="s">
        <v>9</v>
      </c>
      <c r="G40" t="s">
        <v>138</v>
      </c>
      <c r="I40" t="s">
        <v>345</v>
      </c>
      <c r="O40">
        <v>0.63</v>
      </c>
      <c r="P40" t="s">
        <v>625</v>
      </c>
      <c r="Q40">
        <v>92.1</v>
      </c>
      <c r="R40">
        <v>3</v>
      </c>
      <c r="S40" s="8">
        <v>20</v>
      </c>
      <c r="T40" s="14">
        <v>11</v>
      </c>
      <c r="U40" s="55">
        <f t="shared" si="1"/>
        <v>4.6699511990099706E-4</v>
      </c>
      <c r="V40" s="55">
        <f t="shared" si="2"/>
        <v>5.6122448979591837E-4</v>
      </c>
      <c r="X40" s="15">
        <f t="shared" si="6"/>
        <v>4.6699511990099706E-4</v>
      </c>
      <c r="Y40" s="16">
        <f t="shared" si="7"/>
        <v>0.98330492446353968</v>
      </c>
      <c r="AA40" t="str">
        <f>IF(P40="*","-",IFERROR(VLOOKUP(P40,'AE-W2'!$P$4:$T$105,4,FALSE),"-"))</f>
        <v>-</v>
      </c>
      <c r="AB40" t="str">
        <f>IF(P40="*","-",IFERROR(VLOOKUP(P40,'AE-W3'!$P$4:$T$128,4,FALSE),"-"))</f>
        <v>-</v>
      </c>
      <c r="AC40" s="25">
        <f>IF(P40="*","-",IFERROR(VLOOKUP(P40,'All MECSM samples'!$P$4:$AD$454,15,FALSE),"-"))</f>
        <v>137</v>
      </c>
      <c r="AE40">
        <v>100</v>
      </c>
      <c r="AF40">
        <v>8</v>
      </c>
      <c r="AH40">
        <f t="shared" si="4"/>
        <v>1</v>
      </c>
      <c r="AI40">
        <f t="shared" si="5"/>
        <v>1</v>
      </c>
      <c r="AJ40" s="11">
        <f>SUM(AH$5:AH40)/SUM(AI$5:AI40)</f>
        <v>1</v>
      </c>
    </row>
    <row r="41" spans="1:36" x14ac:dyDescent="0.35">
      <c r="A41" t="s">
        <v>164</v>
      </c>
      <c r="B41">
        <v>30</v>
      </c>
      <c r="C41" t="s">
        <v>7</v>
      </c>
      <c r="D41" t="s">
        <v>8</v>
      </c>
      <c r="E41" t="s">
        <v>32</v>
      </c>
      <c r="O41">
        <v>0.99</v>
      </c>
      <c r="P41" t="s">
        <v>326</v>
      </c>
      <c r="Q41">
        <v>88.9</v>
      </c>
      <c r="R41">
        <v>2</v>
      </c>
      <c r="S41" s="8">
        <v>30</v>
      </c>
      <c r="T41" s="14">
        <v>0</v>
      </c>
      <c r="U41" s="55">
        <f t="shared" si="1"/>
        <v>7.0049267985149556E-4</v>
      </c>
      <c r="V41" s="55">
        <f t="shared" si="2"/>
        <v>0</v>
      </c>
      <c r="X41" s="15">
        <f t="shared" si="6"/>
        <v>7.0049267985149556E-4</v>
      </c>
      <c r="Y41" s="16">
        <f t="shared" si="7"/>
        <v>0.98400541714339118</v>
      </c>
      <c r="AA41" t="str">
        <f>IF(P41="*","-",IFERROR(VLOOKUP(P41,'AE-W2'!$P$4:$T$105,4,FALSE),"-"))</f>
        <v>-</v>
      </c>
      <c r="AB41" t="str">
        <f>IF(P41="*","-",IFERROR(VLOOKUP(P41,'AE-W3'!$P$4:$T$128,4,FALSE),"-"))</f>
        <v>-</v>
      </c>
      <c r="AC41" s="25">
        <f>IF(P41="*","-",IFERROR(VLOOKUP(P41,'All MECSM samples'!$P$4:$AD$454,15,FALSE),"-"))</f>
        <v>31</v>
      </c>
      <c r="AE41">
        <v>97</v>
      </c>
      <c r="AF41">
        <v>3</v>
      </c>
      <c r="AH41">
        <f t="shared" si="4"/>
        <v>0</v>
      </c>
      <c r="AI41">
        <f t="shared" si="5"/>
        <v>1</v>
      </c>
      <c r="AJ41" s="11">
        <f>SUM(AH$5:AH41)/SUM(AI$5:AI41)</f>
        <v>0.97142857142857142</v>
      </c>
    </row>
    <row r="42" spans="1:36" x14ac:dyDescent="0.35">
      <c r="A42" t="s">
        <v>193</v>
      </c>
      <c r="B42">
        <v>29</v>
      </c>
      <c r="C42" t="s">
        <v>7</v>
      </c>
      <c r="D42" t="s">
        <v>8</v>
      </c>
      <c r="E42" t="s">
        <v>32</v>
      </c>
      <c r="G42" t="s">
        <v>35</v>
      </c>
      <c r="I42" t="s">
        <v>36</v>
      </c>
      <c r="K42" t="s">
        <v>37</v>
      </c>
      <c r="M42" t="s">
        <v>231</v>
      </c>
      <c r="O42">
        <v>0.95</v>
      </c>
      <c r="P42" t="s">
        <v>312</v>
      </c>
      <c r="Q42">
        <v>97.2</v>
      </c>
      <c r="R42">
        <v>1</v>
      </c>
      <c r="S42" s="8">
        <v>29</v>
      </c>
      <c r="T42" s="14">
        <v>0</v>
      </c>
      <c r="U42" s="55">
        <f t="shared" si="1"/>
        <v>6.7714292385644571E-4</v>
      </c>
      <c r="V42" s="55">
        <f t="shared" si="2"/>
        <v>0</v>
      </c>
      <c r="X42" s="15">
        <f t="shared" si="6"/>
        <v>6.7714292385644571E-4</v>
      </c>
      <c r="Y42" s="16">
        <f t="shared" si="7"/>
        <v>0.98468256006724764</v>
      </c>
      <c r="AA42" t="str">
        <f>IF(P42="*","-",IFERROR(VLOOKUP(P42,'AE-W2'!$P$4:$T$105,4,FALSE),"-"))</f>
        <v>-</v>
      </c>
      <c r="AB42">
        <f>IF(P42="*","-",IFERROR(VLOOKUP(P42,'AE-W3'!$P$4:$T$128,4,FALSE),"-"))</f>
        <v>4</v>
      </c>
      <c r="AC42" s="25">
        <f>IF(P42="*","-",IFERROR(VLOOKUP(P42,'All MECSM samples'!$P$4:$AD$454,15,FALSE),"-"))</f>
        <v>1018</v>
      </c>
      <c r="AE42">
        <v>75</v>
      </c>
      <c r="AF42">
        <v>3</v>
      </c>
      <c r="AH42">
        <f t="shared" si="4"/>
        <v>0</v>
      </c>
      <c r="AI42">
        <f t="shared" si="5"/>
        <v>0</v>
      </c>
      <c r="AJ42" s="11">
        <f>SUM(AH$5:AH42)/SUM(AI$5:AI42)</f>
        <v>0.97142857142857142</v>
      </c>
    </row>
    <row r="43" spans="1:36" x14ac:dyDescent="0.35">
      <c r="A43" t="s">
        <v>128</v>
      </c>
      <c r="B43">
        <v>29</v>
      </c>
      <c r="C43" t="s">
        <v>7</v>
      </c>
      <c r="D43" t="s">
        <v>8</v>
      </c>
      <c r="E43" t="s">
        <v>9</v>
      </c>
      <c r="G43" t="s">
        <v>10</v>
      </c>
      <c r="I43" t="s">
        <v>107</v>
      </c>
      <c r="K43" t="s">
        <v>108</v>
      </c>
      <c r="M43" t="s">
        <v>109</v>
      </c>
      <c r="O43">
        <v>1</v>
      </c>
      <c r="P43" t="s">
        <v>110</v>
      </c>
      <c r="Q43">
        <v>99.6</v>
      </c>
      <c r="R43">
        <v>1</v>
      </c>
      <c r="S43" s="8">
        <v>19</v>
      </c>
      <c r="T43" s="14">
        <v>10</v>
      </c>
      <c r="U43" s="55">
        <f t="shared" si="1"/>
        <v>4.436453639059472E-4</v>
      </c>
      <c r="V43" s="55">
        <f t="shared" si="2"/>
        <v>5.1020408163265311E-4</v>
      </c>
      <c r="X43" s="15">
        <f t="shared" si="6"/>
        <v>4.436453639059472E-4</v>
      </c>
      <c r="Y43" s="16">
        <f t="shared" si="7"/>
        <v>0.98512620543115359</v>
      </c>
      <c r="AA43" t="str">
        <f>IF(P43="*","-",IFERROR(VLOOKUP(P43,'AE-W2'!$P$4:$T$105,4,FALSE),"-"))</f>
        <v>-</v>
      </c>
      <c r="AB43">
        <f>IF(P43="*","-",IFERROR(VLOOKUP(P43,'AE-W3'!$P$4:$T$128,4,FALSE),"-"))</f>
        <v>860</v>
      </c>
      <c r="AC43" s="25">
        <f>IF(P43="*","-",IFERROR(VLOOKUP(P43,'All MECSM samples'!$P$4:$AD$454,15,FALSE),"-"))</f>
        <v>866</v>
      </c>
      <c r="AE43">
        <v>100</v>
      </c>
      <c r="AF43">
        <v>4</v>
      </c>
      <c r="AH43">
        <f t="shared" si="4"/>
        <v>1</v>
      </c>
      <c r="AI43">
        <f t="shared" si="5"/>
        <v>1</v>
      </c>
      <c r="AJ43" s="11">
        <f>SUM(AH$5:AH43)/SUM(AI$5:AI43)</f>
        <v>0.97222222222222221</v>
      </c>
    </row>
    <row r="44" spans="1:36" x14ac:dyDescent="0.35">
      <c r="A44" t="s">
        <v>349</v>
      </c>
      <c r="B44">
        <v>28</v>
      </c>
      <c r="C44" t="s">
        <v>7</v>
      </c>
      <c r="D44" t="s">
        <v>8</v>
      </c>
      <c r="E44" t="s">
        <v>9</v>
      </c>
      <c r="G44" t="s">
        <v>10</v>
      </c>
      <c r="K44" t="s">
        <v>227</v>
      </c>
      <c r="M44" t="s">
        <v>228</v>
      </c>
      <c r="O44">
        <v>1</v>
      </c>
      <c r="P44" t="s">
        <v>229</v>
      </c>
      <c r="Q44">
        <v>97.2</v>
      </c>
      <c r="R44">
        <v>1</v>
      </c>
      <c r="S44" s="8">
        <v>25</v>
      </c>
      <c r="T44" s="14">
        <v>3</v>
      </c>
      <c r="U44" s="55">
        <f t="shared" si="1"/>
        <v>5.8374389987624628E-4</v>
      </c>
      <c r="V44" s="55">
        <f t="shared" si="2"/>
        <v>1.5306122448979591E-4</v>
      </c>
      <c r="X44" s="15">
        <f t="shared" si="6"/>
        <v>5.8374389987624628E-4</v>
      </c>
      <c r="Y44" s="16">
        <f t="shared" si="7"/>
        <v>0.98570994933102984</v>
      </c>
      <c r="AA44">
        <f>IF(P44="*","-",IFERROR(VLOOKUP(P44,'AE-W2'!$P$4:$T$105,4,FALSE),"-"))</f>
        <v>52</v>
      </c>
      <c r="AB44">
        <f>IF(P44="*","-",IFERROR(VLOOKUP(P44,'AE-W3'!$P$4:$T$128,4,FALSE),"-"))</f>
        <v>82</v>
      </c>
      <c r="AC44" s="25">
        <f>IF(P44="*","-",IFERROR(VLOOKUP(P44,'All MECSM samples'!$P$4:$AD$454,15,FALSE),"-"))</f>
        <v>1516</v>
      </c>
      <c r="AE44">
        <v>100</v>
      </c>
      <c r="AF44">
        <v>6</v>
      </c>
      <c r="AH44">
        <f t="shared" si="4"/>
        <v>1</v>
      </c>
      <c r="AI44">
        <f t="shared" si="5"/>
        <v>1</v>
      </c>
      <c r="AJ44" s="11">
        <f>SUM(AH$5:AH44)/SUM(AI$5:AI44)</f>
        <v>0.97297297297297303</v>
      </c>
    </row>
    <row r="45" spans="1:36" x14ac:dyDescent="0.35">
      <c r="A45" t="s">
        <v>156</v>
      </c>
      <c r="B45">
        <v>25</v>
      </c>
      <c r="C45" t="s">
        <v>7</v>
      </c>
      <c r="D45" t="s">
        <v>8</v>
      </c>
      <c r="E45" t="s">
        <v>46</v>
      </c>
      <c r="G45" t="s">
        <v>47</v>
      </c>
      <c r="I45" t="s">
        <v>61</v>
      </c>
      <c r="K45" t="s">
        <v>190</v>
      </c>
      <c r="M45" t="s">
        <v>273</v>
      </c>
      <c r="O45">
        <v>0.59</v>
      </c>
      <c r="P45" t="s">
        <v>274</v>
      </c>
      <c r="Q45">
        <v>96.4</v>
      </c>
      <c r="R45">
        <v>2</v>
      </c>
      <c r="S45" s="8">
        <v>11</v>
      </c>
      <c r="T45" s="14">
        <v>14</v>
      </c>
      <c r="U45" s="55">
        <f t="shared" si="1"/>
        <v>2.5684731594554836E-4</v>
      </c>
      <c r="V45" s="55">
        <f t="shared" si="2"/>
        <v>7.1428571428571429E-4</v>
      </c>
      <c r="X45" s="15">
        <f t="shared" si="6"/>
        <v>2.5684731594554836E-4</v>
      </c>
      <c r="Y45" s="16">
        <f t="shared" si="7"/>
        <v>0.9859667966469754</v>
      </c>
      <c r="AA45" t="str">
        <f>IF(P45="*","-",IFERROR(VLOOKUP(P45,'AE-W2'!$P$4:$T$105,4,FALSE),"-"))</f>
        <v>-</v>
      </c>
      <c r="AB45" t="str">
        <f>IF(P45="*","-",IFERROR(VLOOKUP(P45,'AE-W3'!$P$4:$T$128,4,FALSE),"-"))</f>
        <v>-</v>
      </c>
      <c r="AC45" s="25">
        <f>IF(P45="*","-",IFERROR(VLOOKUP(P45,'All MECSM samples'!$P$4:$AD$454,15,FALSE),"-"))</f>
        <v>13</v>
      </c>
      <c r="AE45">
        <v>100</v>
      </c>
      <c r="AF45">
        <v>20</v>
      </c>
      <c r="AH45">
        <f t="shared" si="4"/>
        <v>1</v>
      </c>
      <c r="AI45">
        <f t="shared" si="5"/>
        <v>1</v>
      </c>
      <c r="AJ45" s="11">
        <f>SUM(AH$5:AH45)/SUM(AI$5:AI45)</f>
        <v>0.97368421052631582</v>
      </c>
    </row>
    <row r="46" spans="1:36" x14ac:dyDescent="0.35">
      <c r="A46" t="s">
        <v>159</v>
      </c>
      <c r="B46">
        <v>25</v>
      </c>
      <c r="C46" t="s">
        <v>7</v>
      </c>
      <c r="D46" t="s">
        <v>8</v>
      </c>
      <c r="E46" t="s">
        <v>46</v>
      </c>
      <c r="G46" t="s">
        <v>47</v>
      </c>
      <c r="I46" t="s">
        <v>61</v>
      </c>
      <c r="O46">
        <v>0.97</v>
      </c>
      <c r="P46" t="s">
        <v>339</v>
      </c>
      <c r="Q46">
        <v>93.7</v>
      </c>
      <c r="R46">
        <v>2</v>
      </c>
      <c r="S46" s="8">
        <v>25</v>
      </c>
      <c r="T46" s="14">
        <v>0</v>
      </c>
      <c r="U46" s="55">
        <f t="shared" si="1"/>
        <v>5.8374389987624628E-4</v>
      </c>
      <c r="V46" s="55">
        <f t="shared" si="2"/>
        <v>0</v>
      </c>
      <c r="X46" s="15">
        <f t="shared" si="6"/>
        <v>5.8374389987624628E-4</v>
      </c>
      <c r="Y46" s="16">
        <f t="shared" si="7"/>
        <v>0.98655054054685165</v>
      </c>
      <c r="AA46" t="str">
        <f>IF(P46="*","-",IFERROR(VLOOKUP(P46,'AE-W2'!$P$4:$T$105,4,FALSE),"-"))</f>
        <v>-</v>
      </c>
      <c r="AB46" t="str">
        <f>IF(P46="*","-",IFERROR(VLOOKUP(P46,'AE-W3'!$P$4:$T$128,4,FALSE),"-"))</f>
        <v>-</v>
      </c>
      <c r="AC46" s="25">
        <f>IF(P46="*","-",IFERROR(VLOOKUP(P46,'All MECSM samples'!$P$4:$AD$454,15,FALSE),"-"))</f>
        <v>25</v>
      </c>
      <c r="AE46">
        <v>100</v>
      </c>
      <c r="AF46">
        <v>17</v>
      </c>
      <c r="AH46">
        <f t="shared" si="4"/>
        <v>0</v>
      </c>
      <c r="AI46">
        <f t="shared" si="5"/>
        <v>1</v>
      </c>
      <c r="AJ46" s="11">
        <f>SUM(AH$5:AH46)/SUM(AI$5:AI46)</f>
        <v>0.94871794871794868</v>
      </c>
    </row>
    <row r="47" spans="1:36" x14ac:dyDescent="0.35">
      <c r="A47" t="s">
        <v>142</v>
      </c>
      <c r="B47">
        <v>24</v>
      </c>
      <c r="C47" t="s">
        <v>7</v>
      </c>
      <c r="D47" t="s">
        <v>8</v>
      </c>
      <c r="O47">
        <v>0.99</v>
      </c>
      <c r="P47" t="s">
        <v>16</v>
      </c>
      <c r="Q47">
        <v>87</v>
      </c>
      <c r="R47">
        <v>1</v>
      </c>
      <c r="S47" s="8">
        <v>24</v>
      </c>
      <c r="T47" s="14">
        <v>0</v>
      </c>
      <c r="U47" s="55">
        <f t="shared" si="1"/>
        <v>5.6039414388119643E-4</v>
      </c>
      <c r="V47" s="55">
        <f t="shared" si="2"/>
        <v>0</v>
      </c>
      <c r="X47" s="15">
        <f t="shared" si="6"/>
        <v>5.6039414388119643E-4</v>
      </c>
      <c r="Y47" s="16">
        <f t="shared" si="7"/>
        <v>0.98711093469073286</v>
      </c>
      <c r="AA47">
        <f>IF(P47="*","-",IFERROR(VLOOKUP(P47,'AE-W2'!$P$4:$T$105,4,FALSE),"-"))</f>
        <v>17120</v>
      </c>
      <c r="AB47">
        <f>IF(P47="*","-",IFERROR(VLOOKUP(P47,'AE-W3'!$P$4:$T$128,4,FALSE),"-"))</f>
        <v>10</v>
      </c>
      <c r="AC47" s="25">
        <f>IF(P47="*","-",IFERROR(VLOOKUP(P47,'All MECSM samples'!$P$4:$AD$454,15,FALSE),"-"))</f>
        <v>17201</v>
      </c>
      <c r="AE47">
        <v>84</v>
      </c>
      <c r="AF47">
        <v>2</v>
      </c>
      <c r="AH47">
        <f t="shared" si="4"/>
        <v>0</v>
      </c>
      <c r="AI47">
        <f t="shared" si="5"/>
        <v>0</v>
      </c>
      <c r="AJ47" s="11">
        <f>SUM(AH$5:AH47)/SUM(AI$5:AI47)</f>
        <v>0.94871794871794868</v>
      </c>
    </row>
    <row r="48" spans="1:36" x14ac:dyDescent="0.35">
      <c r="A48" t="s">
        <v>119</v>
      </c>
      <c r="B48">
        <v>23</v>
      </c>
      <c r="C48" t="s">
        <v>7</v>
      </c>
      <c r="D48" t="s">
        <v>24</v>
      </c>
      <c r="E48" t="s">
        <v>25</v>
      </c>
      <c r="G48" t="s">
        <v>26</v>
      </c>
      <c r="I48" t="s">
        <v>27</v>
      </c>
      <c r="O48">
        <v>0.53</v>
      </c>
      <c r="P48" t="s">
        <v>337</v>
      </c>
      <c r="Q48">
        <v>85.8</v>
      </c>
      <c r="R48">
        <v>1</v>
      </c>
      <c r="S48" s="8">
        <v>23</v>
      </c>
      <c r="T48" s="14">
        <v>0</v>
      </c>
      <c r="U48" s="55">
        <f t="shared" si="1"/>
        <v>5.3704438788614657E-4</v>
      </c>
      <c r="V48" s="55">
        <f t="shared" si="2"/>
        <v>0</v>
      </c>
      <c r="X48" s="15">
        <f t="shared" si="6"/>
        <v>5.3704438788614657E-4</v>
      </c>
      <c r="Y48" s="16">
        <f t="shared" si="7"/>
        <v>0.98764797907861901</v>
      </c>
      <c r="AA48" t="str">
        <f>IF(P48="*","-",IFERROR(VLOOKUP(P48,'AE-W2'!$P$4:$T$105,4,FALSE),"-"))</f>
        <v>-</v>
      </c>
      <c r="AB48" t="str">
        <f>IF(P48="*","-",IFERROR(VLOOKUP(P48,'AE-W3'!$P$4:$T$128,4,FALSE),"-"))</f>
        <v>-</v>
      </c>
      <c r="AC48" s="25">
        <f>IF(P48="*","-",IFERROR(VLOOKUP(P48,'All MECSM samples'!$P$4:$AD$454,15,FALSE),"-"))</f>
        <v>24</v>
      </c>
      <c r="AE48">
        <v>100</v>
      </c>
      <c r="AF48">
        <v>6</v>
      </c>
      <c r="AH48">
        <f t="shared" si="4"/>
        <v>0</v>
      </c>
      <c r="AI48">
        <f t="shared" si="5"/>
        <v>1</v>
      </c>
      <c r="AJ48" s="11">
        <f>SUM(AH$5:AH48)/SUM(AI$5:AI48)</f>
        <v>0.92500000000000004</v>
      </c>
    </row>
    <row r="49" spans="1:36" x14ac:dyDescent="0.35">
      <c r="A49" t="s">
        <v>272</v>
      </c>
      <c r="B49">
        <v>20</v>
      </c>
      <c r="C49" t="s">
        <v>7</v>
      </c>
      <c r="D49" t="s">
        <v>8</v>
      </c>
      <c r="E49" t="s">
        <v>18</v>
      </c>
      <c r="G49" t="s">
        <v>19</v>
      </c>
      <c r="I49" t="s">
        <v>20</v>
      </c>
      <c r="K49" t="s">
        <v>21</v>
      </c>
      <c r="M49" t="s">
        <v>357</v>
      </c>
      <c r="O49">
        <v>1</v>
      </c>
      <c r="P49" t="s">
        <v>358</v>
      </c>
      <c r="Q49">
        <v>98.8</v>
      </c>
      <c r="R49">
        <v>1</v>
      </c>
      <c r="S49" s="8">
        <v>0</v>
      </c>
      <c r="T49" s="14">
        <v>20</v>
      </c>
      <c r="U49" s="55">
        <f t="shared" si="1"/>
        <v>0</v>
      </c>
      <c r="V49" s="55">
        <f t="shared" si="2"/>
        <v>1.0204081632653062E-3</v>
      </c>
      <c r="X49" s="15">
        <f t="shared" si="6"/>
        <v>0</v>
      </c>
      <c r="Y49" s="16">
        <f t="shared" si="7"/>
        <v>0.98764797907861901</v>
      </c>
      <c r="AA49" t="str">
        <f>IF(P49="*","-",IFERROR(VLOOKUP(P49,'AE-W2'!$P$4:$T$105,4,FALSE),"-"))</f>
        <v>-</v>
      </c>
      <c r="AB49" t="str">
        <f>IF(P49="*","-",IFERROR(VLOOKUP(P49,'AE-W3'!$P$4:$T$128,4,FALSE),"-"))</f>
        <v>-</v>
      </c>
      <c r="AC49" s="25" t="str">
        <f>IF(P49="*","-",IFERROR(VLOOKUP(P49,'All MECSM samples'!$P$4:$AD$454,15,FALSE),"-"))</f>
        <v>-</v>
      </c>
      <c r="AE49">
        <v>100</v>
      </c>
      <c r="AF49">
        <v>13</v>
      </c>
      <c r="AH49">
        <f t="shared" si="4"/>
        <v>0</v>
      </c>
      <c r="AI49">
        <f t="shared" si="5"/>
        <v>0</v>
      </c>
      <c r="AJ49" s="11">
        <f>SUM(AH$5:AH49)/SUM(AI$5:AI49)</f>
        <v>0.92500000000000004</v>
      </c>
    </row>
    <row r="50" spans="1:36" x14ac:dyDescent="0.35">
      <c r="A50" t="s">
        <v>171</v>
      </c>
      <c r="B50">
        <v>18</v>
      </c>
      <c r="C50" t="s">
        <v>7</v>
      </c>
      <c r="D50" t="s">
        <v>8</v>
      </c>
      <c r="E50" t="s">
        <v>46</v>
      </c>
      <c r="G50" t="s">
        <v>47</v>
      </c>
      <c r="I50" t="s">
        <v>61</v>
      </c>
      <c r="O50">
        <v>0.84</v>
      </c>
      <c r="P50" t="s">
        <v>321</v>
      </c>
      <c r="Q50">
        <v>90.5</v>
      </c>
      <c r="R50">
        <v>1</v>
      </c>
      <c r="S50" s="8">
        <v>18</v>
      </c>
      <c r="T50" s="14">
        <v>0</v>
      </c>
      <c r="U50" s="55">
        <f t="shared" si="1"/>
        <v>4.2029560791089735E-4</v>
      </c>
      <c r="V50" s="55">
        <f t="shared" si="2"/>
        <v>0</v>
      </c>
      <c r="X50" s="15">
        <f t="shared" si="6"/>
        <v>4.2029560791089735E-4</v>
      </c>
      <c r="Y50" s="16">
        <f t="shared" si="7"/>
        <v>0.98806827468652991</v>
      </c>
      <c r="AA50" t="str">
        <f>IF(P50="*","-",IFERROR(VLOOKUP(P50,'AE-W2'!$P$4:$T$105,4,FALSE),"-"))</f>
        <v>-</v>
      </c>
      <c r="AB50">
        <f>IF(P50="*","-",IFERROR(VLOOKUP(P50,'AE-W3'!$P$4:$T$128,4,FALSE),"-"))</f>
        <v>14</v>
      </c>
      <c r="AC50" s="25">
        <f>IF(P50="*","-",IFERROR(VLOOKUP(P50,'All MECSM samples'!$P$4:$AD$454,15,FALSE),"-"))</f>
        <v>276</v>
      </c>
      <c r="AE50">
        <v>100</v>
      </c>
      <c r="AF50">
        <v>12</v>
      </c>
      <c r="AH50">
        <f t="shared" si="4"/>
        <v>0</v>
      </c>
      <c r="AI50">
        <f t="shared" si="5"/>
        <v>1</v>
      </c>
      <c r="AJ50" s="11">
        <f>SUM(AH$5:AH50)/SUM(AI$5:AI50)</f>
        <v>0.90243902439024393</v>
      </c>
    </row>
    <row r="51" spans="1:36" x14ac:dyDescent="0.35">
      <c r="A51" t="s">
        <v>223</v>
      </c>
      <c r="B51">
        <v>18</v>
      </c>
      <c r="C51" t="s">
        <v>7</v>
      </c>
      <c r="D51" t="s">
        <v>8</v>
      </c>
      <c r="E51" t="s">
        <v>9</v>
      </c>
      <c r="G51" t="s">
        <v>172</v>
      </c>
      <c r="I51" t="s">
        <v>173</v>
      </c>
      <c r="K51" t="s">
        <v>174</v>
      </c>
      <c r="M51" t="s">
        <v>175</v>
      </c>
      <c r="O51">
        <v>0.88</v>
      </c>
      <c r="P51" t="s">
        <v>332</v>
      </c>
      <c r="Q51">
        <v>98.4</v>
      </c>
      <c r="R51">
        <v>1</v>
      </c>
      <c r="S51" s="8">
        <v>18</v>
      </c>
      <c r="T51" s="14">
        <v>0</v>
      </c>
      <c r="U51" s="55">
        <f t="shared" si="1"/>
        <v>4.2029560791089735E-4</v>
      </c>
      <c r="V51" s="55">
        <f t="shared" si="2"/>
        <v>0</v>
      </c>
      <c r="X51" s="15">
        <f t="shared" si="6"/>
        <v>4.2029560791089735E-4</v>
      </c>
      <c r="Y51" s="16">
        <f t="shared" si="7"/>
        <v>0.98848857029444082</v>
      </c>
      <c r="AA51">
        <f>IF(P51="*","-",IFERROR(VLOOKUP(P51,'AE-W2'!$P$4:$T$105,4,FALSE),"-"))</f>
        <v>4</v>
      </c>
      <c r="AB51" t="str">
        <f>IF(P51="*","-",IFERROR(VLOOKUP(P51,'AE-W3'!$P$4:$T$128,4,FALSE),"-"))</f>
        <v>-</v>
      </c>
      <c r="AC51" s="25">
        <f>IF(P51="*","-",IFERROR(VLOOKUP(P51,'All MECSM samples'!$P$4:$AD$454,15,FALSE),"-"))</f>
        <v>4692</v>
      </c>
      <c r="AE51">
        <v>16</v>
      </c>
      <c r="AF51">
        <v>1</v>
      </c>
      <c r="AH51">
        <f t="shared" si="4"/>
        <v>0</v>
      </c>
      <c r="AI51">
        <f t="shared" si="5"/>
        <v>0</v>
      </c>
      <c r="AJ51" s="11">
        <f>SUM(AH$5:AH51)/SUM(AI$5:AI51)</f>
        <v>0.90243902439024393</v>
      </c>
    </row>
    <row r="52" spans="1:36" x14ac:dyDescent="0.35">
      <c r="A52" t="s">
        <v>148</v>
      </c>
      <c r="B52">
        <v>18</v>
      </c>
      <c r="C52" t="s">
        <v>7</v>
      </c>
      <c r="D52" t="s">
        <v>8</v>
      </c>
      <c r="E52" t="s">
        <v>46</v>
      </c>
      <c r="G52" t="s">
        <v>47</v>
      </c>
      <c r="I52" t="s">
        <v>61</v>
      </c>
      <c r="K52" t="s">
        <v>94</v>
      </c>
      <c r="M52" t="s">
        <v>316</v>
      </c>
      <c r="O52">
        <v>1</v>
      </c>
      <c r="P52" t="s">
        <v>317</v>
      </c>
      <c r="Q52">
        <v>100</v>
      </c>
      <c r="R52">
        <v>1</v>
      </c>
      <c r="S52" s="8">
        <v>18</v>
      </c>
      <c r="T52" s="14">
        <v>0</v>
      </c>
      <c r="U52" s="55">
        <f t="shared" si="1"/>
        <v>4.2029560791089735E-4</v>
      </c>
      <c r="V52" s="55">
        <f t="shared" si="2"/>
        <v>0</v>
      </c>
      <c r="X52" s="15">
        <f t="shared" si="6"/>
        <v>4.2029560791089735E-4</v>
      </c>
      <c r="Y52" s="16">
        <f t="shared" si="7"/>
        <v>0.98890886590235172</v>
      </c>
      <c r="AA52">
        <f>IF(P52="*","-",IFERROR(VLOOKUP(P52,'AE-W2'!$P$4:$T$105,4,FALSE),"-"))</f>
        <v>9</v>
      </c>
      <c r="AB52">
        <f>IF(P52="*","-",IFERROR(VLOOKUP(P52,'AE-W3'!$P$4:$T$128,4,FALSE),"-"))</f>
        <v>6</v>
      </c>
      <c r="AC52" s="25">
        <f>IF(P52="*","-",IFERROR(VLOOKUP(P52,'All MECSM samples'!$P$4:$AD$454,15,FALSE),"-"))</f>
        <v>2300</v>
      </c>
      <c r="AE52">
        <v>29</v>
      </c>
      <c r="AF52">
        <v>52</v>
      </c>
      <c r="AH52">
        <f t="shared" si="4"/>
        <v>0</v>
      </c>
      <c r="AI52">
        <f t="shared" si="5"/>
        <v>0</v>
      </c>
      <c r="AJ52" s="11">
        <f>SUM(AH$5:AH52)/SUM(AI$5:AI52)</f>
        <v>0.90243902439024393</v>
      </c>
    </row>
    <row r="53" spans="1:36" x14ac:dyDescent="0.35">
      <c r="A53" t="s">
        <v>197</v>
      </c>
      <c r="B53">
        <v>17</v>
      </c>
      <c r="C53" t="s">
        <v>7</v>
      </c>
      <c r="D53" t="s">
        <v>8</v>
      </c>
      <c r="E53" t="s">
        <v>46</v>
      </c>
      <c r="G53" t="s">
        <v>47</v>
      </c>
      <c r="I53" t="s">
        <v>61</v>
      </c>
      <c r="O53">
        <v>0.8</v>
      </c>
      <c r="P53" t="s">
        <v>136</v>
      </c>
      <c r="Q53">
        <v>91.3</v>
      </c>
      <c r="R53">
        <v>2</v>
      </c>
      <c r="S53" s="8">
        <v>17</v>
      </c>
      <c r="T53" s="14">
        <v>0</v>
      </c>
      <c r="U53" s="55">
        <f t="shared" si="1"/>
        <v>3.9694585191584749E-4</v>
      </c>
      <c r="V53" s="55">
        <f t="shared" si="2"/>
        <v>0</v>
      </c>
      <c r="X53" s="15">
        <f t="shared" si="6"/>
        <v>3.9694585191584749E-4</v>
      </c>
      <c r="Y53" s="16">
        <f t="shared" si="7"/>
        <v>0.98930581175426757</v>
      </c>
      <c r="AA53" t="str">
        <f>IF(P53="*","-",IFERROR(VLOOKUP(P53,'AE-W2'!$P$4:$T$105,4,FALSE),"-"))</f>
        <v>-</v>
      </c>
      <c r="AB53">
        <f>IF(P53="*","-",IFERROR(VLOOKUP(P53,'AE-W3'!$P$4:$T$128,4,FALSE),"-"))</f>
        <v>477</v>
      </c>
      <c r="AC53" s="25">
        <f>IF(P53="*","-",IFERROR(VLOOKUP(P53,'All MECSM samples'!$P$4:$AD$454,15,FALSE),"-"))</f>
        <v>780</v>
      </c>
      <c r="AE53">
        <v>97</v>
      </c>
      <c r="AF53">
        <v>15</v>
      </c>
      <c r="AH53">
        <f t="shared" si="4"/>
        <v>0</v>
      </c>
      <c r="AI53">
        <f t="shared" si="5"/>
        <v>1</v>
      </c>
      <c r="AJ53" s="11">
        <f>SUM(AH$5:AH53)/SUM(AI$5:AI53)</f>
        <v>0.88095238095238093</v>
      </c>
    </row>
    <row r="54" spans="1:36" x14ac:dyDescent="0.35">
      <c r="A54" t="s">
        <v>230</v>
      </c>
      <c r="B54">
        <v>17</v>
      </c>
      <c r="C54" t="s">
        <v>7</v>
      </c>
      <c r="D54" t="s">
        <v>8</v>
      </c>
      <c r="O54">
        <v>1</v>
      </c>
      <c r="P54" t="s">
        <v>263</v>
      </c>
      <c r="Q54">
        <v>89.7</v>
      </c>
      <c r="R54">
        <v>1</v>
      </c>
      <c r="S54" s="8">
        <v>17</v>
      </c>
      <c r="T54" s="14">
        <v>0</v>
      </c>
      <c r="U54" s="55">
        <f t="shared" si="1"/>
        <v>3.9694585191584749E-4</v>
      </c>
      <c r="V54" s="55">
        <f t="shared" si="2"/>
        <v>0</v>
      </c>
      <c r="X54" s="15">
        <f t="shared" si="6"/>
        <v>3.9694585191584749E-4</v>
      </c>
      <c r="Y54" s="52">
        <f t="shared" si="7"/>
        <v>0.98970275760618343</v>
      </c>
      <c r="AA54">
        <f>IF(P54="*","-",IFERROR(VLOOKUP(P54,'AE-W2'!$P$4:$T$105,4,FALSE),"-"))</f>
        <v>14</v>
      </c>
      <c r="AB54">
        <f>IF(P54="*","-",IFERROR(VLOOKUP(P54,'AE-W3'!$P$4:$T$128,4,FALSE),"-"))</f>
        <v>14</v>
      </c>
      <c r="AC54" s="25">
        <f>IF(P54="*","-",IFERROR(VLOOKUP(P54,'All MECSM samples'!$P$4:$AD$454,15,FALSE),"-"))</f>
        <v>9732</v>
      </c>
      <c r="AE54">
        <v>100</v>
      </c>
      <c r="AF54">
        <v>5</v>
      </c>
      <c r="AH54">
        <f t="shared" si="4"/>
        <v>0</v>
      </c>
      <c r="AI54">
        <f t="shared" si="5"/>
        <v>1</v>
      </c>
      <c r="AJ54" s="11">
        <f>SUM(AH$5:AH54)/SUM(AI$5:AI54)</f>
        <v>0.86046511627906974</v>
      </c>
    </row>
    <row r="55" spans="1:36" x14ac:dyDescent="0.35">
      <c r="A55" t="s">
        <v>255</v>
      </c>
      <c r="B55">
        <v>16</v>
      </c>
      <c r="C55" t="s">
        <v>7</v>
      </c>
      <c r="D55" t="s">
        <v>8</v>
      </c>
      <c r="E55" t="s">
        <v>32</v>
      </c>
      <c r="G55" t="s">
        <v>35</v>
      </c>
      <c r="I55" t="s">
        <v>36</v>
      </c>
      <c r="K55" t="s">
        <v>143</v>
      </c>
      <c r="O55">
        <v>0.67</v>
      </c>
      <c r="P55" t="s">
        <v>373</v>
      </c>
      <c r="Q55">
        <v>91.3</v>
      </c>
      <c r="R55">
        <v>1</v>
      </c>
      <c r="S55" s="8">
        <v>16</v>
      </c>
      <c r="T55" s="14">
        <v>0</v>
      </c>
      <c r="U55" s="55">
        <f t="shared" si="1"/>
        <v>3.7359609592079764E-4</v>
      </c>
      <c r="V55" s="55">
        <f t="shared" si="2"/>
        <v>0</v>
      </c>
      <c r="X55" s="15">
        <f t="shared" si="6"/>
        <v>3.7359609592079764E-4</v>
      </c>
      <c r="Y55" s="16">
        <f t="shared" si="7"/>
        <v>0.99007635370210423</v>
      </c>
      <c r="AA55" t="str">
        <f>IF(P55="*","-",IFERROR(VLOOKUP(P55,'AE-W2'!$P$4:$T$105,4,FALSE),"-"))</f>
        <v>-</v>
      </c>
      <c r="AB55" t="str">
        <f>IF(P55="*","-",IFERROR(VLOOKUP(P55,'AE-W3'!$P$4:$T$128,4,FALSE),"-"))</f>
        <v>-</v>
      </c>
      <c r="AC55" s="25">
        <f>IF(P55="*","-",IFERROR(VLOOKUP(P55,'All MECSM samples'!$P$4:$AD$454,15,FALSE),"-"))</f>
        <v>164</v>
      </c>
      <c r="AE55">
        <v>77</v>
      </c>
      <c r="AF55">
        <v>4</v>
      </c>
      <c r="AH55">
        <f t="shared" si="4"/>
        <v>0</v>
      </c>
      <c r="AI55">
        <f t="shared" si="5"/>
        <v>0</v>
      </c>
      <c r="AJ55" s="11">
        <f>SUM(AH$5:AH55)/SUM(AI$5:AI55)</f>
        <v>0.86046511627906974</v>
      </c>
    </row>
    <row r="56" spans="1:36" x14ac:dyDescent="0.35">
      <c r="A56" t="s">
        <v>203</v>
      </c>
      <c r="B56">
        <v>15</v>
      </c>
      <c r="C56" t="s">
        <v>7</v>
      </c>
      <c r="D56" t="s">
        <v>8</v>
      </c>
      <c r="E56" t="s">
        <v>32</v>
      </c>
      <c r="O56">
        <v>0.98</v>
      </c>
      <c r="P56" t="s">
        <v>341</v>
      </c>
      <c r="Q56">
        <v>86.6</v>
      </c>
      <c r="R56">
        <v>1</v>
      </c>
      <c r="S56" s="8">
        <v>15</v>
      </c>
      <c r="T56" s="14">
        <v>0</v>
      </c>
      <c r="U56" s="55">
        <f t="shared" si="1"/>
        <v>3.5024633992574778E-4</v>
      </c>
      <c r="V56" s="55">
        <f t="shared" si="2"/>
        <v>0</v>
      </c>
      <c r="X56" s="11">
        <f t="shared" si="6"/>
        <v>3.5024633992574778E-4</v>
      </c>
      <c r="Y56" s="12">
        <f t="shared" si="7"/>
        <v>0.99042660004202998</v>
      </c>
      <c r="AA56">
        <f>IF(P56="*","-",IFERROR(VLOOKUP(P56,'AE-W2'!$P$4:$T$105,4,FALSE),"-"))</f>
        <v>5</v>
      </c>
      <c r="AB56">
        <f>IF(P56="*","-",IFERROR(VLOOKUP(P56,'AE-W3'!$P$4:$T$128,4,FALSE),"-"))</f>
        <v>5</v>
      </c>
      <c r="AC56" s="25">
        <f>IF(P56="*","-",IFERROR(VLOOKUP(P56,'All MECSM samples'!$P$4:$AD$454,15,FALSE),"-"))</f>
        <v>1251</v>
      </c>
      <c r="AE56">
        <v>35</v>
      </c>
      <c r="AF56">
        <v>6</v>
      </c>
      <c r="AH56">
        <f t="shared" si="4"/>
        <v>0</v>
      </c>
      <c r="AI56">
        <f t="shared" si="5"/>
        <v>0</v>
      </c>
      <c r="AJ56" s="11">
        <f>SUM(AH$5:AH56)/SUM(AI$5:AI56)</f>
        <v>0.86046511627906974</v>
      </c>
    </row>
    <row r="57" spans="1:36" x14ac:dyDescent="0.35">
      <c r="A57" t="s">
        <v>209</v>
      </c>
      <c r="B57">
        <v>15</v>
      </c>
      <c r="C57" t="s">
        <v>7</v>
      </c>
      <c r="D57" t="s">
        <v>8</v>
      </c>
      <c r="E57" t="s">
        <v>46</v>
      </c>
      <c r="G57" t="s">
        <v>47</v>
      </c>
      <c r="I57" t="s">
        <v>160</v>
      </c>
      <c r="K57" t="s">
        <v>161</v>
      </c>
      <c r="M57" t="s">
        <v>162</v>
      </c>
      <c r="O57">
        <v>0.57999999999999996</v>
      </c>
      <c r="P57" t="s">
        <v>163</v>
      </c>
      <c r="Q57">
        <v>89.7</v>
      </c>
      <c r="R57">
        <v>1</v>
      </c>
      <c r="S57" s="8">
        <v>15</v>
      </c>
      <c r="T57" s="14">
        <v>0</v>
      </c>
      <c r="U57" s="55">
        <f t="shared" si="1"/>
        <v>3.5024633992574778E-4</v>
      </c>
      <c r="V57" s="55">
        <f t="shared" si="2"/>
        <v>0</v>
      </c>
      <c r="X57" s="11">
        <f t="shared" si="6"/>
        <v>3.5024633992574778E-4</v>
      </c>
      <c r="Y57" s="12">
        <f t="shared" si="7"/>
        <v>0.99077684638195573</v>
      </c>
      <c r="AA57">
        <f>IF(P57="*","-",IFERROR(VLOOKUP(P57,'AE-W2'!$P$4:$T$105,4,FALSE),"-"))</f>
        <v>108</v>
      </c>
      <c r="AB57">
        <f>IF(P57="*","-",IFERROR(VLOOKUP(P57,'AE-W3'!$P$4:$T$128,4,FALSE),"-"))</f>
        <v>128</v>
      </c>
      <c r="AC57" s="25">
        <f>IF(P57="*","-",IFERROR(VLOOKUP(P57,'All MECSM samples'!$P$4:$AD$454,15,FALSE),"-"))</f>
        <v>3869</v>
      </c>
      <c r="AE57">
        <v>4</v>
      </c>
      <c r="AF57">
        <v>3</v>
      </c>
      <c r="AH57">
        <f t="shared" si="4"/>
        <v>0</v>
      </c>
      <c r="AI57">
        <f t="shared" si="5"/>
        <v>0</v>
      </c>
      <c r="AJ57" s="11">
        <f>SUM(AH$5:AH57)/SUM(AI$5:AI57)</f>
        <v>0.86046511627906974</v>
      </c>
    </row>
    <row r="58" spans="1:36" x14ac:dyDescent="0.35">
      <c r="A58" t="s">
        <v>177</v>
      </c>
      <c r="B58">
        <v>14</v>
      </c>
      <c r="C58" t="s">
        <v>7</v>
      </c>
      <c r="D58" t="s">
        <v>8</v>
      </c>
      <c r="E58" t="s">
        <v>9</v>
      </c>
      <c r="G58" t="s">
        <v>172</v>
      </c>
      <c r="I58" t="s">
        <v>347</v>
      </c>
      <c r="O58">
        <v>0.56000000000000005</v>
      </c>
      <c r="P58" t="s">
        <v>348</v>
      </c>
      <c r="Q58">
        <v>92.9</v>
      </c>
      <c r="R58">
        <v>2</v>
      </c>
      <c r="S58" s="8">
        <v>14</v>
      </c>
      <c r="T58" s="14">
        <v>0</v>
      </c>
      <c r="U58" s="55">
        <f t="shared" si="1"/>
        <v>3.2689658393069793E-4</v>
      </c>
      <c r="V58" s="55">
        <f t="shared" si="2"/>
        <v>0</v>
      </c>
      <c r="X58" s="11">
        <f t="shared" si="6"/>
        <v>3.2689658393069793E-4</v>
      </c>
      <c r="Y58" s="12">
        <f t="shared" si="7"/>
        <v>0.99110374296588644</v>
      </c>
      <c r="AA58">
        <f>IF(P58="*","-",IFERROR(VLOOKUP(P58,'AE-W2'!$P$4:$T$105,4,FALSE),"-"))</f>
        <v>5</v>
      </c>
      <c r="AB58">
        <f>IF(P58="*","-",IFERROR(VLOOKUP(P58,'AE-W3'!$P$4:$T$128,4,FALSE),"-"))</f>
        <v>4</v>
      </c>
      <c r="AC58" s="25">
        <f>IF(P58="*","-",IFERROR(VLOOKUP(P58,'All MECSM samples'!$P$4:$AD$454,15,FALSE),"-"))</f>
        <v>5401</v>
      </c>
      <c r="AE58">
        <v>0</v>
      </c>
      <c r="AF58">
        <v>0</v>
      </c>
      <c r="AH58">
        <f t="shared" si="4"/>
        <v>0</v>
      </c>
      <c r="AI58">
        <f t="shared" si="5"/>
        <v>0</v>
      </c>
      <c r="AJ58" s="11">
        <f>SUM(AH$5:AH58)/SUM(AI$5:AI58)</f>
        <v>0.86046511627906974</v>
      </c>
    </row>
    <row r="59" spans="1:36" x14ac:dyDescent="0.35">
      <c r="A59" t="s">
        <v>149</v>
      </c>
      <c r="B59">
        <v>14</v>
      </c>
      <c r="C59" t="s">
        <v>7</v>
      </c>
      <c r="D59" t="s">
        <v>8</v>
      </c>
      <c r="E59" t="s">
        <v>387</v>
      </c>
      <c r="G59" t="s">
        <v>388</v>
      </c>
      <c r="I59" t="s">
        <v>389</v>
      </c>
      <c r="K59" t="s">
        <v>390</v>
      </c>
      <c r="M59" t="s">
        <v>391</v>
      </c>
      <c r="O59">
        <v>1</v>
      </c>
      <c r="P59" t="s">
        <v>392</v>
      </c>
      <c r="Q59">
        <v>100</v>
      </c>
      <c r="R59">
        <v>1</v>
      </c>
      <c r="S59" s="8">
        <v>14</v>
      </c>
      <c r="T59" s="14">
        <v>0</v>
      </c>
      <c r="U59" s="55">
        <f t="shared" si="1"/>
        <v>3.2689658393069793E-4</v>
      </c>
      <c r="V59" s="55">
        <f t="shared" si="2"/>
        <v>0</v>
      </c>
      <c r="X59" s="11">
        <f t="shared" si="6"/>
        <v>3.2689658393069793E-4</v>
      </c>
      <c r="Y59" s="12">
        <f t="shared" si="7"/>
        <v>0.99143063954981714</v>
      </c>
      <c r="AA59" t="str">
        <f>IF(P59="*","-",IFERROR(VLOOKUP(P59,'AE-W2'!$P$4:$T$105,4,FALSE),"-"))</f>
        <v>-</v>
      </c>
      <c r="AB59" t="str">
        <f>IF(P59="*","-",IFERROR(VLOOKUP(P59,'AE-W3'!$P$4:$T$128,4,FALSE),"-"))</f>
        <v>-</v>
      </c>
      <c r="AC59" s="25">
        <f>IF(P59="*","-",IFERROR(VLOOKUP(P59,'All MECSM samples'!$P$4:$AD$454,15,FALSE),"-"))</f>
        <v>17</v>
      </c>
      <c r="AE59">
        <v>0</v>
      </c>
      <c r="AF59">
        <v>0</v>
      </c>
      <c r="AH59">
        <f t="shared" si="4"/>
        <v>0</v>
      </c>
      <c r="AI59">
        <f t="shared" si="5"/>
        <v>0</v>
      </c>
      <c r="AJ59" s="11">
        <f>SUM(AH$5:AH59)/SUM(AI$5:AI59)</f>
        <v>0.86046511627906974</v>
      </c>
    </row>
    <row r="60" spans="1:36" x14ac:dyDescent="0.35">
      <c r="A60" t="s">
        <v>188</v>
      </c>
      <c r="B60">
        <v>13</v>
      </c>
      <c r="C60" t="s">
        <v>7</v>
      </c>
      <c r="D60" t="s">
        <v>8</v>
      </c>
      <c r="E60" t="s">
        <v>18</v>
      </c>
      <c r="G60" t="s">
        <v>19</v>
      </c>
      <c r="I60" t="s">
        <v>20</v>
      </c>
      <c r="K60" t="s">
        <v>21</v>
      </c>
      <c r="O60">
        <v>0.56999999999999995</v>
      </c>
      <c r="P60" t="s">
        <v>22</v>
      </c>
      <c r="Q60">
        <v>85.8</v>
      </c>
      <c r="R60">
        <v>1</v>
      </c>
      <c r="S60" s="8">
        <v>13</v>
      </c>
      <c r="T60" s="14">
        <v>0</v>
      </c>
      <c r="U60" s="55">
        <f t="shared" si="1"/>
        <v>3.0354682793564807E-4</v>
      </c>
      <c r="V60" s="55">
        <f t="shared" si="2"/>
        <v>0</v>
      </c>
      <c r="X60" s="11">
        <f t="shared" si="6"/>
        <v>3.0354682793564807E-4</v>
      </c>
      <c r="Y60" s="12">
        <f t="shared" si="7"/>
        <v>0.99173418637775279</v>
      </c>
      <c r="AA60">
        <f>IF(P60="*","-",IFERROR(VLOOKUP(P60,'AE-W2'!$P$4:$T$105,4,FALSE),"-"))</f>
        <v>1171</v>
      </c>
      <c r="AB60">
        <f>IF(P60="*","-",IFERROR(VLOOKUP(P60,'AE-W3'!$P$4:$T$128,4,FALSE),"-"))</f>
        <v>5956</v>
      </c>
      <c r="AC60" s="25">
        <f>IF(P60="*","-",IFERROR(VLOOKUP(P60,'All MECSM samples'!$P$4:$AD$454,15,FALSE),"-"))</f>
        <v>5986</v>
      </c>
      <c r="AE60">
        <v>0</v>
      </c>
      <c r="AF60">
        <v>0</v>
      </c>
      <c r="AH60">
        <f t="shared" si="4"/>
        <v>0</v>
      </c>
      <c r="AI60">
        <f t="shared" si="5"/>
        <v>0</v>
      </c>
      <c r="AJ60" s="11">
        <f>SUM(AH$5:AH60)/SUM(AI$5:AI60)</f>
        <v>0.86046511627906974</v>
      </c>
    </row>
    <row r="61" spans="1:36" x14ac:dyDescent="0.35">
      <c r="A61" t="s">
        <v>307</v>
      </c>
      <c r="B61">
        <v>13</v>
      </c>
      <c r="C61" t="s">
        <v>7</v>
      </c>
      <c r="D61" t="s">
        <v>8</v>
      </c>
      <c r="E61" t="s">
        <v>32</v>
      </c>
      <c r="O61">
        <v>0.99</v>
      </c>
      <c r="P61" t="s">
        <v>314</v>
      </c>
      <c r="Q61">
        <v>87</v>
      </c>
      <c r="R61">
        <v>1</v>
      </c>
      <c r="S61" s="8">
        <v>13</v>
      </c>
      <c r="T61" s="14">
        <v>0</v>
      </c>
      <c r="U61" s="55">
        <f t="shared" si="1"/>
        <v>3.0354682793564807E-4</v>
      </c>
      <c r="V61" s="55">
        <f t="shared" si="2"/>
        <v>0</v>
      </c>
      <c r="X61" s="11">
        <f t="shared" si="6"/>
        <v>3.0354682793564807E-4</v>
      </c>
      <c r="Y61" s="12">
        <f t="shared" si="7"/>
        <v>0.99203773320568844</v>
      </c>
      <c r="AA61">
        <f>IF(P61="*","-",IFERROR(VLOOKUP(P61,'AE-W2'!$P$4:$T$105,4,FALSE),"-"))</f>
        <v>18</v>
      </c>
      <c r="AB61">
        <f>IF(P61="*","-",IFERROR(VLOOKUP(P61,'AE-W3'!$P$4:$T$128,4,FALSE),"-"))</f>
        <v>4</v>
      </c>
      <c r="AC61" s="25">
        <f>IF(P61="*","-",IFERROR(VLOOKUP(P61,'All MECSM samples'!$P$4:$AD$454,15,FALSE),"-"))</f>
        <v>4137</v>
      </c>
      <c r="AE61">
        <v>4</v>
      </c>
      <c r="AF61">
        <v>77</v>
      </c>
      <c r="AH61">
        <f t="shared" si="4"/>
        <v>0</v>
      </c>
      <c r="AI61">
        <f t="shared" si="5"/>
        <v>0</v>
      </c>
      <c r="AJ61" s="11">
        <f>SUM(AH$5:AH61)/SUM(AI$5:AI61)</f>
        <v>0.86046511627906974</v>
      </c>
    </row>
    <row r="62" spans="1:36" x14ac:dyDescent="0.35">
      <c r="A62" t="s">
        <v>275</v>
      </c>
      <c r="B62">
        <v>12</v>
      </c>
      <c r="C62" t="s">
        <v>7</v>
      </c>
      <c r="D62" t="s">
        <v>8</v>
      </c>
      <c r="E62" t="s">
        <v>46</v>
      </c>
      <c r="G62" t="s">
        <v>47</v>
      </c>
      <c r="I62" t="s">
        <v>61</v>
      </c>
      <c r="K62" t="s">
        <v>84</v>
      </c>
      <c r="M62" t="s">
        <v>85</v>
      </c>
      <c r="O62">
        <v>0.87</v>
      </c>
      <c r="P62" t="s">
        <v>86</v>
      </c>
      <c r="Q62">
        <v>99.2</v>
      </c>
      <c r="R62">
        <v>1</v>
      </c>
      <c r="S62" s="8">
        <v>12</v>
      </c>
      <c r="T62" s="14">
        <v>0</v>
      </c>
      <c r="U62" s="55">
        <f t="shared" si="1"/>
        <v>2.8019707194059821E-4</v>
      </c>
      <c r="V62" s="55">
        <f t="shared" si="2"/>
        <v>0</v>
      </c>
      <c r="X62" s="11">
        <f t="shared" si="6"/>
        <v>2.8019707194059821E-4</v>
      </c>
      <c r="Y62" s="12">
        <f t="shared" si="7"/>
        <v>0.99231793027762905</v>
      </c>
      <c r="AA62" t="str">
        <f>IF(P62="*","-",IFERROR(VLOOKUP(P62,'AE-W2'!$P$4:$T$105,4,FALSE),"-"))</f>
        <v>-</v>
      </c>
      <c r="AB62">
        <f>IF(P62="*","-",IFERROR(VLOOKUP(P62,'AE-W3'!$P$4:$T$128,4,FALSE),"-"))</f>
        <v>1293</v>
      </c>
      <c r="AC62" s="25">
        <f>IF(P62="*","-",IFERROR(VLOOKUP(P62,'All MECSM samples'!$P$4:$AD$454,15,FALSE),"-"))</f>
        <v>1299</v>
      </c>
      <c r="AE62">
        <v>64</v>
      </c>
      <c r="AF62">
        <v>17</v>
      </c>
      <c r="AH62">
        <f t="shared" si="4"/>
        <v>0</v>
      </c>
      <c r="AI62">
        <f t="shared" si="5"/>
        <v>0</v>
      </c>
      <c r="AJ62" s="11">
        <f>SUM(AH$5:AH62)/SUM(AI$5:AI62)</f>
        <v>0.86046511627906974</v>
      </c>
    </row>
    <row r="63" spans="1:36" x14ac:dyDescent="0.35">
      <c r="A63" t="s">
        <v>213</v>
      </c>
      <c r="B63">
        <v>11</v>
      </c>
      <c r="C63" t="s">
        <v>7</v>
      </c>
      <c r="D63" t="s">
        <v>8</v>
      </c>
      <c r="E63" t="s">
        <v>258</v>
      </c>
      <c r="G63" t="s">
        <v>258</v>
      </c>
      <c r="H63" t="s">
        <v>351</v>
      </c>
      <c r="O63">
        <v>0.56000000000000005</v>
      </c>
      <c r="P63" t="s">
        <v>352</v>
      </c>
      <c r="Q63">
        <v>89.3</v>
      </c>
      <c r="R63">
        <v>3</v>
      </c>
      <c r="S63" s="8">
        <v>11</v>
      </c>
      <c r="T63" s="14">
        <v>0</v>
      </c>
      <c r="U63" s="55">
        <f t="shared" si="1"/>
        <v>2.5684731594554836E-4</v>
      </c>
      <c r="V63" s="55">
        <f t="shared" si="2"/>
        <v>0</v>
      </c>
      <c r="X63" s="11">
        <f t="shared" si="6"/>
        <v>2.5684731594554836E-4</v>
      </c>
      <c r="Y63" s="12">
        <f t="shared" si="7"/>
        <v>0.9925747775935746</v>
      </c>
      <c r="AA63" t="str">
        <f>IF(P63="*","-",IFERROR(VLOOKUP(P63,'AE-W2'!$P$4:$T$105,4,FALSE),"-"))</f>
        <v>-</v>
      </c>
      <c r="AB63">
        <f>IF(P63="*","-",IFERROR(VLOOKUP(P63,'AE-W3'!$P$4:$T$128,4,FALSE),"-"))</f>
        <v>8</v>
      </c>
      <c r="AC63" s="25">
        <f>IF(P63="*","-",IFERROR(VLOOKUP(P63,'All MECSM samples'!$P$4:$AD$454,15,FALSE),"-"))</f>
        <v>18</v>
      </c>
      <c r="AE63">
        <v>100</v>
      </c>
      <c r="AF63">
        <v>2</v>
      </c>
      <c r="AH63">
        <f t="shared" si="4"/>
        <v>0</v>
      </c>
      <c r="AI63">
        <f t="shared" si="5"/>
        <v>1</v>
      </c>
      <c r="AJ63" s="11">
        <f>SUM(AH$5:AH63)/SUM(AI$5:AI63)</f>
        <v>0.84090909090909094</v>
      </c>
    </row>
    <row r="64" spans="1:36" x14ac:dyDescent="0.35">
      <c r="A64" t="s">
        <v>329</v>
      </c>
      <c r="B64">
        <v>11</v>
      </c>
      <c r="C64" t="s">
        <v>7</v>
      </c>
      <c r="D64" t="s">
        <v>8</v>
      </c>
      <c r="E64" t="s">
        <v>258</v>
      </c>
      <c r="G64" t="s">
        <v>258</v>
      </c>
      <c r="H64" t="s">
        <v>259</v>
      </c>
      <c r="I64" t="s">
        <v>260</v>
      </c>
      <c r="J64" t="s">
        <v>261</v>
      </c>
      <c r="K64" t="s">
        <v>262</v>
      </c>
      <c r="O64">
        <v>0.56000000000000005</v>
      </c>
      <c r="P64" t="s">
        <v>328</v>
      </c>
      <c r="Q64">
        <v>89.3</v>
      </c>
      <c r="R64">
        <v>1</v>
      </c>
      <c r="S64" s="8">
        <v>11</v>
      </c>
      <c r="T64" s="14">
        <v>0</v>
      </c>
      <c r="U64" s="55">
        <f t="shared" si="1"/>
        <v>2.5684731594554836E-4</v>
      </c>
      <c r="V64" s="55">
        <f t="shared" si="2"/>
        <v>0</v>
      </c>
      <c r="X64" s="11">
        <f t="shared" si="6"/>
        <v>2.5684731594554836E-4</v>
      </c>
      <c r="Y64" s="12">
        <f t="shared" si="7"/>
        <v>0.99283162490952015</v>
      </c>
      <c r="AA64">
        <f>IF(P64="*","-",IFERROR(VLOOKUP(P64,'AE-W2'!$P$4:$T$105,4,FALSE),"-"))</f>
        <v>20</v>
      </c>
      <c r="AB64">
        <f>IF(P64="*","-",IFERROR(VLOOKUP(P64,'AE-W3'!$P$4:$T$128,4,FALSE),"-"))</f>
        <v>5</v>
      </c>
      <c r="AC64" s="25">
        <f>IF(P64="*","-",IFERROR(VLOOKUP(P64,'All MECSM samples'!$P$4:$AD$454,15,FALSE),"-"))</f>
        <v>3418</v>
      </c>
      <c r="AE64">
        <v>51</v>
      </c>
      <c r="AF64">
        <v>6</v>
      </c>
      <c r="AH64">
        <f t="shared" si="4"/>
        <v>0</v>
      </c>
      <c r="AI64">
        <f t="shared" si="5"/>
        <v>0</v>
      </c>
      <c r="AJ64" s="11">
        <f>SUM(AH$5:AH64)/SUM(AI$5:AI64)</f>
        <v>0.84090909090909094</v>
      </c>
    </row>
    <row r="65" spans="1:36" x14ac:dyDescent="0.35">
      <c r="A65" t="s">
        <v>200</v>
      </c>
      <c r="B65">
        <v>11</v>
      </c>
      <c r="C65" t="s">
        <v>7</v>
      </c>
      <c r="D65" t="s">
        <v>8</v>
      </c>
      <c r="E65" t="s">
        <v>46</v>
      </c>
      <c r="G65" t="s">
        <v>47</v>
      </c>
      <c r="I65" t="s">
        <v>61</v>
      </c>
      <c r="K65" t="s">
        <v>210</v>
      </c>
      <c r="M65" t="s">
        <v>211</v>
      </c>
      <c r="O65">
        <v>0.98</v>
      </c>
      <c r="P65" t="s">
        <v>360</v>
      </c>
      <c r="Q65">
        <v>95.3</v>
      </c>
      <c r="R65">
        <v>1</v>
      </c>
      <c r="S65" s="8">
        <v>11</v>
      </c>
      <c r="T65" s="14">
        <v>0</v>
      </c>
      <c r="U65" s="55">
        <f t="shared" si="1"/>
        <v>2.5684731594554836E-4</v>
      </c>
      <c r="V65" s="55">
        <f t="shared" si="2"/>
        <v>0</v>
      </c>
      <c r="X65" s="11">
        <f t="shared" si="6"/>
        <v>2.5684731594554836E-4</v>
      </c>
      <c r="Y65" s="12">
        <f t="shared" si="7"/>
        <v>0.9930884722254657</v>
      </c>
      <c r="AA65">
        <f>IF(P65="*","-",IFERROR(VLOOKUP(P65,'AE-W2'!$P$4:$T$105,4,FALSE),"-"))</f>
        <v>9</v>
      </c>
      <c r="AB65">
        <f>IF(P65="*","-",IFERROR(VLOOKUP(P65,'AE-W3'!$P$4:$T$128,4,FALSE),"-"))</f>
        <v>2</v>
      </c>
      <c r="AC65" s="25">
        <f>IF(P65="*","-",IFERROR(VLOOKUP(P65,'All MECSM samples'!$P$4:$AD$454,15,FALSE),"-"))</f>
        <v>1108</v>
      </c>
      <c r="AE65">
        <v>100</v>
      </c>
      <c r="AF65">
        <v>5</v>
      </c>
      <c r="AH65">
        <f t="shared" si="4"/>
        <v>0</v>
      </c>
      <c r="AI65">
        <f t="shared" si="5"/>
        <v>1</v>
      </c>
      <c r="AJ65" s="11">
        <f>SUM(AH$5:AH65)/SUM(AI$5:AI65)</f>
        <v>0.82222222222222219</v>
      </c>
    </row>
    <row r="66" spans="1:36" x14ac:dyDescent="0.35">
      <c r="A66" t="s">
        <v>226</v>
      </c>
      <c r="B66">
        <v>11</v>
      </c>
      <c r="C66" t="s">
        <v>7</v>
      </c>
      <c r="D66" t="s">
        <v>8</v>
      </c>
      <c r="E66" t="s">
        <v>46</v>
      </c>
      <c r="O66">
        <v>0.55000000000000004</v>
      </c>
      <c r="P66" t="s">
        <v>343</v>
      </c>
      <c r="Q66">
        <v>86.6</v>
      </c>
      <c r="R66">
        <v>3</v>
      </c>
      <c r="S66" s="8">
        <v>11</v>
      </c>
      <c r="T66" s="14">
        <v>0</v>
      </c>
      <c r="U66" s="55">
        <f t="shared" si="1"/>
        <v>2.5684731594554836E-4</v>
      </c>
      <c r="V66" s="55">
        <f t="shared" si="2"/>
        <v>0</v>
      </c>
      <c r="X66" s="11">
        <f t="shared" si="6"/>
        <v>2.5684731594554836E-4</v>
      </c>
      <c r="Y66" s="12">
        <f t="shared" si="7"/>
        <v>0.99334531954141125</v>
      </c>
      <c r="AA66">
        <f>IF(P66="*","-",IFERROR(VLOOKUP(P66,'AE-W2'!$P$4:$T$105,4,FALSE),"-"))</f>
        <v>9</v>
      </c>
      <c r="AB66" t="str">
        <f>IF(P66="*","-",IFERROR(VLOOKUP(P66,'AE-W3'!$P$4:$T$128,4,FALSE),"-"))</f>
        <v>-</v>
      </c>
      <c r="AC66" s="25">
        <f>IF(P66="*","-",IFERROR(VLOOKUP(P66,'All MECSM samples'!$P$4:$AD$454,15,FALSE),"-"))</f>
        <v>1254</v>
      </c>
      <c r="AE66">
        <v>66</v>
      </c>
      <c r="AF66">
        <v>1</v>
      </c>
      <c r="AH66">
        <f t="shared" si="4"/>
        <v>0</v>
      </c>
      <c r="AI66">
        <f t="shared" si="5"/>
        <v>0</v>
      </c>
      <c r="AJ66" s="11">
        <f>SUM(AH$5:AH66)/SUM(AI$5:AI66)</f>
        <v>0.82222222222222219</v>
      </c>
    </row>
    <row r="67" spans="1:36" x14ac:dyDescent="0.35">
      <c r="A67" t="s">
        <v>237</v>
      </c>
      <c r="B67">
        <v>10</v>
      </c>
      <c r="C67" t="s">
        <v>7</v>
      </c>
      <c r="D67" t="s">
        <v>8</v>
      </c>
      <c r="E67" t="s">
        <v>46</v>
      </c>
      <c r="O67">
        <v>0.96</v>
      </c>
      <c r="P67" t="s">
        <v>330</v>
      </c>
      <c r="Q67">
        <v>90.9</v>
      </c>
      <c r="R67">
        <v>1</v>
      </c>
      <c r="S67" s="8">
        <v>10</v>
      </c>
      <c r="T67" s="14">
        <v>0</v>
      </c>
      <c r="U67" s="55">
        <f t="shared" si="1"/>
        <v>2.3349755995049853E-4</v>
      </c>
      <c r="V67" s="55">
        <f t="shared" si="2"/>
        <v>0</v>
      </c>
      <c r="X67" s="11">
        <f t="shared" si="6"/>
        <v>2.3349755995049853E-4</v>
      </c>
      <c r="Y67" s="12">
        <f t="shared" si="7"/>
        <v>0.99357881710136176</v>
      </c>
      <c r="AA67">
        <f>IF(P67="*","-",IFERROR(VLOOKUP(P67,'AE-W2'!$P$4:$T$105,4,FALSE),"-"))</f>
        <v>10</v>
      </c>
      <c r="AB67">
        <f>IF(P67="*","-",IFERROR(VLOOKUP(P67,'AE-W3'!$P$4:$T$128,4,FALSE),"-"))</f>
        <v>7</v>
      </c>
      <c r="AC67" s="25">
        <f>IF(P67="*","-",IFERROR(VLOOKUP(P67,'All MECSM samples'!$P$4:$AD$454,15,FALSE),"-"))</f>
        <v>3140</v>
      </c>
      <c r="AE67">
        <v>26</v>
      </c>
      <c r="AF67">
        <v>56</v>
      </c>
      <c r="AH67">
        <f t="shared" si="4"/>
        <v>0</v>
      </c>
      <c r="AI67">
        <f t="shared" si="5"/>
        <v>0</v>
      </c>
      <c r="AJ67" s="11">
        <f>SUM(AH$5:AH67)/SUM(AI$5:AI67)</f>
        <v>0.82222222222222219</v>
      </c>
    </row>
    <row r="68" spans="1:36" x14ac:dyDescent="0.35">
      <c r="A68" t="s">
        <v>189</v>
      </c>
      <c r="B68">
        <v>10</v>
      </c>
      <c r="C68" t="s">
        <v>7</v>
      </c>
      <c r="D68" t="s">
        <v>24</v>
      </c>
      <c r="E68" t="s">
        <v>25</v>
      </c>
      <c r="G68" t="s">
        <v>26</v>
      </c>
      <c r="I68" t="s">
        <v>27</v>
      </c>
      <c r="K68" t="s">
        <v>28</v>
      </c>
      <c r="M68" t="s">
        <v>29</v>
      </c>
      <c r="O68">
        <v>1</v>
      </c>
      <c r="P68" t="s">
        <v>283</v>
      </c>
      <c r="Q68">
        <v>99.6</v>
      </c>
      <c r="R68">
        <v>1</v>
      </c>
      <c r="S68" s="8">
        <v>10</v>
      </c>
      <c r="T68" s="14">
        <v>0</v>
      </c>
      <c r="U68" s="55">
        <f t="shared" si="1"/>
        <v>2.3349755995049853E-4</v>
      </c>
      <c r="V68" s="55">
        <f t="shared" si="2"/>
        <v>0</v>
      </c>
      <c r="X68" s="11">
        <f t="shared" ref="X68:X99" si="8">S68/S$1</f>
        <v>2.3349755995049853E-4</v>
      </c>
      <c r="Y68" s="12">
        <f t="shared" si="7"/>
        <v>0.99381231466131226</v>
      </c>
      <c r="AA68">
        <f>IF(P68="*","-",IFERROR(VLOOKUP(P68,'AE-W2'!$P$4:$T$105,4,FALSE),"-"))</f>
        <v>18</v>
      </c>
      <c r="AB68">
        <f>IF(P68="*","-",IFERROR(VLOOKUP(P68,'AE-W3'!$P$4:$T$128,4,FALSE),"-"))</f>
        <v>33</v>
      </c>
      <c r="AC68" s="25">
        <f>IF(P68="*","-",IFERROR(VLOOKUP(P68,'All MECSM samples'!$P$4:$AD$454,15,FALSE),"-"))</f>
        <v>22906</v>
      </c>
      <c r="AE68">
        <v>0</v>
      </c>
      <c r="AF68">
        <v>0</v>
      </c>
      <c r="AH68">
        <f t="shared" si="4"/>
        <v>0</v>
      </c>
      <c r="AI68">
        <f t="shared" si="5"/>
        <v>0</v>
      </c>
      <c r="AJ68" s="11">
        <f>SUM(AH$5:AH68)/SUM(AI$5:AI68)</f>
        <v>0.82222222222222219</v>
      </c>
    </row>
    <row r="69" spans="1:36" x14ac:dyDescent="0.35">
      <c r="A69" t="s">
        <v>225</v>
      </c>
      <c r="B69">
        <v>9</v>
      </c>
      <c r="C69" t="s">
        <v>7</v>
      </c>
      <c r="D69" t="s">
        <v>8</v>
      </c>
      <c r="E69" t="s">
        <v>9</v>
      </c>
      <c r="G69" t="s">
        <v>10</v>
      </c>
      <c r="I69" t="s">
        <v>131</v>
      </c>
      <c r="K69" t="s">
        <v>150</v>
      </c>
      <c r="O69">
        <v>0.97</v>
      </c>
      <c r="P69" t="s">
        <v>152</v>
      </c>
      <c r="Q69">
        <v>94.5</v>
      </c>
      <c r="R69">
        <v>1</v>
      </c>
      <c r="S69" s="8">
        <v>9</v>
      </c>
      <c r="T69" s="14">
        <v>0</v>
      </c>
      <c r="U69" s="55">
        <f t="shared" ref="U69:U124" si="9">S69/S$1</f>
        <v>2.1014780395544867E-4</v>
      </c>
      <c r="V69" s="55">
        <f t="shared" ref="V69:V124" si="10">T69/T$1</f>
        <v>0</v>
      </c>
      <c r="X69" s="11">
        <f t="shared" si="8"/>
        <v>2.1014780395544867E-4</v>
      </c>
      <c r="Y69" s="12">
        <f t="shared" ref="Y69:Y100" si="11">Y68+X69</f>
        <v>0.99402246246526771</v>
      </c>
      <c r="AA69">
        <f>IF(P69="*","-",IFERROR(VLOOKUP(P69,'AE-W2'!$P$4:$T$105,4,FALSE),"-"))</f>
        <v>220</v>
      </c>
      <c r="AB69">
        <f>IF(P69="*","-",IFERROR(VLOOKUP(P69,'AE-W3'!$P$4:$T$128,4,FALSE),"-"))</f>
        <v>108</v>
      </c>
      <c r="AC69" s="25">
        <f>IF(P69="*","-",IFERROR(VLOOKUP(P69,'All MECSM samples'!$P$4:$AD$454,15,FALSE),"-"))</f>
        <v>577</v>
      </c>
      <c r="AE69">
        <v>99</v>
      </c>
      <c r="AF69">
        <v>5</v>
      </c>
      <c r="AH69">
        <f t="shared" ref="AH69:AH124" si="12">IF(AND(S69&gt;0,AE69&gt;=90, T69&gt;0), 1, 0)</f>
        <v>0</v>
      </c>
      <c r="AI69">
        <f t="shared" ref="AI69:AI124" si="13">IF(AND(S69&gt;0,AE69&gt;=90),1,0)</f>
        <v>1</v>
      </c>
      <c r="AJ69" s="11">
        <f>SUM(AH$5:AH69)/SUM(AI$5:AI69)</f>
        <v>0.80434782608695654</v>
      </c>
    </row>
    <row r="70" spans="1:36" x14ac:dyDescent="0.35">
      <c r="A70" t="s">
        <v>253</v>
      </c>
      <c r="B70">
        <v>9</v>
      </c>
      <c r="C70" t="s">
        <v>7</v>
      </c>
      <c r="D70" t="s">
        <v>8</v>
      </c>
      <c r="E70" t="s">
        <v>32</v>
      </c>
      <c r="O70">
        <v>0.99</v>
      </c>
      <c r="P70" t="s">
        <v>33</v>
      </c>
      <c r="Q70">
        <v>87.7</v>
      </c>
      <c r="R70">
        <v>1</v>
      </c>
      <c r="S70" s="8">
        <v>9</v>
      </c>
      <c r="T70" s="14">
        <v>0</v>
      </c>
      <c r="U70" s="55">
        <f t="shared" si="9"/>
        <v>2.1014780395544867E-4</v>
      </c>
      <c r="V70" s="55">
        <f t="shared" si="10"/>
        <v>0</v>
      </c>
      <c r="X70" s="11">
        <f t="shared" si="8"/>
        <v>2.1014780395544867E-4</v>
      </c>
      <c r="Y70" s="12">
        <f t="shared" si="11"/>
        <v>0.99423261026922316</v>
      </c>
      <c r="AA70">
        <f>IF(P70="*","-",IFERROR(VLOOKUP(P70,'AE-W2'!$P$4:$T$105,4,FALSE),"-"))</f>
        <v>5845</v>
      </c>
      <c r="AB70">
        <f>IF(P70="*","-",IFERROR(VLOOKUP(P70,'AE-W3'!$P$4:$T$128,4,FALSE),"-"))</f>
        <v>7</v>
      </c>
      <c r="AC70" s="25">
        <f>IF(P70="*","-",IFERROR(VLOOKUP(P70,'All MECSM samples'!$P$4:$AD$454,15,FALSE),"-"))</f>
        <v>5880</v>
      </c>
      <c r="AE70">
        <v>2</v>
      </c>
      <c r="AF70">
        <v>102</v>
      </c>
      <c r="AH70">
        <f t="shared" si="12"/>
        <v>0</v>
      </c>
      <c r="AI70">
        <f t="shared" si="13"/>
        <v>0</v>
      </c>
      <c r="AJ70" s="11">
        <f>SUM(AH$5:AH70)/SUM(AI$5:AI70)</f>
        <v>0.80434782608695654</v>
      </c>
    </row>
    <row r="71" spans="1:36" x14ac:dyDescent="0.35">
      <c r="A71" t="s">
        <v>216</v>
      </c>
      <c r="B71">
        <v>9</v>
      </c>
      <c r="C71" t="s">
        <v>7</v>
      </c>
      <c r="D71" t="s">
        <v>8</v>
      </c>
      <c r="E71" t="s">
        <v>46</v>
      </c>
      <c r="G71" t="s">
        <v>47</v>
      </c>
      <c r="I71" t="s">
        <v>61</v>
      </c>
      <c r="K71" t="s">
        <v>190</v>
      </c>
      <c r="O71">
        <v>0.5</v>
      </c>
      <c r="P71" t="s">
        <v>319</v>
      </c>
      <c r="Q71">
        <v>89.3</v>
      </c>
      <c r="R71">
        <v>1</v>
      </c>
      <c r="S71" s="8">
        <v>9</v>
      </c>
      <c r="T71" s="14">
        <v>0</v>
      </c>
      <c r="U71" s="55">
        <f t="shared" si="9"/>
        <v>2.1014780395544867E-4</v>
      </c>
      <c r="V71" s="55">
        <f t="shared" si="10"/>
        <v>0</v>
      </c>
      <c r="X71" s="11">
        <f t="shared" si="8"/>
        <v>2.1014780395544867E-4</v>
      </c>
      <c r="Y71" s="12">
        <f t="shared" si="11"/>
        <v>0.99444275807317861</v>
      </c>
      <c r="AA71">
        <f>IF(P71="*","-",IFERROR(VLOOKUP(P71,'AE-W2'!$P$4:$T$105,4,FALSE),"-"))</f>
        <v>10</v>
      </c>
      <c r="AB71">
        <f>IF(P71="*","-",IFERROR(VLOOKUP(P71,'AE-W3'!$P$4:$T$128,4,FALSE),"-"))</f>
        <v>14</v>
      </c>
      <c r="AC71" s="25">
        <f>IF(P71="*","-",IFERROR(VLOOKUP(P71,'All MECSM samples'!$P$4:$AD$454,15,FALSE),"-"))</f>
        <v>5160</v>
      </c>
      <c r="AE71">
        <v>39</v>
      </c>
      <c r="AF71">
        <v>27</v>
      </c>
      <c r="AH71">
        <f t="shared" si="12"/>
        <v>0</v>
      </c>
      <c r="AI71">
        <f t="shared" si="13"/>
        <v>0</v>
      </c>
      <c r="AJ71" s="11">
        <f>SUM(AH$5:AH71)/SUM(AI$5:AI71)</f>
        <v>0.80434782608695654</v>
      </c>
    </row>
    <row r="72" spans="1:36" x14ac:dyDescent="0.35">
      <c r="A72" t="s">
        <v>185</v>
      </c>
      <c r="B72">
        <v>8</v>
      </c>
      <c r="C72" t="s">
        <v>7</v>
      </c>
      <c r="D72" t="s">
        <v>8</v>
      </c>
      <c r="E72" t="s">
        <v>46</v>
      </c>
      <c r="G72" t="s">
        <v>47</v>
      </c>
      <c r="I72" t="s">
        <v>61</v>
      </c>
      <c r="O72">
        <v>0.99</v>
      </c>
      <c r="P72" t="s">
        <v>470</v>
      </c>
      <c r="Q72">
        <v>93.3</v>
      </c>
      <c r="R72">
        <v>1</v>
      </c>
      <c r="S72" s="8">
        <v>8</v>
      </c>
      <c r="T72" s="14">
        <v>0</v>
      </c>
      <c r="U72" s="55">
        <f t="shared" si="9"/>
        <v>1.8679804796039882E-4</v>
      </c>
      <c r="V72" s="55">
        <f t="shared" si="10"/>
        <v>0</v>
      </c>
      <c r="X72" s="11">
        <f t="shared" si="8"/>
        <v>1.8679804796039882E-4</v>
      </c>
      <c r="Y72" s="12">
        <f t="shared" si="11"/>
        <v>0.99462955612113901</v>
      </c>
      <c r="AA72" t="str">
        <f>IF(P72="*","-",IFERROR(VLOOKUP(P72,'AE-W2'!$P$4:$T$105,4,FALSE),"-"))</f>
        <v>-</v>
      </c>
      <c r="AB72" t="str">
        <f>IF(P72="*","-",IFERROR(VLOOKUP(P72,'AE-W3'!$P$4:$T$128,4,FALSE),"-"))</f>
        <v>-</v>
      </c>
      <c r="AC72" s="25">
        <f>IF(P72="*","-",IFERROR(VLOOKUP(P72,'All MECSM samples'!$P$4:$AD$454,15,FALSE),"-"))</f>
        <v>39</v>
      </c>
      <c r="AE72">
        <v>20</v>
      </c>
      <c r="AF72">
        <v>4</v>
      </c>
      <c r="AH72">
        <f t="shared" si="12"/>
        <v>0</v>
      </c>
      <c r="AI72">
        <f t="shared" si="13"/>
        <v>0</v>
      </c>
      <c r="AJ72" s="11">
        <f>SUM(AH$5:AH72)/SUM(AI$5:AI72)</f>
        <v>0.80434782608695654</v>
      </c>
    </row>
    <row r="73" spans="1:36" x14ac:dyDescent="0.35">
      <c r="A73" t="s">
        <v>234</v>
      </c>
      <c r="B73">
        <v>8</v>
      </c>
      <c r="C73" t="s">
        <v>7</v>
      </c>
      <c r="D73" t="s">
        <v>8</v>
      </c>
      <c r="E73" t="s">
        <v>18</v>
      </c>
      <c r="G73" t="s">
        <v>19</v>
      </c>
      <c r="I73" t="s">
        <v>20</v>
      </c>
      <c r="K73" t="s">
        <v>21</v>
      </c>
      <c r="M73" t="s">
        <v>429</v>
      </c>
      <c r="O73">
        <v>1</v>
      </c>
      <c r="P73" t="s">
        <v>430</v>
      </c>
      <c r="Q73">
        <v>96</v>
      </c>
      <c r="R73">
        <v>1</v>
      </c>
      <c r="S73" s="8">
        <v>8</v>
      </c>
      <c r="T73" s="14">
        <v>0</v>
      </c>
      <c r="U73" s="55">
        <f t="shared" si="9"/>
        <v>1.8679804796039882E-4</v>
      </c>
      <c r="V73" s="55">
        <f t="shared" si="10"/>
        <v>0</v>
      </c>
      <c r="X73" s="11">
        <f t="shared" si="8"/>
        <v>1.8679804796039882E-4</v>
      </c>
      <c r="Y73" s="12">
        <f t="shared" si="11"/>
        <v>0.99481635416909941</v>
      </c>
      <c r="AA73" t="str">
        <f>IF(P73="*","-",IFERROR(VLOOKUP(P73,'AE-W2'!$P$4:$T$105,4,FALSE),"-"))</f>
        <v>-</v>
      </c>
      <c r="AB73" t="str">
        <f>IF(P73="*","-",IFERROR(VLOOKUP(P73,'AE-W3'!$P$4:$T$128,4,FALSE),"-"))</f>
        <v>-</v>
      </c>
      <c r="AC73" s="25">
        <f>IF(P73="*","-",IFERROR(VLOOKUP(P73,'All MECSM samples'!$P$4:$AD$454,15,FALSE),"-"))</f>
        <v>34</v>
      </c>
      <c r="AE73">
        <v>100</v>
      </c>
      <c r="AF73">
        <v>3</v>
      </c>
      <c r="AH73">
        <f t="shared" si="12"/>
        <v>0</v>
      </c>
      <c r="AI73">
        <f t="shared" si="13"/>
        <v>1</v>
      </c>
      <c r="AJ73" s="11">
        <f>SUM(AH$5:AH73)/SUM(AI$5:AI73)</f>
        <v>0.78723404255319152</v>
      </c>
    </row>
    <row r="74" spans="1:36" x14ac:dyDescent="0.35">
      <c r="A74" t="s">
        <v>248</v>
      </c>
      <c r="B74">
        <v>8</v>
      </c>
      <c r="C74" t="s">
        <v>7</v>
      </c>
      <c r="D74" t="s">
        <v>8</v>
      </c>
      <c r="E74" t="s">
        <v>46</v>
      </c>
      <c r="O74">
        <v>0.72</v>
      </c>
      <c r="P74" t="s">
        <v>354</v>
      </c>
      <c r="Q74">
        <v>87.4</v>
      </c>
      <c r="R74">
        <v>1</v>
      </c>
      <c r="S74" s="8">
        <v>8</v>
      </c>
      <c r="T74" s="14">
        <v>0</v>
      </c>
      <c r="U74" s="55">
        <f t="shared" si="9"/>
        <v>1.8679804796039882E-4</v>
      </c>
      <c r="V74" s="55">
        <f t="shared" si="10"/>
        <v>0</v>
      </c>
      <c r="X74" s="11">
        <f t="shared" si="8"/>
        <v>1.8679804796039882E-4</v>
      </c>
      <c r="Y74" s="12">
        <f t="shared" si="11"/>
        <v>0.99500315221705982</v>
      </c>
      <c r="AA74">
        <f>IF(P74="*","-",IFERROR(VLOOKUP(P74,'AE-W2'!$P$4:$T$105,4,FALSE),"-"))</f>
        <v>4</v>
      </c>
      <c r="AB74">
        <f>IF(P74="*","-",IFERROR(VLOOKUP(P74,'AE-W3'!$P$4:$T$128,4,FALSE),"-"))</f>
        <v>10</v>
      </c>
      <c r="AC74" s="25">
        <f>IF(P74="*","-",IFERROR(VLOOKUP(P74,'All MECSM samples'!$P$4:$AD$454,15,FALSE),"-"))</f>
        <v>905</v>
      </c>
      <c r="AE74">
        <v>97</v>
      </c>
      <c r="AF74">
        <v>7</v>
      </c>
      <c r="AH74">
        <f t="shared" si="12"/>
        <v>0</v>
      </c>
      <c r="AI74">
        <f t="shared" si="13"/>
        <v>1</v>
      </c>
      <c r="AJ74" s="11">
        <f>SUM(AH$5:AH74)/SUM(AI$5:AI74)</f>
        <v>0.77083333333333337</v>
      </c>
    </row>
    <row r="75" spans="1:36" x14ac:dyDescent="0.35">
      <c r="A75" t="s">
        <v>221</v>
      </c>
      <c r="B75">
        <v>7</v>
      </c>
      <c r="C75" t="s">
        <v>7</v>
      </c>
      <c r="D75" t="s">
        <v>8</v>
      </c>
      <c r="E75" t="s">
        <v>46</v>
      </c>
      <c r="G75" t="s">
        <v>47</v>
      </c>
      <c r="I75" t="s">
        <v>61</v>
      </c>
      <c r="K75" t="s">
        <v>84</v>
      </c>
      <c r="M75" t="s">
        <v>463</v>
      </c>
      <c r="O75">
        <v>0.57999999999999996</v>
      </c>
      <c r="P75" t="s">
        <v>464</v>
      </c>
      <c r="Q75">
        <v>99.2</v>
      </c>
      <c r="R75">
        <v>1</v>
      </c>
      <c r="S75" s="8">
        <v>7</v>
      </c>
      <c r="T75" s="14">
        <v>0</v>
      </c>
      <c r="U75" s="55">
        <f t="shared" si="9"/>
        <v>1.6344829196534896E-4</v>
      </c>
      <c r="V75" s="55">
        <f t="shared" si="10"/>
        <v>0</v>
      </c>
      <c r="X75" s="11">
        <f t="shared" si="8"/>
        <v>1.6344829196534896E-4</v>
      </c>
      <c r="Y75" s="12">
        <f t="shared" si="11"/>
        <v>0.99516660050902517</v>
      </c>
      <c r="AA75" t="str">
        <f>IF(P75="*","-",IFERROR(VLOOKUP(P75,'AE-W2'!$P$4:$T$105,4,FALSE),"-"))</f>
        <v>-</v>
      </c>
      <c r="AB75" t="str">
        <f>IF(P75="*","-",IFERROR(VLOOKUP(P75,'AE-W3'!$P$4:$T$128,4,FALSE),"-"))</f>
        <v>-</v>
      </c>
      <c r="AC75" s="25">
        <f>IF(P75="*","-",IFERROR(VLOOKUP(P75,'All MECSM samples'!$P$4:$AD$454,15,FALSE),"-"))</f>
        <v>188</v>
      </c>
      <c r="AE75">
        <v>76</v>
      </c>
      <c r="AF75">
        <v>25</v>
      </c>
      <c r="AH75">
        <f t="shared" si="12"/>
        <v>0</v>
      </c>
      <c r="AI75">
        <f t="shared" si="13"/>
        <v>0</v>
      </c>
      <c r="AJ75" s="11">
        <f>SUM(AH$5:AH75)/SUM(AI$5:AI75)</f>
        <v>0.77083333333333337</v>
      </c>
    </row>
    <row r="76" spans="1:36" x14ac:dyDescent="0.35">
      <c r="A76" t="s">
        <v>336</v>
      </c>
      <c r="B76">
        <v>7</v>
      </c>
      <c r="C76" t="s">
        <v>7</v>
      </c>
      <c r="D76" t="s">
        <v>8</v>
      </c>
      <c r="E76" t="s">
        <v>9</v>
      </c>
      <c r="G76" t="s">
        <v>10</v>
      </c>
      <c r="I76" t="s">
        <v>107</v>
      </c>
      <c r="K76" t="s">
        <v>108</v>
      </c>
      <c r="M76" t="s">
        <v>109</v>
      </c>
      <c r="O76">
        <v>1</v>
      </c>
      <c r="P76" t="s">
        <v>449</v>
      </c>
      <c r="Q76">
        <v>99.2</v>
      </c>
      <c r="R76">
        <v>1</v>
      </c>
      <c r="S76" s="8">
        <v>7</v>
      </c>
      <c r="T76" s="14">
        <v>0</v>
      </c>
      <c r="U76" s="55">
        <f t="shared" si="9"/>
        <v>1.6344829196534896E-4</v>
      </c>
      <c r="V76" s="55">
        <f t="shared" si="10"/>
        <v>0</v>
      </c>
      <c r="X76" s="11">
        <f t="shared" si="8"/>
        <v>1.6344829196534896E-4</v>
      </c>
      <c r="Y76" s="12">
        <f t="shared" si="11"/>
        <v>0.99533004880099052</v>
      </c>
      <c r="AA76" t="str">
        <f>IF(P76="*","-",IFERROR(VLOOKUP(P76,'AE-W2'!$P$4:$T$105,4,FALSE),"-"))</f>
        <v>-</v>
      </c>
      <c r="AB76" t="str">
        <f>IF(P76="*","-",IFERROR(VLOOKUP(P76,'AE-W3'!$P$4:$T$128,4,FALSE),"-"))</f>
        <v>-</v>
      </c>
      <c r="AC76" s="25">
        <f>IF(P76="*","-",IFERROR(VLOOKUP(P76,'All MECSM samples'!$P$4:$AD$454,15,FALSE),"-"))</f>
        <v>274</v>
      </c>
      <c r="AE76">
        <v>72</v>
      </c>
      <c r="AF76">
        <v>1</v>
      </c>
      <c r="AH76">
        <f t="shared" si="12"/>
        <v>0</v>
      </c>
      <c r="AI76">
        <f t="shared" si="13"/>
        <v>0</v>
      </c>
      <c r="AJ76" s="11">
        <f>SUM(AH$5:AH76)/SUM(AI$5:AI76)</f>
        <v>0.77083333333333337</v>
      </c>
    </row>
    <row r="77" spans="1:36" x14ac:dyDescent="0.35">
      <c r="A77" t="s">
        <v>267</v>
      </c>
      <c r="B77">
        <v>7</v>
      </c>
      <c r="C77" t="s">
        <v>7</v>
      </c>
      <c r="D77" t="s">
        <v>8</v>
      </c>
      <c r="E77" t="s">
        <v>32</v>
      </c>
      <c r="G77" t="s">
        <v>35</v>
      </c>
      <c r="I77" t="s">
        <v>36</v>
      </c>
      <c r="K77" t="s">
        <v>37</v>
      </c>
      <c r="M77" t="s">
        <v>231</v>
      </c>
      <c r="O77">
        <v>0.88</v>
      </c>
      <c r="P77" t="s">
        <v>232</v>
      </c>
      <c r="Q77">
        <v>95.3</v>
      </c>
      <c r="R77">
        <v>1</v>
      </c>
      <c r="S77" s="8">
        <v>7</v>
      </c>
      <c r="T77" s="14">
        <v>0</v>
      </c>
      <c r="U77" s="55">
        <f t="shared" si="9"/>
        <v>1.6344829196534896E-4</v>
      </c>
      <c r="V77" s="55">
        <f t="shared" si="10"/>
        <v>0</v>
      </c>
      <c r="X77" s="11">
        <f t="shared" si="8"/>
        <v>1.6344829196534896E-4</v>
      </c>
      <c r="Y77" s="12">
        <f t="shared" si="11"/>
        <v>0.99549349709295587</v>
      </c>
      <c r="AA77" t="str">
        <f>IF(P77="*","-",IFERROR(VLOOKUP(P77,'AE-W2'!$P$4:$T$105,4,FALSE),"-"))</f>
        <v>-</v>
      </c>
      <c r="AB77" t="str">
        <f>IF(P77="*","-",IFERROR(VLOOKUP(P77,'AE-W3'!$P$4:$T$128,4,FALSE),"-"))</f>
        <v>-</v>
      </c>
      <c r="AC77" s="25">
        <f>IF(P77="*","-",IFERROR(VLOOKUP(P77,'All MECSM samples'!$P$4:$AD$454,15,FALSE),"-"))</f>
        <v>465</v>
      </c>
      <c r="AE77">
        <v>78</v>
      </c>
      <c r="AF77">
        <v>2</v>
      </c>
      <c r="AH77">
        <f t="shared" si="12"/>
        <v>0</v>
      </c>
      <c r="AI77">
        <f t="shared" si="13"/>
        <v>0</v>
      </c>
      <c r="AJ77" s="11">
        <f>SUM(AH$5:AH77)/SUM(AI$5:AI77)</f>
        <v>0.77083333333333337</v>
      </c>
    </row>
    <row r="78" spans="1:36" x14ac:dyDescent="0.35">
      <c r="A78" t="s">
        <v>218</v>
      </c>
      <c r="B78">
        <v>7</v>
      </c>
      <c r="C78" t="s">
        <v>7</v>
      </c>
      <c r="D78" t="s">
        <v>8</v>
      </c>
      <c r="E78" t="s">
        <v>9</v>
      </c>
      <c r="G78" t="s">
        <v>10</v>
      </c>
      <c r="K78" t="s">
        <v>227</v>
      </c>
      <c r="M78" t="s">
        <v>228</v>
      </c>
      <c r="O78">
        <v>0.99</v>
      </c>
      <c r="P78" t="s">
        <v>229</v>
      </c>
      <c r="Q78">
        <v>94.9</v>
      </c>
      <c r="R78">
        <v>1</v>
      </c>
      <c r="S78" s="8">
        <v>7</v>
      </c>
      <c r="T78" s="14">
        <v>0</v>
      </c>
      <c r="U78" s="55">
        <f t="shared" si="9"/>
        <v>1.6344829196534896E-4</v>
      </c>
      <c r="V78" s="55">
        <f t="shared" si="10"/>
        <v>0</v>
      </c>
      <c r="X78" s="11">
        <f t="shared" si="8"/>
        <v>1.6344829196534896E-4</v>
      </c>
      <c r="Y78" s="12">
        <f t="shared" si="11"/>
        <v>0.99565694538492122</v>
      </c>
      <c r="AA78">
        <f>IF(P78="*","-",IFERROR(VLOOKUP(P78,'AE-W2'!$P$4:$T$105,4,FALSE),"-"))</f>
        <v>52</v>
      </c>
      <c r="AB78">
        <f>IF(P78="*","-",IFERROR(VLOOKUP(P78,'AE-W3'!$P$4:$T$128,4,FALSE),"-"))</f>
        <v>82</v>
      </c>
      <c r="AC78" s="25">
        <f>IF(P78="*","-",IFERROR(VLOOKUP(P78,'All MECSM samples'!$P$4:$AD$454,15,FALSE),"-"))</f>
        <v>1516</v>
      </c>
      <c r="AE78">
        <v>99</v>
      </c>
      <c r="AF78">
        <v>3</v>
      </c>
      <c r="AH78">
        <f t="shared" si="12"/>
        <v>0</v>
      </c>
      <c r="AI78">
        <f t="shared" si="13"/>
        <v>1</v>
      </c>
      <c r="AJ78" s="11">
        <f>SUM(AH$5:AH78)/SUM(AI$5:AI78)</f>
        <v>0.75510204081632648</v>
      </c>
    </row>
    <row r="79" spans="1:36" x14ac:dyDescent="0.35">
      <c r="A79" t="s">
        <v>306</v>
      </c>
      <c r="B79">
        <v>6</v>
      </c>
      <c r="C79" t="s">
        <v>7</v>
      </c>
      <c r="D79" t="s">
        <v>8</v>
      </c>
      <c r="E79" t="s">
        <v>9</v>
      </c>
      <c r="G79" t="s">
        <v>138</v>
      </c>
      <c r="I79" t="s">
        <v>139</v>
      </c>
      <c r="K79" t="s">
        <v>140</v>
      </c>
      <c r="O79">
        <v>0.67</v>
      </c>
      <c r="P79" t="s">
        <v>141</v>
      </c>
      <c r="Q79">
        <v>90.1</v>
      </c>
      <c r="R79">
        <v>1</v>
      </c>
      <c r="S79" s="8">
        <v>6</v>
      </c>
      <c r="T79" s="14">
        <v>0</v>
      </c>
      <c r="U79" s="55">
        <f t="shared" si="9"/>
        <v>1.4009853597029911E-4</v>
      </c>
      <c r="V79" s="55">
        <f t="shared" si="10"/>
        <v>0</v>
      </c>
      <c r="X79" s="11">
        <f t="shared" si="8"/>
        <v>1.4009853597029911E-4</v>
      </c>
      <c r="Y79" s="12">
        <f t="shared" si="11"/>
        <v>0.99579704392089152</v>
      </c>
      <c r="AA79">
        <f>IF(P79="*","-",IFERROR(VLOOKUP(P79,'AE-W2'!$P$4:$T$105,4,FALSE),"-"))</f>
        <v>5</v>
      </c>
      <c r="AB79">
        <f>IF(P79="*","-",IFERROR(VLOOKUP(P79,'AE-W3'!$P$4:$T$128,4,FALSE),"-"))</f>
        <v>290</v>
      </c>
      <c r="AC79" s="25">
        <f>IF(P79="*","-",IFERROR(VLOOKUP(P79,'All MECSM samples'!$P$4:$AD$454,15,FALSE),"-"))</f>
        <v>469</v>
      </c>
      <c r="AE79">
        <v>100</v>
      </c>
      <c r="AF79">
        <v>5</v>
      </c>
      <c r="AH79">
        <f t="shared" si="12"/>
        <v>0</v>
      </c>
      <c r="AI79">
        <f t="shared" si="13"/>
        <v>1</v>
      </c>
      <c r="AJ79" s="11">
        <f>SUM(AH$5:AH79)/SUM(AI$5:AI79)</f>
        <v>0.74</v>
      </c>
    </row>
    <row r="80" spans="1:36" x14ac:dyDescent="0.35">
      <c r="A80" t="s">
        <v>323</v>
      </c>
      <c r="B80">
        <v>6</v>
      </c>
      <c r="C80" t="s">
        <v>7</v>
      </c>
      <c r="D80" t="s">
        <v>8</v>
      </c>
      <c r="E80" t="s">
        <v>46</v>
      </c>
      <c r="G80" t="s">
        <v>47</v>
      </c>
      <c r="I80" t="s">
        <v>61</v>
      </c>
      <c r="K80" t="s">
        <v>84</v>
      </c>
      <c r="M80" t="s">
        <v>475</v>
      </c>
      <c r="O80">
        <v>1</v>
      </c>
      <c r="P80" t="s">
        <v>505</v>
      </c>
      <c r="Q80">
        <v>100</v>
      </c>
      <c r="R80">
        <v>2</v>
      </c>
      <c r="S80" s="8">
        <v>6</v>
      </c>
      <c r="T80" s="14">
        <v>0</v>
      </c>
      <c r="U80" s="55">
        <f t="shared" si="9"/>
        <v>1.4009853597029911E-4</v>
      </c>
      <c r="V80" s="55">
        <f t="shared" si="10"/>
        <v>0</v>
      </c>
      <c r="X80" s="11">
        <f t="shared" si="8"/>
        <v>1.4009853597029911E-4</v>
      </c>
      <c r="Y80" s="12">
        <f t="shared" si="11"/>
        <v>0.99593714245686182</v>
      </c>
      <c r="AA80" t="str">
        <f>IF(P80="*","-",IFERROR(VLOOKUP(P80,'AE-W2'!$P$4:$T$105,4,FALSE),"-"))</f>
        <v>-</v>
      </c>
      <c r="AB80" t="str">
        <f>IF(P80="*","-",IFERROR(VLOOKUP(P80,'AE-W3'!$P$4:$T$128,4,FALSE),"-"))</f>
        <v>-</v>
      </c>
      <c r="AC80" s="25">
        <f>IF(P80="*","-",IFERROR(VLOOKUP(P80,'All MECSM samples'!$P$4:$AD$454,15,FALSE),"-"))</f>
        <v>505</v>
      </c>
      <c r="AE80">
        <v>30</v>
      </c>
      <c r="AF80">
        <v>42</v>
      </c>
      <c r="AH80">
        <f t="shared" si="12"/>
        <v>0</v>
      </c>
      <c r="AI80">
        <f t="shared" si="13"/>
        <v>0</v>
      </c>
      <c r="AJ80" s="11">
        <f>SUM(AH$5:AH80)/SUM(AI$5:AI80)</f>
        <v>0.74</v>
      </c>
    </row>
    <row r="81" spans="1:36" x14ac:dyDescent="0.35">
      <c r="A81" t="s">
        <v>233</v>
      </c>
      <c r="B81">
        <v>6</v>
      </c>
      <c r="C81" t="s">
        <v>7</v>
      </c>
      <c r="D81" t="s">
        <v>8</v>
      </c>
      <c r="E81" t="s">
        <v>100</v>
      </c>
      <c r="G81" t="s">
        <v>101</v>
      </c>
      <c r="I81" t="s">
        <v>102</v>
      </c>
      <c r="K81" t="s">
        <v>103</v>
      </c>
      <c r="M81" t="s">
        <v>383</v>
      </c>
      <c r="O81">
        <v>0.81</v>
      </c>
      <c r="P81" t="s">
        <v>384</v>
      </c>
      <c r="Q81">
        <v>95.7</v>
      </c>
      <c r="R81">
        <v>1</v>
      </c>
      <c r="S81" s="8">
        <v>6</v>
      </c>
      <c r="T81" s="14">
        <v>0</v>
      </c>
      <c r="U81" s="55">
        <f t="shared" si="9"/>
        <v>1.4009853597029911E-4</v>
      </c>
      <c r="V81" s="55">
        <f t="shared" si="10"/>
        <v>0</v>
      </c>
      <c r="X81" s="11">
        <f t="shared" si="8"/>
        <v>1.4009853597029911E-4</v>
      </c>
      <c r="Y81" s="12">
        <f t="shared" si="11"/>
        <v>0.99607724099283212</v>
      </c>
      <c r="AA81">
        <f>IF(P81="*","-",IFERROR(VLOOKUP(P81,'AE-W2'!$P$4:$T$105,4,FALSE),"-"))</f>
        <v>5</v>
      </c>
      <c r="AB81">
        <f>IF(P81="*","-",IFERROR(VLOOKUP(P81,'AE-W3'!$P$4:$T$128,4,FALSE),"-"))</f>
        <v>4</v>
      </c>
      <c r="AC81" s="25">
        <f>IF(P81="*","-",IFERROR(VLOOKUP(P81,'All MECSM samples'!$P$4:$AD$454,15,FALSE),"-"))</f>
        <v>1015</v>
      </c>
      <c r="AE81">
        <v>12</v>
      </c>
      <c r="AF81">
        <v>1</v>
      </c>
      <c r="AH81">
        <f t="shared" si="12"/>
        <v>0</v>
      </c>
      <c r="AI81">
        <f t="shared" si="13"/>
        <v>0</v>
      </c>
      <c r="AJ81" s="11">
        <f>SUM(AH$5:AH81)/SUM(AI$5:AI81)</f>
        <v>0.74</v>
      </c>
    </row>
    <row r="82" spans="1:36" x14ac:dyDescent="0.35">
      <c r="A82" t="s">
        <v>284</v>
      </c>
      <c r="B82">
        <v>6</v>
      </c>
      <c r="C82" t="s">
        <v>7</v>
      </c>
      <c r="D82" t="s">
        <v>24</v>
      </c>
      <c r="E82" t="s">
        <v>25</v>
      </c>
      <c r="G82" t="s">
        <v>26</v>
      </c>
      <c r="I82" t="s">
        <v>27</v>
      </c>
      <c r="K82" t="s">
        <v>28</v>
      </c>
      <c r="M82" t="s">
        <v>29</v>
      </c>
      <c r="O82">
        <v>1</v>
      </c>
      <c r="P82" t="s">
        <v>30</v>
      </c>
      <c r="Q82">
        <v>100</v>
      </c>
      <c r="R82">
        <v>1</v>
      </c>
      <c r="S82" s="8">
        <v>6</v>
      </c>
      <c r="T82" s="14">
        <v>0</v>
      </c>
      <c r="U82" s="55">
        <f t="shared" si="9"/>
        <v>1.4009853597029911E-4</v>
      </c>
      <c r="V82" s="55">
        <f t="shared" si="10"/>
        <v>0</v>
      </c>
      <c r="X82" s="11">
        <f t="shared" si="8"/>
        <v>1.4009853597029911E-4</v>
      </c>
      <c r="Y82" s="12">
        <f t="shared" si="11"/>
        <v>0.99621733952880243</v>
      </c>
      <c r="AA82">
        <f>IF(P82="*","-",IFERROR(VLOOKUP(P82,'AE-W2'!$P$4:$T$105,4,FALSE),"-"))</f>
        <v>29</v>
      </c>
      <c r="AB82">
        <f>IF(P82="*","-",IFERROR(VLOOKUP(P82,'AE-W3'!$P$4:$T$128,4,FALSE),"-"))</f>
        <v>7736</v>
      </c>
      <c r="AC82" s="25">
        <f>IF(P82="*","-",IFERROR(VLOOKUP(P82,'All MECSM samples'!$P$4:$AD$454,15,FALSE),"-"))</f>
        <v>7783</v>
      </c>
      <c r="AE82">
        <v>0</v>
      </c>
      <c r="AF82">
        <v>0</v>
      </c>
      <c r="AH82">
        <f t="shared" si="12"/>
        <v>0</v>
      </c>
      <c r="AI82">
        <f t="shared" si="13"/>
        <v>0</v>
      </c>
      <c r="AJ82" s="11">
        <f>SUM(AH$5:AH82)/SUM(AI$5:AI82)</f>
        <v>0.74</v>
      </c>
    </row>
    <row r="83" spans="1:36" x14ac:dyDescent="0.35">
      <c r="A83" t="s">
        <v>282</v>
      </c>
      <c r="B83">
        <v>6</v>
      </c>
      <c r="C83" t="s">
        <v>7</v>
      </c>
      <c r="D83" t="s">
        <v>8</v>
      </c>
      <c r="E83" t="s">
        <v>46</v>
      </c>
      <c r="G83" t="s">
        <v>47</v>
      </c>
      <c r="I83" t="s">
        <v>69</v>
      </c>
      <c r="K83" t="s">
        <v>70</v>
      </c>
      <c r="O83">
        <v>0.64</v>
      </c>
      <c r="P83" t="s">
        <v>71</v>
      </c>
      <c r="Q83">
        <v>90.5</v>
      </c>
      <c r="R83">
        <v>1</v>
      </c>
      <c r="S83" s="8">
        <v>6</v>
      </c>
      <c r="T83" s="14">
        <v>0</v>
      </c>
      <c r="U83" s="55">
        <f t="shared" si="9"/>
        <v>1.4009853597029911E-4</v>
      </c>
      <c r="V83" s="55">
        <f t="shared" si="10"/>
        <v>0</v>
      </c>
      <c r="X83" s="11">
        <f t="shared" si="8"/>
        <v>1.4009853597029911E-4</v>
      </c>
      <c r="Y83" s="12">
        <f t="shared" si="11"/>
        <v>0.99635743806477273</v>
      </c>
      <c r="AA83">
        <f>IF(P83="*","-",IFERROR(VLOOKUP(P83,'AE-W2'!$P$4:$T$105,4,FALSE),"-"))</f>
        <v>2871</v>
      </c>
      <c r="AB83">
        <f>IF(P83="*","-",IFERROR(VLOOKUP(P83,'AE-W3'!$P$4:$T$128,4,FALSE),"-"))</f>
        <v>7</v>
      </c>
      <c r="AC83" s="25">
        <f>IF(P83="*","-",IFERROR(VLOOKUP(P83,'All MECSM samples'!$P$4:$AD$454,15,FALSE),"-"))</f>
        <v>2892</v>
      </c>
      <c r="AE83">
        <v>33</v>
      </c>
      <c r="AF83">
        <v>17</v>
      </c>
      <c r="AH83">
        <f t="shared" si="12"/>
        <v>0</v>
      </c>
      <c r="AI83">
        <f t="shared" si="13"/>
        <v>0</v>
      </c>
      <c r="AJ83" s="11">
        <f>SUM(AH$5:AH83)/SUM(AI$5:AI83)</f>
        <v>0.74</v>
      </c>
    </row>
    <row r="84" spans="1:36" x14ac:dyDescent="0.35">
      <c r="A84" t="s">
        <v>603</v>
      </c>
      <c r="B84">
        <v>6</v>
      </c>
      <c r="C84" t="s">
        <v>7</v>
      </c>
      <c r="D84" t="s">
        <v>8</v>
      </c>
      <c r="E84" t="s">
        <v>46</v>
      </c>
      <c r="G84" t="s">
        <v>64</v>
      </c>
      <c r="I84" t="s">
        <v>65</v>
      </c>
      <c r="K84" t="s">
        <v>66</v>
      </c>
      <c r="O84">
        <v>0.84</v>
      </c>
      <c r="P84" t="s">
        <v>607</v>
      </c>
      <c r="Q84">
        <v>89.3</v>
      </c>
      <c r="R84">
        <v>4</v>
      </c>
      <c r="S84" s="8">
        <v>6</v>
      </c>
      <c r="T84" s="14">
        <v>0</v>
      </c>
      <c r="U84" s="55">
        <f t="shared" si="9"/>
        <v>1.4009853597029911E-4</v>
      </c>
      <c r="V84" s="55">
        <f t="shared" si="10"/>
        <v>0</v>
      </c>
      <c r="X84" s="11">
        <f t="shared" si="8"/>
        <v>1.4009853597029911E-4</v>
      </c>
      <c r="Y84" s="12">
        <f t="shared" si="11"/>
        <v>0.99649753660074303</v>
      </c>
      <c r="AA84" t="str">
        <f>IF(P84="*","-",IFERROR(VLOOKUP(P84,'AE-W2'!$P$4:$T$105,4,FALSE),"-"))</f>
        <v>-</v>
      </c>
      <c r="AB84" t="str">
        <f>IF(P84="*","-",IFERROR(VLOOKUP(P84,'AE-W3'!$P$4:$T$128,4,FALSE),"-"))</f>
        <v>-</v>
      </c>
      <c r="AC84" s="25" t="str">
        <f>IF(P84="*","-",IFERROR(VLOOKUP(P84,'All MECSM samples'!$P$4:$AD$454,15,FALSE),"-"))</f>
        <v>-</v>
      </c>
      <c r="AE84">
        <v>64</v>
      </c>
      <c r="AF84">
        <v>1</v>
      </c>
      <c r="AH84">
        <f t="shared" si="12"/>
        <v>0</v>
      </c>
      <c r="AI84">
        <f t="shared" si="13"/>
        <v>0</v>
      </c>
      <c r="AJ84" s="11">
        <f>SUM(AH$5:AH84)/SUM(AI$5:AI84)</f>
        <v>0.74</v>
      </c>
    </row>
    <row r="85" spans="1:36" x14ac:dyDescent="0.35">
      <c r="A85" t="s">
        <v>264</v>
      </c>
      <c r="B85">
        <v>6</v>
      </c>
      <c r="C85" t="s">
        <v>7</v>
      </c>
      <c r="D85" t="s">
        <v>8</v>
      </c>
      <c r="E85" t="s">
        <v>46</v>
      </c>
      <c r="G85" t="s">
        <v>47</v>
      </c>
      <c r="I85" t="s">
        <v>61</v>
      </c>
      <c r="K85" t="s">
        <v>210</v>
      </c>
      <c r="O85">
        <v>1</v>
      </c>
      <c r="P85" t="s">
        <v>362</v>
      </c>
      <c r="Q85">
        <v>95.7</v>
      </c>
      <c r="R85">
        <v>1</v>
      </c>
      <c r="S85" s="8">
        <v>6</v>
      </c>
      <c r="T85" s="14">
        <v>0</v>
      </c>
      <c r="U85" s="55">
        <f t="shared" si="9"/>
        <v>1.4009853597029911E-4</v>
      </c>
      <c r="V85" s="55">
        <f t="shared" si="10"/>
        <v>0</v>
      </c>
      <c r="X85" s="11">
        <f t="shared" si="8"/>
        <v>1.4009853597029911E-4</v>
      </c>
      <c r="Y85" s="12">
        <f t="shared" si="11"/>
        <v>0.99663763513671333</v>
      </c>
      <c r="AA85" t="str">
        <f>IF(P85="*","-",IFERROR(VLOOKUP(P85,'AE-W2'!$P$4:$T$105,4,FALSE),"-"))</f>
        <v>-</v>
      </c>
      <c r="AB85">
        <f>IF(P85="*","-",IFERROR(VLOOKUP(P85,'AE-W3'!$P$4:$T$128,4,FALSE),"-"))</f>
        <v>11</v>
      </c>
      <c r="AC85" s="25">
        <f>IF(P85="*","-",IFERROR(VLOOKUP(P85,'All MECSM samples'!$P$4:$AD$454,15,FALSE),"-"))</f>
        <v>1842</v>
      </c>
      <c r="AE85">
        <v>10</v>
      </c>
      <c r="AF85">
        <v>8</v>
      </c>
      <c r="AH85">
        <f t="shared" si="12"/>
        <v>0</v>
      </c>
      <c r="AI85">
        <f t="shared" si="13"/>
        <v>0</v>
      </c>
      <c r="AJ85" s="11">
        <f>SUM(AH$5:AH85)/SUM(AI$5:AI85)</f>
        <v>0.74</v>
      </c>
    </row>
    <row r="86" spans="1:36" x14ac:dyDescent="0.35">
      <c r="A86" t="s">
        <v>257</v>
      </c>
      <c r="B86">
        <v>6</v>
      </c>
      <c r="C86" t="s">
        <v>7</v>
      </c>
      <c r="D86" t="s">
        <v>8</v>
      </c>
      <c r="E86" t="s">
        <v>46</v>
      </c>
      <c r="G86" t="s">
        <v>47</v>
      </c>
      <c r="I86" t="s">
        <v>69</v>
      </c>
      <c r="K86" t="s">
        <v>70</v>
      </c>
      <c r="O86">
        <v>0.8</v>
      </c>
      <c r="P86" t="s">
        <v>507</v>
      </c>
      <c r="Q86">
        <v>91.7</v>
      </c>
      <c r="R86">
        <v>3</v>
      </c>
      <c r="S86" s="8">
        <v>6</v>
      </c>
      <c r="T86" s="14">
        <v>0</v>
      </c>
      <c r="U86" s="55">
        <f t="shared" si="9"/>
        <v>1.4009853597029911E-4</v>
      </c>
      <c r="V86" s="55">
        <f t="shared" si="10"/>
        <v>0</v>
      </c>
      <c r="X86" s="11">
        <f t="shared" si="8"/>
        <v>1.4009853597029911E-4</v>
      </c>
      <c r="Y86" s="12">
        <f t="shared" si="11"/>
        <v>0.99677773367268363</v>
      </c>
      <c r="AA86" t="str">
        <f>IF(P86="*","-",IFERROR(VLOOKUP(P86,'AE-W2'!$P$4:$T$105,4,FALSE),"-"))</f>
        <v>-</v>
      </c>
      <c r="AB86" t="str">
        <f>IF(P86="*","-",IFERROR(VLOOKUP(P86,'AE-W3'!$P$4:$T$128,4,FALSE),"-"))</f>
        <v>-</v>
      </c>
      <c r="AC86" s="25">
        <f>IF(P86="*","-",IFERROR(VLOOKUP(P86,'All MECSM samples'!$P$4:$AD$454,15,FALSE),"-"))</f>
        <v>624</v>
      </c>
      <c r="AE86">
        <v>28</v>
      </c>
      <c r="AF86">
        <v>19</v>
      </c>
      <c r="AH86">
        <f t="shared" si="12"/>
        <v>0</v>
      </c>
      <c r="AI86">
        <f t="shared" si="13"/>
        <v>0</v>
      </c>
      <c r="AJ86" s="11">
        <f>SUM(AH$5:AH86)/SUM(AI$5:AI86)</f>
        <v>0.74</v>
      </c>
    </row>
    <row r="87" spans="1:36" x14ac:dyDescent="0.35">
      <c r="A87" t="s">
        <v>325</v>
      </c>
      <c r="B87">
        <v>6</v>
      </c>
      <c r="C87" t="s">
        <v>7</v>
      </c>
      <c r="D87" t="s">
        <v>8</v>
      </c>
      <c r="E87" t="s">
        <v>9</v>
      </c>
      <c r="G87" t="s">
        <v>172</v>
      </c>
      <c r="I87" t="s">
        <v>173</v>
      </c>
      <c r="K87" t="s">
        <v>174</v>
      </c>
      <c r="M87" t="s">
        <v>175</v>
      </c>
      <c r="O87">
        <v>0.99</v>
      </c>
      <c r="P87" t="s">
        <v>176</v>
      </c>
      <c r="Q87">
        <v>100</v>
      </c>
      <c r="R87">
        <v>2</v>
      </c>
      <c r="S87" s="8">
        <v>6</v>
      </c>
      <c r="T87" s="14">
        <v>0</v>
      </c>
      <c r="U87" s="55">
        <f t="shared" si="9"/>
        <v>1.4009853597029911E-4</v>
      </c>
      <c r="V87" s="55">
        <f t="shared" si="10"/>
        <v>0</v>
      </c>
      <c r="X87" s="11">
        <f t="shared" si="8"/>
        <v>1.4009853597029911E-4</v>
      </c>
      <c r="Y87" s="12">
        <f t="shared" si="11"/>
        <v>0.99691783220865393</v>
      </c>
      <c r="AA87" t="str">
        <f>IF(P87="*","-",IFERROR(VLOOKUP(P87,'AE-W2'!$P$4:$T$105,4,FALSE),"-"))</f>
        <v>-</v>
      </c>
      <c r="AB87">
        <f>IF(P87="*","-",IFERROR(VLOOKUP(P87,'AE-W3'!$P$4:$T$128,4,FALSE),"-"))</f>
        <v>138</v>
      </c>
      <c r="AC87" s="25">
        <f>IF(P87="*","-",IFERROR(VLOOKUP(P87,'All MECSM samples'!$P$4:$AD$454,15,FALSE),"-"))</f>
        <v>1109</v>
      </c>
      <c r="AE87">
        <v>56</v>
      </c>
      <c r="AF87">
        <v>1</v>
      </c>
      <c r="AH87">
        <f t="shared" si="12"/>
        <v>0</v>
      </c>
      <c r="AI87">
        <f t="shared" si="13"/>
        <v>0</v>
      </c>
      <c r="AJ87" s="11">
        <f>SUM(AH$5:AH87)/SUM(AI$5:AI87)</f>
        <v>0.74</v>
      </c>
    </row>
    <row r="88" spans="1:36" x14ac:dyDescent="0.35">
      <c r="A88" t="s">
        <v>295</v>
      </c>
      <c r="B88">
        <v>5</v>
      </c>
      <c r="C88" t="s">
        <v>7</v>
      </c>
      <c r="D88" t="s">
        <v>8</v>
      </c>
      <c r="E88" t="s">
        <v>9</v>
      </c>
      <c r="G88" t="s">
        <v>10</v>
      </c>
      <c r="I88" t="s">
        <v>11</v>
      </c>
      <c r="K88" t="s">
        <v>12</v>
      </c>
      <c r="M88" t="s">
        <v>13</v>
      </c>
      <c r="O88">
        <v>0.95</v>
      </c>
      <c r="P88" t="s">
        <v>509</v>
      </c>
      <c r="Q88">
        <v>96.4</v>
      </c>
      <c r="R88">
        <v>2</v>
      </c>
      <c r="S88" s="8">
        <v>5</v>
      </c>
      <c r="T88" s="14">
        <v>0</v>
      </c>
      <c r="U88" s="55">
        <f t="shared" si="9"/>
        <v>1.1674877997524926E-4</v>
      </c>
      <c r="V88" s="55">
        <f t="shared" si="10"/>
        <v>0</v>
      </c>
      <c r="X88" s="11">
        <f t="shared" si="8"/>
        <v>1.1674877997524926E-4</v>
      </c>
      <c r="Y88" s="12">
        <f t="shared" si="11"/>
        <v>0.99703458098862918</v>
      </c>
      <c r="AA88" t="str">
        <f>IF(P88="*","-",IFERROR(VLOOKUP(P88,'AE-W2'!$P$4:$T$105,4,FALSE),"-"))</f>
        <v>-</v>
      </c>
      <c r="AB88" t="str">
        <f>IF(P88="*","-",IFERROR(VLOOKUP(P88,'AE-W3'!$P$4:$T$128,4,FALSE),"-"))</f>
        <v>-</v>
      </c>
      <c r="AC88" s="25">
        <f>IF(P88="*","-",IFERROR(VLOOKUP(P88,'All MECSM samples'!$P$4:$AD$454,15,FALSE),"-"))</f>
        <v>30</v>
      </c>
      <c r="AE88">
        <v>28</v>
      </c>
      <c r="AF88">
        <v>1</v>
      </c>
      <c r="AH88">
        <f t="shared" si="12"/>
        <v>0</v>
      </c>
      <c r="AI88">
        <f t="shared" si="13"/>
        <v>0</v>
      </c>
      <c r="AJ88" s="11">
        <f>SUM(AH$5:AH88)/SUM(AI$5:AI88)</f>
        <v>0.74</v>
      </c>
    </row>
    <row r="89" spans="1:36" x14ac:dyDescent="0.35">
      <c r="A89" t="s">
        <v>242</v>
      </c>
      <c r="B89">
        <v>5</v>
      </c>
      <c r="C89" t="s">
        <v>7</v>
      </c>
      <c r="D89" t="s">
        <v>8</v>
      </c>
      <c r="E89" t="s">
        <v>46</v>
      </c>
      <c r="G89" t="s">
        <v>47</v>
      </c>
      <c r="I89" t="s">
        <v>61</v>
      </c>
      <c r="O89">
        <v>1</v>
      </c>
      <c r="P89" t="s">
        <v>381</v>
      </c>
      <c r="Q89">
        <v>94.9</v>
      </c>
      <c r="R89">
        <v>1</v>
      </c>
      <c r="S89" s="8">
        <v>5</v>
      </c>
      <c r="T89" s="14">
        <v>0</v>
      </c>
      <c r="U89" s="55">
        <f t="shared" si="9"/>
        <v>1.1674877997524926E-4</v>
      </c>
      <c r="V89" s="55">
        <f t="shared" si="10"/>
        <v>0</v>
      </c>
      <c r="X89" s="11">
        <f t="shared" si="8"/>
        <v>1.1674877997524926E-4</v>
      </c>
      <c r="Y89" s="12">
        <f t="shared" si="11"/>
        <v>0.99715132976860443</v>
      </c>
      <c r="AA89">
        <f>IF(P89="*","-",IFERROR(VLOOKUP(P89,'AE-W2'!$P$4:$T$105,4,FALSE),"-"))</f>
        <v>6</v>
      </c>
      <c r="AB89">
        <f>IF(P89="*","-",IFERROR(VLOOKUP(P89,'AE-W3'!$P$4:$T$128,4,FALSE),"-"))</f>
        <v>5</v>
      </c>
      <c r="AC89" s="25">
        <f>IF(P89="*","-",IFERROR(VLOOKUP(P89,'All MECSM samples'!$P$4:$AD$454,15,FALSE),"-"))</f>
        <v>932</v>
      </c>
      <c r="AE89">
        <v>52</v>
      </c>
      <c r="AF89">
        <v>24</v>
      </c>
      <c r="AH89">
        <f t="shared" si="12"/>
        <v>0</v>
      </c>
      <c r="AI89">
        <f t="shared" si="13"/>
        <v>0</v>
      </c>
      <c r="AJ89" s="11">
        <f>SUM(AH$5:AH89)/SUM(AI$5:AI89)</f>
        <v>0.74</v>
      </c>
    </row>
    <row r="90" spans="1:36" x14ac:dyDescent="0.35">
      <c r="A90" t="s">
        <v>286</v>
      </c>
      <c r="B90">
        <v>5</v>
      </c>
      <c r="C90" t="s">
        <v>7</v>
      </c>
      <c r="D90" t="s">
        <v>8</v>
      </c>
      <c r="E90" t="s">
        <v>32</v>
      </c>
      <c r="G90" t="s">
        <v>35</v>
      </c>
      <c r="I90" t="s">
        <v>36</v>
      </c>
      <c r="O90">
        <v>0.72</v>
      </c>
      <c r="P90" t="s">
        <v>92</v>
      </c>
      <c r="Q90">
        <v>86.2</v>
      </c>
      <c r="R90">
        <v>1</v>
      </c>
      <c r="S90" s="8">
        <v>5</v>
      </c>
      <c r="T90" s="14">
        <v>0</v>
      </c>
      <c r="U90" s="55">
        <f t="shared" si="9"/>
        <v>1.1674877997524926E-4</v>
      </c>
      <c r="V90" s="55">
        <f t="shared" si="10"/>
        <v>0</v>
      </c>
      <c r="X90" s="11">
        <f t="shared" si="8"/>
        <v>1.1674877997524926E-4</v>
      </c>
      <c r="Y90" s="12">
        <f t="shared" si="11"/>
        <v>0.99726807854857968</v>
      </c>
      <c r="AA90">
        <f>IF(P90="*","-",IFERROR(VLOOKUP(P90,'AE-W2'!$P$4:$T$105,4,FALSE),"-"))</f>
        <v>29</v>
      </c>
      <c r="AB90">
        <f>IF(P90="*","-",IFERROR(VLOOKUP(P90,'AE-W3'!$P$4:$T$128,4,FALSE),"-"))</f>
        <v>389</v>
      </c>
      <c r="AC90" s="25">
        <f>IF(P90="*","-",IFERROR(VLOOKUP(P90,'All MECSM samples'!$P$4:$AD$454,15,FALSE),"-"))</f>
        <v>6717</v>
      </c>
      <c r="AE90">
        <v>48</v>
      </c>
      <c r="AF90">
        <v>15</v>
      </c>
      <c r="AH90">
        <f t="shared" si="12"/>
        <v>0</v>
      </c>
      <c r="AI90">
        <f t="shared" si="13"/>
        <v>0</v>
      </c>
      <c r="AJ90" s="11">
        <f>SUM(AH$5:AH90)/SUM(AI$5:AI90)</f>
        <v>0.74</v>
      </c>
    </row>
    <row r="91" spans="1:36" x14ac:dyDescent="0.35">
      <c r="A91" t="s">
        <v>287</v>
      </c>
      <c r="B91">
        <v>5</v>
      </c>
      <c r="C91" t="s">
        <v>7</v>
      </c>
      <c r="D91" t="s">
        <v>8</v>
      </c>
      <c r="E91" t="s">
        <v>46</v>
      </c>
      <c r="G91" t="s">
        <v>47</v>
      </c>
      <c r="O91">
        <v>0.59</v>
      </c>
      <c r="P91" t="s">
        <v>48</v>
      </c>
      <c r="Q91">
        <v>87</v>
      </c>
      <c r="R91">
        <v>1</v>
      </c>
      <c r="S91" s="8">
        <v>5</v>
      </c>
      <c r="T91" s="14">
        <v>0</v>
      </c>
      <c r="U91" s="55">
        <f t="shared" si="9"/>
        <v>1.1674877997524926E-4</v>
      </c>
      <c r="V91" s="55">
        <f t="shared" si="10"/>
        <v>0</v>
      </c>
      <c r="X91" s="11">
        <f t="shared" si="8"/>
        <v>1.1674877997524926E-4</v>
      </c>
      <c r="Y91" s="12">
        <f t="shared" si="11"/>
        <v>0.99738482732855493</v>
      </c>
      <c r="AA91">
        <f>IF(P91="*","-",IFERROR(VLOOKUP(P91,'AE-W2'!$P$4:$T$105,4,FALSE),"-"))</f>
        <v>14</v>
      </c>
      <c r="AB91">
        <f>IF(P91="*","-",IFERROR(VLOOKUP(P91,'AE-W3'!$P$4:$T$128,4,FALSE),"-"))</f>
        <v>3285</v>
      </c>
      <c r="AC91" s="25">
        <f>IF(P91="*","-",IFERROR(VLOOKUP(P91,'All MECSM samples'!$P$4:$AD$454,15,FALSE),"-"))</f>
        <v>3303</v>
      </c>
      <c r="AE91">
        <v>13</v>
      </c>
      <c r="AF91">
        <v>67</v>
      </c>
      <c r="AH91">
        <f t="shared" si="12"/>
        <v>0</v>
      </c>
      <c r="AI91">
        <f t="shared" si="13"/>
        <v>0</v>
      </c>
      <c r="AJ91" s="11">
        <f>SUM(AH$5:AH91)/SUM(AI$5:AI91)</f>
        <v>0.74</v>
      </c>
    </row>
    <row r="92" spans="1:36" x14ac:dyDescent="0.35">
      <c r="A92" t="s">
        <v>214</v>
      </c>
      <c r="B92">
        <v>5</v>
      </c>
      <c r="C92" t="s">
        <v>7</v>
      </c>
      <c r="D92" t="s">
        <v>8</v>
      </c>
      <c r="E92" t="s">
        <v>32</v>
      </c>
      <c r="G92" t="s">
        <v>35</v>
      </c>
      <c r="I92" t="s">
        <v>36</v>
      </c>
      <c r="K92" t="s">
        <v>37</v>
      </c>
      <c r="O92">
        <v>0.97</v>
      </c>
      <c r="P92" t="s">
        <v>401</v>
      </c>
      <c r="Q92">
        <v>93.7</v>
      </c>
      <c r="R92">
        <v>1</v>
      </c>
      <c r="S92" s="8">
        <v>5</v>
      </c>
      <c r="T92" s="14">
        <v>0</v>
      </c>
      <c r="U92" s="55">
        <f t="shared" si="9"/>
        <v>1.1674877997524926E-4</v>
      </c>
      <c r="V92" s="55">
        <f t="shared" si="10"/>
        <v>0</v>
      </c>
      <c r="X92" s="11">
        <f t="shared" si="8"/>
        <v>1.1674877997524926E-4</v>
      </c>
      <c r="Y92" s="12">
        <f t="shared" si="11"/>
        <v>0.99750157610853019</v>
      </c>
      <c r="AA92">
        <f>IF(P92="*","-",IFERROR(VLOOKUP(P92,'AE-W2'!$P$4:$T$105,4,FALSE),"-"))</f>
        <v>6</v>
      </c>
      <c r="AB92">
        <f>IF(P92="*","-",IFERROR(VLOOKUP(P92,'AE-W3'!$P$4:$T$128,4,FALSE),"-"))</f>
        <v>5</v>
      </c>
      <c r="AC92" s="25">
        <f>IF(P92="*","-",IFERROR(VLOOKUP(P92,'All MECSM samples'!$P$4:$AD$454,15,FALSE),"-"))</f>
        <v>6</v>
      </c>
      <c r="AE92">
        <v>2</v>
      </c>
      <c r="AF92">
        <v>70</v>
      </c>
      <c r="AH92">
        <f t="shared" si="12"/>
        <v>0</v>
      </c>
      <c r="AI92">
        <f t="shared" si="13"/>
        <v>0</v>
      </c>
      <c r="AJ92" s="11">
        <f>SUM(AH$5:AH92)/SUM(AI$5:AI92)</f>
        <v>0.74</v>
      </c>
    </row>
    <row r="93" spans="1:36" x14ac:dyDescent="0.35">
      <c r="A93" t="s">
        <v>266</v>
      </c>
      <c r="B93">
        <v>5</v>
      </c>
      <c r="C93" t="s">
        <v>7</v>
      </c>
      <c r="D93" t="s">
        <v>8</v>
      </c>
      <c r="E93" t="s">
        <v>32</v>
      </c>
      <c r="G93" t="s">
        <v>35</v>
      </c>
      <c r="I93" t="s">
        <v>36</v>
      </c>
      <c r="K93" t="s">
        <v>37</v>
      </c>
      <c r="O93">
        <v>0.85</v>
      </c>
      <c r="P93" t="s">
        <v>401</v>
      </c>
      <c r="Q93">
        <v>89.7</v>
      </c>
      <c r="R93">
        <v>1</v>
      </c>
      <c r="S93" s="8">
        <v>5</v>
      </c>
      <c r="T93" s="14">
        <v>0</v>
      </c>
      <c r="U93" s="55">
        <f t="shared" si="9"/>
        <v>1.1674877997524926E-4</v>
      </c>
      <c r="V93" s="55">
        <f t="shared" si="10"/>
        <v>0</v>
      </c>
      <c r="X93" s="11">
        <f t="shared" si="8"/>
        <v>1.1674877997524926E-4</v>
      </c>
      <c r="Y93" s="12">
        <f t="shared" si="11"/>
        <v>0.99761832488850544</v>
      </c>
      <c r="AA93">
        <f>IF(P93="*","-",IFERROR(VLOOKUP(P93,'AE-W2'!$P$4:$T$105,4,FALSE),"-"))</f>
        <v>6</v>
      </c>
      <c r="AB93">
        <f>IF(P93="*","-",IFERROR(VLOOKUP(P93,'AE-W3'!$P$4:$T$128,4,FALSE),"-"))</f>
        <v>5</v>
      </c>
      <c r="AC93" s="25">
        <f>IF(P93="*","-",IFERROR(VLOOKUP(P93,'All MECSM samples'!$P$4:$AD$454,15,FALSE),"-"))</f>
        <v>6</v>
      </c>
      <c r="AE93">
        <v>0</v>
      </c>
      <c r="AF93">
        <v>0</v>
      </c>
      <c r="AH93">
        <f t="shared" si="12"/>
        <v>0</v>
      </c>
      <c r="AI93">
        <f t="shared" si="13"/>
        <v>0</v>
      </c>
      <c r="AJ93" s="11">
        <f>SUM(AH$5:AH93)/SUM(AI$5:AI93)</f>
        <v>0.74</v>
      </c>
    </row>
    <row r="94" spans="1:36" x14ac:dyDescent="0.35">
      <c r="A94" t="s">
        <v>318</v>
      </c>
      <c r="B94">
        <v>5</v>
      </c>
      <c r="C94" t="s">
        <v>7</v>
      </c>
      <c r="D94" t="s">
        <v>8</v>
      </c>
      <c r="E94" t="s">
        <v>9</v>
      </c>
      <c r="G94" t="s">
        <v>138</v>
      </c>
      <c r="I94" t="s">
        <v>410</v>
      </c>
      <c r="K94" t="s">
        <v>411</v>
      </c>
      <c r="O94">
        <v>1</v>
      </c>
      <c r="P94" t="s">
        <v>412</v>
      </c>
      <c r="Q94">
        <v>99.2</v>
      </c>
      <c r="R94">
        <v>7</v>
      </c>
      <c r="S94" s="8">
        <v>5</v>
      </c>
      <c r="T94" s="14">
        <v>0</v>
      </c>
      <c r="U94" s="55">
        <f t="shared" si="9"/>
        <v>1.1674877997524926E-4</v>
      </c>
      <c r="V94" s="55">
        <f t="shared" si="10"/>
        <v>0</v>
      </c>
      <c r="X94" s="11">
        <f t="shared" si="8"/>
        <v>1.1674877997524926E-4</v>
      </c>
      <c r="Y94" s="12">
        <f t="shared" si="11"/>
        <v>0.99773507366848069</v>
      </c>
      <c r="AA94">
        <f>IF(P94="*","-",IFERROR(VLOOKUP(P94,'AE-W2'!$P$4:$T$105,4,FALSE),"-"))</f>
        <v>4</v>
      </c>
      <c r="AB94">
        <f>IF(P94="*","-",IFERROR(VLOOKUP(P94,'AE-W3'!$P$4:$T$128,4,FALSE),"-"))</f>
        <v>3</v>
      </c>
      <c r="AC94" s="25">
        <f>IF(P94="*","-",IFERROR(VLOOKUP(P94,'All MECSM samples'!$P$4:$AD$454,15,FALSE),"-"))</f>
        <v>1524</v>
      </c>
      <c r="AE94">
        <v>22</v>
      </c>
      <c r="AF94">
        <v>1</v>
      </c>
      <c r="AH94">
        <f t="shared" si="12"/>
        <v>0</v>
      </c>
      <c r="AI94">
        <f t="shared" si="13"/>
        <v>0</v>
      </c>
      <c r="AJ94" s="11">
        <f>SUM(AH$5:AH94)/SUM(AI$5:AI94)</f>
        <v>0.74</v>
      </c>
    </row>
    <row r="95" spans="1:36" x14ac:dyDescent="0.35">
      <c r="A95" t="s">
        <v>327</v>
      </c>
      <c r="B95">
        <v>5</v>
      </c>
      <c r="C95" t="s">
        <v>7</v>
      </c>
      <c r="D95" t="s">
        <v>8</v>
      </c>
      <c r="E95" t="s">
        <v>32</v>
      </c>
      <c r="O95">
        <v>1</v>
      </c>
      <c r="P95" t="s">
        <v>144</v>
      </c>
      <c r="Q95">
        <v>85.8</v>
      </c>
      <c r="R95">
        <v>1</v>
      </c>
      <c r="S95" s="8">
        <v>5</v>
      </c>
      <c r="T95" s="14">
        <v>0</v>
      </c>
      <c r="U95" s="55">
        <f t="shared" si="9"/>
        <v>1.1674877997524926E-4</v>
      </c>
      <c r="V95" s="55">
        <f t="shared" si="10"/>
        <v>0</v>
      </c>
      <c r="X95" s="11">
        <f t="shared" si="8"/>
        <v>1.1674877997524926E-4</v>
      </c>
      <c r="Y95" s="12">
        <f t="shared" si="11"/>
        <v>0.99785182244845594</v>
      </c>
      <c r="AA95">
        <f>IF(P95="*","-",IFERROR(VLOOKUP(P95,'AE-W2'!$P$4:$T$105,4,FALSE),"-"))</f>
        <v>112</v>
      </c>
      <c r="AB95">
        <f>IF(P95="*","-",IFERROR(VLOOKUP(P95,'AE-W3'!$P$4:$T$128,4,FALSE),"-"))</f>
        <v>119</v>
      </c>
      <c r="AC95" s="25">
        <f>IF(P95="*","-",IFERROR(VLOOKUP(P95,'All MECSM samples'!$P$4:$AD$454,15,FALSE),"-"))</f>
        <v>1118</v>
      </c>
      <c r="AE95">
        <v>0</v>
      </c>
      <c r="AF95">
        <v>0</v>
      </c>
      <c r="AH95">
        <f t="shared" si="12"/>
        <v>0</v>
      </c>
      <c r="AI95">
        <f t="shared" si="13"/>
        <v>0</v>
      </c>
      <c r="AJ95" s="11">
        <f>SUM(AH$5:AH95)/SUM(AI$5:AI95)</f>
        <v>0.74</v>
      </c>
    </row>
    <row r="96" spans="1:36" x14ac:dyDescent="0.35">
      <c r="A96" t="s">
        <v>359</v>
      </c>
      <c r="B96">
        <v>5</v>
      </c>
      <c r="C96" t="s">
        <v>7</v>
      </c>
      <c r="D96" t="s">
        <v>8</v>
      </c>
      <c r="E96" t="s">
        <v>46</v>
      </c>
      <c r="G96" t="s">
        <v>47</v>
      </c>
      <c r="I96" t="s">
        <v>61</v>
      </c>
      <c r="O96">
        <v>0.85</v>
      </c>
      <c r="P96" t="s">
        <v>90</v>
      </c>
      <c r="Q96">
        <v>91.3</v>
      </c>
      <c r="R96">
        <v>1</v>
      </c>
      <c r="S96" s="8">
        <v>5</v>
      </c>
      <c r="T96" s="14">
        <v>0</v>
      </c>
      <c r="U96" s="55">
        <f t="shared" si="9"/>
        <v>1.1674877997524926E-4</v>
      </c>
      <c r="V96" s="55">
        <f t="shared" si="10"/>
        <v>0</v>
      </c>
      <c r="X96" s="11">
        <f t="shared" si="8"/>
        <v>1.1674877997524926E-4</v>
      </c>
      <c r="Y96" s="12">
        <f t="shared" si="11"/>
        <v>0.99796857122843119</v>
      </c>
      <c r="AA96">
        <f>IF(P96="*","-",IFERROR(VLOOKUP(P96,'AE-W2'!$P$4:$T$105,4,FALSE),"-"))</f>
        <v>5</v>
      </c>
      <c r="AB96">
        <f>IF(P96="*","-",IFERROR(VLOOKUP(P96,'AE-W3'!$P$4:$T$128,4,FALSE),"-"))</f>
        <v>1124</v>
      </c>
      <c r="AC96" s="25">
        <f>IF(P96="*","-",IFERROR(VLOOKUP(P96,'All MECSM samples'!$P$4:$AD$454,15,FALSE),"-"))</f>
        <v>1132</v>
      </c>
      <c r="AE96">
        <v>9</v>
      </c>
      <c r="AF96">
        <v>103</v>
      </c>
      <c r="AH96">
        <f t="shared" si="12"/>
        <v>0</v>
      </c>
      <c r="AI96">
        <f t="shared" si="13"/>
        <v>0</v>
      </c>
      <c r="AJ96" s="11">
        <f>SUM(AH$5:AH96)/SUM(AI$5:AI96)</f>
        <v>0.74</v>
      </c>
    </row>
    <row r="97" spans="1:36" x14ac:dyDescent="0.35">
      <c r="A97" t="s">
        <v>427</v>
      </c>
      <c r="B97">
        <v>5</v>
      </c>
      <c r="C97" t="s">
        <v>7</v>
      </c>
      <c r="D97" t="s">
        <v>8</v>
      </c>
      <c r="E97" t="s">
        <v>32</v>
      </c>
      <c r="G97" t="s">
        <v>35</v>
      </c>
      <c r="I97" t="s">
        <v>36</v>
      </c>
      <c r="K97" t="s">
        <v>37</v>
      </c>
      <c r="O97">
        <v>0.5</v>
      </c>
      <c r="P97" t="s">
        <v>112</v>
      </c>
      <c r="Q97">
        <v>85.8</v>
      </c>
      <c r="R97">
        <v>1</v>
      </c>
      <c r="S97" s="8">
        <v>5</v>
      </c>
      <c r="T97" s="14">
        <v>0</v>
      </c>
      <c r="U97" s="55">
        <f t="shared" si="9"/>
        <v>1.1674877997524926E-4</v>
      </c>
      <c r="V97" s="55">
        <f t="shared" si="10"/>
        <v>0</v>
      </c>
      <c r="X97" s="11">
        <f t="shared" si="8"/>
        <v>1.1674877997524926E-4</v>
      </c>
      <c r="Y97" s="12">
        <f t="shared" si="11"/>
        <v>0.99808532000840644</v>
      </c>
      <c r="AA97" t="str">
        <f>IF(P97="*","-",IFERROR(VLOOKUP(P97,'AE-W2'!$P$4:$T$105,4,FALSE),"-"))</f>
        <v>-</v>
      </c>
      <c r="AB97">
        <f>IF(P97="*","-",IFERROR(VLOOKUP(P97,'AE-W3'!$P$4:$T$128,4,FALSE),"-"))</f>
        <v>931</v>
      </c>
      <c r="AC97" s="25">
        <f>IF(P97="*","-",IFERROR(VLOOKUP(P97,'All MECSM samples'!$P$4:$AD$454,15,FALSE),"-"))</f>
        <v>943</v>
      </c>
      <c r="AE97">
        <v>99</v>
      </c>
      <c r="AF97">
        <v>7</v>
      </c>
      <c r="AH97">
        <f t="shared" si="12"/>
        <v>0</v>
      </c>
      <c r="AI97">
        <f t="shared" si="13"/>
        <v>1</v>
      </c>
      <c r="AJ97" s="11">
        <f>SUM(AH$5:AH97)/SUM(AI$5:AI97)</f>
        <v>0.72549019607843135</v>
      </c>
    </row>
    <row r="98" spans="1:36" x14ac:dyDescent="0.35">
      <c r="A98" t="s">
        <v>277</v>
      </c>
      <c r="B98">
        <v>5</v>
      </c>
      <c r="C98" t="s">
        <v>7</v>
      </c>
      <c r="D98" t="s">
        <v>8</v>
      </c>
      <c r="E98" t="s">
        <v>9</v>
      </c>
      <c r="G98" t="s">
        <v>138</v>
      </c>
      <c r="I98" t="s">
        <v>345</v>
      </c>
      <c r="K98" t="s">
        <v>377</v>
      </c>
      <c r="M98" t="s">
        <v>378</v>
      </c>
      <c r="O98">
        <v>1</v>
      </c>
      <c r="P98" t="s">
        <v>379</v>
      </c>
      <c r="Q98">
        <v>100</v>
      </c>
      <c r="R98">
        <v>1</v>
      </c>
      <c r="S98" s="8">
        <v>5</v>
      </c>
      <c r="T98" s="14">
        <v>0</v>
      </c>
      <c r="U98" s="55">
        <f t="shared" si="9"/>
        <v>1.1674877997524926E-4</v>
      </c>
      <c r="V98" s="55">
        <f t="shared" si="10"/>
        <v>0</v>
      </c>
      <c r="X98" s="11">
        <f t="shared" si="8"/>
        <v>1.1674877997524926E-4</v>
      </c>
      <c r="Y98" s="12">
        <f t="shared" si="11"/>
        <v>0.99820206878838169</v>
      </c>
      <c r="AA98">
        <f>IF(P98="*","-",IFERROR(VLOOKUP(P98,'AE-W2'!$P$4:$T$105,4,FALSE),"-"))</f>
        <v>7</v>
      </c>
      <c r="AB98" t="str">
        <f>IF(P98="*","-",IFERROR(VLOOKUP(P98,'AE-W3'!$P$4:$T$128,4,FALSE),"-"))</f>
        <v>-</v>
      </c>
      <c r="AC98" s="25">
        <f>IF(P98="*","-",IFERROR(VLOOKUP(P98,'All MECSM samples'!$P$4:$AD$454,15,FALSE),"-"))</f>
        <v>3448</v>
      </c>
      <c r="AE98">
        <v>3</v>
      </c>
      <c r="AF98">
        <v>6</v>
      </c>
      <c r="AH98">
        <f t="shared" si="12"/>
        <v>0</v>
      </c>
      <c r="AI98">
        <f t="shared" si="13"/>
        <v>0</v>
      </c>
      <c r="AJ98" s="11">
        <f>SUM(AH$5:AH98)/SUM(AI$5:AI98)</f>
        <v>0.72549019607843135</v>
      </c>
    </row>
    <row r="99" spans="1:36" x14ac:dyDescent="0.35">
      <c r="A99" t="s">
        <v>320</v>
      </c>
      <c r="B99">
        <v>4</v>
      </c>
      <c r="C99" t="s">
        <v>7</v>
      </c>
      <c r="D99" t="s">
        <v>8</v>
      </c>
      <c r="O99">
        <v>0.99</v>
      </c>
      <c r="P99" t="s">
        <v>487</v>
      </c>
      <c r="Q99">
        <v>85.8</v>
      </c>
      <c r="R99">
        <v>2</v>
      </c>
      <c r="S99" s="8">
        <v>4</v>
      </c>
      <c r="T99" s="14">
        <v>0</v>
      </c>
      <c r="U99" s="55">
        <f t="shared" si="9"/>
        <v>9.3399023980199409E-5</v>
      </c>
      <c r="V99" s="55">
        <f t="shared" si="10"/>
        <v>0</v>
      </c>
      <c r="X99" s="11">
        <f t="shared" si="8"/>
        <v>9.3399023980199409E-5</v>
      </c>
      <c r="Y99" s="12">
        <f t="shared" si="11"/>
        <v>0.99829546781236189</v>
      </c>
      <c r="AA99">
        <f>IF(P99="*","-",IFERROR(VLOOKUP(P99,'AE-W2'!$P$4:$T$105,4,FALSE),"-"))</f>
        <v>2</v>
      </c>
      <c r="AB99" t="str">
        <f>IF(P99="*","-",IFERROR(VLOOKUP(P99,'AE-W3'!$P$4:$T$128,4,FALSE),"-"))</f>
        <v>-</v>
      </c>
      <c r="AC99" s="25">
        <f>IF(P99="*","-",IFERROR(VLOOKUP(P99,'All MECSM samples'!$P$4:$AD$454,15,FALSE),"-"))</f>
        <v>369</v>
      </c>
      <c r="AE99">
        <v>0</v>
      </c>
      <c r="AF99">
        <v>0</v>
      </c>
      <c r="AH99">
        <f t="shared" si="12"/>
        <v>0</v>
      </c>
      <c r="AI99">
        <f t="shared" si="13"/>
        <v>0</v>
      </c>
      <c r="AJ99" s="11">
        <f>SUM(AH$5:AH99)/SUM(AI$5:AI99)</f>
        <v>0.72549019607843135</v>
      </c>
    </row>
    <row r="100" spans="1:36" x14ac:dyDescent="0.35">
      <c r="A100" t="s">
        <v>300</v>
      </c>
      <c r="B100">
        <v>4</v>
      </c>
      <c r="C100" t="s">
        <v>7</v>
      </c>
      <c r="D100" t="s">
        <v>8</v>
      </c>
      <c r="E100" t="s">
        <v>9</v>
      </c>
      <c r="G100" t="s">
        <v>172</v>
      </c>
      <c r="I100" t="s">
        <v>491</v>
      </c>
      <c r="K100" t="s">
        <v>492</v>
      </c>
      <c r="M100" t="s">
        <v>493</v>
      </c>
      <c r="O100">
        <v>0.59</v>
      </c>
      <c r="P100" t="s">
        <v>494</v>
      </c>
      <c r="Q100">
        <v>100</v>
      </c>
      <c r="R100">
        <v>4</v>
      </c>
      <c r="S100" s="8">
        <v>4</v>
      </c>
      <c r="T100" s="14">
        <v>0</v>
      </c>
      <c r="U100" s="55">
        <f t="shared" si="9"/>
        <v>9.3399023980199409E-5</v>
      </c>
      <c r="V100" s="55">
        <f t="shared" si="10"/>
        <v>0</v>
      </c>
      <c r="X100" s="11">
        <f t="shared" ref="X100:X124" si="14">S100/S$1</f>
        <v>9.3399023980199409E-5</v>
      </c>
      <c r="Y100" s="12">
        <f t="shared" si="11"/>
        <v>0.99838886683634209</v>
      </c>
      <c r="AA100" t="str">
        <f>IF(P100="*","-",IFERROR(VLOOKUP(P100,'AE-W2'!$P$4:$T$105,4,FALSE),"-"))</f>
        <v>-</v>
      </c>
      <c r="AB100" t="str">
        <f>IF(P100="*","-",IFERROR(VLOOKUP(P100,'AE-W3'!$P$4:$T$128,4,FALSE),"-"))</f>
        <v>-</v>
      </c>
      <c r="AC100" s="25">
        <f>IF(P100="*","-",IFERROR(VLOOKUP(P100,'All MECSM samples'!$P$4:$AD$454,15,FALSE),"-"))</f>
        <v>93</v>
      </c>
      <c r="AE100">
        <v>85</v>
      </c>
      <c r="AF100">
        <v>3</v>
      </c>
      <c r="AH100">
        <f t="shared" si="12"/>
        <v>0</v>
      </c>
      <c r="AI100">
        <f t="shared" si="13"/>
        <v>0</v>
      </c>
      <c r="AJ100" s="11">
        <f>SUM(AH$5:AH100)/SUM(AI$5:AI100)</f>
        <v>0.72549019607843135</v>
      </c>
    </row>
    <row r="101" spans="1:36" x14ac:dyDescent="0.35">
      <c r="A101" t="s">
        <v>313</v>
      </c>
      <c r="B101">
        <v>4</v>
      </c>
      <c r="C101" t="s">
        <v>7</v>
      </c>
      <c r="D101" t="s">
        <v>8</v>
      </c>
      <c r="E101" t="s">
        <v>46</v>
      </c>
      <c r="G101" t="s">
        <v>47</v>
      </c>
      <c r="I101" t="s">
        <v>61</v>
      </c>
      <c r="O101">
        <v>0.69</v>
      </c>
      <c r="P101" t="s">
        <v>127</v>
      </c>
      <c r="Q101">
        <v>92.9</v>
      </c>
      <c r="R101">
        <v>1</v>
      </c>
      <c r="S101" s="8">
        <v>4</v>
      </c>
      <c r="T101" s="14">
        <v>0</v>
      </c>
      <c r="U101" s="55">
        <f t="shared" si="9"/>
        <v>9.3399023980199409E-5</v>
      </c>
      <c r="V101" s="55">
        <f t="shared" si="10"/>
        <v>0</v>
      </c>
      <c r="X101" s="11">
        <f t="shared" si="14"/>
        <v>9.3399023980199409E-5</v>
      </c>
      <c r="Y101" s="12">
        <f t="shared" ref="Y101:Y124" si="15">Y100+X101</f>
        <v>0.99848226586032229</v>
      </c>
      <c r="AA101">
        <f>IF(P101="*","-",IFERROR(VLOOKUP(P101,'AE-W2'!$P$4:$T$105,4,FALSE),"-"))</f>
        <v>129</v>
      </c>
      <c r="AB101" t="str">
        <f>IF(P101="*","-",IFERROR(VLOOKUP(P101,'AE-W3'!$P$4:$T$128,4,FALSE),"-"))</f>
        <v>-</v>
      </c>
      <c r="AC101" s="25">
        <f>IF(P101="*","-",IFERROR(VLOOKUP(P101,'All MECSM samples'!$P$4:$AD$454,15,FALSE),"-"))</f>
        <v>128</v>
      </c>
      <c r="AE101">
        <v>44</v>
      </c>
      <c r="AF101">
        <v>2</v>
      </c>
      <c r="AH101">
        <f t="shared" si="12"/>
        <v>0</v>
      </c>
      <c r="AI101">
        <f t="shared" si="13"/>
        <v>0</v>
      </c>
      <c r="AJ101" s="11">
        <f>SUM(AH$5:AH101)/SUM(AI$5:AI101)</f>
        <v>0.72549019607843135</v>
      </c>
    </row>
    <row r="102" spans="1:36" x14ac:dyDescent="0.35">
      <c r="A102" t="s">
        <v>303</v>
      </c>
      <c r="B102">
        <v>4</v>
      </c>
      <c r="C102" t="s">
        <v>7</v>
      </c>
      <c r="D102" t="s">
        <v>8</v>
      </c>
      <c r="O102">
        <v>1</v>
      </c>
      <c r="P102" t="s">
        <v>536</v>
      </c>
      <c r="Q102">
        <v>89.3</v>
      </c>
      <c r="R102">
        <v>1</v>
      </c>
      <c r="S102" s="8">
        <v>4</v>
      </c>
      <c r="T102" s="14">
        <v>0</v>
      </c>
      <c r="U102" s="55">
        <f t="shared" si="9"/>
        <v>9.3399023980199409E-5</v>
      </c>
      <c r="V102" s="55">
        <f t="shared" si="10"/>
        <v>0</v>
      </c>
      <c r="X102" s="11">
        <f t="shared" si="14"/>
        <v>9.3399023980199409E-5</v>
      </c>
      <c r="Y102" s="12">
        <f t="shared" si="15"/>
        <v>0.99857566488430249</v>
      </c>
      <c r="AA102" t="str">
        <f>IF(P102="*","-",IFERROR(VLOOKUP(P102,'AE-W2'!$P$4:$T$105,4,FALSE),"-"))</f>
        <v>-</v>
      </c>
      <c r="AB102" t="str">
        <f>IF(P102="*","-",IFERROR(VLOOKUP(P102,'AE-W3'!$P$4:$T$128,4,FALSE),"-"))</f>
        <v>-</v>
      </c>
      <c r="AC102" s="25">
        <f>IF(P102="*","-",IFERROR(VLOOKUP(P102,'All MECSM samples'!$P$4:$AD$454,15,FALSE),"-"))</f>
        <v>114</v>
      </c>
      <c r="AE102">
        <v>64</v>
      </c>
      <c r="AF102">
        <v>1</v>
      </c>
      <c r="AH102">
        <f t="shared" si="12"/>
        <v>0</v>
      </c>
      <c r="AI102">
        <f t="shared" si="13"/>
        <v>0</v>
      </c>
      <c r="AJ102" s="11">
        <f>SUM(AH$5:AH102)/SUM(AI$5:AI102)</f>
        <v>0.72549019607843135</v>
      </c>
    </row>
    <row r="103" spans="1:36" x14ac:dyDescent="0.35">
      <c r="A103" t="s">
        <v>271</v>
      </c>
      <c r="B103">
        <v>4</v>
      </c>
      <c r="C103" t="s">
        <v>7</v>
      </c>
      <c r="D103" t="s">
        <v>8</v>
      </c>
      <c r="E103" t="s">
        <v>46</v>
      </c>
      <c r="G103" t="s">
        <v>47</v>
      </c>
      <c r="I103" t="s">
        <v>61</v>
      </c>
      <c r="K103" t="s">
        <v>190</v>
      </c>
      <c r="M103" t="s">
        <v>191</v>
      </c>
      <c r="O103">
        <v>0.99</v>
      </c>
      <c r="P103" t="s">
        <v>192</v>
      </c>
      <c r="Q103">
        <v>100</v>
      </c>
      <c r="R103">
        <v>1</v>
      </c>
      <c r="S103" s="8">
        <v>4</v>
      </c>
      <c r="T103" s="14">
        <v>0</v>
      </c>
      <c r="U103" s="55">
        <f t="shared" si="9"/>
        <v>9.3399023980199409E-5</v>
      </c>
      <c r="V103" s="55">
        <f t="shared" si="10"/>
        <v>0</v>
      </c>
      <c r="X103" s="11">
        <f t="shared" si="14"/>
        <v>9.3399023980199409E-5</v>
      </c>
      <c r="Y103" s="12">
        <f t="shared" si="15"/>
        <v>0.99866906390828269</v>
      </c>
      <c r="AA103" t="str">
        <f>IF(P103="*","-",IFERROR(VLOOKUP(P103,'AE-W2'!$P$4:$T$105,4,FALSE),"-"))</f>
        <v>-</v>
      </c>
      <c r="AB103">
        <f>IF(P103="*","-",IFERROR(VLOOKUP(P103,'AE-W3'!$P$4:$T$128,4,FALSE),"-"))</f>
        <v>46</v>
      </c>
      <c r="AC103" s="25">
        <f>IF(P103="*","-",IFERROR(VLOOKUP(P103,'All MECSM samples'!$P$4:$AD$454,15,FALSE),"-"))</f>
        <v>245</v>
      </c>
      <c r="AE103">
        <v>91</v>
      </c>
      <c r="AF103">
        <v>19</v>
      </c>
      <c r="AH103">
        <f t="shared" si="12"/>
        <v>0</v>
      </c>
      <c r="AI103">
        <f t="shared" si="13"/>
        <v>1</v>
      </c>
      <c r="AJ103" s="11">
        <f>SUM(AH$5:AH103)/SUM(AI$5:AI103)</f>
        <v>0.71153846153846156</v>
      </c>
    </row>
    <row r="104" spans="1:36" x14ac:dyDescent="0.35">
      <c r="A104" t="s">
        <v>350</v>
      </c>
      <c r="B104">
        <v>4</v>
      </c>
      <c r="C104" t="s">
        <v>7</v>
      </c>
      <c r="D104" t="s">
        <v>8</v>
      </c>
      <c r="E104" t="s">
        <v>46</v>
      </c>
      <c r="G104" t="s">
        <v>47</v>
      </c>
      <c r="I104" t="s">
        <v>61</v>
      </c>
      <c r="K104" t="s">
        <v>182</v>
      </c>
      <c r="M104" t="s">
        <v>183</v>
      </c>
      <c r="O104">
        <v>0.95</v>
      </c>
      <c r="P104" t="s">
        <v>184</v>
      </c>
      <c r="Q104">
        <v>99.2</v>
      </c>
      <c r="R104">
        <v>1</v>
      </c>
      <c r="S104" s="8">
        <v>4</v>
      </c>
      <c r="T104" s="14">
        <v>0</v>
      </c>
      <c r="U104" s="55">
        <f t="shared" si="9"/>
        <v>9.3399023980199409E-5</v>
      </c>
      <c r="V104" s="55">
        <f t="shared" si="10"/>
        <v>0</v>
      </c>
      <c r="X104" s="11">
        <f t="shared" si="14"/>
        <v>9.3399023980199409E-5</v>
      </c>
      <c r="Y104" s="12">
        <f t="shared" si="15"/>
        <v>0.9987624629322629</v>
      </c>
      <c r="AA104">
        <f>IF(P104="*","-",IFERROR(VLOOKUP(P104,'AE-W2'!$P$4:$T$105,4,FALSE),"-"))</f>
        <v>188</v>
      </c>
      <c r="AB104" t="str">
        <f>IF(P104="*","-",IFERROR(VLOOKUP(P104,'AE-W3'!$P$4:$T$128,4,FALSE),"-"))</f>
        <v>-</v>
      </c>
      <c r="AC104" s="25">
        <f>IF(P104="*","-",IFERROR(VLOOKUP(P104,'All MECSM samples'!$P$4:$AD$454,15,FALSE),"-"))</f>
        <v>1186</v>
      </c>
      <c r="AE104">
        <v>7</v>
      </c>
      <c r="AF104">
        <v>4</v>
      </c>
      <c r="AH104">
        <f t="shared" si="12"/>
        <v>0</v>
      </c>
      <c r="AI104">
        <f t="shared" si="13"/>
        <v>0</v>
      </c>
      <c r="AJ104" s="11">
        <f>SUM(AH$5:AH104)/SUM(AI$5:AI104)</f>
        <v>0.71153846153846156</v>
      </c>
    </row>
    <row r="105" spans="1:36" x14ac:dyDescent="0.35">
      <c r="A105" t="s">
        <v>265</v>
      </c>
      <c r="B105">
        <v>4</v>
      </c>
      <c r="C105" t="s">
        <v>7</v>
      </c>
      <c r="D105" t="s">
        <v>8</v>
      </c>
      <c r="E105" t="s">
        <v>9</v>
      </c>
      <c r="G105" t="s">
        <v>10</v>
      </c>
      <c r="I105" t="s">
        <v>11</v>
      </c>
      <c r="K105" t="s">
        <v>249</v>
      </c>
      <c r="M105" t="s">
        <v>250</v>
      </c>
      <c r="O105">
        <v>0.94</v>
      </c>
      <c r="P105" t="s">
        <v>251</v>
      </c>
      <c r="Q105">
        <v>96.8</v>
      </c>
      <c r="R105">
        <v>1</v>
      </c>
      <c r="S105" s="8">
        <v>4</v>
      </c>
      <c r="T105" s="14">
        <v>0</v>
      </c>
      <c r="U105" s="55">
        <f t="shared" si="9"/>
        <v>9.3399023980199409E-5</v>
      </c>
      <c r="V105" s="55">
        <f t="shared" si="10"/>
        <v>0</v>
      </c>
      <c r="X105" s="11">
        <f t="shared" si="14"/>
        <v>9.3399023980199409E-5</v>
      </c>
      <c r="Y105" s="12">
        <f t="shared" si="15"/>
        <v>0.9988558619562431</v>
      </c>
      <c r="AA105" t="str">
        <f>IF(P105="*","-",IFERROR(VLOOKUP(P105,'AE-W2'!$P$4:$T$105,4,FALSE),"-"))</f>
        <v>-</v>
      </c>
      <c r="AB105">
        <f>IF(P105="*","-",IFERROR(VLOOKUP(P105,'AE-W3'!$P$4:$T$128,4,FALSE),"-"))</f>
        <v>61</v>
      </c>
      <c r="AC105" s="25">
        <f>IF(P105="*","-",IFERROR(VLOOKUP(P105,'All MECSM samples'!$P$4:$AD$454,15,FALSE),"-"))</f>
        <v>523</v>
      </c>
      <c r="AE105">
        <v>10</v>
      </c>
      <c r="AF105">
        <v>1</v>
      </c>
      <c r="AH105">
        <f t="shared" si="12"/>
        <v>0</v>
      </c>
      <c r="AI105">
        <f t="shared" si="13"/>
        <v>0</v>
      </c>
      <c r="AJ105" s="11">
        <f>SUM(AH$5:AH105)/SUM(AI$5:AI105)</f>
        <v>0.71153846153846156</v>
      </c>
    </row>
    <row r="106" spans="1:36" x14ac:dyDescent="0.35">
      <c r="A106" t="s">
        <v>400</v>
      </c>
      <c r="B106">
        <v>4</v>
      </c>
      <c r="C106" t="s">
        <v>7</v>
      </c>
      <c r="D106" t="s">
        <v>8</v>
      </c>
      <c r="E106" t="s">
        <v>46</v>
      </c>
      <c r="G106" t="s">
        <v>47</v>
      </c>
      <c r="I106" t="s">
        <v>61</v>
      </c>
      <c r="K106" t="s">
        <v>157</v>
      </c>
      <c r="M106" t="s">
        <v>440</v>
      </c>
      <c r="O106">
        <v>0.61</v>
      </c>
      <c r="P106" t="s">
        <v>441</v>
      </c>
      <c r="Q106">
        <v>96.8</v>
      </c>
      <c r="R106">
        <v>1</v>
      </c>
      <c r="S106" s="8">
        <v>4</v>
      </c>
      <c r="T106" s="14">
        <v>0</v>
      </c>
      <c r="U106" s="55">
        <f t="shared" si="9"/>
        <v>9.3399023980199409E-5</v>
      </c>
      <c r="V106" s="55">
        <f t="shared" si="10"/>
        <v>0</v>
      </c>
      <c r="X106" s="11">
        <f t="shared" si="14"/>
        <v>9.3399023980199409E-5</v>
      </c>
      <c r="Y106" s="12">
        <f t="shared" si="15"/>
        <v>0.9989492609802233</v>
      </c>
      <c r="AA106">
        <f>IF(P106="*","-",IFERROR(VLOOKUP(P106,'AE-W2'!$P$4:$T$105,4,FALSE),"-"))</f>
        <v>2</v>
      </c>
      <c r="AB106">
        <f>IF(P106="*","-",IFERROR(VLOOKUP(P106,'AE-W3'!$P$4:$T$128,4,FALSE),"-"))</f>
        <v>4</v>
      </c>
      <c r="AC106" s="25">
        <f>IF(P106="*","-",IFERROR(VLOOKUP(P106,'All MECSM samples'!$P$4:$AD$454,15,FALSE),"-"))</f>
        <v>767</v>
      </c>
      <c r="AE106">
        <v>3</v>
      </c>
      <c r="AF106">
        <v>2</v>
      </c>
      <c r="AH106">
        <f t="shared" si="12"/>
        <v>0</v>
      </c>
      <c r="AI106">
        <f t="shared" si="13"/>
        <v>0</v>
      </c>
      <c r="AJ106" s="11">
        <f>SUM(AH$5:AH106)/SUM(AI$5:AI106)</f>
        <v>0.71153846153846156</v>
      </c>
    </row>
    <row r="107" spans="1:36" x14ac:dyDescent="0.35">
      <c r="A107" t="s">
        <v>363</v>
      </c>
      <c r="B107">
        <v>3</v>
      </c>
      <c r="C107" t="s">
        <v>7</v>
      </c>
      <c r="D107" t="s">
        <v>24</v>
      </c>
      <c r="E107" t="s">
        <v>25</v>
      </c>
      <c r="G107" t="s">
        <v>40</v>
      </c>
      <c r="I107" t="s">
        <v>56</v>
      </c>
      <c r="K107" t="s">
        <v>466</v>
      </c>
      <c r="M107" t="s">
        <v>550</v>
      </c>
      <c r="O107">
        <v>1</v>
      </c>
      <c r="P107" t="s">
        <v>551</v>
      </c>
      <c r="Q107">
        <v>99.6</v>
      </c>
      <c r="R107">
        <v>1</v>
      </c>
      <c r="S107" s="8">
        <v>3</v>
      </c>
      <c r="T107" s="14">
        <v>0</v>
      </c>
      <c r="U107" s="55">
        <f t="shared" si="9"/>
        <v>7.0049267985149554E-5</v>
      </c>
      <c r="V107" s="55">
        <f t="shared" si="10"/>
        <v>0</v>
      </c>
      <c r="X107" s="11">
        <f t="shared" si="14"/>
        <v>7.0049267985149554E-5</v>
      </c>
      <c r="Y107" s="12">
        <f t="shared" si="15"/>
        <v>0.99901931024820845</v>
      </c>
      <c r="AA107" t="str">
        <f>IF(P107="*","-",IFERROR(VLOOKUP(P107,'AE-W2'!$P$4:$T$105,4,FALSE),"-"))</f>
        <v>-</v>
      </c>
      <c r="AB107" t="str">
        <f>IF(P107="*","-",IFERROR(VLOOKUP(P107,'AE-W3'!$P$4:$T$128,4,FALSE),"-"))</f>
        <v>-</v>
      </c>
      <c r="AC107" s="25">
        <f>IF(P107="*","-",IFERROR(VLOOKUP(P107,'All MECSM samples'!$P$4:$AD$454,15,FALSE),"-"))</f>
        <v>3</v>
      </c>
      <c r="AE107">
        <v>96</v>
      </c>
      <c r="AF107">
        <v>3</v>
      </c>
      <c r="AH107">
        <f t="shared" si="12"/>
        <v>0</v>
      </c>
      <c r="AI107">
        <f t="shared" si="13"/>
        <v>1</v>
      </c>
      <c r="AJ107" s="11">
        <f>SUM(AH$5:AH107)/SUM(AI$5:AI107)</f>
        <v>0.69811320754716977</v>
      </c>
    </row>
    <row r="108" spans="1:36" x14ac:dyDescent="0.35">
      <c r="A108" t="s">
        <v>289</v>
      </c>
      <c r="B108">
        <v>3</v>
      </c>
      <c r="C108" t="s">
        <v>7</v>
      </c>
      <c r="D108" t="s">
        <v>8</v>
      </c>
      <c r="E108" t="s">
        <v>46</v>
      </c>
      <c r="O108">
        <v>0.59</v>
      </c>
      <c r="P108" t="s">
        <v>98</v>
      </c>
      <c r="Q108">
        <v>0</v>
      </c>
      <c r="R108">
        <v>1</v>
      </c>
      <c r="S108" s="8">
        <v>3</v>
      </c>
      <c r="T108" s="14">
        <v>0</v>
      </c>
      <c r="U108" s="55">
        <f t="shared" si="9"/>
        <v>7.0049267985149554E-5</v>
      </c>
      <c r="V108" s="55">
        <f t="shared" si="10"/>
        <v>0</v>
      </c>
      <c r="X108" s="11">
        <f t="shared" si="14"/>
        <v>7.0049267985149554E-5</v>
      </c>
      <c r="Y108" s="12">
        <f t="shared" si="15"/>
        <v>0.9990893595161936</v>
      </c>
      <c r="AA108" t="str">
        <f>IF(P108="*","-",IFERROR(VLOOKUP(P108,'AE-W2'!$P$4:$T$105,4,FALSE),"-"))</f>
        <v>-</v>
      </c>
      <c r="AB108" t="str">
        <f>IF(P108="*","-",IFERROR(VLOOKUP(P108,'AE-W3'!$P$4:$T$128,4,FALSE),"-"))</f>
        <v>-</v>
      </c>
      <c r="AC108" s="25" t="str">
        <f>IF(P108="*","-",IFERROR(VLOOKUP(P108,'All MECSM samples'!$P$4:$AD$454,15,FALSE),"-"))</f>
        <v>-</v>
      </c>
      <c r="AE108">
        <v>11</v>
      </c>
      <c r="AF108">
        <v>1</v>
      </c>
      <c r="AH108">
        <f t="shared" si="12"/>
        <v>0</v>
      </c>
      <c r="AI108">
        <f t="shared" si="13"/>
        <v>0</v>
      </c>
      <c r="AJ108" s="11">
        <f>SUM(AH$5:AH108)/SUM(AI$5:AI108)</f>
        <v>0.69811320754716977</v>
      </c>
    </row>
    <row r="109" spans="1:36" x14ac:dyDescent="0.35">
      <c r="A109" t="s">
        <v>369</v>
      </c>
      <c r="B109">
        <v>3</v>
      </c>
      <c r="C109" t="s">
        <v>7</v>
      </c>
      <c r="D109" t="s">
        <v>8</v>
      </c>
      <c r="O109">
        <v>1</v>
      </c>
      <c r="P109" t="s">
        <v>50</v>
      </c>
      <c r="Q109">
        <v>89.7</v>
      </c>
      <c r="R109">
        <v>1</v>
      </c>
      <c r="S109" s="8">
        <v>3</v>
      </c>
      <c r="T109" s="14">
        <v>0</v>
      </c>
      <c r="U109" s="55">
        <f t="shared" si="9"/>
        <v>7.0049267985149554E-5</v>
      </c>
      <c r="V109" s="55">
        <f t="shared" si="10"/>
        <v>0</v>
      </c>
      <c r="X109" s="11">
        <f t="shared" si="14"/>
        <v>7.0049267985149554E-5</v>
      </c>
      <c r="Y109" s="12">
        <f t="shared" si="15"/>
        <v>0.99915940878417875</v>
      </c>
      <c r="AA109">
        <f>IF(P109="*","-",IFERROR(VLOOKUP(P109,'AE-W2'!$P$4:$T$105,4,FALSE),"-"))</f>
        <v>4057</v>
      </c>
      <c r="AB109">
        <f>IF(P109="*","-",IFERROR(VLOOKUP(P109,'AE-W3'!$P$4:$T$128,4,FALSE),"-"))</f>
        <v>6</v>
      </c>
      <c r="AC109" s="25">
        <f>IF(P109="*","-",IFERROR(VLOOKUP(P109,'All MECSM samples'!$P$4:$AD$454,15,FALSE),"-"))</f>
        <v>4081</v>
      </c>
      <c r="AE109">
        <v>6</v>
      </c>
      <c r="AF109">
        <v>1</v>
      </c>
      <c r="AH109">
        <f t="shared" si="12"/>
        <v>0</v>
      </c>
      <c r="AI109">
        <f t="shared" si="13"/>
        <v>0</v>
      </c>
      <c r="AJ109" s="11">
        <f>SUM(AH$5:AH109)/SUM(AI$5:AI109)</f>
        <v>0.69811320754716977</v>
      </c>
    </row>
    <row r="110" spans="1:36" x14ac:dyDescent="0.35">
      <c r="A110" t="s">
        <v>338</v>
      </c>
      <c r="B110">
        <v>3</v>
      </c>
      <c r="C110" t="s">
        <v>7</v>
      </c>
      <c r="D110" t="s">
        <v>8</v>
      </c>
      <c r="E110" t="s">
        <v>290</v>
      </c>
      <c r="G110" t="s">
        <v>556</v>
      </c>
      <c r="M110" t="s">
        <v>566</v>
      </c>
      <c r="O110">
        <v>0.56000000000000005</v>
      </c>
      <c r="P110" t="s">
        <v>558</v>
      </c>
      <c r="Q110">
        <v>94.5</v>
      </c>
      <c r="R110">
        <v>1</v>
      </c>
      <c r="S110" s="8">
        <v>3</v>
      </c>
      <c r="T110" s="14">
        <v>0</v>
      </c>
      <c r="U110" s="55">
        <f t="shared" si="9"/>
        <v>7.0049267985149554E-5</v>
      </c>
      <c r="V110" s="55">
        <f t="shared" si="10"/>
        <v>0</v>
      </c>
      <c r="X110" s="11">
        <f t="shared" si="14"/>
        <v>7.0049267985149554E-5</v>
      </c>
      <c r="Y110" s="12">
        <f t="shared" si="15"/>
        <v>0.9992294580521639</v>
      </c>
      <c r="AA110" t="str">
        <f>IF(P110="*","-",IFERROR(VLOOKUP(P110,'AE-W2'!$P$4:$T$105,4,FALSE),"-"))</f>
        <v>-</v>
      </c>
      <c r="AB110" t="str">
        <f>IF(P110="*","-",IFERROR(VLOOKUP(P110,'AE-W3'!$P$4:$T$128,4,FALSE),"-"))</f>
        <v>-</v>
      </c>
      <c r="AC110" s="25">
        <f>IF(P110="*","-",IFERROR(VLOOKUP(P110,'All MECSM samples'!$P$4:$AD$454,15,FALSE),"-"))</f>
        <v>7</v>
      </c>
      <c r="AE110">
        <v>61</v>
      </c>
      <c r="AF110">
        <v>1</v>
      </c>
      <c r="AH110">
        <f t="shared" si="12"/>
        <v>0</v>
      </c>
      <c r="AI110">
        <f t="shared" si="13"/>
        <v>0</v>
      </c>
      <c r="AJ110" s="11">
        <f>SUM(AH$5:AH110)/SUM(AI$5:AI110)</f>
        <v>0.69811320754716977</v>
      </c>
    </row>
    <row r="111" spans="1:36" x14ac:dyDescent="0.35">
      <c r="A111" t="s">
        <v>386</v>
      </c>
      <c r="B111">
        <v>3</v>
      </c>
      <c r="C111" t="s">
        <v>7</v>
      </c>
      <c r="D111" t="s">
        <v>8</v>
      </c>
      <c r="E111" t="s">
        <v>290</v>
      </c>
      <c r="G111" t="s">
        <v>556</v>
      </c>
      <c r="M111" t="s">
        <v>557</v>
      </c>
      <c r="O111">
        <v>0.65</v>
      </c>
      <c r="P111" t="s">
        <v>558</v>
      </c>
      <c r="Q111">
        <v>96</v>
      </c>
      <c r="R111">
        <v>1</v>
      </c>
      <c r="S111" s="8">
        <v>3</v>
      </c>
      <c r="T111" s="14">
        <v>0</v>
      </c>
      <c r="U111" s="55">
        <f t="shared" si="9"/>
        <v>7.0049267985149554E-5</v>
      </c>
      <c r="V111" s="55">
        <f t="shared" si="10"/>
        <v>0</v>
      </c>
      <c r="X111" s="11">
        <f t="shared" si="14"/>
        <v>7.0049267985149554E-5</v>
      </c>
      <c r="Y111" s="12">
        <f t="shared" si="15"/>
        <v>0.99929950732014905</v>
      </c>
      <c r="AA111" t="str">
        <f>IF(P111="*","-",IFERROR(VLOOKUP(P111,'AE-W2'!$P$4:$T$105,4,FALSE),"-"))</f>
        <v>-</v>
      </c>
      <c r="AB111" t="str">
        <f>IF(P111="*","-",IFERROR(VLOOKUP(P111,'AE-W3'!$P$4:$T$128,4,FALSE),"-"))</f>
        <v>-</v>
      </c>
      <c r="AC111" s="25">
        <f>IF(P111="*","-",IFERROR(VLOOKUP(P111,'All MECSM samples'!$P$4:$AD$454,15,FALSE),"-"))</f>
        <v>7</v>
      </c>
      <c r="AE111">
        <v>45</v>
      </c>
      <c r="AF111">
        <v>1</v>
      </c>
      <c r="AH111">
        <f t="shared" si="12"/>
        <v>0</v>
      </c>
      <c r="AI111">
        <f t="shared" si="13"/>
        <v>0</v>
      </c>
      <c r="AJ111" s="11">
        <f>SUM(AH$5:AH111)/SUM(AI$5:AI111)</f>
        <v>0.69811320754716977</v>
      </c>
    </row>
    <row r="112" spans="1:36" x14ac:dyDescent="0.35">
      <c r="A112" t="s">
        <v>465</v>
      </c>
      <c r="B112">
        <v>3</v>
      </c>
      <c r="C112" t="s">
        <v>7</v>
      </c>
      <c r="D112" t="s">
        <v>24</v>
      </c>
      <c r="E112" t="s">
        <v>25</v>
      </c>
      <c r="G112" t="s">
        <v>40</v>
      </c>
      <c r="I112" t="s">
        <v>56</v>
      </c>
      <c r="K112" t="s">
        <v>523</v>
      </c>
      <c r="M112" t="s">
        <v>524</v>
      </c>
      <c r="O112">
        <v>1</v>
      </c>
      <c r="P112" t="s">
        <v>525</v>
      </c>
      <c r="Q112">
        <v>99.6</v>
      </c>
      <c r="R112">
        <v>2</v>
      </c>
      <c r="S112" s="8">
        <v>3</v>
      </c>
      <c r="T112" s="14">
        <v>0</v>
      </c>
      <c r="U112" s="55">
        <f t="shared" si="9"/>
        <v>7.0049267985149554E-5</v>
      </c>
      <c r="V112" s="55">
        <f t="shared" si="10"/>
        <v>0</v>
      </c>
      <c r="X112" s="11">
        <f t="shared" si="14"/>
        <v>7.0049267985149554E-5</v>
      </c>
      <c r="Y112" s="12">
        <f t="shared" si="15"/>
        <v>0.9993695565881342</v>
      </c>
      <c r="AA112" t="str">
        <f>IF(P112="*","-",IFERROR(VLOOKUP(P112,'AE-W2'!$P$4:$T$105,4,FALSE),"-"))</f>
        <v>-</v>
      </c>
      <c r="AB112" t="str">
        <f>IF(P112="*","-",IFERROR(VLOOKUP(P112,'AE-W3'!$P$4:$T$128,4,FALSE),"-"))</f>
        <v>-</v>
      </c>
      <c r="AC112" s="25">
        <f>IF(P112="*","-",IFERROR(VLOOKUP(P112,'All MECSM samples'!$P$4:$AD$454,15,FALSE),"-"))</f>
        <v>316</v>
      </c>
      <c r="AE112">
        <v>0</v>
      </c>
      <c r="AF112">
        <v>0</v>
      </c>
      <c r="AH112">
        <f t="shared" si="12"/>
        <v>0</v>
      </c>
      <c r="AI112">
        <f t="shared" si="13"/>
        <v>0</v>
      </c>
      <c r="AJ112" s="11">
        <f>SUM(AH$5:AH112)/SUM(AI$5:AI112)</f>
        <v>0.69811320754716977</v>
      </c>
    </row>
    <row r="113" spans="1:36" x14ac:dyDescent="0.35">
      <c r="A113" t="s">
        <v>280</v>
      </c>
      <c r="B113">
        <v>3</v>
      </c>
      <c r="C113" t="s">
        <v>7</v>
      </c>
      <c r="D113" t="s">
        <v>8</v>
      </c>
      <c r="E113" t="s">
        <v>18</v>
      </c>
      <c r="G113" t="s">
        <v>19</v>
      </c>
      <c r="I113" t="s">
        <v>20</v>
      </c>
      <c r="K113" t="s">
        <v>21</v>
      </c>
      <c r="M113" t="s">
        <v>235</v>
      </c>
      <c r="O113">
        <v>0.81</v>
      </c>
      <c r="P113" t="s">
        <v>608</v>
      </c>
      <c r="Q113">
        <v>89.7</v>
      </c>
      <c r="R113">
        <v>1</v>
      </c>
      <c r="S113" s="8">
        <v>3</v>
      </c>
      <c r="T113" s="14">
        <v>0</v>
      </c>
      <c r="U113" s="55">
        <f t="shared" si="9"/>
        <v>7.0049267985149554E-5</v>
      </c>
      <c r="V113" s="55">
        <f t="shared" si="10"/>
        <v>0</v>
      </c>
      <c r="X113" s="11">
        <f t="shared" si="14"/>
        <v>7.0049267985149554E-5</v>
      </c>
      <c r="Y113" s="12">
        <f t="shared" si="15"/>
        <v>0.99943960585611935</v>
      </c>
      <c r="AA113" t="str">
        <f>IF(P113="*","-",IFERROR(VLOOKUP(P113,'AE-W2'!$P$4:$T$105,4,FALSE),"-"))</f>
        <v>-</v>
      </c>
      <c r="AB113" t="str">
        <f>IF(P113="*","-",IFERROR(VLOOKUP(P113,'AE-W3'!$P$4:$T$128,4,FALSE),"-"))</f>
        <v>-</v>
      </c>
      <c r="AC113" s="25" t="str">
        <f>IF(P113="*","-",IFERROR(VLOOKUP(P113,'All MECSM samples'!$P$4:$AD$454,15,FALSE),"-"))</f>
        <v>-</v>
      </c>
      <c r="AE113">
        <v>21</v>
      </c>
      <c r="AF113">
        <v>2</v>
      </c>
      <c r="AH113">
        <f t="shared" si="12"/>
        <v>0</v>
      </c>
      <c r="AI113">
        <f t="shared" si="13"/>
        <v>0</v>
      </c>
      <c r="AJ113" s="11">
        <f>SUM(AH$5:AH113)/SUM(AI$5:AI113)</f>
        <v>0.69811320754716977</v>
      </c>
    </row>
    <row r="114" spans="1:36" x14ac:dyDescent="0.35">
      <c r="A114" t="s">
        <v>344</v>
      </c>
      <c r="B114">
        <v>3</v>
      </c>
      <c r="C114" t="s">
        <v>7</v>
      </c>
      <c r="D114" t="s">
        <v>8</v>
      </c>
      <c r="E114" t="s">
        <v>120</v>
      </c>
      <c r="G114" t="s">
        <v>121</v>
      </c>
      <c r="I114" t="s">
        <v>122</v>
      </c>
      <c r="K114" t="s">
        <v>123</v>
      </c>
      <c r="O114">
        <v>0.8</v>
      </c>
      <c r="P114" t="s">
        <v>98</v>
      </c>
      <c r="Q114">
        <v>0</v>
      </c>
      <c r="R114">
        <v>1</v>
      </c>
      <c r="S114" s="8">
        <v>3</v>
      </c>
      <c r="T114" s="14">
        <v>0</v>
      </c>
      <c r="U114" s="55">
        <f t="shared" si="9"/>
        <v>7.0049267985149554E-5</v>
      </c>
      <c r="V114" s="55">
        <f t="shared" si="10"/>
        <v>0</v>
      </c>
      <c r="X114" s="11">
        <f t="shared" si="14"/>
        <v>7.0049267985149554E-5</v>
      </c>
      <c r="Y114" s="12">
        <f t="shared" si="15"/>
        <v>0.9995096551241045</v>
      </c>
      <c r="AA114" t="str">
        <f>IF(P114="*","-",IFERROR(VLOOKUP(P114,'AE-W2'!$P$4:$T$105,4,FALSE),"-"))</f>
        <v>-</v>
      </c>
      <c r="AB114" t="str">
        <f>IF(P114="*","-",IFERROR(VLOOKUP(P114,'AE-W3'!$P$4:$T$128,4,FALSE),"-"))</f>
        <v>-</v>
      </c>
      <c r="AC114" s="25" t="str">
        <f>IF(P114="*","-",IFERROR(VLOOKUP(P114,'All MECSM samples'!$P$4:$AD$454,15,FALSE),"-"))</f>
        <v>-</v>
      </c>
      <c r="AE114">
        <v>85</v>
      </c>
      <c r="AF114">
        <v>2</v>
      </c>
      <c r="AH114">
        <f t="shared" si="12"/>
        <v>0</v>
      </c>
      <c r="AI114">
        <f t="shared" si="13"/>
        <v>0</v>
      </c>
      <c r="AJ114" s="11">
        <f>SUM(AH$5:AH114)/SUM(AI$5:AI114)</f>
        <v>0.69811320754716977</v>
      </c>
    </row>
    <row r="115" spans="1:36" x14ac:dyDescent="0.35">
      <c r="A115" t="s">
        <v>353</v>
      </c>
      <c r="B115">
        <v>3</v>
      </c>
      <c r="C115" t="s">
        <v>7</v>
      </c>
      <c r="D115" t="s">
        <v>8</v>
      </c>
      <c r="E115" t="s">
        <v>46</v>
      </c>
      <c r="O115">
        <v>0.51</v>
      </c>
      <c r="P115" t="s">
        <v>511</v>
      </c>
      <c r="Q115">
        <v>86.6</v>
      </c>
      <c r="R115">
        <v>2</v>
      </c>
      <c r="S115" s="8">
        <v>3</v>
      </c>
      <c r="T115" s="14">
        <v>0</v>
      </c>
      <c r="U115" s="55">
        <f t="shared" si="9"/>
        <v>7.0049267985149554E-5</v>
      </c>
      <c r="V115" s="55">
        <f t="shared" si="10"/>
        <v>0</v>
      </c>
      <c r="X115" s="11">
        <f t="shared" si="14"/>
        <v>7.0049267985149554E-5</v>
      </c>
      <c r="Y115" s="12">
        <f t="shared" si="15"/>
        <v>0.99957970439208965</v>
      </c>
      <c r="AA115" t="str">
        <f>IF(P115="*","-",IFERROR(VLOOKUP(P115,'AE-W2'!$P$4:$T$105,4,FALSE),"-"))</f>
        <v>-</v>
      </c>
      <c r="AB115" t="str">
        <f>IF(P115="*","-",IFERROR(VLOOKUP(P115,'AE-W3'!$P$4:$T$128,4,FALSE),"-"))</f>
        <v>-</v>
      </c>
      <c r="AC115" s="25">
        <f>IF(P115="*","-",IFERROR(VLOOKUP(P115,'All MECSM samples'!$P$4:$AD$454,15,FALSE),"-"))</f>
        <v>484</v>
      </c>
      <c r="AE115">
        <v>0</v>
      </c>
      <c r="AF115">
        <v>0</v>
      </c>
      <c r="AH115">
        <f t="shared" si="12"/>
        <v>0</v>
      </c>
      <c r="AI115">
        <f t="shared" si="13"/>
        <v>0</v>
      </c>
      <c r="AJ115" s="11">
        <f>SUM(AH$5:AH115)/SUM(AI$5:AI115)</f>
        <v>0.69811320754716977</v>
      </c>
    </row>
    <row r="116" spans="1:36" x14ac:dyDescent="0.35">
      <c r="A116" t="s">
        <v>311</v>
      </c>
      <c r="B116">
        <v>2</v>
      </c>
      <c r="C116" t="s">
        <v>7</v>
      </c>
      <c r="D116" t="s">
        <v>8</v>
      </c>
      <c r="E116" t="s">
        <v>9</v>
      </c>
      <c r="G116" t="s">
        <v>10</v>
      </c>
      <c r="I116" t="s">
        <v>131</v>
      </c>
      <c r="K116" t="s">
        <v>150</v>
      </c>
      <c r="M116" t="s">
        <v>151</v>
      </c>
      <c r="O116">
        <v>0.93</v>
      </c>
      <c r="P116" t="s">
        <v>152</v>
      </c>
      <c r="Q116">
        <v>92.9</v>
      </c>
      <c r="R116">
        <v>1</v>
      </c>
      <c r="S116" s="8">
        <v>2</v>
      </c>
      <c r="T116" s="14">
        <v>0</v>
      </c>
      <c r="U116" s="55">
        <f t="shared" si="9"/>
        <v>4.6699511990099705E-5</v>
      </c>
      <c r="V116" s="55">
        <f t="shared" si="10"/>
        <v>0</v>
      </c>
      <c r="X116" s="11">
        <f t="shared" si="14"/>
        <v>4.6699511990099705E-5</v>
      </c>
      <c r="Y116" s="12">
        <f t="shared" si="15"/>
        <v>0.99962640390407975</v>
      </c>
      <c r="AA116">
        <f>IF(P116="*","-",IFERROR(VLOOKUP(P116,'AE-W2'!$P$4:$T$105,4,FALSE),"-"))</f>
        <v>220</v>
      </c>
      <c r="AB116">
        <f>IF(P116="*","-",IFERROR(VLOOKUP(P116,'AE-W3'!$P$4:$T$128,4,FALSE),"-"))</f>
        <v>108</v>
      </c>
      <c r="AC116" s="25">
        <f>IF(P116="*","-",IFERROR(VLOOKUP(P116,'All MECSM samples'!$P$4:$AD$454,15,FALSE),"-"))</f>
        <v>577</v>
      </c>
      <c r="AE116">
        <v>3</v>
      </c>
      <c r="AF116">
        <v>35</v>
      </c>
      <c r="AH116">
        <f t="shared" si="12"/>
        <v>0</v>
      </c>
      <c r="AI116">
        <f t="shared" si="13"/>
        <v>0</v>
      </c>
      <c r="AJ116" s="11">
        <f>SUM(AH$5:AH116)/SUM(AI$5:AI116)</f>
        <v>0.69811320754716977</v>
      </c>
    </row>
    <row r="117" spans="1:36" x14ac:dyDescent="0.35">
      <c r="A117" t="s">
        <v>301</v>
      </c>
      <c r="B117">
        <v>2</v>
      </c>
      <c r="C117" t="s">
        <v>7</v>
      </c>
      <c r="D117" t="s">
        <v>8</v>
      </c>
      <c r="E117" t="s">
        <v>32</v>
      </c>
      <c r="G117" t="s">
        <v>35</v>
      </c>
      <c r="I117" t="s">
        <v>36</v>
      </c>
      <c r="K117" t="s">
        <v>37</v>
      </c>
      <c r="O117">
        <v>0.97</v>
      </c>
      <c r="P117" t="s">
        <v>401</v>
      </c>
      <c r="Q117">
        <v>91.7</v>
      </c>
      <c r="R117">
        <v>1</v>
      </c>
      <c r="S117" s="8">
        <v>2</v>
      </c>
      <c r="T117" s="14">
        <v>0</v>
      </c>
      <c r="U117" s="55">
        <f t="shared" si="9"/>
        <v>4.6699511990099705E-5</v>
      </c>
      <c r="V117" s="55">
        <f t="shared" si="10"/>
        <v>0</v>
      </c>
      <c r="X117" s="11">
        <f t="shared" si="14"/>
        <v>4.6699511990099705E-5</v>
      </c>
      <c r="Y117" s="12">
        <f t="shared" si="15"/>
        <v>0.99967310341606985</v>
      </c>
      <c r="AA117">
        <f>IF(P117="*","-",IFERROR(VLOOKUP(P117,'AE-W2'!$P$4:$T$105,4,FALSE),"-"))</f>
        <v>6</v>
      </c>
      <c r="AB117">
        <f>IF(P117="*","-",IFERROR(VLOOKUP(P117,'AE-W3'!$P$4:$T$128,4,FALSE),"-"))</f>
        <v>5</v>
      </c>
      <c r="AC117" s="25">
        <f>IF(P117="*","-",IFERROR(VLOOKUP(P117,'All MECSM samples'!$P$4:$AD$454,15,FALSE),"-"))</f>
        <v>6</v>
      </c>
      <c r="AE117">
        <v>2</v>
      </c>
      <c r="AF117">
        <v>70</v>
      </c>
      <c r="AH117">
        <f t="shared" si="12"/>
        <v>0</v>
      </c>
      <c r="AI117">
        <f t="shared" si="13"/>
        <v>0</v>
      </c>
      <c r="AJ117" s="11">
        <f>SUM(AH$5:AH117)/SUM(AI$5:AI117)</f>
        <v>0.69811320754716977</v>
      </c>
    </row>
    <row r="118" spans="1:36" x14ac:dyDescent="0.35">
      <c r="A118" t="s">
        <v>355</v>
      </c>
      <c r="B118">
        <v>2</v>
      </c>
      <c r="C118" t="s">
        <v>7</v>
      </c>
      <c r="D118" t="s">
        <v>8</v>
      </c>
      <c r="E118" t="s">
        <v>46</v>
      </c>
      <c r="G118" t="s">
        <v>47</v>
      </c>
      <c r="I118" t="s">
        <v>61</v>
      </c>
      <c r="K118" t="s">
        <v>561</v>
      </c>
      <c r="O118">
        <v>0.98</v>
      </c>
      <c r="P118" t="s">
        <v>576</v>
      </c>
      <c r="Q118">
        <v>93.7</v>
      </c>
      <c r="R118">
        <v>2</v>
      </c>
      <c r="S118" s="8">
        <v>2</v>
      </c>
      <c r="T118" s="14">
        <v>0</v>
      </c>
      <c r="U118" s="55">
        <f t="shared" si="9"/>
        <v>4.6699511990099705E-5</v>
      </c>
      <c r="V118" s="55">
        <f t="shared" si="10"/>
        <v>0</v>
      </c>
      <c r="X118" s="11">
        <f t="shared" si="14"/>
        <v>4.6699511990099705E-5</v>
      </c>
      <c r="Y118" s="12">
        <f t="shared" si="15"/>
        <v>0.99971980292805995</v>
      </c>
      <c r="AA118" t="str">
        <f>IF(P118="*","-",IFERROR(VLOOKUP(P118,'AE-W2'!$P$4:$T$105,4,FALSE),"-"))</f>
        <v>-</v>
      </c>
      <c r="AB118" t="str">
        <f>IF(P118="*","-",IFERROR(VLOOKUP(P118,'AE-W3'!$P$4:$T$128,4,FALSE),"-"))</f>
        <v>-</v>
      </c>
      <c r="AC118" s="25">
        <f>IF(P118="*","-",IFERROR(VLOOKUP(P118,'All MECSM samples'!$P$4:$AD$454,15,FALSE),"-"))</f>
        <v>2</v>
      </c>
      <c r="AE118">
        <v>21</v>
      </c>
      <c r="AF118">
        <v>40</v>
      </c>
      <c r="AH118">
        <f t="shared" si="12"/>
        <v>0</v>
      </c>
      <c r="AI118">
        <f t="shared" si="13"/>
        <v>0</v>
      </c>
      <c r="AJ118" s="11">
        <f>SUM(AH$5:AH118)/SUM(AI$5:AI118)</f>
        <v>0.69811320754716977</v>
      </c>
    </row>
    <row r="119" spans="1:36" x14ac:dyDescent="0.35">
      <c r="A119" t="s">
        <v>333</v>
      </c>
      <c r="B119">
        <v>2</v>
      </c>
      <c r="C119" t="s">
        <v>7</v>
      </c>
      <c r="D119" t="s">
        <v>8</v>
      </c>
      <c r="E119" t="s">
        <v>46</v>
      </c>
      <c r="G119" t="s">
        <v>47</v>
      </c>
      <c r="I119" t="s">
        <v>61</v>
      </c>
      <c r="K119" t="s">
        <v>178</v>
      </c>
      <c r="O119">
        <v>0.94</v>
      </c>
      <c r="P119" t="s">
        <v>574</v>
      </c>
      <c r="Q119">
        <v>95.6</v>
      </c>
      <c r="R119">
        <v>1</v>
      </c>
      <c r="S119" s="8">
        <v>2</v>
      </c>
      <c r="T119" s="14">
        <v>0</v>
      </c>
      <c r="U119" s="55">
        <f t="shared" si="9"/>
        <v>4.6699511990099705E-5</v>
      </c>
      <c r="V119" s="55">
        <f t="shared" si="10"/>
        <v>0</v>
      </c>
      <c r="X119" s="11">
        <f t="shared" si="14"/>
        <v>4.6699511990099705E-5</v>
      </c>
      <c r="Y119" s="12">
        <f t="shared" si="15"/>
        <v>0.99976650244005005</v>
      </c>
      <c r="AA119" t="str">
        <f>IF(P119="*","-",IFERROR(VLOOKUP(P119,'AE-W2'!$P$4:$T$105,4,FALSE),"-"))</f>
        <v>-</v>
      </c>
      <c r="AB119" t="str">
        <f>IF(P119="*","-",IFERROR(VLOOKUP(P119,'AE-W3'!$P$4:$T$128,4,FALSE),"-"))</f>
        <v>-</v>
      </c>
      <c r="AC119" s="25">
        <f>IF(P119="*","-",IFERROR(VLOOKUP(P119,'All MECSM samples'!$P$4:$AD$454,15,FALSE),"-"))</f>
        <v>23</v>
      </c>
      <c r="AE119">
        <v>65</v>
      </c>
      <c r="AF119">
        <v>20</v>
      </c>
      <c r="AH119">
        <f t="shared" si="12"/>
        <v>0</v>
      </c>
      <c r="AI119">
        <f t="shared" si="13"/>
        <v>0</v>
      </c>
      <c r="AJ119" s="11">
        <f>SUM(AH$5:AH119)/SUM(AI$5:AI119)</f>
        <v>0.69811320754716977</v>
      </c>
    </row>
    <row r="120" spans="1:36" x14ac:dyDescent="0.35">
      <c r="A120" t="s">
        <v>340</v>
      </c>
      <c r="B120">
        <v>2</v>
      </c>
      <c r="C120" t="s">
        <v>7</v>
      </c>
      <c r="D120" t="s">
        <v>8</v>
      </c>
      <c r="E120" t="s">
        <v>583</v>
      </c>
      <c r="M120" t="s">
        <v>584</v>
      </c>
      <c r="O120">
        <v>0.99</v>
      </c>
      <c r="P120" t="s">
        <v>585</v>
      </c>
      <c r="Q120">
        <v>91.7</v>
      </c>
      <c r="R120">
        <v>1</v>
      </c>
      <c r="S120" s="8">
        <v>2</v>
      </c>
      <c r="T120" s="14">
        <v>0</v>
      </c>
      <c r="U120" s="55">
        <f t="shared" si="9"/>
        <v>4.6699511990099705E-5</v>
      </c>
      <c r="V120" s="55">
        <f t="shared" si="10"/>
        <v>0</v>
      </c>
      <c r="X120" s="11">
        <f t="shared" si="14"/>
        <v>4.6699511990099705E-5</v>
      </c>
      <c r="Y120" s="12">
        <f t="shared" si="15"/>
        <v>0.99981320195204015</v>
      </c>
      <c r="AA120" t="str">
        <f>IF(P120="*","-",IFERROR(VLOOKUP(P120,'AE-W2'!$P$4:$T$105,4,FALSE),"-"))</f>
        <v>-</v>
      </c>
      <c r="AB120" t="str">
        <f>IF(P120="*","-",IFERROR(VLOOKUP(P120,'AE-W3'!$P$4:$T$128,4,FALSE),"-"))</f>
        <v>-</v>
      </c>
      <c r="AC120" s="25">
        <f>IF(P120="*","-",IFERROR(VLOOKUP(P120,'All MECSM samples'!$P$4:$AD$454,15,FALSE),"-"))</f>
        <v>609</v>
      </c>
      <c r="AE120">
        <v>0</v>
      </c>
      <c r="AF120">
        <v>0</v>
      </c>
      <c r="AH120">
        <f t="shared" si="12"/>
        <v>0</v>
      </c>
      <c r="AI120">
        <f t="shared" si="13"/>
        <v>0</v>
      </c>
      <c r="AJ120" s="11">
        <f>SUM(AH$5:AH120)/SUM(AI$5:AI120)</f>
        <v>0.69811320754716977</v>
      </c>
    </row>
    <row r="121" spans="1:36" x14ac:dyDescent="0.35">
      <c r="A121" t="s">
        <v>315</v>
      </c>
      <c r="B121">
        <v>2</v>
      </c>
      <c r="C121" t="s">
        <v>7</v>
      </c>
      <c r="D121" t="s">
        <v>8</v>
      </c>
      <c r="E121" t="s">
        <v>114</v>
      </c>
      <c r="G121" t="s">
        <v>115</v>
      </c>
      <c r="I121" t="s">
        <v>116</v>
      </c>
      <c r="K121" t="s">
        <v>117</v>
      </c>
      <c r="M121" t="s">
        <v>118</v>
      </c>
      <c r="O121">
        <v>1</v>
      </c>
      <c r="P121" t="s">
        <v>16</v>
      </c>
      <c r="Q121">
        <v>96.4</v>
      </c>
      <c r="R121">
        <v>1</v>
      </c>
      <c r="S121" s="8">
        <v>2</v>
      </c>
      <c r="T121" s="14">
        <v>0</v>
      </c>
      <c r="U121" s="55">
        <f t="shared" si="9"/>
        <v>4.6699511990099705E-5</v>
      </c>
      <c r="V121" s="55">
        <f t="shared" si="10"/>
        <v>0</v>
      </c>
      <c r="X121" s="11">
        <f t="shared" si="14"/>
        <v>4.6699511990099705E-5</v>
      </c>
      <c r="Y121" s="12">
        <f t="shared" si="15"/>
        <v>0.99985990146403025</v>
      </c>
      <c r="AA121">
        <f>IF(P121="*","-",IFERROR(VLOOKUP(P121,'AE-W2'!$P$4:$T$105,4,FALSE),"-"))</f>
        <v>17120</v>
      </c>
      <c r="AB121">
        <f>IF(P121="*","-",IFERROR(VLOOKUP(P121,'AE-W3'!$P$4:$T$128,4,FALSE),"-"))</f>
        <v>10</v>
      </c>
      <c r="AC121" s="25">
        <f>IF(P121="*","-",IFERROR(VLOOKUP(P121,'All MECSM samples'!$P$4:$AD$454,15,FALSE),"-"))</f>
        <v>17201</v>
      </c>
      <c r="AE121">
        <v>0</v>
      </c>
      <c r="AF121">
        <v>0</v>
      </c>
      <c r="AH121">
        <f t="shared" si="12"/>
        <v>0</v>
      </c>
      <c r="AI121">
        <f t="shared" si="13"/>
        <v>0</v>
      </c>
      <c r="AJ121" s="11">
        <f>SUM(AH$5:AH121)/SUM(AI$5:AI121)</f>
        <v>0.69811320754716977</v>
      </c>
    </row>
    <row r="122" spans="1:36" x14ac:dyDescent="0.35">
      <c r="A122" t="s">
        <v>428</v>
      </c>
      <c r="B122">
        <v>2</v>
      </c>
      <c r="C122" t="s">
        <v>7</v>
      </c>
      <c r="D122" t="s">
        <v>8</v>
      </c>
      <c r="E122" t="s">
        <v>9</v>
      </c>
      <c r="G122" t="s">
        <v>138</v>
      </c>
      <c r="I122" t="s">
        <v>345</v>
      </c>
      <c r="K122" t="s">
        <v>547</v>
      </c>
      <c r="O122">
        <v>0.93</v>
      </c>
      <c r="P122" t="s">
        <v>548</v>
      </c>
      <c r="Q122">
        <v>99.6</v>
      </c>
      <c r="R122">
        <v>1</v>
      </c>
      <c r="S122" s="8">
        <v>2</v>
      </c>
      <c r="T122" s="14">
        <v>0</v>
      </c>
      <c r="U122" s="55">
        <f t="shared" si="9"/>
        <v>4.6699511990099705E-5</v>
      </c>
      <c r="V122" s="55">
        <f t="shared" si="10"/>
        <v>0</v>
      </c>
      <c r="X122" s="11">
        <f t="shared" si="14"/>
        <v>4.6699511990099705E-5</v>
      </c>
      <c r="Y122" s="12">
        <f t="shared" si="15"/>
        <v>0.99990660097602035</v>
      </c>
      <c r="AA122">
        <f>IF(P122="*","-",IFERROR(VLOOKUP(P122,'AE-W2'!$P$4:$T$105,4,FALSE),"-"))</f>
        <v>2</v>
      </c>
      <c r="AB122" t="str">
        <f>IF(P122="*","-",IFERROR(VLOOKUP(P122,'AE-W3'!$P$4:$T$128,4,FALSE),"-"))</f>
        <v>-</v>
      </c>
      <c r="AC122" s="25">
        <f>IF(P122="*","-",IFERROR(VLOOKUP(P122,'All MECSM samples'!$P$4:$AD$454,15,FALSE),"-"))</f>
        <v>1137</v>
      </c>
      <c r="AE122">
        <v>23</v>
      </c>
      <c r="AF122">
        <v>1</v>
      </c>
      <c r="AH122">
        <f t="shared" si="12"/>
        <v>0</v>
      </c>
      <c r="AI122">
        <f t="shared" si="13"/>
        <v>0</v>
      </c>
      <c r="AJ122" s="11">
        <f>SUM(AH$5:AH122)/SUM(AI$5:AI122)</f>
        <v>0.69811320754716977</v>
      </c>
    </row>
    <row r="123" spans="1:36" x14ac:dyDescent="0.35">
      <c r="A123" t="s">
        <v>346</v>
      </c>
      <c r="B123">
        <v>2</v>
      </c>
      <c r="C123" t="s">
        <v>7</v>
      </c>
      <c r="D123" t="s">
        <v>8</v>
      </c>
      <c r="E123" t="s">
        <v>46</v>
      </c>
      <c r="G123" t="s">
        <v>47</v>
      </c>
      <c r="I123" t="s">
        <v>61</v>
      </c>
      <c r="K123" t="s">
        <v>190</v>
      </c>
      <c r="M123" t="s">
        <v>587</v>
      </c>
      <c r="O123">
        <v>0.92</v>
      </c>
      <c r="P123" t="s">
        <v>588</v>
      </c>
      <c r="Q123">
        <v>95.3</v>
      </c>
      <c r="R123">
        <v>1</v>
      </c>
      <c r="S123" s="8">
        <v>2</v>
      </c>
      <c r="T123" s="14">
        <v>0</v>
      </c>
      <c r="U123" s="55">
        <f t="shared" si="9"/>
        <v>4.6699511990099705E-5</v>
      </c>
      <c r="V123" s="55">
        <f t="shared" si="10"/>
        <v>0</v>
      </c>
      <c r="X123" s="11">
        <f t="shared" si="14"/>
        <v>4.6699511990099705E-5</v>
      </c>
      <c r="Y123" s="12">
        <f t="shared" si="15"/>
        <v>0.99995330048801045</v>
      </c>
      <c r="AA123" t="str">
        <f>IF(P123="*","-",IFERROR(VLOOKUP(P123,'AE-W2'!$P$4:$T$105,4,FALSE),"-"))</f>
        <v>-</v>
      </c>
      <c r="AB123" t="str">
        <f>IF(P123="*","-",IFERROR(VLOOKUP(P123,'AE-W3'!$P$4:$T$128,4,FALSE),"-"))</f>
        <v>-</v>
      </c>
      <c r="AC123" s="25">
        <f>IF(P123="*","-",IFERROR(VLOOKUP(P123,'All MECSM samples'!$P$4:$AD$454,15,FALSE),"-"))</f>
        <v>293</v>
      </c>
      <c r="AE123">
        <v>11</v>
      </c>
      <c r="AF123">
        <v>29</v>
      </c>
      <c r="AH123">
        <f t="shared" si="12"/>
        <v>0</v>
      </c>
      <c r="AI123">
        <f t="shared" si="13"/>
        <v>0</v>
      </c>
      <c r="AJ123" s="11">
        <f>SUM(AH$5:AH123)/SUM(AI$5:AI123)</f>
        <v>0.69811320754716977</v>
      </c>
    </row>
    <row r="124" spans="1:36" x14ac:dyDescent="0.35">
      <c r="A124" t="s">
        <v>356</v>
      </c>
      <c r="B124">
        <v>2</v>
      </c>
      <c r="C124" t="s">
        <v>7</v>
      </c>
      <c r="D124" t="s">
        <v>8</v>
      </c>
      <c r="E124" t="s">
        <v>120</v>
      </c>
      <c r="G124" t="s">
        <v>121</v>
      </c>
      <c r="I124" t="s">
        <v>122</v>
      </c>
      <c r="K124" t="s">
        <v>123</v>
      </c>
      <c r="O124">
        <v>0.95</v>
      </c>
      <c r="P124" t="s">
        <v>224</v>
      </c>
      <c r="Q124">
        <v>85.4</v>
      </c>
      <c r="R124">
        <v>1</v>
      </c>
      <c r="S124" s="8">
        <v>2</v>
      </c>
      <c r="T124" s="14">
        <v>0</v>
      </c>
      <c r="U124" s="55">
        <f t="shared" si="9"/>
        <v>4.6699511990099705E-5</v>
      </c>
      <c r="V124" s="55">
        <f t="shared" si="10"/>
        <v>0</v>
      </c>
      <c r="X124" s="11">
        <f t="shared" si="14"/>
        <v>4.6699511990099705E-5</v>
      </c>
      <c r="Y124" s="12">
        <f t="shared" si="15"/>
        <v>1.0000000000000004</v>
      </c>
      <c r="AA124">
        <f>IF(P124="*","-",IFERROR(VLOOKUP(P124,'AE-W2'!$P$4:$T$105,4,FALSE),"-"))</f>
        <v>70</v>
      </c>
      <c r="AB124" t="str">
        <f>IF(P124="*","-",IFERROR(VLOOKUP(P124,'AE-W3'!$P$4:$T$128,4,FALSE),"-"))</f>
        <v>-</v>
      </c>
      <c r="AC124" s="25">
        <f>IF(P124="*","-",IFERROR(VLOOKUP(P124,'All MECSM samples'!$P$4:$AD$454,15,FALSE),"-"))</f>
        <v>54</v>
      </c>
      <c r="AE124">
        <v>62</v>
      </c>
      <c r="AF124">
        <v>1</v>
      </c>
      <c r="AH124">
        <f t="shared" si="12"/>
        <v>0</v>
      </c>
      <c r="AI124">
        <f t="shared" si="13"/>
        <v>0</v>
      </c>
      <c r="AJ124" s="11">
        <f>SUM(AH$5:AH124)/SUM(AI$5:AI124)</f>
        <v>0.69811320754716977</v>
      </c>
    </row>
    <row r="125" spans="1:36" x14ac:dyDescent="0.35">
      <c r="X125" s="11"/>
      <c r="Y125" s="12"/>
    </row>
    <row r="126" spans="1:36" x14ac:dyDescent="0.35">
      <c r="X126" s="11"/>
      <c r="Y126" s="12"/>
    </row>
  </sheetData>
  <sortState ref="A4:T125">
    <sortCondition descending="1" ref="S4:S125"/>
  </sortState>
  <conditionalFormatting sqref="S4:S126">
    <cfRule type="expression" dxfId="11" priority="48" stopIfTrue="1">
      <formula>$S4=0</formula>
    </cfRule>
    <cfRule type="expression" dxfId="10" priority="49" stopIfTrue="1">
      <formula>$AE4=0</formula>
    </cfRule>
    <cfRule type="expression" dxfId="9" priority="50">
      <formula>$AE4&lt;80</formula>
    </cfRule>
  </conditionalFormatting>
  <conditionalFormatting sqref="U4:V124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26"/>
  <sheetViews>
    <sheetView zoomScale="90" zoomScaleNormal="90" workbookViewId="0"/>
  </sheetViews>
  <sheetFormatPr defaultColWidth="8.81640625" defaultRowHeight="14.5" x14ac:dyDescent="0.35"/>
  <cols>
    <col min="15" max="15" width="6.81640625" customWidth="1"/>
    <col min="16" max="16" width="26.1796875" customWidth="1"/>
    <col min="19" max="19" width="9.81640625" customWidth="1"/>
    <col min="20" max="22" width="9.81640625" style="14" customWidth="1"/>
    <col min="23" max="23" width="4.453125" customWidth="1"/>
    <col min="24" max="25" width="11.81640625" customWidth="1"/>
    <col min="26" max="26" width="4.54296875" customWidth="1"/>
    <col min="33" max="33" width="8.81640625" customWidth="1"/>
    <col min="34" max="36" width="9.81640625" customWidth="1"/>
  </cols>
  <sheetData>
    <row r="1" spans="1:36" x14ac:dyDescent="0.35">
      <c r="S1">
        <f>SUM(S4:S126)</f>
        <v>45933</v>
      </c>
      <c r="T1" s="14">
        <f>SUM(T4:T126)</f>
        <v>15848</v>
      </c>
    </row>
    <row r="3" spans="1:36" s="1" customFormat="1" ht="43.5" x14ac:dyDescent="0.35">
      <c r="A3" s="1" t="s">
        <v>0</v>
      </c>
      <c r="B3" s="1" t="s">
        <v>1</v>
      </c>
      <c r="C3" s="1" t="s">
        <v>2</v>
      </c>
      <c r="P3" s="1" t="s">
        <v>3</v>
      </c>
      <c r="Q3" s="1" t="s">
        <v>4</v>
      </c>
      <c r="R3" s="1" t="s">
        <v>5</v>
      </c>
      <c r="S3" s="1" t="s">
        <v>2089</v>
      </c>
      <c r="T3" s="35" t="s">
        <v>2090</v>
      </c>
      <c r="U3" s="35" t="str">
        <f>S3</f>
        <v>W2 amplicon</v>
      </c>
      <c r="V3" s="35" t="str">
        <f>T3</f>
        <v>W2 extended</v>
      </c>
      <c r="X3" s="1" t="s">
        <v>627</v>
      </c>
      <c r="Y3" s="1" t="s">
        <v>618</v>
      </c>
      <c r="AA3" s="1" t="s">
        <v>2124</v>
      </c>
      <c r="AB3" s="1" t="s">
        <v>2144</v>
      </c>
      <c r="AC3" s="1" t="s">
        <v>1467</v>
      </c>
      <c r="AE3" s="1" t="s">
        <v>2133</v>
      </c>
      <c r="AF3" s="1" t="s">
        <v>1078</v>
      </c>
      <c r="AH3" s="1" t="s">
        <v>1477</v>
      </c>
      <c r="AI3" s="1" t="s">
        <v>1478</v>
      </c>
      <c r="AJ3" s="1" t="str">
        <f>AH3</f>
        <v>Kelpie</v>
      </c>
    </row>
    <row r="4" spans="1:36" x14ac:dyDescent="0.35">
      <c r="A4" t="s">
        <v>6</v>
      </c>
      <c r="B4">
        <v>24936</v>
      </c>
      <c r="C4" t="s">
        <v>7</v>
      </c>
      <c r="D4" t="s">
        <v>8</v>
      </c>
      <c r="O4">
        <v>0.99</v>
      </c>
      <c r="P4" t="s">
        <v>16</v>
      </c>
      <c r="Q4">
        <v>87</v>
      </c>
      <c r="R4">
        <v>1</v>
      </c>
      <c r="S4">
        <v>17120</v>
      </c>
      <c r="T4" s="14">
        <v>7816</v>
      </c>
      <c r="U4" s="11">
        <f>S4/S$1</f>
        <v>0.37271678314066142</v>
      </c>
      <c r="V4" s="11">
        <f>T4/T$1</f>
        <v>0.49318525996971224</v>
      </c>
      <c r="X4" s="11">
        <f t="shared" ref="X4:X35" si="0">S4/S$1</f>
        <v>0.37271678314066142</v>
      </c>
      <c r="Y4" s="12">
        <f>X4</f>
        <v>0.37271678314066142</v>
      </c>
      <c r="AA4">
        <f>IF(P4="*","-",IFERROR(VLOOKUP(P4,'AE-W1'!$P$4:$T$126,4,FALSE),"-"))</f>
        <v>24</v>
      </c>
      <c r="AB4">
        <f>IF(P4="*","-",IFERROR(VLOOKUP(P4,'AE-W3'!$P$4:$T$129,4,FALSE),"-"))</f>
        <v>10</v>
      </c>
      <c r="AC4" s="25">
        <f>IF(P4="*","-",IFERROR(VLOOKUP(P4,'All MECSM samples'!$P$4:$AD$454,15,FALSE),"-"))</f>
        <v>17201</v>
      </c>
      <c r="AE4">
        <v>100</v>
      </c>
      <c r="AF4" s="34">
        <v>4891</v>
      </c>
      <c r="AH4">
        <f>IF(AND(S4&gt;0,AE4&gt;=90, T4&gt;0), 1, 0)</f>
        <v>1</v>
      </c>
      <c r="AI4">
        <f>IF(AND(S4&gt;0,AE4&gt;=90),1,0)</f>
        <v>1</v>
      </c>
      <c r="AJ4" s="11">
        <f>SUM(AH4:AH$5)/SUM(AI4:AI$5)</f>
        <v>1</v>
      </c>
    </row>
    <row r="5" spans="1:36" x14ac:dyDescent="0.35">
      <c r="A5" t="s">
        <v>15</v>
      </c>
      <c r="B5">
        <v>7065</v>
      </c>
      <c r="C5" t="s">
        <v>7</v>
      </c>
      <c r="D5" t="s">
        <v>8</v>
      </c>
      <c r="E5" t="s">
        <v>32</v>
      </c>
      <c r="O5">
        <v>0.99</v>
      </c>
      <c r="P5" t="s">
        <v>33</v>
      </c>
      <c r="Q5">
        <v>87.7</v>
      </c>
      <c r="R5">
        <v>1</v>
      </c>
      <c r="S5">
        <v>5845</v>
      </c>
      <c r="T5" s="14">
        <v>1220</v>
      </c>
      <c r="U5" s="11">
        <f t="shared" ref="U5:U68" si="1">S5/S$1</f>
        <v>0.12725056059913353</v>
      </c>
      <c r="V5" s="11">
        <f t="shared" ref="V5:V68" si="2">T5/T$1</f>
        <v>7.6981322564361437E-2</v>
      </c>
      <c r="X5" s="11">
        <f t="shared" si="0"/>
        <v>0.12725056059913353</v>
      </c>
      <c r="Y5" s="12">
        <f t="shared" ref="Y5:Y36" si="3">Y4+X5</f>
        <v>0.49996734373979496</v>
      </c>
      <c r="AA5">
        <f>IF(P5="*","-",IFERROR(VLOOKUP(P5,'AE-W1'!$P$4:$T$126,4,FALSE),"-"))</f>
        <v>9</v>
      </c>
      <c r="AB5">
        <f>IF(P5="*","-",IFERROR(VLOOKUP(P5,'AE-W3'!$P$4:$T$129,4,FALSE),"-"))</f>
        <v>7</v>
      </c>
      <c r="AC5" s="25">
        <f>IF(P5="*","-",IFERROR(VLOOKUP(P5,'All MECSM samples'!$P$4:$AD$454,15,FALSE),"-"))</f>
        <v>5880</v>
      </c>
      <c r="AE5">
        <v>100</v>
      </c>
      <c r="AF5" s="34">
        <v>794</v>
      </c>
      <c r="AH5">
        <f t="shared" ref="AH5:AH68" si="4">IF(AND(S5&gt;0,AE5&gt;=90, T5&gt;0), 1, 0)</f>
        <v>1</v>
      </c>
      <c r="AI5">
        <f t="shared" ref="AI5:AI68" si="5">IF(AND(S5&gt;0,AE5&gt;=90),1,0)</f>
        <v>1</v>
      </c>
      <c r="AJ5" s="11">
        <f>SUM(AH5:AH$5)/SUM(AI5:AI$5)</f>
        <v>1</v>
      </c>
    </row>
    <row r="6" spans="1:36" x14ac:dyDescent="0.35">
      <c r="A6" t="s">
        <v>17</v>
      </c>
      <c r="B6">
        <v>4828</v>
      </c>
      <c r="C6" t="s">
        <v>7</v>
      </c>
      <c r="D6" t="s">
        <v>8</v>
      </c>
      <c r="O6">
        <v>1</v>
      </c>
      <c r="P6" t="s">
        <v>50</v>
      </c>
      <c r="Q6">
        <v>89.7</v>
      </c>
      <c r="R6">
        <v>1</v>
      </c>
      <c r="S6">
        <v>4057</v>
      </c>
      <c r="T6" s="14">
        <v>771</v>
      </c>
      <c r="U6" s="11">
        <f t="shared" si="1"/>
        <v>8.8324298434676596E-2</v>
      </c>
      <c r="V6" s="11">
        <f t="shared" si="2"/>
        <v>4.8649671882887428E-2</v>
      </c>
      <c r="X6" s="11">
        <f t="shared" si="0"/>
        <v>8.8324298434676596E-2</v>
      </c>
      <c r="Y6" s="12">
        <f t="shared" si="3"/>
        <v>0.5882916421744715</v>
      </c>
      <c r="AA6">
        <f>IF(P6="*","-",IFERROR(VLOOKUP(P6,'AE-W1'!$P$4:$T$126,4,FALSE),"-"))</f>
        <v>3</v>
      </c>
      <c r="AB6">
        <f>IF(P6="*","-",IFERROR(VLOOKUP(P6,'AE-W3'!$P$4:$T$129,4,FALSE),"-"))</f>
        <v>6</v>
      </c>
      <c r="AC6" s="25">
        <f>IF(P6="*","-",IFERROR(VLOOKUP(P6,'All MECSM samples'!$P$4:$AD$454,15,FALSE),"-"))</f>
        <v>4081</v>
      </c>
      <c r="AE6">
        <v>100</v>
      </c>
      <c r="AF6" s="34">
        <v>515</v>
      </c>
      <c r="AH6">
        <f t="shared" si="4"/>
        <v>1</v>
      </c>
      <c r="AI6">
        <f t="shared" si="5"/>
        <v>1</v>
      </c>
      <c r="AJ6" s="11">
        <f>SUM(AH$5:AH6)/SUM(AI$5:AI6)</f>
        <v>1</v>
      </c>
    </row>
    <row r="7" spans="1:36" x14ac:dyDescent="0.35">
      <c r="A7" t="s">
        <v>23</v>
      </c>
      <c r="B7">
        <v>3640</v>
      </c>
      <c r="C7" t="s">
        <v>7</v>
      </c>
      <c r="D7" t="s">
        <v>8</v>
      </c>
      <c r="E7" t="s">
        <v>46</v>
      </c>
      <c r="G7" t="s">
        <v>47</v>
      </c>
      <c r="I7" t="s">
        <v>61</v>
      </c>
      <c r="O7">
        <v>0.89</v>
      </c>
      <c r="P7" t="s">
        <v>62</v>
      </c>
      <c r="Q7">
        <v>90.9</v>
      </c>
      <c r="R7">
        <v>1</v>
      </c>
      <c r="S7">
        <v>2463</v>
      </c>
      <c r="T7" s="14">
        <v>1177</v>
      </c>
      <c r="U7" s="11">
        <f t="shared" si="1"/>
        <v>5.3621579256743518E-2</v>
      </c>
      <c r="V7" s="11">
        <f t="shared" si="2"/>
        <v>7.4268046441191324E-2</v>
      </c>
      <c r="X7" s="11">
        <f t="shared" si="0"/>
        <v>5.3621579256743518E-2</v>
      </c>
      <c r="Y7" s="12">
        <f t="shared" si="3"/>
        <v>0.64191322143121499</v>
      </c>
      <c r="AA7" t="str">
        <f>IF(P7="*","-",IFERROR(VLOOKUP(P7,'AE-W1'!$P$4:$T$126,4,FALSE),"-"))</f>
        <v>-</v>
      </c>
      <c r="AB7">
        <f>IF(P7="*","-",IFERROR(VLOOKUP(P7,'AE-W3'!$P$4:$T$129,4,FALSE),"-"))</f>
        <v>6</v>
      </c>
      <c r="AC7" s="25">
        <f>IF(P7="*","-",IFERROR(VLOOKUP(P7,'All MECSM samples'!$P$4:$AD$454,15,FALSE),"-"))</f>
        <v>2474</v>
      </c>
      <c r="AE7">
        <v>100</v>
      </c>
      <c r="AF7" s="34">
        <v>762</v>
      </c>
      <c r="AH7">
        <f t="shared" si="4"/>
        <v>1</v>
      </c>
      <c r="AI7">
        <f t="shared" si="5"/>
        <v>1</v>
      </c>
      <c r="AJ7" s="11">
        <f>SUM(AH$5:AH7)/SUM(AI$5:AI7)</f>
        <v>1</v>
      </c>
    </row>
    <row r="8" spans="1:36" x14ac:dyDescent="0.35">
      <c r="A8" t="s">
        <v>34</v>
      </c>
      <c r="B8">
        <v>3377</v>
      </c>
      <c r="C8" t="s">
        <v>7</v>
      </c>
      <c r="D8" t="s">
        <v>8</v>
      </c>
      <c r="E8" t="s">
        <v>46</v>
      </c>
      <c r="G8" t="s">
        <v>47</v>
      </c>
      <c r="I8" t="s">
        <v>69</v>
      </c>
      <c r="K8" t="s">
        <v>70</v>
      </c>
      <c r="O8">
        <v>0.64</v>
      </c>
      <c r="P8" t="s">
        <v>71</v>
      </c>
      <c r="Q8">
        <v>90.5</v>
      </c>
      <c r="R8">
        <v>1</v>
      </c>
      <c r="S8">
        <v>2871</v>
      </c>
      <c r="T8" s="14">
        <v>506</v>
      </c>
      <c r="U8" s="11">
        <f t="shared" si="1"/>
        <v>6.2504082032525637E-2</v>
      </c>
      <c r="V8" s="11">
        <f t="shared" si="2"/>
        <v>3.1928319030792532E-2</v>
      </c>
      <c r="X8" s="11">
        <f t="shared" si="0"/>
        <v>6.2504082032525637E-2</v>
      </c>
      <c r="Y8" s="12">
        <f t="shared" si="3"/>
        <v>0.70441730346374065</v>
      </c>
      <c r="AA8">
        <f>IF(P8="*","-",IFERROR(VLOOKUP(P8,'AE-W1'!$P$4:$T$126,4,FALSE),"-"))</f>
        <v>6</v>
      </c>
      <c r="AB8">
        <f>IF(P8="*","-",IFERROR(VLOOKUP(P8,'AE-W3'!$P$4:$T$129,4,FALSE),"-"))</f>
        <v>7</v>
      </c>
      <c r="AC8" s="25">
        <f>IF(P8="*","-",IFERROR(VLOOKUP(P8,'All MECSM samples'!$P$4:$AD$454,15,FALSE),"-"))</f>
        <v>2892</v>
      </c>
      <c r="AE8">
        <v>100</v>
      </c>
      <c r="AF8" s="34">
        <v>399</v>
      </c>
      <c r="AH8">
        <f t="shared" si="4"/>
        <v>1</v>
      </c>
      <c r="AI8">
        <f t="shared" si="5"/>
        <v>1</v>
      </c>
      <c r="AJ8" s="11">
        <f>SUM(AH$5:AH8)/SUM(AI$5:AI8)</f>
        <v>1</v>
      </c>
    </row>
    <row r="9" spans="1:36" x14ac:dyDescent="0.35">
      <c r="A9" t="s">
        <v>51</v>
      </c>
      <c r="B9">
        <v>3375</v>
      </c>
      <c r="C9" t="s">
        <v>7</v>
      </c>
      <c r="D9" t="s">
        <v>24</v>
      </c>
      <c r="E9" t="s">
        <v>25</v>
      </c>
      <c r="G9" t="s">
        <v>26</v>
      </c>
      <c r="I9" t="s">
        <v>27</v>
      </c>
      <c r="K9" t="s">
        <v>28</v>
      </c>
      <c r="M9" t="s">
        <v>29</v>
      </c>
      <c r="O9">
        <v>1</v>
      </c>
      <c r="P9" t="s">
        <v>73</v>
      </c>
      <c r="Q9">
        <v>99.6</v>
      </c>
      <c r="R9">
        <v>1</v>
      </c>
      <c r="S9">
        <v>3104</v>
      </c>
      <c r="T9" s="14">
        <v>271</v>
      </c>
      <c r="U9" s="11">
        <f t="shared" si="1"/>
        <v>6.7576687784381598E-2</v>
      </c>
      <c r="V9" s="11">
        <f t="shared" si="2"/>
        <v>1.7099949520444219E-2</v>
      </c>
      <c r="X9" s="11">
        <f t="shared" si="0"/>
        <v>6.7576687784381598E-2</v>
      </c>
      <c r="Y9" s="12">
        <f t="shared" si="3"/>
        <v>0.77199399124812229</v>
      </c>
      <c r="AA9" t="str">
        <f>IF(P9="*","-",IFERROR(VLOOKUP(P9,'AE-W1'!$P$4:$T$126,4,FALSE),"-"))</f>
        <v>-</v>
      </c>
      <c r="AB9" t="str">
        <f>IF(P9="*","-",IFERROR(VLOOKUP(P9,'AE-W3'!$P$4:$T$129,4,FALSE),"-"))</f>
        <v>-</v>
      </c>
      <c r="AC9" s="25">
        <f>IF(P9="*","-",IFERROR(VLOOKUP(P9,'All MECSM samples'!$P$4:$AD$454,15,FALSE),"-"))</f>
        <v>3131</v>
      </c>
      <c r="AE9">
        <v>100</v>
      </c>
      <c r="AF9" s="34">
        <v>201</v>
      </c>
      <c r="AH9">
        <f t="shared" si="4"/>
        <v>1</v>
      </c>
      <c r="AI9">
        <f t="shared" si="5"/>
        <v>1</v>
      </c>
      <c r="AJ9" s="11">
        <f>SUM(AH$5:AH9)/SUM(AI$5:AI9)</f>
        <v>1</v>
      </c>
    </row>
    <row r="10" spans="1:36" x14ac:dyDescent="0.35">
      <c r="A10" t="s">
        <v>39</v>
      </c>
      <c r="B10">
        <v>3011</v>
      </c>
      <c r="C10" t="s">
        <v>7</v>
      </c>
      <c r="D10" t="s">
        <v>24</v>
      </c>
      <c r="E10" t="s">
        <v>25</v>
      </c>
      <c r="G10" t="s">
        <v>26</v>
      </c>
      <c r="I10" t="s">
        <v>27</v>
      </c>
      <c r="K10" t="s">
        <v>28</v>
      </c>
      <c r="M10" t="s">
        <v>75</v>
      </c>
      <c r="O10">
        <v>1</v>
      </c>
      <c r="P10" t="s">
        <v>76</v>
      </c>
      <c r="Q10">
        <v>100</v>
      </c>
      <c r="R10">
        <v>7</v>
      </c>
      <c r="S10">
        <v>2685</v>
      </c>
      <c r="T10" s="14">
        <v>326</v>
      </c>
      <c r="U10" s="11">
        <f t="shared" si="1"/>
        <v>5.8454705767095549E-2</v>
      </c>
      <c r="V10" s="11">
        <f t="shared" si="2"/>
        <v>2.0570418980312973E-2</v>
      </c>
      <c r="X10" s="11">
        <f t="shared" si="0"/>
        <v>5.8454705767095549E-2</v>
      </c>
      <c r="Y10" s="12">
        <f t="shared" si="3"/>
        <v>0.83044869701521784</v>
      </c>
      <c r="AA10" t="str">
        <f>IF(P10="*","-",IFERROR(VLOOKUP(P10,'AE-W1'!$P$4:$T$126,4,FALSE),"-"))</f>
        <v>-</v>
      </c>
      <c r="AB10" t="str">
        <f>IF(P10="*","-",IFERROR(VLOOKUP(P10,'AE-W3'!$P$4:$T$129,4,FALSE),"-"))</f>
        <v>-</v>
      </c>
      <c r="AC10" s="25">
        <f>IF(P10="*","-",IFERROR(VLOOKUP(P10,'All MECSM samples'!$P$4:$AD$454,15,FALSE),"-"))</f>
        <v>2705</v>
      </c>
      <c r="AE10">
        <v>100</v>
      </c>
      <c r="AF10" s="34">
        <v>185</v>
      </c>
      <c r="AH10">
        <f t="shared" si="4"/>
        <v>1</v>
      </c>
      <c r="AI10">
        <f t="shared" si="5"/>
        <v>1</v>
      </c>
      <c r="AJ10" s="11">
        <f>SUM(AH$5:AH10)/SUM(AI$5:AI10)</f>
        <v>1</v>
      </c>
    </row>
    <row r="11" spans="1:36" x14ac:dyDescent="0.35">
      <c r="A11" t="s">
        <v>31</v>
      </c>
      <c r="B11">
        <v>1511</v>
      </c>
      <c r="C11" t="s">
        <v>7</v>
      </c>
      <c r="D11" t="s">
        <v>8</v>
      </c>
      <c r="O11">
        <v>0.95</v>
      </c>
      <c r="P11" t="s">
        <v>98</v>
      </c>
      <c r="Q11">
        <v>0</v>
      </c>
      <c r="R11">
        <v>1</v>
      </c>
      <c r="S11">
        <v>955</v>
      </c>
      <c r="T11" s="14">
        <v>556</v>
      </c>
      <c r="U11" s="11">
        <f t="shared" si="1"/>
        <v>2.0791152330568437E-2</v>
      </c>
      <c r="V11" s="11">
        <f t="shared" si="2"/>
        <v>3.5083291267036854E-2</v>
      </c>
      <c r="X11" s="11">
        <f t="shared" si="0"/>
        <v>2.0791152330568437E-2</v>
      </c>
      <c r="Y11" s="12">
        <f t="shared" si="3"/>
        <v>0.85123984934578623</v>
      </c>
      <c r="AA11" t="str">
        <f>IF(P11="*","-",IFERROR(VLOOKUP(P11,'AE-W1'!$P$4:$T$126,4,FALSE),"-"))</f>
        <v>-</v>
      </c>
      <c r="AB11" t="str">
        <f>IF(P11="*","-",IFERROR(VLOOKUP(P11,'AE-W3'!$P$4:$T$129,4,FALSE),"-"))</f>
        <v>-</v>
      </c>
      <c r="AC11" s="25" t="str">
        <f>IF(P11="*","-",IFERROR(VLOOKUP(P11,'All MECSM samples'!$P$4:$AD$454,15,FALSE),"-"))</f>
        <v>-</v>
      </c>
      <c r="AE11">
        <v>100</v>
      </c>
      <c r="AF11" s="34">
        <v>391</v>
      </c>
      <c r="AH11">
        <f t="shared" si="4"/>
        <v>1</v>
      </c>
      <c r="AI11">
        <f t="shared" si="5"/>
        <v>1</v>
      </c>
      <c r="AJ11" s="11">
        <f>SUM(AH$5:AH11)/SUM(AI$5:AI11)</f>
        <v>1</v>
      </c>
    </row>
    <row r="12" spans="1:36" x14ac:dyDescent="0.35">
      <c r="A12" t="s">
        <v>63</v>
      </c>
      <c r="B12">
        <v>1497</v>
      </c>
      <c r="C12" t="s">
        <v>7</v>
      </c>
      <c r="D12" t="s">
        <v>8</v>
      </c>
      <c r="E12" t="s">
        <v>100</v>
      </c>
      <c r="G12" t="s">
        <v>101</v>
      </c>
      <c r="I12" t="s">
        <v>102</v>
      </c>
      <c r="K12" t="s">
        <v>103</v>
      </c>
      <c r="M12" t="s">
        <v>104</v>
      </c>
      <c r="O12">
        <v>1</v>
      </c>
      <c r="P12" t="s">
        <v>105</v>
      </c>
      <c r="Q12">
        <v>99.6</v>
      </c>
      <c r="R12">
        <v>1</v>
      </c>
      <c r="S12">
        <v>1089</v>
      </c>
      <c r="T12" s="14">
        <v>408</v>
      </c>
      <c r="U12" s="11">
        <f t="shared" si="1"/>
        <v>2.3708444908889036E-2</v>
      </c>
      <c r="V12" s="11">
        <f t="shared" si="2"/>
        <v>2.574457344775366E-2</v>
      </c>
      <c r="X12" s="11">
        <f t="shared" si="0"/>
        <v>2.3708444908889036E-2</v>
      </c>
      <c r="Y12" s="12">
        <f t="shared" si="3"/>
        <v>0.87494829425467524</v>
      </c>
      <c r="AA12" t="str">
        <f>IF(P12="*","-",IFERROR(VLOOKUP(P12,'AE-W1'!$P$4:$T$126,4,FALSE),"-"))</f>
        <v>-</v>
      </c>
      <c r="AB12">
        <f>IF(P12="*","-",IFERROR(VLOOKUP(P12,'AE-W3'!$P$4:$T$129,4,FALSE),"-"))</f>
        <v>9</v>
      </c>
      <c r="AC12" s="25">
        <f>IF(P12="*","-",IFERROR(VLOOKUP(P12,'All MECSM samples'!$P$4:$AD$454,15,FALSE),"-"))</f>
        <v>3639</v>
      </c>
      <c r="AE12">
        <v>100</v>
      </c>
      <c r="AF12" s="34">
        <v>246</v>
      </c>
      <c r="AH12">
        <f t="shared" si="4"/>
        <v>1</v>
      </c>
      <c r="AI12">
        <f t="shared" si="5"/>
        <v>1</v>
      </c>
      <c r="AJ12" s="11">
        <f>SUM(AH$5:AH12)/SUM(AI$5:AI12)</f>
        <v>1</v>
      </c>
    </row>
    <row r="13" spans="1:36" x14ac:dyDescent="0.35">
      <c r="A13" t="s">
        <v>49</v>
      </c>
      <c r="B13">
        <v>1476</v>
      </c>
      <c r="C13" t="s">
        <v>7</v>
      </c>
      <c r="D13" t="s">
        <v>8</v>
      </c>
      <c r="E13" t="s">
        <v>18</v>
      </c>
      <c r="G13" t="s">
        <v>19</v>
      </c>
      <c r="I13" t="s">
        <v>20</v>
      </c>
      <c r="K13" t="s">
        <v>21</v>
      </c>
      <c r="O13">
        <v>0.56999999999999995</v>
      </c>
      <c r="P13" t="s">
        <v>22</v>
      </c>
      <c r="Q13">
        <v>85.8</v>
      </c>
      <c r="R13">
        <v>1</v>
      </c>
      <c r="S13">
        <v>1171</v>
      </c>
      <c r="T13" s="14">
        <v>305</v>
      </c>
      <c r="U13" s="11">
        <f t="shared" si="1"/>
        <v>2.5493653800100147E-2</v>
      </c>
      <c r="V13" s="11">
        <f t="shared" si="2"/>
        <v>1.9245330641090359E-2</v>
      </c>
      <c r="X13" s="11">
        <f t="shared" si="0"/>
        <v>2.5493653800100147E-2</v>
      </c>
      <c r="Y13" s="12">
        <f t="shared" si="3"/>
        <v>0.9004419480547754</v>
      </c>
      <c r="AA13">
        <f>IF(P13="*","-",IFERROR(VLOOKUP(P13,'AE-W1'!$P$4:$T$126,4,FALSE),"-"))</f>
        <v>13</v>
      </c>
      <c r="AB13">
        <f>IF(P13="*","-",IFERROR(VLOOKUP(P13,'AE-W3'!$P$4:$T$129,4,FALSE),"-"))</f>
        <v>5956</v>
      </c>
      <c r="AC13" s="25">
        <f>IF(P13="*","-",IFERROR(VLOOKUP(P13,'All MECSM samples'!$P$4:$AD$454,15,FALSE),"-"))</f>
        <v>5986</v>
      </c>
      <c r="AE13">
        <v>100</v>
      </c>
      <c r="AF13" s="34">
        <v>210</v>
      </c>
      <c r="AH13">
        <f t="shared" si="4"/>
        <v>1</v>
      </c>
      <c r="AI13">
        <f t="shared" si="5"/>
        <v>1</v>
      </c>
      <c r="AJ13" s="11">
        <f>SUM(AH$5:AH13)/SUM(AI$5:AI13)</f>
        <v>1</v>
      </c>
    </row>
    <row r="14" spans="1:36" x14ac:dyDescent="0.35">
      <c r="A14" t="s">
        <v>68</v>
      </c>
      <c r="B14">
        <v>1261</v>
      </c>
      <c r="C14" t="s">
        <v>7</v>
      </c>
      <c r="D14" t="s">
        <v>24</v>
      </c>
      <c r="E14" t="s">
        <v>25</v>
      </c>
      <c r="G14" t="s">
        <v>26</v>
      </c>
      <c r="I14" t="s">
        <v>27</v>
      </c>
      <c r="K14" t="s">
        <v>28</v>
      </c>
      <c r="M14" t="s">
        <v>29</v>
      </c>
      <c r="O14">
        <v>0.9</v>
      </c>
      <c r="P14" t="s">
        <v>88</v>
      </c>
      <c r="Q14">
        <v>100</v>
      </c>
      <c r="R14">
        <v>2</v>
      </c>
      <c r="S14">
        <v>1161</v>
      </c>
      <c r="T14" s="14">
        <v>100</v>
      </c>
      <c r="U14" s="11">
        <f t="shared" si="1"/>
        <v>2.5275945398732937E-2</v>
      </c>
      <c r="V14" s="11">
        <f t="shared" si="2"/>
        <v>6.3099444724886425E-3</v>
      </c>
      <c r="X14" s="11">
        <f t="shared" si="0"/>
        <v>2.5275945398732937E-2</v>
      </c>
      <c r="Y14" s="12">
        <f t="shared" si="3"/>
        <v>0.9257178934535083</v>
      </c>
      <c r="AA14" t="str">
        <f>IF(P14="*","-",IFERROR(VLOOKUP(P14,'AE-W1'!$P$4:$T$126,4,FALSE),"-"))</f>
        <v>-</v>
      </c>
      <c r="AB14">
        <f>IF(P14="*","-",IFERROR(VLOOKUP(P14,'AE-W3'!$P$4:$T$129,4,FALSE),"-"))</f>
        <v>586</v>
      </c>
      <c r="AC14" s="25">
        <f>IF(P14="*","-",IFERROR(VLOOKUP(P14,'All MECSM samples'!$P$4:$AD$454,15,FALSE),"-"))</f>
        <v>1168</v>
      </c>
      <c r="AE14">
        <v>100</v>
      </c>
      <c r="AF14" s="34">
        <v>107</v>
      </c>
      <c r="AH14">
        <f t="shared" si="4"/>
        <v>1</v>
      </c>
      <c r="AI14">
        <f t="shared" si="5"/>
        <v>1</v>
      </c>
      <c r="AJ14" s="11">
        <f>SUM(AH$5:AH14)/SUM(AI$5:AI14)</f>
        <v>1</v>
      </c>
    </row>
    <row r="15" spans="1:36" x14ac:dyDescent="0.35">
      <c r="A15" t="s">
        <v>77</v>
      </c>
      <c r="B15">
        <v>1162</v>
      </c>
      <c r="C15" t="s">
        <v>7</v>
      </c>
      <c r="D15" t="s">
        <v>8</v>
      </c>
      <c r="E15" t="s">
        <v>114</v>
      </c>
      <c r="G15" t="s">
        <v>115</v>
      </c>
      <c r="I15" t="s">
        <v>116</v>
      </c>
      <c r="K15" t="s">
        <v>117</v>
      </c>
      <c r="M15" t="s">
        <v>118</v>
      </c>
      <c r="O15">
        <v>1</v>
      </c>
      <c r="P15" t="s">
        <v>16</v>
      </c>
      <c r="Q15">
        <v>96.4</v>
      </c>
      <c r="R15">
        <v>1</v>
      </c>
      <c r="S15">
        <v>722</v>
      </c>
      <c r="T15" s="14">
        <v>440</v>
      </c>
      <c r="U15" s="11">
        <f t="shared" si="1"/>
        <v>1.5718546578712474E-2</v>
      </c>
      <c r="V15" s="11">
        <f t="shared" si="2"/>
        <v>2.7763755678950026E-2</v>
      </c>
      <c r="X15" s="11">
        <f t="shared" si="0"/>
        <v>1.5718546578712474E-2</v>
      </c>
      <c r="Y15" s="12">
        <f t="shared" si="3"/>
        <v>0.94143644003222082</v>
      </c>
      <c r="AA15">
        <f>IF(P15="*","-",IFERROR(VLOOKUP(P15,'AE-W1'!$P$4:$T$126,4,FALSE),"-"))</f>
        <v>24</v>
      </c>
      <c r="AB15">
        <f>IF(P15="*","-",IFERROR(VLOOKUP(P15,'AE-W3'!$P$4:$T$129,4,FALSE),"-"))</f>
        <v>10</v>
      </c>
      <c r="AC15" s="25">
        <f>IF(P15="*","-",IFERROR(VLOOKUP(P15,'All MECSM samples'!$P$4:$AD$454,15,FALSE),"-"))</f>
        <v>17201</v>
      </c>
      <c r="AE15">
        <v>100</v>
      </c>
      <c r="AF15" s="34">
        <v>272</v>
      </c>
      <c r="AH15">
        <f t="shared" si="4"/>
        <v>1</v>
      </c>
      <c r="AI15">
        <f t="shared" si="5"/>
        <v>1</v>
      </c>
      <c r="AJ15" s="11">
        <f>SUM(AH$5:AH15)/SUM(AI$5:AI15)</f>
        <v>1</v>
      </c>
    </row>
    <row r="16" spans="1:36" x14ac:dyDescent="0.35">
      <c r="A16" t="s">
        <v>45</v>
      </c>
      <c r="B16">
        <v>976</v>
      </c>
      <c r="C16" t="s">
        <v>7</v>
      </c>
      <c r="D16" t="s">
        <v>8</v>
      </c>
      <c r="E16" t="s">
        <v>46</v>
      </c>
      <c r="G16" t="s">
        <v>47</v>
      </c>
      <c r="O16">
        <v>0.84</v>
      </c>
      <c r="P16" t="s">
        <v>127</v>
      </c>
      <c r="Q16">
        <v>88.9</v>
      </c>
      <c r="R16">
        <v>2</v>
      </c>
      <c r="S16">
        <v>129</v>
      </c>
      <c r="T16" s="14">
        <v>847</v>
      </c>
      <c r="U16" s="11">
        <f t="shared" si="1"/>
        <v>2.8084383776369932E-3</v>
      </c>
      <c r="V16" s="11">
        <f t="shared" si="2"/>
        <v>5.3445229681978797E-2</v>
      </c>
      <c r="X16" s="11">
        <f t="shared" si="0"/>
        <v>2.8084383776369932E-3</v>
      </c>
      <c r="Y16" s="12">
        <f t="shared" si="3"/>
        <v>0.94424487840985782</v>
      </c>
      <c r="AA16">
        <f>IF(P16="*","-",IFERROR(VLOOKUP(P16,'AE-W1'!$P$4:$T$126,4,FALSE),"-"))</f>
        <v>4</v>
      </c>
      <c r="AB16" t="str">
        <f>IF(P16="*","-",IFERROR(VLOOKUP(P16,'AE-W3'!$P$4:$T$129,4,FALSE),"-"))</f>
        <v>-</v>
      </c>
      <c r="AC16" s="25">
        <f>IF(P16="*","-",IFERROR(VLOOKUP(P16,'All MECSM samples'!$P$4:$AD$454,15,FALSE),"-"))</f>
        <v>128</v>
      </c>
      <c r="AE16">
        <v>100</v>
      </c>
      <c r="AF16" s="34">
        <v>576</v>
      </c>
      <c r="AH16">
        <f t="shared" si="4"/>
        <v>1</v>
      </c>
      <c r="AI16">
        <f t="shared" si="5"/>
        <v>1</v>
      </c>
      <c r="AJ16" s="11">
        <f>SUM(AH$5:AH16)/SUM(AI$5:AI16)</f>
        <v>1</v>
      </c>
    </row>
    <row r="17" spans="1:36" x14ac:dyDescent="0.35">
      <c r="A17" t="s">
        <v>55</v>
      </c>
      <c r="B17">
        <v>470</v>
      </c>
      <c r="C17" t="s">
        <v>7</v>
      </c>
      <c r="D17" t="s">
        <v>8</v>
      </c>
      <c r="O17">
        <v>0.92</v>
      </c>
      <c r="P17" t="s">
        <v>98</v>
      </c>
      <c r="Q17">
        <v>0</v>
      </c>
      <c r="R17">
        <v>1</v>
      </c>
      <c r="S17">
        <v>259</v>
      </c>
      <c r="T17" s="14">
        <v>211</v>
      </c>
      <c r="U17" s="11">
        <f t="shared" si="1"/>
        <v>5.638647595410707E-3</v>
      </c>
      <c r="V17" s="11">
        <f t="shared" si="2"/>
        <v>1.3313982836951035E-2</v>
      </c>
      <c r="X17" s="11">
        <f t="shared" si="0"/>
        <v>5.638647595410707E-3</v>
      </c>
      <c r="Y17" s="12">
        <f t="shared" si="3"/>
        <v>0.94988352600526849</v>
      </c>
      <c r="AA17" t="str">
        <f>IF(P17="*","-",IFERROR(VLOOKUP(P17,'AE-W1'!$P$4:$T$126,4,FALSE),"-"))</f>
        <v>-</v>
      </c>
      <c r="AB17" t="str">
        <f>IF(P17="*","-",IFERROR(VLOOKUP(P17,'AE-W3'!$P$4:$T$129,4,FALSE),"-"))</f>
        <v>-</v>
      </c>
      <c r="AC17" s="25" t="str">
        <f>IF(P17="*","-",IFERROR(VLOOKUP(P17,'All MECSM samples'!$P$4:$AD$454,15,FALSE),"-"))</f>
        <v>-</v>
      </c>
      <c r="AE17">
        <v>100</v>
      </c>
      <c r="AF17" s="34">
        <v>189</v>
      </c>
      <c r="AH17">
        <f t="shared" si="4"/>
        <v>1</v>
      </c>
      <c r="AI17">
        <f t="shared" si="5"/>
        <v>1</v>
      </c>
      <c r="AJ17" s="11">
        <f>SUM(AH$5:AH17)/SUM(AI$5:AI17)</f>
        <v>1</v>
      </c>
    </row>
    <row r="18" spans="1:36" x14ac:dyDescent="0.35">
      <c r="A18" t="s">
        <v>60</v>
      </c>
      <c r="B18">
        <v>369</v>
      </c>
      <c r="C18" t="s">
        <v>7</v>
      </c>
      <c r="D18" t="s">
        <v>8</v>
      </c>
      <c r="E18" t="s">
        <v>32</v>
      </c>
      <c r="O18">
        <v>0.87</v>
      </c>
      <c r="P18" t="s">
        <v>98</v>
      </c>
      <c r="Q18">
        <v>0</v>
      </c>
      <c r="R18">
        <v>1</v>
      </c>
      <c r="S18">
        <v>269</v>
      </c>
      <c r="T18" s="14">
        <v>100</v>
      </c>
      <c r="U18" s="11">
        <f t="shared" si="1"/>
        <v>5.856355996777916E-3</v>
      </c>
      <c r="V18" s="11">
        <f t="shared" si="2"/>
        <v>6.3099444724886425E-3</v>
      </c>
      <c r="X18" s="11">
        <f t="shared" si="0"/>
        <v>5.856355996777916E-3</v>
      </c>
      <c r="Y18" s="12">
        <f t="shared" si="3"/>
        <v>0.9557398820020464</v>
      </c>
      <c r="AA18" t="str">
        <f>IF(P18="*","-",IFERROR(VLOOKUP(P18,'AE-W1'!$P$4:$T$126,4,FALSE),"-"))</f>
        <v>-</v>
      </c>
      <c r="AB18" t="str">
        <f>IF(P18="*","-",IFERROR(VLOOKUP(P18,'AE-W3'!$P$4:$T$129,4,FALSE),"-"))</f>
        <v>-</v>
      </c>
      <c r="AC18" s="25" t="str">
        <f>IF(P18="*","-",IFERROR(VLOOKUP(P18,'All MECSM samples'!$P$4:$AD$454,15,FALSE),"-"))</f>
        <v>-</v>
      </c>
      <c r="AE18">
        <v>100</v>
      </c>
      <c r="AF18" s="34">
        <v>78</v>
      </c>
      <c r="AH18">
        <f t="shared" si="4"/>
        <v>1</v>
      </c>
      <c r="AI18">
        <f t="shared" si="5"/>
        <v>1</v>
      </c>
      <c r="AJ18" s="11">
        <f>SUM(AH$5:AH18)/SUM(AI$5:AI18)</f>
        <v>1</v>
      </c>
    </row>
    <row r="19" spans="1:36" x14ac:dyDescent="0.35">
      <c r="A19" t="s">
        <v>72</v>
      </c>
      <c r="B19">
        <v>285</v>
      </c>
      <c r="C19" t="s">
        <v>7</v>
      </c>
      <c r="D19" t="s">
        <v>8</v>
      </c>
      <c r="E19" t="s">
        <v>9</v>
      </c>
      <c r="G19" t="s">
        <v>10</v>
      </c>
      <c r="I19" t="s">
        <v>131</v>
      </c>
      <c r="K19" t="s">
        <v>150</v>
      </c>
      <c r="M19" t="s">
        <v>151</v>
      </c>
      <c r="O19">
        <v>0.97</v>
      </c>
      <c r="P19" t="s">
        <v>152</v>
      </c>
      <c r="Q19">
        <v>98</v>
      </c>
      <c r="R19">
        <v>1</v>
      </c>
      <c r="S19">
        <v>220</v>
      </c>
      <c r="T19" s="14">
        <v>65</v>
      </c>
      <c r="U19" s="11">
        <f t="shared" si="1"/>
        <v>4.789584830078593E-3</v>
      </c>
      <c r="V19" s="11">
        <f t="shared" si="2"/>
        <v>4.1014639071176176E-3</v>
      </c>
      <c r="X19" s="11">
        <f t="shared" si="0"/>
        <v>4.789584830078593E-3</v>
      </c>
      <c r="Y19" s="12">
        <f t="shared" si="3"/>
        <v>0.96052946683212503</v>
      </c>
      <c r="AA19">
        <f>IF(P19="*","-",IFERROR(VLOOKUP(P19,'AE-W1'!$P$4:$T$126,4,FALSE),"-"))</f>
        <v>92</v>
      </c>
      <c r="AB19">
        <f>IF(P19="*","-",IFERROR(VLOOKUP(P19,'AE-W3'!$P$4:$T$129,4,FALSE),"-"))</f>
        <v>108</v>
      </c>
      <c r="AC19" s="25">
        <f>IF(P19="*","-",IFERROR(VLOOKUP(P19,'All MECSM samples'!$P$4:$AD$454,15,FALSE),"-"))</f>
        <v>577</v>
      </c>
      <c r="AE19">
        <v>100</v>
      </c>
      <c r="AF19" s="34">
        <v>35</v>
      </c>
      <c r="AH19">
        <f t="shared" si="4"/>
        <v>1</v>
      </c>
      <c r="AI19">
        <f t="shared" si="5"/>
        <v>1</v>
      </c>
      <c r="AJ19" s="11">
        <f>SUM(AH$5:AH19)/SUM(AI$5:AI19)</f>
        <v>1</v>
      </c>
    </row>
    <row r="20" spans="1:36" x14ac:dyDescent="0.35">
      <c r="A20" t="s">
        <v>97</v>
      </c>
      <c r="B20">
        <v>255</v>
      </c>
      <c r="C20" t="s">
        <v>7</v>
      </c>
      <c r="D20" t="s">
        <v>8</v>
      </c>
      <c r="E20" t="s">
        <v>46</v>
      </c>
      <c r="G20" t="s">
        <v>47</v>
      </c>
      <c r="I20" t="s">
        <v>61</v>
      </c>
      <c r="K20" t="s">
        <v>182</v>
      </c>
      <c r="M20" t="s">
        <v>183</v>
      </c>
      <c r="O20">
        <v>0.95</v>
      </c>
      <c r="P20" t="s">
        <v>184</v>
      </c>
      <c r="Q20">
        <v>99.2</v>
      </c>
      <c r="R20">
        <v>1</v>
      </c>
      <c r="S20">
        <v>188</v>
      </c>
      <c r="T20" s="14">
        <v>67</v>
      </c>
      <c r="U20" s="11">
        <f t="shared" si="1"/>
        <v>4.0929179457035248E-3</v>
      </c>
      <c r="V20" s="11">
        <f t="shared" si="2"/>
        <v>4.2276627965673903E-3</v>
      </c>
      <c r="X20" s="11">
        <f t="shared" si="0"/>
        <v>4.0929179457035248E-3</v>
      </c>
      <c r="Y20" s="12">
        <f t="shared" si="3"/>
        <v>0.96462238477782858</v>
      </c>
      <c r="AA20">
        <f>IF(P20="*","-",IFERROR(VLOOKUP(P20,'AE-W1'!$P$4:$T$126,4,FALSE),"-"))</f>
        <v>4</v>
      </c>
      <c r="AB20" t="str">
        <f>IF(P20="*","-",IFERROR(VLOOKUP(P20,'AE-W3'!$P$4:$T$129,4,FALSE),"-"))</f>
        <v>-</v>
      </c>
      <c r="AC20" s="25">
        <f>IF(P20="*","-",IFERROR(VLOOKUP(P20,'All MECSM samples'!$P$4:$AD$454,15,FALSE),"-"))</f>
        <v>1186</v>
      </c>
      <c r="AE20">
        <v>100</v>
      </c>
      <c r="AF20" s="34">
        <v>51</v>
      </c>
      <c r="AH20">
        <f t="shared" si="4"/>
        <v>1</v>
      </c>
      <c r="AI20">
        <f t="shared" si="5"/>
        <v>1</v>
      </c>
      <c r="AJ20" s="11">
        <f>SUM(AH$5:AH20)/SUM(AI$5:AI20)</f>
        <v>1</v>
      </c>
    </row>
    <row r="21" spans="1:36" x14ac:dyDescent="0.35">
      <c r="A21" t="s">
        <v>91</v>
      </c>
      <c r="B21">
        <v>222</v>
      </c>
      <c r="C21" t="s">
        <v>7</v>
      </c>
      <c r="D21" t="s">
        <v>8</v>
      </c>
      <c r="E21" t="s">
        <v>46</v>
      </c>
      <c r="G21" t="s">
        <v>47</v>
      </c>
      <c r="I21" t="s">
        <v>160</v>
      </c>
      <c r="K21" t="s">
        <v>161</v>
      </c>
      <c r="M21" t="s">
        <v>162</v>
      </c>
      <c r="O21">
        <v>0.97</v>
      </c>
      <c r="P21" t="s">
        <v>163</v>
      </c>
      <c r="Q21">
        <v>96.4</v>
      </c>
      <c r="R21">
        <v>1</v>
      </c>
      <c r="S21">
        <v>108</v>
      </c>
      <c r="T21" s="14">
        <v>114</v>
      </c>
      <c r="U21" s="11">
        <f t="shared" si="1"/>
        <v>2.3512507347658545E-3</v>
      </c>
      <c r="V21" s="11">
        <f t="shared" si="2"/>
        <v>7.1933366986370517E-3</v>
      </c>
      <c r="X21" s="11">
        <f t="shared" si="0"/>
        <v>2.3512507347658545E-3</v>
      </c>
      <c r="Y21" s="12">
        <f t="shared" si="3"/>
        <v>0.96697363551259441</v>
      </c>
      <c r="AA21">
        <f>IF(P21="*","-",IFERROR(VLOOKUP(P21,'AE-W1'!$P$4:$T$126,4,FALSE),"-"))</f>
        <v>15</v>
      </c>
      <c r="AB21">
        <f>IF(P21="*","-",IFERROR(VLOOKUP(P21,'AE-W3'!$P$4:$T$129,4,FALSE),"-"))</f>
        <v>128</v>
      </c>
      <c r="AC21" s="25">
        <f>IF(P21="*","-",IFERROR(VLOOKUP(P21,'All MECSM samples'!$P$4:$AD$454,15,FALSE),"-"))</f>
        <v>3869</v>
      </c>
      <c r="AE21">
        <v>100</v>
      </c>
      <c r="AF21" s="34">
        <v>41</v>
      </c>
      <c r="AH21">
        <f t="shared" si="4"/>
        <v>1</v>
      </c>
      <c r="AI21">
        <f t="shared" si="5"/>
        <v>1</v>
      </c>
      <c r="AJ21" s="11">
        <f>SUM(AH$5:AH21)/SUM(AI$5:AI21)</f>
        <v>1</v>
      </c>
    </row>
    <row r="22" spans="1:36" x14ac:dyDescent="0.35">
      <c r="A22" t="s">
        <v>135</v>
      </c>
      <c r="B22">
        <v>195</v>
      </c>
      <c r="C22" t="s">
        <v>7</v>
      </c>
      <c r="D22" t="s">
        <v>8</v>
      </c>
      <c r="E22" t="s">
        <v>46</v>
      </c>
      <c r="G22" t="s">
        <v>47</v>
      </c>
      <c r="I22" t="s">
        <v>61</v>
      </c>
      <c r="O22">
        <v>0.73</v>
      </c>
      <c r="P22" t="s">
        <v>609</v>
      </c>
      <c r="Q22">
        <v>92.5</v>
      </c>
      <c r="R22">
        <v>2</v>
      </c>
      <c r="S22">
        <v>135</v>
      </c>
      <c r="T22" s="14">
        <v>60</v>
      </c>
      <c r="U22" s="11">
        <f t="shared" si="1"/>
        <v>2.9390634184573183E-3</v>
      </c>
      <c r="V22" s="11">
        <f t="shared" si="2"/>
        <v>3.7859666834931852E-3</v>
      </c>
      <c r="X22" s="11">
        <f t="shared" si="0"/>
        <v>2.9390634184573183E-3</v>
      </c>
      <c r="Y22" s="12">
        <f t="shared" si="3"/>
        <v>0.9699126989310517</v>
      </c>
      <c r="AA22" t="str">
        <f>IF(P22="*","-",IFERROR(VLOOKUP(P22,'AE-W1'!$P$4:$T$126,4,FALSE),"-"))</f>
        <v>-</v>
      </c>
      <c r="AB22" t="str">
        <f>IF(P22="*","-",IFERROR(VLOOKUP(P22,'AE-W3'!$P$4:$T$129,4,FALSE),"-"))</f>
        <v>-</v>
      </c>
      <c r="AC22" s="25">
        <f>IF(P22="*","-",IFERROR(VLOOKUP(P22,'All MECSM samples'!$P$4:$AD$454,15,FALSE),"-"))</f>
        <v>33</v>
      </c>
      <c r="AE22">
        <v>100</v>
      </c>
      <c r="AF22" s="34">
        <v>87</v>
      </c>
      <c r="AH22">
        <f t="shared" si="4"/>
        <v>1</v>
      </c>
      <c r="AI22">
        <f t="shared" si="5"/>
        <v>1</v>
      </c>
      <c r="AJ22" s="11">
        <f>SUM(AH$5:AH22)/SUM(AI$5:AI22)</f>
        <v>1</v>
      </c>
    </row>
    <row r="23" spans="1:36" x14ac:dyDescent="0.35">
      <c r="A23" t="s">
        <v>74</v>
      </c>
      <c r="B23">
        <v>194</v>
      </c>
      <c r="C23" t="s">
        <v>7</v>
      </c>
      <c r="D23" t="s">
        <v>8</v>
      </c>
      <c r="E23" t="s">
        <v>32</v>
      </c>
      <c r="G23" t="s">
        <v>35</v>
      </c>
      <c r="I23" t="s">
        <v>36</v>
      </c>
      <c r="K23" t="s">
        <v>143</v>
      </c>
      <c r="O23">
        <v>0.87</v>
      </c>
      <c r="P23" t="s">
        <v>144</v>
      </c>
      <c r="Q23">
        <v>91.7</v>
      </c>
      <c r="R23">
        <v>1</v>
      </c>
      <c r="S23">
        <v>112</v>
      </c>
      <c r="T23" s="14">
        <v>82</v>
      </c>
      <c r="U23" s="11">
        <f t="shared" si="1"/>
        <v>2.4383340953127381E-3</v>
      </c>
      <c r="V23" s="11">
        <f t="shared" si="2"/>
        <v>5.1741544674406862E-3</v>
      </c>
      <c r="X23" s="11">
        <f t="shared" si="0"/>
        <v>2.4383340953127381E-3</v>
      </c>
      <c r="Y23" s="12">
        <f t="shared" si="3"/>
        <v>0.97235103302636439</v>
      </c>
      <c r="AA23">
        <f>IF(P23="*","-",IFERROR(VLOOKUP(P23,'AE-W1'!$P$4:$T$126,4,FALSE),"-"))</f>
        <v>53</v>
      </c>
      <c r="AB23">
        <f>IF(P23="*","-",IFERROR(VLOOKUP(P23,'AE-W3'!$P$4:$T$129,4,FALSE),"-"))</f>
        <v>119</v>
      </c>
      <c r="AC23" s="25">
        <f>IF(P23="*","-",IFERROR(VLOOKUP(P23,'All MECSM samples'!$P$4:$AD$454,15,FALSE),"-"))</f>
        <v>1118</v>
      </c>
      <c r="AE23">
        <v>100</v>
      </c>
      <c r="AF23" s="34">
        <v>54</v>
      </c>
      <c r="AH23">
        <f t="shared" si="4"/>
        <v>1</v>
      </c>
      <c r="AI23">
        <f t="shared" si="5"/>
        <v>1</v>
      </c>
      <c r="AJ23" s="11">
        <f>SUM(AH$5:AH23)/SUM(AI$5:AI23)</f>
        <v>1</v>
      </c>
    </row>
    <row r="24" spans="1:36" x14ac:dyDescent="0.35">
      <c r="A24" t="s">
        <v>99</v>
      </c>
      <c r="B24">
        <v>184</v>
      </c>
      <c r="C24" t="s">
        <v>7</v>
      </c>
      <c r="D24" t="s">
        <v>8</v>
      </c>
      <c r="E24" t="s">
        <v>114</v>
      </c>
      <c r="G24" t="s">
        <v>115</v>
      </c>
      <c r="I24" t="s">
        <v>116</v>
      </c>
      <c r="K24" t="s">
        <v>117</v>
      </c>
      <c r="M24" t="s">
        <v>118</v>
      </c>
      <c r="O24">
        <v>1</v>
      </c>
      <c r="P24" t="s">
        <v>215</v>
      </c>
      <c r="Q24">
        <v>100</v>
      </c>
      <c r="R24">
        <v>1</v>
      </c>
      <c r="S24">
        <v>107</v>
      </c>
      <c r="T24" s="14">
        <v>77</v>
      </c>
      <c r="U24" s="11">
        <f t="shared" si="1"/>
        <v>2.3294798946291335E-3</v>
      </c>
      <c r="V24" s="11">
        <f t="shared" si="2"/>
        <v>4.8586572438162542E-3</v>
      </c>
      <c r="X24" s="11">
        <f t="shared" si="0"/>
        <v>2.3294798946291335E-3</v>
      </c>
      <c r="Y24" s="12">
        <f t="shared" si="3"/>
        <v>0.97468051292099356</v>
      </c>
      <c r="AA24" t="str">
        <f>IF(P24="*","-",IFERROR(VLOOKUP(P24,'AE-W1'!$P$4:$T$126,4,FALSE),"-"))</f>
        <v>-</v>
      </c>
      <c r="AB24" t="str">
        <f>IF(P24="*","-",IFERROR(VLOOKUP(P24,'AE-W3'!$P$4:$T$129,4,FALSE),"-"))</f>
        <v>-</v>
      </c>
      <c r="AC24" s="25">
        <f>IF(P24="*","-",IFERROR(VLOOKUP(P24,'All MECSM samples'!$P$4:$AD$454,15,FALSE),"-"))</f>
        <v>109</v>
      </c>
      <c r="AE24">
        <v>100</v>
      </c>
      <c r="AF24" s="34">
        <v>70</v>
      </c>
      <c r="AH24">
        <f t="shared" si="4"/>
        <v>1</v>
      </c>
      <c r="AI24">
        <f t="shared" si="5"/>
        <v>1</v>
      </c>
      <c r="AJ24" s="11">
        <f>SUM(AH$5:AH24)/SUM(AI$5:AI24)</f>
        <v>1</v>
      </c>
    </row>
    <row r="25" spans="1:36" x14ac:dyDescent="0.35">
      <c r="A25" t="s">
        <v>106</v>
      </c>
      <c r="B25">
        <v>149</v>
      </c>
      <c r="C25" t="s">
        <v>7</v>
      </c>
      <c r="D25" t="s">
        <v>8</v>
      </c>
      <c r="E25" t="s">
        <v>120</v>
      </c>
      <c r="G25" t="s">
        <v>121</v>
      </c>
      <c r="I25" t="s">
        <v>122</v>
      </c>
      <c r="K25" t="s">
        <v>123</v>
      </c>
      <c r="O25">
        <v>0.69</v>
      </c>
      <c r="P25" t="s">
        <v>224</v>
      </c>
      <c r="Q25">
        <v>87.4</v>
      </c>
      <c r="R25">
        <v>2</v>
      </c>
      <c r="S25">
        <v>70</v>
      </c>
      <c r="T25" s="14">
        <v>79</v>
      </c>
      <c r="U25" s="11">
        <f t="shared" si="1"/>
        <v>1.5239588095704614E-3</v>
      </c>
      <c r="V25" s="11">
        <f t="shared" si="2"/>
        <v>4.9848561332660269E-3</v>
      </c>
      <c r="X25" s="11">
        <f t="shared" si="0"/>
        <v>1.5239588095704614E-3</v>
      </c>
      <c r="Y25" s="12">
        <f t="shared" si="3"/>
        <v>0.97620447173056402</v>
      </c>
      <c r="AA25">
        <f>IF(P25="*","-",IFERROR(VLOOKUP(P25,'AE-W1'!$P$4:$T$126,4,FALSE),"-"))</f>
        <v>2</v>
      </c>
      <c r="AB25" t="str">
        <f>IF(P25="*","-",IFERROR(VLOOKUP(P25,'AE-W3'!$P$4:$T$129,4,FALSE),"-"))</f>
        <v>-</v>
      </c>
      <c r="AC25" s="25">
        <f>IF(P25="*","-",IFERROR(VLOOKUP(P25,'All MECSM samples'!$P$4:$AD$454,15,FALSE),"-"))</f>
        <v>54</v>
      </c>
      <c r="AE25">
        <v>100</v>
      </c>
      <c r="AF25" s="34">
        <v>48</v>
      </c>
      <c r="AH25">
        <f t="shared" si="4"/>
        <v>1</v>
      </c>
      <c r="AI25">
        <f t="shared" si="5"/>
        <v>1</v>
      </c>
      <c r="AJ25" s="11">
        <f>SUM(AH$5:AH25)/SUM(AI$5:AI25)</f>
        <v>1</v>
      </c>
    </row>
    <row r="26" spans="1:36" x14ac:dyDescent="0.35">
      <c r="A26" t="s">
        <v>83</v>
      </c>
      <c r="B26">
        <v>141</v>
      </c>
      <c r="C26" t="s">
        <v>7</v>
      </c>
      <c r="D26" t="s">
        <v>8</v>
      </c>
      <c r="E26" t="s">
        <v>120</v>
      </c>
      <c r="G26" t="s">
        <v>121</v>
      </c>
      <c r="I26" t="s">
        <v>122</v>
      </c>
      <c r="K26" t="s">
        <v>123</v>
      </c>
      <c r="M26" t="s">
        <v>219</v>
      </c>
      <c r="O26">
        <v>1</v>
      </c>
      <c r="P26" s="9" t="s">
        <v>220</v>
      </c>
      <c r="Q26" s="9">
        <v>98.8</v>
      </c>
      <c r="R26" s="9">
        <v>1</v>
      </c>
      <c r="S26" s="9">
        <v>93</v>
      </c>
      <c r="T26" s="14">
        <v>48</v>
      </c>
      <c r="U26" s="11">
        <f t="shared" si="1"/>
        <v>2.0246881327150414E-3</v>
      </c>
      <c r="V26" s="11">
        <f t="shared" si="2"/>
        <v>3.0287733467945482E-3</v>
      </c>
      <c r="W26" s="9"/>
      <c r="X26" s="15">
        <f t="shared" si="0"/>
        <v>2.0246881327150414E-3</v>
      </c>
      <c r="Y26" s="16">
        <f t="shared" si="3"/>
        <v>0.97822915986327907</v>
      </c>
      <c r="AA26" t="str">
        <f>IF(P26="*","-",IFERROR(VLOOKUP(P26,'AE-W1'!$P$4:$T$126,4,FALSE),"-"))</f>
        <v>-</v>
      </c>
      <c r="AB26">
        <f>IF(P26="*","-",IFERROR(VLOOKUP(P26,'AE-W3'!$P$4:$T$129,4,FALSE),"-"))</f>
        <v>58</v>
      </c>
      <c r="AC26" s="25">
        <f>IF(P26="*","-",IFERROR(VLOOKUP(P26,'All MECSM samples'!$P$4:$AD$454,15,FALSE),"-"))</f>
        <v>81</v>
      </c>
      <c r="AE26">
        <v>100</v>
      </c>
      <c r="AF26" s="34">
        <v>24</v>
      </c>
      <c r="AH26">
        <f t="shared" si="4"/>
        <v>1</v>
      </c>
      <c r="AI26">
        <f t="shared" si="5"/>
        <v>1</v>
      </c>
      <c r="AJ26" s="11">
        <f>SUM(AH$5:AH26)/SUM(AI$5:AI26)</f>
        <v>1</v>
      </c>
    </row>
    <row r="27" spans="1:36" x14ac:dyDescent="0.35">
      <c r="A27" t="s">
        <v>126</v>
      </c>
      <c r="B27">
        <v>132</v>
      </c>
      <c r="C27" t="s">
        <v>7</v>
      </c>
      <c r="D27" t="s">
        <v>8</v>
      </c>
      <c r="E27" t="s">
        <v>9</v>
      </c>
      <c r="G27" t="s">
        <v>10</v>
      </c>
      <c r="I27" t="s">
        <v>11</v>
      </c>
      <c r="K27" t="s">
        <v>12</v>
      </c>
      <c r="M27" t="s">
        <v>13</v>
      </c>
      <c r="O27">
        <v>0.91</v>
      </c>
      <c r="P27" t="s">
        <v>14</v>
      </c>
      <c r="Q27">
        <v>96.8</v>
      </c>
      <c r="R27">
        <v>1</v>
      </c>
      <c r="S27">
        <v>132</v>
      </c>
      <c r="T27" s="14">
        <v>0</v>
      </c>
      <c r="U27" s="11">
        <f t="shared" si="1"/>
        <v>2.8737508980471557E-3</v>
      </c>
      <c r="V27" s="11">
        <f t="shared" si="2"/>
        <v>0</v>
      </c>
      <c r="X27" s="15">
        <f t="shared" si="0"/>
        <v>2.8737508980471557E-3</v>
      </c>
      <c r="Y27" s="18">
        <f t="shared" si="3"/>
        <v>0.98110291076132627</v>
      </c>
      <c r="AA27">
        <f>IF(P27="*","-",IFERROR(VLOOKUP(P27,'AE-W1'!$P$4:$T$126,4,FALSE),"-"))</f>
        <v>27333</v>
      </c>
      <c r="AB27">
        <f>IF(P27="*","-",IFERROR(VLOOKUP(P27,'AE-W3'!$P$4:$T$129,4,FALSE),"-"))</f>
        <v>1554</v>
      </c>
      <c r="AC27" s="25">
        <f>IF(P27="*","-",IFERROR(VLOOKUP(P27,'All MECSM samples'!$P$4:$AD$454,15,FALSE),"-"))</f>
        <v>27497</v>
      </c>
      <c r="AE27">
        <v>77</v>
      </c>
      <c r="AF27" s="34">
        <v>1</v>
      </c>
      <c r="AH27">
        <f t="shared" si="4"/>
        <v>0</v>
      </c>
      <c r="AI27">
        <f t="shared" si="5"/>
        <v>0</v>
      </c>
      <c r="AJ27" s="11">
        <f>SUM(AH$5:AH27)/SUM(AI$5:AI27)</f>
        <v>1</v>
      </c>
    </row>
    <row r="28" spans="1:36" x14ac:dyDescent="0.35">
      <c r="A28" t="s">
        <v>145</v>
      </c>
      <c r="B28">
        <v>99</v>
      </c>
      <c r="C28" t="s">
        <v>7</v>
      </c>
      <c r="D28" t="s">
        <v>8</v>
      </c>
      <c r="E28" t="s">
        <v>46</v>
      </c>
      <c r="G28" t="s">
        <v>47</v>
      </c>
      <c r="O28">
        <v>0.65</v>
      </c>
      <c r="P28" s="9" t="s">
        <v>163</v>
      </c>
      <c r="Q28" s="9">
        <v>91.7</v>
      </c>
      <c r="R28" s="9">
        <v>1</v>
      </c>
      <c r="S28" s="9">
        <v>58</v>
      </c>
      <c r="T28" s="14">
        <v>41</v>
      </c>
      <c r="U28" s="11">
        <f t="shared" si="1"/>
        <v>1.2627087279298108E-3</v>
      </c>
      <c r="V28" s="11">
        <f t="shared" si="2"/>
        <v>2.5870772337203431E-3</v>
      </c>
      <c r="X28" s="15">
        <f t="shared" si="0"/>
        <v>1.2627087279298108E-3</v>
      </c>
      <c r="Y28" s="16">
        <f t="shared" si="3"/>
        <v>0.98236561948925605</v>
      </c>
      <c r="AA28">
        <f>IF(P28="*","-",IFERROR(VLOOKUP(P28,'AE-W1'!$P$4:$T$126,4,FALSE),"-"))</f>
        <v>15</v>
      </c>
      <c r="AB28">
        <f>IF(P28="*","-",IFERROR(VLOOKUP(P28,'AE-W3'!$P$4:$T$129,4,FALSE),"-"))</f>
        <v>128</v>
      </c>
      <c r="AC28" s="25">
        <f>IF(P28="*","-",IFERROR(VLOOKUP(P28,'All MECSM samples'!$P$4:$AD$454,15,FALSE),"-"))</f>
        <v>3869</v>
      </c>
      <c r="AE28">
        <v>100</v>
      </c>
      <c r="AF28" s="34">
        <v>24</v>
      </c>
      <c r="AH28">
        <f t="shared" si="4"/>
        <v>1</v>
      </c>
      <c r="AI28">
        <f t="shared" si="5"/>
        <v>1</v>
      </c>
      <c r="AJ28" s="11">
        <f>SUM(AH$5:AH28)/SUM(AI$5:AI28)</f>
        <v>1</v>
      </c>
    </row>
    <row r="29" spans="1:36" x14ac:dyDescent="0.35">
      <c r="A29" t="s">
        <v>89</v>
      </c>
      <c r="B29">
        <v>85</v>
      </c>
      <c r="C29" t="s">
        <v>7</v>
      </c>
      <c r="D29" t="s">
        <v>8</v>
      </c>
      <c r="E29" t="s">
        <v>46</v>
      </c>
      <c r="G29" t="s">
        <v>47</v>
      </c>
      <c r="O29">
        <v>0.67</v>
      </c>
      <c r="P29" t="s">
        <v>254</v>
      </c>
      <c r="Q29">
        <v>89.7</v>
      </c>
      <c r="R29">
        <v>2</v>
      </c>
      <c r="S29">
        <v>50</v>
      </c>
      <c r="T29" s="14">
        <v>35</v>
      </c>
      <c r="U29" s="11">
        <f t="shared" si="1"/>
        <v>1.0885420068360437E-3</v>
      </c>
      <c r="V29" s="11">
        <f t="shared" si="2"/>
        <v>2.2084805653710248E-3</v>
      </c>
      <c r="X29" s="15">
        <f t="shared" si="0"/>
        <v>1.0885420068360437E-3</v>
      </c>
      <c r="Y29" s="16">
        <f t="shared" si="3"/>
        <v>0.98345416149609211</v>
      </c>
      <c r="AA29" t="str">
        <f>IF(P29="*","-",IFERROR(VLOOKUP(P29,'AE-W1'!$P$4:$T$126,4,FALSE),"-"))</f>
        <v>-</v>
      </c>
      <c r="AB29" t="str">
        <f>IF(P29="*","-",IFERROR(VLOOKUP(P29,'AE-W3'!$P$4:$T$129,4,FALSE),"-"))</f>
        <v>-</v>
      </c>
      <c r="AC29" s="25">
        <f>IF(P29="*","-",IFERROR(VLOOKUP(P29,'All MECSM samples'!$P$4:$AD$454,15,FALSE),"-"))</f>
        <v>50</v>
      </c>
      <c r="AE29">
        <v>100</v>
      </c>
      <c r="AF29" s="34">
        <v>25</v>
      </c>
      <c r="AH29">
        <f t="shared" si="4"/>
        <v>1</v>
      </c>
      <c r="AI29">
        <f t="shared" si="5"/>
        <v>1</v>
      </c>
      <c r="AJ29" s="11">
        <f>SUM(AH$5:AH29)/SUM(AI$5:AI29)</f>
        <v>1</v>
      </c>
    </row>
    <row r="30" spans="1:36" x14ac:dyDescent="0.35">
      <c r="A30" t="s">
        <v>87</v>
      </c>
      <c r="B30">
        <v>72</v>
      </c>
      <c r="C30" t="s">
        <v>7</v>
      </c>
      <c r="D30" t="s">
        <v>8</v>
      </c>
      <c r="O30">
        <v>1</v>
      </c>
      <c r="P30" t="s">
        <v>256</v>
      </c>
      <c r="Q30">
        <v>90.1</v>
      </c>
      <c r="R30">
        <v>1</v>
      </c>
      <c r="S30">
        <v>44</v>
      </c>
      <c r="T30" s="14">
        <v>28</v>
      </c>
      <c r="U30" s="11">
        <f t="shared" si="1"/>
        <v>9.5791696601571854E-4</v>
      </c>
      <c r="V30" s="11">
        <f t="shared" si="2"/>
        <v>1.7667844522968198E-3</v>
      </c>
      <c r="X30" s="15">
        <f t="shared" si="0"/>
        <v>9.5791696601571854E-4</v>
      </c>
      <c r="Y30" s="16">
        <f t="shared" si="3"/>
        <v>0.98441207846210788</v>
      </c>
      <c r="AA30" t="str">
        <f>IF(P30="*","-",IFERROR(VLOOKUP(P30,'AE-W1'!$P$4:$T$126,4,FALSE),"-"))</f>
        <v>-</v>
      </c>
      <c r="AB30" t="str">
        <f>IF(P30="*","-",IFERROR(VLOOKUP(P30,'AE-W3'!$P$4:$T$129,4,FALSE),"-"))</f>
        <v>-</v>
      </c>
      <c r="AC30" s="25">
        <f>IF(P30="*","-",IFERROR(VLOOKUP(P30,'All MECSM samples'!$P$4:$AD$454,15,FALSE),"-"))</f>
        <v>44</v>
      </c>
      <c r="AE30">
        <v>100</v>
      </c>
      <c r="AF30" s="34">
        <v>27</v>
      </c>
      <c r="AH30">
        <f t="shared" si="4"/>
        <v>1</v>
      </c>
      <c r="AI30">
        <f t="shared" si="5"/>
        <v>1</v>
      </c>
      <c r="AJ30" s="11">
        <f>SUM(AH$5:AH30)/SUM(AI$5:AI30)</f>
        <v>1</v>
      </c>
    </row>
    <row r="31" spans="1:36" x14ac:dyDescent="0.35">
      <c r="A31" t="s">
        <v>153</v>
      </c>
      <c r="B31">
        <v>71</v>
      </c>
      <c r="C31" t="s">
        <v>7</v>
      </c>
      <c r="D31" t="s">
        <v>8</v>
      </c>
      <c r="E31" t="s">
        <v>9</v>
      </c>
      <c r="G31" t="s">
        <v>10</v>
      </c>
      <c r="K31" t="s">
        <v>227</v>
      </c>
      <c r="M31" t="s">
        <v>228</v>
      </c>
      <c r="O31">
        <v>1</v>
      </c>
      <c r="P31" t="s">
        <v>229</v>
      </c>
      <c r="Q31">
        <v>98.8</v>
      </c>
      <c r="R31">
        <v>1</v>
      </c>
      <c r="S31">
        <v>52</v>
      </c>
      <c r="T31" s="14">
        <v>19</v>
      </c>
      <c r="U31" s="11">
        <f t="shared" si="1"/>
        <v>1.1320836871094855E-3</v>
      </c>
      <c r="V31" s="11">
        <f t="shared" si="2"/>
        <v>1.1988894497728421E-3</v>
      </c>
      <c r="X31" s="15">
        <f t="shared" si="0"/>
        <v>1.1320836871094855E-3</v>
      </c>
      <c r="Y31" s="16">
        <f t="shared" si="3"/>
        <v>0.98554416214921736</v>
      </c>
      <c r="AA31">
        <f>IF(P31="*","-",IFERROR(VLOOKUP(P31,'AE-W1'!$P$4:$T$126,4,FALSE),"-"))</f>
        <v>25</v>
      </c>
      <c r="AB31">
        <f>IF(P31="*","-",IFERROR(VLOOKUP(P31,'AE-W3'!$P$4:$T$129,4,FALSE),"-"))</f>
        <v>82</v>
      </c>
      <c r="AC31" s="25">
        <f>IF(P31="*","-",IFERROR(VLOOKUP(P31,'All MECSM samples'!$P$4:$AD$454,15,FALSE),"-"))</f>
        <v>1516</v>
      </c>
      <c r="AE31">
        <v>100</v>
      </c>
      <c r="AF31" s="34">
        <v>12</v>
      </c>
      <c r="AH31">
        <f t="shared" si="4"/>
        <v>1</v>
      </c>
      <c r="AI31">
        <f t="shared" si="5"/>
        <v>1</v>
      </c>
      <c r="AJ31" s="11">
        <f>SUM(AH$5:AH31)/SUM(AI$5:AI31)</f>
        <v>1</v>
      </c>
    </row>
    <row r="32" spans="1:36" x14ac:dyDescent="0.35">
      <c r="A32" t="s">
        <v>93</v>
      </c>
      <c r="B32">
        <v>66</v>
      </c>
      <c r="C32" t="s">
        <v>7</v>
      </c>
      <c r="D32" t="s">
        <v>8</v>
      </c>
      <c r="E32" t="s">
        <v>120</v>
      </c>
      <c r="G32" t="s">
        <v>121</v>
      </c>
      <c r="I32" t="s">
        <v>122</v>
      </c>
      <c r="K32" t="s">
        <v>123</v>
      </c>
      <c r="O32">
        <v>0.99</v>
      </c>
      <c r="P32" t="s">
        <v>276</v>
      </c>
      <c r="Q32">
        <v>93.7</v>
      </c>
      <c r="R32">
        <v>1</v>
      </c>
      <c r="S32">
        <v>29</v>
      </c>
      <c r="T32" s="14">
        <v>37</v>
      </c>
      <c r="U32" s="11">
        <f t="shared" si="1"/>
        <v>6.313543639649054E-4</v>
      </c>
      <c r="V32" s="11">
        <f t="shared" si="2"/>
        <v>2.3346794548207974E-3</v>
      </c>
      <c r="W32" s="9"/>
      <c r="X32" s="15">
        <f t="shared" si="0"/>
        <v>6.313543639649054E-4</v>
      </c>
      <c r="Y32" s="16">
        <f t="shared" si="3"/>
        <v>0.98617551651318225</v>
      </c>
      <c r="AA32" t="str">
        <f>IF(P32="*","-",IFERROR(VLOOKUP(P32,'AE-W1'!$P$4:$T$126,4,FALSE),"-"))</f>
        <v>-</v>
      </c>
      <c r="AB32" t="str">
        <f>IF(P32="*","-",IFERROR(VLOOKUP(P32,'AE-W3'!$P$4:$T$129,4,FALSE),"-"))</f>
        <v>-</v>
      </c>
      <c r="AC32" s="25">
        <f>IF(P32="*","-",IFERROR(VLOOKUP(P32,'All MECSM samples'!$P$4:$AD$454,15,FALSE),"-"))</f>
        <v>18</v>
      </c>
      <c r="AE32">
        <v>100</v>
      </c>
      <c r="AF32" s="34">
        <v>21</v>
      </c>
      <c r="AH32">
        <f t="shared" si="4"/>
        <v>1</v>
      </c>
      <c r="AI32">
        <f t="shared" si="5"/>
        <v>1</v>
      </c>
      <c r="AJ32" s="11">
        <f>SUM(AH$5:AH32)/SUM(AI$5:AI32)</f>
        <v>1</v>
      </c>
    </row>
    <row r="33" spans="1:36" x14ac:dyDescent="0.35">
      <c r="A33" t="s">
        <v>294</v>
      </c>
      <c r="B33">
        <v>52</v>
      </c>
      <c r="C33" t="s">
        <v>7</v>
      </c>
      <c r="D33" t="s">
        <v>8</v>
      </c>
      <c r="E33" t="s">
        <v>290</v>
      </c>
      <c r="G33" t="s">
        <v>291</v>
      </c>
      <c r="M33" t="s">
        <v>292</v>
      </c>
      <c r="O33">
        <v>0.69</v>
      </c>
      <c r="P33" t="s">
        <v>293</v>
      </c>
      <c r="Q33">
        <v>96</v>
      </c>
      <c r="R33">
        <v>1</v>
      </c>
      <c r="S33">
        <v>31</v>
      </c>
      <c r="T33" s="14">
        <v>21</v>
      </c>
      <c r="U33" s="11">
        <f t="shared" si="1"/>
        <v>6.7489604423834717E-4</v>
      </c>
      <c r="V33" s="11">
        <f t="shared" si="2"/>
        <v>1.3250883392226149E-3</v>
      </c>
      <c r="X33" s="15">
        <f t="shared" si="0"/>
        <v>6.7489604423834717E-4</v>
      </c>
      <c r="Y33" s="16">
        <f t="shared" si="3"/>
        <v>0.98685041255742056</v>
      </c>
      <c r="AA33" t="str">
        <f>IF(P33="*","-",IFERROR(VLOOKUP(P33,'AE-W1'!$P$4:$T$126,4,FALSE),"-"))</f>
        <v>-</v>
      </c>
      <c r="AB33" t="str">
        <f>IF(P33="*","-",IFERROR(VLOOKUP(P33,'AE-W3'!$P$4:$T$129,4,FALSE),"-"))</f>
        <v>-</v>
      </c>
      <c r="AC33" s="25">
        <f>IF(P33="*","-",IFERROR(VLOOKUP(P33,'All MECSM samples'!$P$4:$AD$454,15,FALSE),"-"))</f>
        <v>31</v>
      </c>
      <c r="AE33">
        <v>100</v>
      </c>
      <c r="AF33" s="34">
        <v>14</v>
      </c>
      <c r="AH33">
        <f t="shared" si="4"/>
        <v>1</v>
      </c>
      <c r="AI33">
        <f t="shared" si="5"/>
        <v>1</v>
      </c>
      <c r="AJ33" s="11">
        <f>SUM(AH$5:AH33)/SUM(AI$5:AI33)</f>
        <v>1</v>
      </c>
    </row>
    <row r="34" spans="1:36" x14ac:dyDescent="0.35">
      <c r="A34" t="s">
        <v>602</v>
      </c>
      <c r="B34">
        <v>41</v>
      </c>
      <c r="C34" t="s">
        <v>7</v>
      </c>
      <c r="D34" t="s">
        <v>8</v>
      </c>
      <c r="E34" t="s">
        <v>9</v>
      </c>
      <c r="G34" t="s">
        <v>78</v>
      </c>
      <c r="I34" t="s">
        <v>79</v>
      </c>
      <c r="K34" t="s">
        <v>80</v>
      </c>
      <c r="M34" t="s">
        <v>81</v>
      </c>
      <c r="O34">
        <v>0.62</v>
      </c>
      <c r="P34" t="s">
        <v>82</v>
      </c>
      <c r="Q34">
        <v>97.2</v>
      </c>
      <c r="R34">
        <v>1</v>
      </c>
      <c r="S34">
        <v>41</v>
      </c>
      <c r="T34" s="14">
        <v>0</v>
      </c>
      <c r="U34" s="11">
        <f t="shared" si="1"/>
        <v>8.9260444560555589E-4</v>
      </c>
      <c r="V34" s="11">
        <f t="shared" si="2"/>
        <v>0</v>
      </c>
      <c r="X34" s="15">
        <f t="shared" si="0"/>
        <v>8.9260444560555589E-4</v>
      </c>
      <c r="Y34" s="16">
        <f t="shared" si="3"/>
        <v>0.98774301700302614</v>
      </c>
      <c r="AA34">
        <f>IF(P34="*","-",IFERROR(VLOOKUP(P34,'AE-W1'!$P$4:$T$126,4,FALSE),"-"))</f>
        <v>2340</v>
      </c>
      <c r="AB34">
        <f>IF(P34="*","-",IFERROR(VLOOKUP(P34,'AE-W3'!$P$4:$T$129,4,FALSE),"-"))</f>
        <v>31</v>
      </c>
      <c r="AC34" s="25">
        <f>IF(P34="*","-",IFERROR(VLOOKUP(P34,'All MECSM samples'!$P$4:$AD$454,15,FALSE),"-"))</f>
        <v>14011</v>
      </c>
      <c r="AE34">
        <v>2</v>
      </c>
      <c r="AF34" s="34">
        <v>1</v>
      </c>
      <c r="AH34">
        <f t="shared" si="4"/>
        <v>0</v>
      </c>
      <c r="AI34">
        <f t="shared" si="5"/>
        <v>0</v>
      </c>
      <c r="AJ34" s="11">
        <f>SUM(AH$5:AH34)/SUM(AI$5:AI34)</f>
        <v>1</v>
      </c>
    </row>
    <row r="35" spans="1:36" x14ac:dyDescent="0.35">
      <c r="A35" t="s">
        <v>111</v>
      </c>
      <c r="B35">
        <v>41</v>
      </c>
      <c r="C35" t="s">
        <v>7</v>
      </c>
      <c r="D35" t="s">
        <v>8</v>
      </c>
      <c r="E35" t="s">
        <v>258</v>
      </c>
      <c r="G35" t="s">
        <v>258</v>
      </c>
      <c r="H35" t="s">
        <v>259</v>
      </c>
      <c r="I35" t="s">
        <v>260</v>
      </c>
      <c r="J35" t="s">
        <v>261</v>
      </c>
      <c r="K35" t="s">
        <v>262</v>
      </c>
      <c r="O35">
        <v>0.5</v>
      </c>
      <c r="P35" t="s">
        <v>328</v>
      </c>
      <c r="Q35">
        <v>89.7</v>
      </c>
      <c r="R35">
        <v>1</v>
      </c>
      <c r="S35">
        <v>20</v>
      </c>
      <c r="T35" s="14">
        <v>21</v>
      </c>
      <c r="U35" s="11">
        <f t="shared" si="1"/>
        <v>4.3541680273441751E-4</v>
      </c>
      <c r="V35" s="11">
        <f t="shared" si="2"/>
        <v>1.3250883392226149E-3</v>
      </c>
      <c r="X35" s="15">
        <f t="shared" si="0"/>
        <v>4.3541680273441751E-4</v>
      </c>
      <c r="Y35" s="16">
        <f t="shared" si="3"/>
        <v>0.98817843380576054</v>
      </c>
      <c r="AA35">
        <f>IF(P35="*","-",IFERROR(VLOOKUP(P35,'AE-W1'!$P$4:$T$126,4,FALSE),"-"))</f>
        <v>11</v>
      </c>
      <c r="AB35">
        <f>IF(P35="*","-",IFERROR(VLOOKUP(P35,'AE-W3'!$P$4:$T$129,4,FALSE),"-"))</f>
        <v>5</v>
      </c>
      <c r="AC35" s="25">
        <f>IF(P35="*","-",IFERROR(VLOOKUP(P35,'All MECSM samples'!$P$4:$AD$454,15,FALSE),"-"))</f>
        <v>3418</v>
      </c>
      <c r="AE35">
        <v>100</v>
      </c>
      <c r="AF35" s="34">
        <v>11</v>
      </c>
      <c r="AH35">
        <f t="shared" si="4"/>
        <v>1</v>
      </c>
      <c r="AI35">
        <f t="shared" si="5"/>
        <v>1</v>
      </c>
      <c r="AJ35" s="11">
        <f>SUM(AH$5:AH35)/SUM(AI$5:AI35)</f>
        <v>1</v>
      </c>
    </row>
    <row r="36" spans="1:36" x14ac:dyDescent="0.35">
      <c r="A36" t="s">
        <v>130</v>
      </c>
      <c r="B36">
        <v>30</v>
      </c>
      <c r="C36" t="s">
        <v>7</v>
      </c>
      <c r="D36" t="s">
        <v>24</v>
      </c>
      <c r="E36" t="s">
        <v>25</v>
      </c>
      <c r="G36" t="s">
        <v>40</v>
      </c>
      <c r="I36" t="s">
        <v>56</v>
      </c>
      <c r="K36" t="s">
        <v>57</v>
      </c>
      <c r="M36" t="s">
        <v>58</v>
      </c>
      <c r="O36">
        <v>1</v>
      </c>
      <c r="P36" t="s">
        <v>59</v>
      </c>
      <c r="Q36">
        <v>99.6</v>
      </c>
      <c r="R36">
        <v>1</v>
      </c>
      <c r="S36">
        <v>30</v>
      </c>
      <c r="T36" s="14">
        <v>0</v>
      </c>
      <c r="U36" s="11">
        <f t="shared" si="1"/>
        <v>6.5312520410162628E-4</v>
      </c>
      <c r="V36" s="11">
        <f t="shared" si="2"/>
        <v>0</v>
      </c>
      <c r="X36" s="15">
        <f t="shared" ref="X36:X67" si="6">S36/S$1</f>
        <v>6.5312520410162628E-4</v>
      </c>
      <c r="Y36" s="16">
        <f t="shared" si="3"/>
        <v>0.98883155900986219</v>
      </c>
      <c r="AA36">
        <f>IF(P36="*","-",IFERROR(VLOOKUP(P36,'AE-W1'!$P$4:$T$126,4,FALSE),"-"))</f>
        <v>3312</v>
      </c>
      <c r="AB36">
        <f>IF(P36="*","-",IFERROR(VLOOKUP(P36,'AE-W3'!$P$4:$T$129,4,FALSE),"-"))</f>
        <v>29</v>
      </c>
      <c r="AC36" s="25">
        <f>IF(P36="*","-",IFERROR(VLOOKUP(P36,'All MECSM samples'!$P$4:$AD$454,15,FALSE),"-"))</f>
        <v>10512</v>
      </c>
      <c r="AE36">
        <v>25</v>
      </c>
      <c r="AF36" s="34">
        <v>1</v>
      </c>
      <c r="AH36">
        <f t="shared" si="4"/>
        <v>0</v>
      </c>
      <c r="AI36">
        <f t="shared" si="5"/>
        <v>0</v>
      </c>
      <c r="AJ36" s="11">
        <f>SUM(AH$5:AH36)/SUM(AI$5:AI36)</f>
        <v>1</v>
      </c>
    </row>
    <row r="37" spans="1:36" x14ac:dyDescent="0.35">
      <c r="A37" t="s">
        <v>113</v>
      </c>
      <c r="B37">
        <v>29</v>
      </c>
      <c r="C37" t="s">
        <v>7</v>
      </c>
      <c r="D37" t="s">
        <v>24</v>
      </c>
      <c r="E37" t="s">
        <v>25</v>
      </c>
      <c r="G37" t="s">
        <v>26</v>
      </c>
      <c r="I37" t="s">
        <v>27</v>
      </c>
      <c r="K37" t="s">
        <v>28</v>
      </c>
      <c r="M37" t="s">
        <v>29</v>
      </c>
      <c r="O37">
        <v>1</v>
      </c>
      <c r="P37" t="s">
        <v>30</v>
      </c>
      <c r="Q37">
        <v>100</v>
      </c>
      <c r="R37">
        <v>1</v>
      </c>
      <c r="S37">
        <v>29</v>
      </c>
      <c r="T37" s="14">
        <v>0</v>
      </c>
      <c r="U37" s="11">
        <f t="shared" si="1"/>
        <v>6.313543639649054E-4</v>
      </c>
      <c r="V37" s="11">
        <f t="shared" si="2"/>
        <v>0</v>
      </c>
      <c r="X37" s="15">
        <f t="shared" si="6"/>
        <v>6.313543639649054E-4</v>
      </c>
      <c r="Y37" s="16">
        <f t="shared" ref="Y37:Y68" si="7">Y36+X37</f>
        <v>0.98946291337382708</v>
      </c>
      <c r="AA37">
        <f>IF(P37="*","-",IFERROR(VLOOKUP(P37,'AE-W1'!$P$4:$T$126,4,FALSE),"-"))</f>
        <v>6</v>
      </c>
      <c r="AB37">
        <f>IF(P37="*","-",IFERROR(VLOOKUP(P37,'AE-W3'!$P$4:$T$129,4,FALSE),"-"))</f>
        <v>7736</v>
      </c>
      <c r="AC37" s="25">
        <f>IF(P37="*","-",IFERROR(VLOOKUP(P37,'All MECSM samples'!$P$4:$AD$454,15,FALSE),"-"))</f>
        <v>7783</v>
      </c>
      <c r="AE37">
        <v>32</v>
      </c>
      <c r="AF37" s="34">
        <v>35</v>
      </c>
      <c r="AH37">
        <f t="shared" si="4"/>
        <v>0</v>
      </c>
      <c r="AI37">
        <f t="shared" si="5"/>
        <v>0</v>
      </c>
      <c r="AJ37" s="11">
        <f>SUM(AH$5:AH37)/SUM(AI$5:AI37)</f>
        <v>1</v>
      </c>
    </row>
    <row r="38" spans="1:36" x14ac:dyDescent="0.35">
      <c r="A38" t="s">
        <v>272</v>
      </c>
      <c r="B38">
        <v>29</v>
      </c>
      <c r="C38" t="s">
        <v>7</v>
      </c>
      <c r="D38" t="s">
        <v>8</v>
      </c>
      <c r="E38" t="s">
        <v>32</v>
      </c>
      <c r="G38" t="s">
        <v>35</v>
      </c>
      <c r="I38" t="s">
        <v>36</v>
      </c>
      <c r="O38">
        <v>0.61</v>
      </c>
      <c r="P38" t="s">
        <v>92</v>
      </c>
      <c r="Q38">
        <v>86.2</v>
      </c>
      <c r="R38">
        <v>2</v>
      </c>
      <c r="S38">
        <v>29</v>
      </c>
      <c r="T38" s="14">
        <v>0</v>
      </c>
      <c r="U38" s="11">
        <f t="shared" si="1"/>
        <v>6.313543639649054E-4</v>
      </c>
      <c r="V38" s="11">
        <f t="shared" si="2"/>
        <v>0</v>
      </c>
      <c r="X38" s="15">
        <f t="shared" si="6"/>
        <v>6.313543639649054E-4</v>
      </c>
      <c r="Y38" s="18">
        <f t="shared" si="7"/>
        <v>0.99009426773779197</v>
      </c>
      <c r="AA38">
        <f>IF(P38="*","-",IFERROR(VLOOKUP(P38,'AE-W1'!$P$4:$T$126,4,FALSE),"-"))</f>
        <v>1059</v>
      </c>
      <c r="AB38">
        <f>IF(P38="*","-",IFERROR(VLOOKUP(P38,'AE-W3'!$P$4:$T$129,4,FALSE),"-"))</f>
        <v>389</v>
      </c>
      <c r="AC38" s="25">
        <f>IF(P38="*","-",IFERROR(VLOOKUP(P38,'All MECSM samples'!$P$4:$AD$454,15,FALSE),"-"))</f>
        <v>6717</v>
      </c>
      <c r="AE38">
        <v>2</v>
      </c>
      <c r="AF38" s="34">
        <v>732</v>
      </c>
      <c r="AH38">
        <f t="shared" si="4"/>
        <v>0</v>
      </c>
      <c r="AI38">
        <f t="shared" si="5"/>
        <v>0</v>
      </c>
      <c r="AJ38" s="11">
        <f>SUM(AH$5:AH38)/SUM(AI$5:AI38)</f>
        <v>1</v>
      </c>
    </row>
    <row r="39" spans="1:36" x14ac:dyDescent="0.35">
      <c r="A39" t="s">
        <v>349</v>
      </c>
      <c r="B39">
        <v>18</v>
      </c>
      <c r="C39" t="s">
        <v>7</v>
      </c>
      <c r="D39" t="s">
        <v>24</v>
      </c>
      <c r="E39" t="s">
        <v>25</v>
      </c>
      <c r="G39" t="s">
        <v>26</v>
      </c>
      <c r="I39" t="s">
        <v>27</v>
      </c>
      <c r="K39" t="s">
        <v>28</v>
      </c>
      <c r="M39" t="s">
        <v>29</v>
      </c>
      <c r="O39">
        <v>1</v>
      </c>
      <c r="P39" t="s">
        <v>283</v>
      </c>
      <c r="Q39">
        <v>99.6</v>
      </c>
      <c r="R39">
        <v>1</v>
      </c>
      <c r="S39">
        <v>18</v>
      </c>
      <c r="T39" s="14">
        <v>0</v>
      </c>
      <c r="U39" s="11">
        <f t="shared" si="1"/>
        <v>3.9187512246097579E-4</v>
      </c>
      <c r="V39" s="11">
        <f t="shared" si="2"/>
        <v>0</v>
      </c>
      <c r="X39" s="11">
        <f t="shared" si="6"/>
        <v>3.9187512246097579E-4</v>
      </c>
      <c r="Y39" s="12">
        <f t="shared" si="7"/>
        <v>0.99048614286025294</v>
      </c>
      <c r="AA39">
        <f>IF(P39="*","-",IFERROR(VLOOKUP(P39,'AE-W1'!$P$4:$T$126,4,FALSE),"-"))</f>
        <v>10</v>
      </c>
      <c r="AB39">
        <f>IF(P39="*","-",IFERROR(VLOOKUP(P39,'AE-W3'!$P$4:$T$129,4,FALSE),"-"))</f>
        <v>33</v>
      </c>
      <c r="AC39" s="25">
        <f>IF(P39="*","-",IFERROR(VLOOKUP(P39,'All MECSM samples'!$P$4:$AD$454,15,FALSE),"-"))</f>
        <v>22906</v>
      </c>
      <c r="AE39">
        <v>14</v>
      </c>
      <c r="AF39" s="34">
        <v>174</v>
      </c>
      <c r="AH39">
        <f t="shared" si="4"/>
        <v>0</v>
      </c>
      <c r="AI39">
        <f t="shared" si="5"/>
        <v>0</v>
      </c>
      <c r="AJ39" s="11">
        <f>SUM(AH$5:AH39)/SUM(AI$5:AI39)</f>
        <v>1</v>
      </c>
    </row>
    <row r="40" spans="1:36" x14ac:dyDescent="0.35">
      <c r="A40" t="s">
        <v>193</v>
      </c>
      <c r="B40">
        <v>18</v>
      </c>
      <c r="C40" t="s">
        <v>7</v>
      </c>
      <c r="D40" t="s">
        <v>8</v>
      </c>
      <c r="E40" t="s">
        <v>32</v>
      </c>
      <c r="O40">
        <v>0.99</v>
      </c>
      <c r="P40" t="s">
        <v>314</v>
      </c>
      <c r="Q40">
        <v>87</v>
      </c>
      <c r="R40">
        <v>1</v>
      </c>
      <c r="S40">
        <v>18</v>
      </c>
      <c r="T40" s="14">
        <v>0</v>
      </c>
      <c r="U40" s="11">
        <f t="shared" si="1"/>
        <v>3.9187512246097579E-4</v>
      </c>
      <c r="V40" s="11">
        <f t="shared" si="2"/>
        <v>0</v>
      </c>
      <c r="X40" s="11">
        <f t="shared" si="6"/>
        <v>3.9187512246097579E-4</v>
      </c>
      <c r="Y40" s="12">
        <f t="shared" si="7"/>
        <v>0.99087801798271391</v>
      </c>
      <c r="AA40">
        <f>IF(P40="*","-",IFERROR(VLOOKUP(P40,'AE-W1'!$P$4:$T$126,4,FALSE),"-"))</f>
        <v>13</v>
      </c>
      <c r="AB40">
        <f>IF(P40="*","-",IFERROR(VLOOKUP(P40,'AE-W3'!$P$4:$T$129,4,FALSE),"-"))</f>
        <v>4</v>
      </c>
      <c r="AC40" s="25">
        <f>IF(P40="*","-",IFERROR(VLOOKUP(P40,'All MECSM samples'!$P$4:$AD$454,15,FALSE),"-"))</f>
        <v>4137</v>
      </c>
      <c r="AE40">
        <v>39</v>
      </c>
      <c r="AF40" s="34">
        <v>727</v>
      </c>
      <c r="AH40">
        <f t="shared" si="4"/>
        <v>0</v>
      </c>
      <c r="AI40">
        <f t="shared" si="5"/>
        <v>0</v>
      </c>
      <c r="AJ40" s="11">
        <f>SUM(AH$5:AH40)/SUM(AI$5:AI40)</f>
        <v>1</v>
      </c>
    </row>
    <row r="41" spans="1:36" x14ac:dyDescent="0.35">
      <c r="A41" t="s">
        <v>137</v>
      </c>
      <c r="B41">
        <v>17</v>
      </c>
      <c r="C41" t="s">
        <v>7</v>
      </c>
      <c r="D41" t="s">
        <v>8</v>
      </c>
      <c r="E41" t="s">
        <v>9</v>
      </c>
      <c r="G41" t="s">
        <v>10</v>
      </c>
      <c r="I41" t="s">
        <v>131</v>
      </c>
      <c r="K41" t="s">
        <v>132</v>
      </c>
      <c r="M41" t="s">
        <v>133</v>
      </c>
      <c r="O41">
        <v>1</v>
      </c>
      <c r="P41" t="s">
        <v>134</v>
      </c>
      <c r="Q41">
        <v>100</v>
      </c>
      <c r="R41">
        <v>1</v>
      </c>
      <c r="S41">
        <v>17</v>
      </c>
      <c r="T41" s="14">
        <v>0</v>
      </c>
      <c r="U41" s="11">
        <f t="shared" si="1"/>
        <v>3.7010428232425491E-4</v>
      </c>
      <c r="V41" s="11">
        <f t="shared" si="2"/>
        <v>0</v>
      </c>
      <c r="X41" s="11">
        <f t="shared" si="6"/>
        <v>3.7010428232425491E-4</v>
      </c>
      <c r="Y41" s="12">
        <f t="shared" si="7"/>
        <v>0.99124812226503811</v>
      </c>
      <c r="AA41">
        <f>IF(P41="*","-",IFERROR(VLOOKUP(P41,'AE-W1'!$P$4:$T$126,4,FALSE),"-"))</f>
        <v>219</v>
      </c>
      <c r="AB41">
        <f>IF(P41="*","-",IFERROR(VLOOKUP(P41,'AE-W3'!$P$4:$T$129,4,FALSE),"-"))</f>
        <v>254</v>
      </c>
      <c r="AC41" s="25">
        <f>IF(P41="*","-",IFERROR(VLOOKUP(P41,'All MECSM samples'!$P$4:$AD$454,15,FALSE),"-"))</f>
        <v>255</v>
      </c>
      <c r="AE41">
        <v>100</v>
      </c>
      <c r="AF41" s="34">
        <v>3</v>
      </c>
      <c r="AH41">
        <f t="shared" si="4"/>
        <v>0</v>
      </c>
      <c r="AI41">
        <f t="shared" si="5"/>
        <v>1</v>
      </c>
      <c r="AJ41" s="11">
        <f>SUM(AH$5:AH41)/SUM(AI$5:AI41)</f>
        <v>0.96666666666666667</v>
      </c>
    </row>
    <row r="42" spans="1:36" x14ac:dyDescent="0.35">
      <c r="A42" t="s">
        <v>119</v>
      </c>
      <c r="B42">
        <v>16</v>
      </c>
      <c r="C42" t="s">
        <v>7</v>
      </c>
      <c r="D42" t="s">
        <v>24</v>
      </c>
      <c r="E42" t="s">
        <v>25</v>
      </c>
      <c r="G42" t="s">
        <v>40</v>
      </c>
      <c r="I42" t="s">
        <v>41</v>
      </c>
      <c r="K42" t="s">
        <v>42</v>
      </c>
      <c r="M42" t="s">
        <v>43</v>
      </c>
      <c r="O42">
        <v>1</v>
      </c>
      <c r="P42" t="s">
        <v>44</v>
      </c>
      <c r="Q42">
        <v>97.2</v>
      </c>
      <c r="R42">
        <v>1</v>
      </c>
      <c r="S42">
        <v>16</v>
      </c>
      <c r="T42" s="14">
        <v>0</v>
      </c>
      <c r="U42" s="11">
        <f t="shared" si="1"/>
        <v>3.4833344218753403E-4</v>
      </c>
      <c r="V42" s="11">
        <f t="shared" si="2"/>
        <v>0</v>
      </c>
      <c r="X42" s="11">
        <f t="shared" si="6"/>
        <v>3.4833344218753403E-4</v>
      </c>
      <c r="Y42" s="12">
        <f t="shared" si="7"/>
        <v>0.99159645570722565</v>
      </c>
      <c r="AA42">
        <f>IF(P42="*","-",IFERROR(VLOOKUP(P42,'AE-W1'!$P$4:$T$126,4,FALSE),"-"))</f>
        <v>1032</v>
      </c>
      <c r="AB42">
        <f>IF(P42="*","-",IFERROR(VLOOKUP(P42,'AE-W3'!$P$4:$T$129,4,FALSE),"-"))</f>
        <v>3332</v>
      </c>
      <c r="AC42" s="25">
        <f>IF(P42="*","-",IFERROR(VLOOKUP(P42,'All MECSM samples'!$P$4:$AD$454,15,FALSE),"-"))</f>
        <v>11703</v>
      </c>
      <c r="AE42">
        <v>60</v>
      </c>
      <c r="AF42" s="34">
        <v>1</v>
      </c>
      <c r="AH42">
        <f t="shared" si="4"/>
        <v>0</v>
      </c>
      <c r="AI42">
        <f t="shared" si="5"/>
        <v>0</v>
      </c>
      <c r="AJ42" s="11">
        <f>SUM(AH$5:AH42)/SUM(AI$5:AI42)</f>
        <v>0.96666666666666667</v>
      </c>
    </row>
    <row r="43" spans="1:36" x14ac:dyDescent="0.35">
      <c r="A43" t="s">
        <v>128</v>
      </c>
      <c r="B43">
        <v>16</v>
      </c>
      <c r="C43" t="s">
        <v>7</v>
      </c>
      <c r="D43" t="s">
        <v>8</v>
      </c>
      <c r="E43" t="s">
        <v>46</v>
      </c>
      <c r="G43" t="s">
        <v>47</v>
      </c>
      <c r="I43" t="s">
        <v>61</v>
      </c>
      <c r="K43" t="s">
        <v>94</v>
      </c>
      <c r="M43" t="s">
        <v>95</v>
      </c>
      <c r="O43">
        <v>1</v>
      </c>
      <c r="P43" t="s">
        <v>96</v>
      </c>
      <c r="Q43">
        <v>100</v>
      </c>
      <c r="R43">
        <v>3</v>
      </c>
      <c r="S43">
        <v>16</v>
      </c>
      <c r="T43" s="14">
        <v>0</v>
      </c>
      <c r="U43" s="11">
        <f t="shared" si="1"/>
        <v>3.4833344218753403E-4</v>
      </c>
      <c r="V43" s="11">
        <f t="shared" si="2"/>
        <v>0</v>
      </c>
      <c r="X43" s="11">
        <f t="shared" si="6"/>
        <v>3.4833344218753403E-4</v>
      </c>
      <c r="Y43" s="12">
        <f t="shared" si="7"/>
        <v>0.9919447891494132</v>
      </c>
      <c r="AA43">
        <f>IF(P43="*","-",IFERROR(VLOOKUP(P43,'AE-W1'!$P$4:$T$126,4,FALSE),"-"))</f>
        <v>929</v>
      </c>
      <c r="AB43">
        <f>IF(P43="*","-",IFERROR(VLOOKUP(P43,'AE-W3'!$P$4:$T$129,4,FALSE),"-"))</f>
        <v>153</v>
      </c>
      <c r="AC43" s="25">
        <f>IF(P43="*","-",IFERROR(VLOOKUP(P43,'All MECSM samples'!$P$4:$AD$454,15,FALSE),"-"))</f>
        <v>2442</v>
      </c>
      <c r="AE43">
        <v>1</v>
      </c>
      <c r="AF43" s="34">
        <v>505</v>
      </c>
      <c r="AH43">
        <f t="shared" si="4"/>
        <v>0</v>
      </c>
      <c r="AI43">
        <f t="shared" si="5"/>
        <v>0</v>
      </c>
      <c r="AJ43" s="11">
        <f>SUM(AH$5:AH43)/SUM(AI$5:AI43)</f>
        <v>0.96666666666666667</v>
      </c>
    </row>
    <row r="44" spans="1:36" x14ac:dyDescent="0.35">
      <c r="A44" t="s">
        <v>197</v>
      </c>
      <c r="B44">
        <v>14</v>
      </c>
      <c r="C44" t="s">
        <v>7</v>
      </c>
      <c r="D44" t="s">
        <v>8</v>
      </c>
      <c r="E44" t="s">
        <v>258</v>
      </c>
      <c r="G44" t="s">
        <v>258</v>
      </c>
      <c r="H44" t="s">
        <v>259</v>
      </c>
      <c r="I44" t="s">
        <v>260</v>
      </c>
      <c r="J44" t="s">
        <v>261</v>
      </c>
      <c r="K44" t="s">
        <v>262</v>
      </c>
      <c r="O44">
        <v>0.59</v>
      </c>
      <c r="P44" t="s">
        <v>263</v>
      </c>
      <c r="Q44">
        <v>88.5</v>
      </c>
      <c r="R44">
        <v>1</v>
      </c>
      <c r="S44">
        <v>14</v>
      </c>
      <c r="T44" s="14">
        <v>0</v>
      </c>
      <c r="U44" s="11">
        <f t="shared" si="1"/>
        <v>3.0479176191409226E-4</v>
      </c>
      <c r="V44" s="11">
        <f t="shared" si="2"/>
        <v>0</v>
      </c>
      <c r="X44" s="11">
        <f t="shared" si="6"/>
        <v>3.0479176191409226E-4</v>
      </c>
      <c r="Y44" s="12">
        <f t="shared" si="7"/>
        <v>0.99224958091132731</v>
      </c>
      <c r="AA44">
        <f>IF(P44="*","-",IFERROR(VLOOKUP(P44,'AE-W1'!$P$4:$T$126,4,FALSE),"-"))</f>
        <v>51</v>
      </c>
      <c r="AB44">
        <f>IF(P44="*","-",IFERROR(VLOOKUP(P44,'AE-W3'!$P$4:$T$129,4,FALSE),"-"))</f>
        <v>14</v>
      </c>
      <c r="AC44" s="25">
        <f>IF(P44="*","-",IFERROR(VLOOKUP(P44,'All MECSM samples'!$P$4:$AD$454,15,FALSE),"-"))</f>
        <v>9732</v>
      </c>
      <c r="AE44">
        <v>31</v>
      </c>
      <c r="AF44" s="34">
        <v>5</v>
      </c>
      <c r="AH44">
        <f t="shared" si="4"/>
        <v>0</v>
      </c>
      <c r="AI44">
        <f t="shared" si="5"/>
        <v>0</v>
      </c>
      <c r="AJ44" s="11">
        <f>SUM(AH$5:AH44)/SUM(AI$5:AI44)</f>
        <v>0.96666666666666667</v>
      </c>
    </row>
    <row r="45" spans="1:36" x14ac:dyDescent="0.35">
      <c r="A45" t="s">
        <v>171</v>
      </c>
      <c r="B45">
        <v>14</v>
      </c>
      <c r="C45" t="s">
        <v>7</v>
      </c>
      <c r="D45" t="s">
        <v>8</v>
      </c>
      <c r="E45" t="s">
        <v>46</v>
      </c>
      <c r="G45" t="s">
        <v>47</v>
      </c>
      <c r="O45">
        <v>0.59</v>
      </c>
      <c r="P45" t="s">
        <v>48</v>
      </c>
      <c r="Q45">
        <v>87</v>
      </c>
      <c r="R45">
        <v>1</v>
      </c>
      <c r="S45">
        <v>14</v>
      </c>
      <c r="T45" s="14">
        <v>0</v>
      </c>
      <c r="U45" s="11">
        <f t="shared" si="1"/>
        <v>3.0479176191409226E-4</v>
      </c>
      <c r="V45" s="11">
        <f t="shared" si="2"/>
        <v>0</v>
      </c>
      <c r="X45" s="11">
        <f t="shared" si="6"/>
        <v>3.0479176191409226E-4</v>
      </c>
      <c r="Y45" s="12">
        <f t="shared" si="7"/>
        <v>0.99255437267324143</v>
      </c>
      <c r="AA45">
        <f>IF(P45="*","-",IFERROR(VLOOKUP(P45,'AE-W1'!$P$4:$T$126,4,FALSE),"-"))</f>
        <v>5</v>
      </c>
      <c r="AB45">
        <f>IF(P45="*","-",IFERROR(VLOOKUP(P45,'AE-W3'!$P$4:$T$129,4,FALSE),"-"))</f>
        <v>3285</v>
      </c>
      <c r="AC45" s="25">
        <f>IF(P45="*","-",IFERROR(VLOOKUP(P45,'All MECSM samples'!$P$4:$AD$454,15,FALSE),"-"))</f>
        <v>3303</v>
      </c>
      <c r="AE45">
        <v>14</v>
      </c>
      <c r="AF45" s="34">
        <v>513</v>
      </c>
      <c r="AH45">
        <f t="shared" si="4"/>
        <v>0</v>
      </c>
      <c r="AI45">
        <f t="shared" si="5"/>
        <v>0</v>
      </c>
      <c r="AJ45" s="11">
        <f>SUM(AH$5:AH45)/SUM(AI$5:AI45)</f>
        <v>0.96666666666666667</v>
      </c>
    </row>
    <row r="46" spans="1:36" x14ac:dyDescent="0.35">
      <c r="A46" t="s">
        <v>142</v>
      </c>
      <c r="B46">
        <v>14</v>
      </c>
      <c r="C46" t="s">
        <v>7</v>
      </c>
      <c r="D46" t="s">
        <v>8</v>
      </c>
      <c r="E46" t="s">
        <v>46</v>
      </c>
      <c r="G46" t="s">
        <v>47</v>
      </c>
      <c r="I46" t="s">
        <v>160</v>
      </c>
      <c r="K46" t="s">
        <v>161</v>
      </c>
      <c r="M46" t="s">
        <v>162</v>
      </c>
      <c r="O46">
        <v>0.57999999999999996</v>
      </c>
      <c r="P46" t="s">
        <v>163</v>
      </c>
      <c r="Q46">
        <v>89.7</v>
      </c>
      <c r="R46">
        <v>1</v>
      </c>
      <c r="S46">
        <v>14</v>
      </c>
      <c r="T46" s="14">
        <v>0</v>
      </c>
      <c r="U46" s="11">
        <f t="shared" si="1"/>
        <v>3.0479176191409226E-4</v>
      </c>
      <c r="V46" s="11">
        <f t="shared" si="2"/>
        <v>0</v>
      </c>
      <c r="X46" s="11">
        <f t="shared" si="6"/>
        <v>3.0479176191409226E-4</v>
      </c>
      <c r="Y46" s="12">
        <f t="shared" si="7"/>
        <v>0.99285916443515554</v>
      </c>
      <c r="AA46">
        <f>IF(P46="*","-",IFERROR(VLOOKUP(P46,'AE-W1'!$P$4:$T$126,4,FALSE),"-"))</f>
        <v>15</v>
      </c>
      <c r="AB46">
        <f>IF(P46="*","-",IFERROR(VLOOKUP(P46,'AE-W3'!$P$4:$T$129,4,FALSE),"-"))</f>
        <v>128</v>
      </c>
      <c r="AC46" s="25">
        <f>IF(P46="*","-",IFERROR(VLOOKUP(P46,'All MECSM samples'!$P$4:$AD$454,15,FALSE),"-"))</f>
        <v>3869</v>
      </c>
      <c r="AE46">
        <v>4</v>
      </c>
      <c r="AF46" s="34">
        <v>65</v>
      </c>
      <c r="AH46">
        <f t="shared" si="4"/>
        <v>0</v>
      </c>
      <c r="AI46">
        <f t="shared" si="5"/>
        <v>0</v>
      </c>
      <c r="AJ46" s="11">
        <f>SUM(AH$5:AH46)/SUM(AI$5:AI46)</f>
        <v>0.96666666666666667</v>
      </c>
    </row>
    <row r="47" spans="1:36" x14ac:dyDescent="0.35">
      <c r="A47" t="s">
        <v>181</v>
      </c>
      <c r="B47">
        <v>13</v>
      </c>
      <c r="C47" t="s">
        <v>7</v>
      </c>
      <c r="D47" t="s">
        <v>8</v>
      </c>
      <c r="E47" t="s">
        <v>46</v>
      </c>
      <c r="G47" t="s">
        <v>364</v>
      </c>
      <c r="I47" t="s">
        <v>365</v>
      </c>
      <c r="K47" t="s">
        <v>366</v>
      </c>
      <c r="M47" t="s">
        <v>367</v>
      </c>
      <c r="O47">
        <v>1</v>
      </c>
      <c r="P47" t="s">
        <v>368</v>
      </c>
      <c r="Q47">
        <v>100</v>
      </c>
      <c r="R47">
        <v>4</v>
      </c>
      <c r="S47">
        <v>13</v>
      </c>
      <c r="T47" s="14">
        <v>0</v>
      </c>
      <c r="U47" s="11">
        <f t="shared" si="1"/>
        <v>2.8302092177737138E-4</v>
      </c>
      <c r="V47" s="11">
        <f t="shared" si="2"/>
        <v>0</v>
      </c>
      <c r="X47" s="11">
        <f t="shared" si="6"/>
        <v>2.8302092177737138E-4</v>
      </c>
      <c r="Y47" s="12">
        <f t="shared" si="7"/>
        <v>0.99314218535693288</v>
      </c>
      <c r="AA47" t="str">
        <f>IF(P47="*","-",IFERROR(VLOOKUP(P47,'AE-W1'!$P$4:$T$126,4,FALSE),"-"))</f>
        <v>-</v>
      </c>
      <c r="AB47">
        <f>IF(P47="*","-",IFERROR(VLOOKUP(P47,'AE-W3'!$P$4:$T$129,4,FALSE),"-"))</f>
        <v>7</v>
      </c>
      <c r="AC47" s="25">
        <f>IF(P47="*","-",IFERROR(VLOOKUP(P47,'All MECSM samples'!$P$4:$AD$454,15,FALSE),"-"))</f>
        <v>13</v>
      </c>
      <c r="AE47">
        <v>0</v>
      </c>
      <c r="AF47" s="34">
        <v>0</v>
      </c>
      <c r="AH47">
        <f t="shared" si="4"/>
        <v>0</v>
      </c>
      <c r="AI47">
        <f t="shared" si="5"/>
        <v>0</v>
      </c>
      <c r="AJ47" s="11">
        <f>SUM(AH$5:AH47)/SUM(AI$5:AI47)</f>
        <v>0.96666666666666667</v>
      </c>
    </row>
    <row r="48" spans="1:36" x14ac:dyDescent="0.35">
      <c r="A48" t="s">
        <v>203</v>
      </c>
      <c r="B48">
        <v>11</v>
      </c>
      <c r="C48" t="s">
        <v>7</v>
      </c>
      <c r="D48" t="s">
        <v>24</v>
      </c>
      <c r="E48" t="s">
        <v>25</v>
      </c>
      <c r="G48" t="s">
        <v>40</v>
      </c>
      <c r="I48" t="s">
        <v>41</v>
      </c>
      <c r="K48" t="s">
        <v>52</v>
      </c>
      <c r="M48" t="s">
        <v>53</v>
      </c>
      <c r="O48">
        <v>1</v>
      </c>
      <c r="P48" t="s">
        <v>54</v>
      </c>
      <c r="Q48">
        <v>100</v>
      </c>
      <c r="R48">
        <v>7</v>
      </c>
      <c r="S48">
        <v>11</v>
      </c>
      <c r="T48" s="14">
        <v>0</v>
      </c>
      <c r="U48" s="11">
        <f t="shared" si="1"/>
        <v>2.3947924150392964E-4</v>
      </c>
      <c r="V48" s="11">
        <f t="shared" si="2"/>
        <v>0</v>
      </c>
      <c r="X48" s="11">
        <f t="shared" si="6"/>
        <v>2.3947924150392964E-4</v>
      </c>
      <c r="Y48" s="12">
        <f t="shared" si="7"/>
        <v>0.9933816645984368</v>
      </c>
      <c r="AA48">
        <f>IF(P48="*","-",IFERROR(VLOOKUP(P48,'AE-W1'!$P$4:$T$126,4,FALSE),"-"))</f>
        <v>1238</v>
      </c>
      <c r="AB48">
        <f>IF(P48="*","-",IFERROR(VLOOKUP(P48,'AE-W3'!$P$4:$T$129,4,FALSE),"-"))</f>
        <v>54</v>
      </c>
      <c r="AC48" s="25">
        <f>IF(P48="*","-",IFERROR(VLOOKUP(P48,'All MECSM samples'!$P$4:$AD$454,15,FALSE),"-"))</f>
        <v>2085</v>
      </c>
      <c r="AE48">
        <v>39</v>
      </c>
      <c r="AF48" s="34">
        <v>1</v>
      </c>
      <c r="AH48">
        <f t="shared" si="4"/>
        <v>0</v>
      </c>
      <c r="AI48">
        <f t="shared" si="5"/>
        <v>0</v>
      </c>
      <c r="AJ48" s="11">
        <f>SUM(AH$5:AH48)/SUM(AI$5:AI48)</f>
        <v>0.96666666666666667</v>
      </c>
    </row>
    <row r="49" spans="1:36" x14ac:dyDescent="0.35">
      <c r="A49" t="s">
        <v>214</v>
      </c>
      <c r="B49">
        <v>10</v>
      </c>
      <c r="C49" t="s">
        <v>7</v>
      </c>
      <c r="D49" t="s">
        <v>8</v>
      </c>
      <c r="E49" t="s">
        <v>9</v>
      </c>
      <c r="G49" t="s">
        <v>243</v>
      </c>
      <c r="I49" t="s">
        <v>244</v>
      </c>
      <c r="K49" t="s">
        <v>245</v>
      </c>
      <c r="M49" t="s">
        <v>246</v>
      </c>
      <c r="O49">
        <v>0.98</v>
      </c>
      <c r="P49" t="s">
        <v>247</v>
      </c>
      <c r="Q49">
        <v>99.2</v>
      </c>
      <c r="R49">
        <v>1</v>
      </c>
      <c r="S49">
        <v>10</v>
      </c>
      <c r="T49" s="14">
        <v>0</v>
      </c>
      <c r="U49" s="11">
        <f t="shared" si="1"/>
        <v>2.1770840136720875E-4</v>
      </c>
      <c r="V49" s="11">
        <f t="shared" si="2"/>
        <v>0</v>
      </c>
      <c r="X49" s="11">
        <f t="shared" si="6"/>
        <v>2.1770840136720875E-4</v>
      </c>
      <c r="Y49" s="12">
        <f t="shared" si="7"/>
        <v>0.99359937299980405</v>
      </c>
      <c r="AA49">
        <f>IF(P49="*","-",IFERROR(VLOOKUP(P49,'AE-W1'!$P$4:$T$126,4,FALSE),"-"))</f>
        <v>71</v>
      </c>
      <c r="AB49">
        <f>IF(P49="*","-",IFERROR(VLOOKUP(P49,'AE-W3'!$P$4:$T$129,4,FALSE),"-"))</f>
        <v>13</v>
      </c>
      <c r="AC49" s="25">
        <f>IF(P49="*","-",IFERROR(VLOOKUP(P49,'All MECSM samples'!$P$4:$AD$454,15,FALSE),"-"))</f>
        <v>7416</v>
      </c>
      <c r="AE49">
        <v>0</v>
      </c>
      <c r="AF49" s="34">
        <v>0</v>
      </c>
      <c r="AH49">
        <f t="shared" si="4"/>
        <v>0</v>
      </c>
      <c r="AI49">
        <f t="shared" si="5"/>
        <v>0</v>
      </c>
      <c r="AJ49" s="11">
        <f>SUM(AH$5:AH49)/SUM(AI$5:AI49)</f>
        <v>0.96666666666666667</v>
      </c>
    </row>
    <row r="50" spans="1:36" x14ac:dyDescent="0.35">
      <c r="A50" t="s">
        <v>159</v>
      </c>
      <c r="B50">
        <v>10</v>
      </c>
      <c r="C50" t="s">
        <v>7</v>
      </c>
      <c r="D50" t="s">
        <v>8</v>
      </c>
      <c r="E50" t="s">
        <v>46</v>
      </c>
      <c r="O50">
        <v>0.96</v>
      </c>
      <c r="P50" t="s">
        <v>330</v>
      </c>
      <c r="Q50">
        <v>90.9</v>
      </c>
      <c r="R50">
        <v>1</v>
      </c>
      <c r="S50">
        <v>10</v>
      </c>
      <c r="T50" s="14">
        <v>0</v>
      </c>
      <c r="U50" s="11">
        <f t="shared" si="1"/>
        <v>2.1770840136720875E-4</v>
      </c>
      <c r="V50" s="11">
        <f t="shared" si="2"/>
        <v>0</v>
      </c>
      <c r="X50" s="11">
        <f t="shared" si="6"/>
        <v>2.1770840136720875E-4</v>
      </c>
      <c r="Y50" s="12">
        <f t="shared" si="7"/>
        <v>0.99381708140117131</v>
      </c>
      <c r="AA50">
        <f>IF(P50="*","-",IFERROR(VLOOKUP(P50,'AE-W1'!$P$4:$T$126,4,FALSE),"-"))</f>
        <v>10</v>
      </c>
      <c r="AB50">
        <f>IF(P50="*","-",IFERROR(VLOOKUP(P50,'AE-W3'!$P$4:$T$129,4,FALSE),"-"))</f>
        <v>7</v>
      </c>
      <c r="AC50" s="25">
        <f>IF(P50="*","-",IFERROR(VLOOKUP(P50,'All MECSM samples'!$P$4:$AD$454,15,FALSE),"-"))</f>
        <v>3140</v>
      </c>
      <c r="AE50">
        <v>12</v>
      </c>
      <c r="AF50" s="34">
        <v>522</v>
      </c>
      <c r="AH50">
        <f t="shared" si="4"/>
        <v>0</v>
      </c>
      <c r="AI50">
        <f t="shared" si="5"/>
        <v>0</v>
      </c>
      <c r="AJ50" s="11">
        <f>SUM(AH$5:AH50)/SUM(AI$5:AI50)</f>
        <v>0.96666666666666667</v>
      </c>
    </row>
    <row r="51" spans="1:36" x14ac:dyDescent="0.35">
      <c r="A51" t="s">
        <v>148</v>
      </c>
      <c r="B51">
        <v>10</v>
      </c>
      <c r="C51" t="s">
        <v>7</v>
      </c>
      <c r="D51" t="s">
        <v>8</v>
      </c>
      <c r="E51" t="s">
        <v>46</v>
      </c>
      <c r="G51" t="s">
        <v>47</v>
      </c>
      <c r="I51" t="s">
        <v>61</v>
      </c>
      <c r="K51" t="s">
        <v>190</v>
      </c>
      <c r="O51">
        <v>0.5</v>
      </c>
      <c r="P51" t="s">
        <v>319</v>
      </c>
      <c r="Q51">
        <v>89.3</v>
      </c>
      <c r="R51">
        <v>1</v>
      </c>
      <c r="S51">
        <v>10</v>
      </c>
      <c r="T51" s="14">
        <v>0</v>
      </c>
      <c r="U51" s="11">
        <f t="shared" si="1"/>
        <v>2.1770840136720875E-4</v>
      </c>
      <c r="V51" s="11">
        <f t="shared" si="2"/>
        <v>0</v>
      </c>
      <c r="X51" s="11">
        <f t="shared" si="6"/>
        <v>2.1770840136720875E-4</v>
      </c>
      <c r="Y51" s="12">
        <f t="shared" si="7"/>
        <v>0.99403478980253857</v>
      </c>
      <c r="AA51">
        <f>IF(P51="*","-",IFERROR(VLOOKUP(P51,'AE-W1'!$P$4:$T$126,4,FALSE),"-"))</f>
        <v>9</v>
      </c>
      <c r="AB51">
        <f>IF(P51="*","-",IFERROR(VLOOKUP(P51,'AE-W3'!$P$4:$T$129,4,FALSE),"-"))</f>
        <v>14</v>
      </c>
      <c r="AC51" s="25">
        <f>IF(P51="*","-",IFERROR(VLOOKUP(P51,'All MECSM samples'!$P$4:$AD$454,15,FALSE),"-"))</f>
        <v>5160</v>
      </c>
      <c r="AE51">
        <v>15</v>
      </c>
      <c r="AF51" s="34">
        <v>338</v>
      </c>
      <c r="AH51">
        <f t="shared" si="4"/>
        <v>0</v>
      </c>
      <c r="AI51">
        <f t="shared" si="5"/>
        <v>0</v>
      </c>
      <c r="AJ51" s="11">
        <f>SUM(AH$5:AH51)/SUM(AI$5:AI51)</f>
        <v>0.96666666666666667</v>
      </c>
    </row>
    <row r="52" spans="1:36" x14ac:dyDescent="0.35">
      <c r="A52" t="s">
        <v>237</v>
      </c>
      <c r="B52">
        <v>9</v>
      </c>
      <c r="C52" t="s">
        <v>7</v>
      </c>
      <c r="D52" t="s">
        <v>8</v>
      </c>
      <c r="O52">
        <v>1</v>
      </c>
      <c r="P52" t="s">
        <v>457</v>
      </c>
      <c r="Q52">
        <v>87</v>
      </c>
      <c r="R52">
        <v>1</v>
      </c>
      <c r="S52">
        <v>9</v>
      </c>
      <c r="T52" s="14">
        <v>0</v>
      </c>
      <c r="U52" s="11">
        <f t="shared" si="1"/>
        <v>1.959375612304879E-4</v>
      </c>
      <c r="V52" s="11">
        <f t="shared" si="2"/>
        <v>0</v>
      </c>
      <c r="X52" s="11">
        <f t="shared" si="6"/>
        <v>1.959375612304879E-4</v>
      </c>
      <c r="Y52" s="12">
        <f t="shared" si="7"/>
        <v>0.99423072736376905</v>
      </c>
      <c r="AA52" t="str">
        <f>IF(P52="*","-",IFERROR(VLOOKUP(P52,'AE-W1'!$P$4:$T$126,4,FALSE),"-"))</f>
        <v>-</v>
      </c>
      <c r="AB52" t="str">
        <f>IF(P52="*","-",IFERROR(VLOOKUP(P52,'AE-W3'!$P$4:$T$129,4,FALSE),"-"))</f>
        <v>-</v>
      </c>
      <c r="AC52" s="25">
        <f>IF(P52="*","-",IFERROR(VLOOKUP(P52,'All MECSM samples'!$P$4:$AD$454,15,FALSE),"-"))</f>
        <v>9</v>
      </c>
      <c r="AE52">
        <v>74</v>
      </c>
      <c r="AF52" s="34">
        <v>99</v>
      </c>
      <c r="AH52">
        <f t="shared" si="4"/>
        <v>0</v>
      </c>
      <c r="AI52">
        <f t="shared" si="5"/>
        <v>0</v>
      </c>
      <c r="AJ52" s="11">
        <f>SUM(AH$5:AH52)/SUM(AI$5:AI52)</f>
        <v>0.96666666666666667</v>
      </c>
    </row>
    <row r="53" spans="1:36" x14ac:dyDescent="0.35">
      <c r="A53" t="s">
        <v>230</v>
      </c>
      <c r="B53">
        <v>9</v>
      </c>
      <c r="C53" t="s">
        <v>7</v>
      </c>
      <c r="D53" t="s">
        <v>8</v>
      </c>
      <c r="E53" t="s">
        <v>46</v>
      </c>
      <c r="G53" t="s">
        <v>47</v>
      </c>
      <c r="I53" t="s">
        <v>61</v>
      </c>
      <c r="K53" t="s">
        <v>210</v>
      </c>
      <c r="M53" t="s">
        <v>211</v>
      </c>
      <c r="O53">
        <v>0.98</v>
      </c>
      <c r="P53" t="s">
        <v>360</v>
      </c>
      <c r="Q53">
        <v>95.3</v>
      </c>
      <c r="R53">
        <v>1</v>
      </c>
      <c r="S53">
        <v>9</v>
      </c>
      <c r="T53" s="14">
        <v>0</v>
      </c>
      <c r="U53" s="11">
        <f t="shared" si="1"/>
        <v>1.959375612304879E-4</v>
      </c>
      <c r="V53" s="11">
        <f t="shared" si="2"/>
        <v>0</v>
      </c>
      <c r="X53" s="11">
        <f t="shared" si="6"/>
        <v>1.959375612304879E-4</v>
      </c>
      <c r="Y53" s="12">
        <f t="shared" si="7"/>
        <v>0.99442666492499954</v>
      </c>
      <c r="AA53">
        <f>IF(P53="*","-",IFERROR(VLOOKUP(P53,'AE-W1'!$P$4:$T$126,4,FALSE),"-"))</f>
        <v>11</v>
      </c>
      <c r="AB53">
        <f>IF(P53="*","-",IFERROR(VLOOKUP(P53,'AE-W3'!$P$4:$T$129,4,FALSE),"-"))</f>
        <v>2</v>
      </c>
      <c r="AC53" s="25">
        <f>IF(P53="*","-",IFERROR(VLOOKUP(P53,'All MECSM samples'!$P$4:$AD$454,15,FALSE),"-"))</f>
        <v>1108</v>
      </c>
      <c r="AE53">
        <v>25</v>
      </c>
      <c r="AF53" s="34">
        <v>1</v>
      </c>
      <c r="AH53">
        <f t="shared" si="4"/>
        <v>0</v>
      </c>
      <c r="AI53">
        <f t="shared" si="5"/>
        <v>0</v>
      </c>
      <c r="AJ53" s="11">
        <f>SUM(AH$5:AH53)/SUM(AI$5:AI53)</f>
        <v>0.96666666666666667</v>
      </c>
    </row>
    <row r="54" spans="1:36" x14ac:dyDescent="0.35">
      <c r="A54" t="s">
        <v>216</v>
      </c>
      <c r="B54">
        <v>9</v>
      </c>
      <c r="C54" t="s">
        <v>7</v>
      </c>
      <c r="D54" t="s">
        <v>8</v>
      </c>
      <c r="O54">
        <v>1</v>
      </c>
      <c r="P54" t="s">
        <v>343</v>
      </c>
      <c r="Q54">
        <v>87</v>
      </c>
      <c r="R54">
        <v>2</v>
      </c>
      <c r="S54">
        <v>9</v>
      </c>
      <c r="T54" s="14">
        <v>0</v>
      </c>
      <c r="U54" s="11">
        <f t="shared" si="1"/>
        <v>1.959375612304879E-4</v>
      </c>
      <c r="V54" s="11">
        <f t="shared" si="2"/>
        <v>0</v>
      </c>
      <c r="X54" s="11">
        <f t="shared" si="6"/>
        <v>1.959375612304879E-4</v>
      </c>
      <c r="Y54" s="12">
        <f t="shared" si="7"/>
        <v>0.99462260248623002</v>
      </c>
      <c r="AA54">
        <f>IF(P54="*","-",IFERROR(VLOOKUP(P54,'AE-W1'!$P$4:$T$126,4,FALSE),"-"))</f>
        <v>11</v>
      </c>
      <c r="AB54" t="str">
        <f>IF(P54="*","-",IFERROR(VLOOKUP(P54,'AE-W3'!$P$4:$T$129,4,FALSE),"-"))</f>
        <v>-</v>
      </c>
      <c r="AC54" s="25">
        <f>IF(P54="*","-",IFERROR(VLOOKUP(P54,'All MECSM samples'!$P$4:$AD$454,15,FALSE),"-"))</f>
        <v>1254</v>
      </c>
      <c r="AE54">
        <v>0</v>
      </c>
      <c r="AF54" s="34">
        <v>0</v>
      </c>
      <c r="AH54">
        <f t="shared" si="4"/>
        <v>0</v>
      </c>
      <c r="AI54">
        <f t="shared" si="5"/>
        <v>0</v>
      </c>
      <c r="AJ54" s="11">
        <f>SUM(AH$5:AH54)/SUM(AI$5:AI54)</f>
        <v>0.96666666666666667</v>
      </c>
    </row>
    <row r="55" spans="1:36" x14ac:dyDescent="0.35">
      <c r="A55" t="s">
        <v>164</v>
      </c>
      <c r="B55">
        <v>9</v>
      </c>
      <c r="C55" t="s">
        <v>7</v>
      </c>
      <c r="D55" t="s">
        <v>8</v>
      </c>
      <c r="E55" t="s">
        <v>32</v>
      </c>
      <c r="G55" t="s">
        <v>35</v>
      </c>
      <c r="I55" t="s">
        <v>36</v>
      </c>
      <c r="K55" t="s">
        <v>37</v>
      </c>
      <c r="O55">
        <v>0.66</v>
      </c>
      <c r="P55" t="s">
        <v>38</v>
      </c>
      <c r="Q55">
        <v>85.8</v>
      </c>
      <c r="R55">
        <v>1</v>
      </c>
      <c r="S55">
        <v>9</v>
      </c>
      <c r="T55" s="14">
        <v>0</v>
      </c>
      <c r="U55" s="11">
        <f t="shared" si="1"/>
        <v>1.959375612304879E-4</v>
      </c>
      <c r="V55" s="11">
        <f t="shared" si="2"/>
        <v>0</v>
      </c>
      <c r="X55" s="11">
        <f t="shared" si="6"/>
        <v>1.959375612304879E-4</v>
      </c>
      <c r="Y55" s="12">
        <f t="shared" si="7"/>
        <v>0.99481854004746051</v>
      </c>
      <c r="AA55">
        <f>IF(P55="*","-",IFERROR(VLOOKUP(P55,'AE-W1'!$P$4:$T$126,4,FALSE),"-"))</f>
        <v>1270</v>
      </c>
      <c r="AB55">
        <f>IF(P55="*","-",IFERROR(VLOOKUP(P55,'AE-W3'!$P$4:$T$129,4,FALSE),"-"))</f>
        <v>3116</v>
      </c>
      <c r="AC55" s="25">
        <f>IF(P55="*","-",IFERROR(VLOOKUP(P55,'All MECSM samples'!$P$4:$AD$454,15,FALSE),"-"))</f>
        <v>3129</v>
      </c>
      <c r="AE55">
        <v>0</v>
      </c>
      <c r="AF55" s="34">
        <v>0</v>
      </c>
      <c r="AH55">
        <f t="shared" si="4"/>
        <v>0</v>
      </c>
      <c r="AI55">
        <f t="shared" si="5"/>
        <v>0</v>
      </c>
      <c r="AJ55" s="11">
        <f>SUM(AH$5:AH55)/SUM(AI$5:AI55)</f>
        <v>0.96666666666666667</v>
      </c>
    </row>
    <row r="56" spans="1:36" x14ac:dyDescent="0.35">
      <c r="A56" t="s">
        <v>149</v>
      </c>
      <c r="B56">
        <v>9</v>
      </c>
      <c r="C56" t="s">
        <v>7</v>
      </c>
      <c r="D56" t="s">
        <v>8</v>
      </c>
      <c r="E56" t="s">
        <v>32</v>
      </c>
      <c r="G56" t="s">
        <v>35</v>
      </c>
      <c r="I56" t="s">
        <v>36</v>
      </c>
      <c r="K56" t="s">
        <v>37</v>
      </c>
      <c r="M56" t="s">
        <v>425</v>
      </c>
      <c r="O56">
        <v>0.99</v>
      </c>
      <c r="P56" t="s">
        <v>426</v>
      </c>
      <c r="Q56">
        <v>93.3</v>
      </c>
      <c r="R56">
        <v>1</v>
      </c>
      <c r="S56">
        <v>9</v>
      </c>
      <c r="T56" s="14">
        <v>0</v>
      </c>
      <c r="U56" s="11">
        <f t="shared" si="1"/>
        <v>1.959375612304879E-4</v>
      </c>
      <c r="V56" s="11">
        <f t="shared" si="2"/>
        <v>0</v>
      </c>
      <c r="X56" s="11">
        <f t="shared" si="6"/>
        <v>1.959375612304879E-4</v>
      </c>
      <c r="Y56" s="12">
        <f t="shared" si="7"/>
        <v>0.99501447760869099</v>
      </c>
      <c r="AA56" t="str">
        <f>IF(P56="*","-",IFERROR(VLOOKUP(P56,'AE-W1'!$P$4:$T$126,4,FALSE),"-"))</f>
        <v>-</v>
      </c>
      <c r="AB56">
        <f>IF(P56="*","-",IFERROR(VLOOKUP(P56,'AE-W3'!$P$4:$T$129,4,FALSE),"-"))</f>
        <v>2</v>
      </c>
      <c r="AC56" s="25">
        <f>IF(P56="*","-",IFERROR(VLOOKUP(P56,'All MECSM samples'!$P$4:$AD$454,15,FALSE),"-"))</f>
        <v>9</v>
      </c>
      <c r="AE56">
        <v>1</v>
      </c>
      <c r="AF56" s="34">
        <v>728</v>
      </c>
      <c r="AH56">
        <f t="shared" si="4"/>
        <v>0</v>
      </c>
      <c r="AI56">
        <f t="shared" si="5"/>
        <v>0</v>
      </c>
      <c r="AJ56" s="11">
        <f>SUM(AH$5:AH56)/SUM(AI$5:AI56)</f>
        <v>0.96666666666666667</v>
      </c>
    </row>
    <row r="57" spans="1:36" x14ac:dyDescent="0.35">
      <c r="A57" t="s">
        <v>209</v>
      </c>
      <c r="B57">
        <v>9</v>
      </c>
      <c r="C57" t="s">
        <v>7</v>
      </c>
      <c r="D57" t="s">
        <v>8</v>
      </c>
      <c r="E57" t="s">
        <v>46</v>
      </c>
      <c r="G57" t="s">
        <v>47</v>
      </c>
      <c r="I57" t="s">
        <v>61</v>
      </c>
      <c r="K57" t="s">
        <v>94</v>
      </c>
      <c r="M57" t="s">
        <v>316</v>
      </c>
      <c r="O57">
        <v>1</v>
      </c>
      <c r="P57" t="s">
        <v>317</v>
      </c>
      <c r="Q57">
        <v>100</v>
      </c>
      <c r="R57">
        <v>1</v>
      </c>
      <c r="S57">
        <v>9</v>
      </c>
      <c r="T57" s="14">
        <v>0</v>
      </c>
      <c r="U57" s="11">
        <f t="shared" si="1"/>
        <v>1.959375612304879E-4</v>
      </c>
      <c r="V57" s="11">
        <f t="shared" si="2"/>
        <v>0</v>
      </c>
      <c r="X57" s="11">
        <f t="shared" si="6"/>
        <v>1.959375612304879E-4</v>
      </c>
      <c r="Y57" s="12">
        <f t="shared" si="7"/>
        <v>0.99521041516992148</v>
      </c>
      <c r="AA57">
        <f>IF(P57="*","-",IFERROR(VLOOKUP(P57,'AE-W1'!$P$4:$T$126,4,FALSE),"-"))</f>
        <v>18</v>
      </c>
      <c r="AB57">
        <f>IF(P57="*","-",IFERROR(VLOOKUP(P57,'AE-W3'!$P$4:$T$129,4,FALSE),"-"))</f>
        <v>6</v>
      </c>
      <c r="AC57" s="25">
        <f>IF(P57="*","-",IFERROR(VLOOKUP(P57,'All MECSM samples'!$P$4:$AD$454,15,FALSE),"-"))</f>
        <v>2300</v>
      </c>
      <c r="AE57">
        <v>9</v>
      </c>
      <c r="AF57" s="34">
        <v>559</v>
      </c>
      <c r="AH57">
        <f t="shared" si="4"/>
        <v>0</v>
      </c>
      <c r="AI57">
        <f t="shared" si="5"/>
        <v>0</v>
      </c>
      <c r="AJ57" s="11">
        <f>SUM(AH$5:AH57)/SUM(AI$5:AI57)</f>
        <v>0.96666666666666667</v>
      </c>
    </row>
    <row r="58" spans="1:36" x14ac:dyDescent="0.35">
      <c r="A58" t="s">
        <v>271</v>
      </c>
      <c r="B58">
        <v>9</v>
      </c>
      <c r="C58" t="s">
        <v>7</v>
      </c>
      <c r="D58" t="s">
        <v>8</v>
      </c>
      <c r="E58" t="s">
        <v>46</v>
      </c>
      <c r="G58" t="s">
        <v>47</v>
      </c>
      <c r="O58">
        <v>0.64</v>
      </c>
      <c r="P58" t="s">
        <v>438</v>
      </c>
      <c r="Q58">
        <v>89.7</v>
      </c>
      <c r="R58">
        <v>1</v>
      </c>
      <c r="S58">
        <v>9</v>
      </c>
      <c r="T58" s="14">
        <v>0</v>
      </c>
      <c r="U58" s="11">
        <f t="shared" si="1"/>
        <v>1.959375612304879E-4</v>
      </c>
      <c r="V58" s="11">
        <f t="shared" si="2"/>
        <v>0</v>
      </c>
      <c r="X58" s="11">
        <f t="shared" si="6"/>
        <v>1.959375612304879E-4</v>
      </c>
      <c r="Y58" s="12">
        <f t="shared" si="7"/>
        <v>0.99540635273115197</v>
      </c>
      <c r="AA58" t="str">
        <f>IF(P58="*","-",IFERROR(VLOOKUP(P58,'AE-W1'!$P$4:$T$126,4,FALSE),"-"))</f>
        <v>-</v>
      </c>
      <c r="AB58" t="str">
        <f>IF(P58="*","-",IFERROR(VLOOKUP(P58,'AE-W3'!$P$4:$T$129,4,FALSE),"-"))</f>
        <v>-</v>
      </c>
      <c r="AC58" s="25">
        <f>IF(P58="*","-",IFERROR(VLOOKUP(P58,'All MECSM samples'!$P$4:$AD$454,15,FALSE),"-"))</f>
        <v>60</v>
      </c>
      <c r="AE58">
        <v>100</v>
      </c>
      <c r="AF58" s="34">
        <v>96</v>
      </c>
      <c r="AH58">
        <f t="shared" si="4"/>
        <v>0</v>
      </c>
      <c r="AI58">
        <f t="shared" si="5"/>
        <v>1</v>
      </c>
      <c r="AJ58" s="11">
        <f>SUM(AH$5:AH58)/SUM(AI$5:AI58)</f>
        <v>0.93548387096774188</v>
      </c>
    </row>
    <row r="59" spans="1:36" x14ac:dyDescent="0.35">
      <c r="A59" t="s">
        <v>242</v>
      </c>
      <c r="B59">
        <v>8</v>
      </c>
      <c r="C59" t="s">
        <v>7</v>
      </c>
      <c r="D59" t="s">
        <v>24</v>
      </c>
      <c r="E59" t="s">
        <v>25</v>
      </c>
      <c r="G59" t="s">
        <v>26</v>
      </c>
      <c r="I59" t="s">
        <v>27</v>
      </c>
      <c r="K59" t="s">
        <v>28</v>
      </c>
      <c r="M59" t="s">
        <v>29</v>
      </c>
      <c r="O59">
        <v>1</v>
      </c>
      <c r="P59" t="s">
        <v>408</v>
      </c>
      <c r="Q59">
        <v>99.6</v>
      </c>
      <c r="R59">
        <v>1</v>
      </c>
      <c r="S59">
        <v>8</v>
      </c>
      <c r="T59" s="14">
        <v>0</v>
      </c>
      <c r="U59" s="11">
        <f t="shared" si="1"/>
        <v>1.7416672109376701E-4</v>
      </c>
      <c r="V59" s="11">
        <f t="shared" si="2"/>
        <v>0</v>
      </c>
      <c r="X59" s="11">
        <f t="shared" si="6"/>
        <v>1.7416672109376701E-4</v>
      </c>
      <c r="Y59" s="12">
        <f t="shared" si="7"/>
        <v>0.99558051945224568</v>
      </c>
      <c r="AA59" t="str">
        <f>IF(P59="*","-",IFERROR(VLOOKUP(P59,'AE-W1'!$P$4:$T$126,4,FALSE),"-"))</f>
        <v>-</v>
      </c>
      <c r="AB59" t="str">
        <f>IF(P59="*","-",IFERROR(VLOOKUP(P59,'AE-W3'!$P$4:$T$129,4,FALSE),"-"))</f>
        <v>-</v>
      </c>
      <c r="AC59" s="25" t="str">
        <f>IF(P59="*","-",IFERROR(VLOOKUP(P59,'All MECSM samples'!$P$4:$AD$454,15,FALSE),"-"))</f>
        <v>-</v>
      </c>
      <c r="AE59">
        <v>5</v>
      </c>
      <c r="AF59" s="34">
        <v>1</v>
      </c>
      <c r="AH59">
        <f t="shared" si="4"/>
        <v>0</v>
      </c>
      <c r="AI59">
        <f t="shared" si="5"/>
        <v>0</v>
      </c>
      <c r="AJ59" s="11">
        <f>SUM(AH$5:AH59)/SUM(AI$5:AI59)</f>
        <v>0.93548387096774188</v>
      </c>
    </row>
    <row r="60" spans="1:36" x14ac:dyDescent="0.35">
      <c r="A60" t="s">
        <v>223</v>
      </c>
      <c r="B60">
        <v>8</v>
      </c>
      <c r="C60" t="s">
        <v>7</v>
      </c>
      <c r="D60" t="s">
        <v>8</v>
      </c>
      <c r="E60" t="s">
        <v>32</v>
      </c>
      <c r="O60">
        <v>1</v>
      </c>
      <c r="P60" t="s">
        <v>217</v>
      </c>
      <c r="Q60">
        <v>87</v>
      </c>
      <c r="R60">
        <v>3</v>
      </c>
      <c r="S60">
        <v>8</v>
      </c>
      <c r="T60" s="14">
        <v>0</v>
      </c>
      <c r="U60" s="11">
        <f t="shared" si="1"/>
        <v>1.7416672109376701E-4</v>
      </c>
      <c r="V60" s="11">
        <f t="shared" si="2"/>
        <v>0</v>
      </c>
      <c r="X60" s="11">
        <f t="shared" si="6"/>
        <v>1.7416672109376701E-4</v>
      </c>
      <c r="Y60" s="12">
        <f t="shared" si="7"/>
        <v>0.9957546861733394</v>
      </c>
      <c r="AA60">
        <f>IF(P60="*","-",IFERROR(VLOOKUP(P60,'AE-W1'!$P$4:$T$126,4,FALSE),"-"))</f>
        <v>125</v>
      </c>
      <c r="AB60" t="str">
        <f>IF(P60="*","-",IFERROR(VLOOKUP(P60,'AE-W3'!$P$4:$T$129,4,FALSE),"-"))</f>
        <v>-</v>
      </c>
      <c r="AC60" s="25">
        <f>IF(P60="*","-",IFERROR(VLOOKUP(P60,'All MECSM samples'!$P$4:$AD$454,15,FALSE),"-"))</f>
        <v>257</v>
      </c>
      <c r="AE60">
        <v>2</v>
      </c>
      <c r="AF60" s="34">
        <v>732</v>
      </c>
      <c r="AH60">
        <f t="shared" si="4"/>
        <v>0</v>
      </c>
      <c r="AI60">
        <f t="shared" si="5"/>
        <v>0</v>
      </c>
      <c r="AJ60" s="11">
        <f>SUM(AH$5:AH60)/SUM(AI$5:AI60)</f>
        <v>0.93548387096774188</v>
      </c>
    </row>
    <row r="61" spans="1:36" x14ac:dyDescent="0.35">
      <c r="A61" t="s">
        <v>218</v>
      </c>
      <c r="B61">
        <v>7</v>
      </c>
      <c r="C61" t="s">
        <v>7</v>
      </c>
      <c r="D61" t="s">
        <v>8</v>
      </c>
      <c r="E61" t="s">
        <v>165</v>
      </c>
      <c r="G61" t="s">
        <v>166</v>
      </c>
      <c r="I61" t="s">
        <v>167</v>
      </c>
      <c r="K61" t="s">
        <v>168</v>
      </c>
      <c r="M61" t="s">
        <v>405</v>
      </c>
      <c r="O61">
        <v>0.88</v>
      </c>
      <c r="P61" t="s">
        <v>406</v>
      </c>
      <c r="Q61">
        <v>91.7</v>
      </c>
      <c r="R61">
        <v>1</v>
      </c>
      <c r="S61">
        <v>7</v>
      </c>
      <c r="T61" s="14">
        <v>0</v>
      </c>
      <c r="U61" s="11">
        <f t="shared" si="1"/>
        <v>1.5239588095704613E-4</v>
      </c>
      <c r="V61" s="11">
        <f t="shared" si="2"/>
        <v>0</v>
      </c>
      <c r="X61" s="11">
        <f t="shared" si="6"/>
        <v>1.5239588095704613E-4</v>
      </c>
      <c r="Y61" s="12">
        <f t="shared" si="7"/>
        <v>0.99590708205429646</v>
      </c>
      <c r="AA61" t="str">
        <f>IF(P61="*","-",IFERROR(VLOOKUP(P61,'AE-W1'!$P$4:$T$126,4,FALSE),"-"))</f>
        <v>-</v>
      </c>
      <c r="AB61" t="str">
        <f>IF(P61="*","-",IFERROR(VLOOKUP(P61,'AE-W3'!$P$4:$T$129,4,FALSE),"-"))</f>
        <v>-</v>
      </c>
      <c r="AC61" s="25">
        <f>IF(P61="*","-",IFERROR(VLOOKUP(P61,'All MECSM samples'!$P$4:$AD$454,15,FALSE),"-"))</f>
        <v>774</v>
      </c>
      <c r="AE61">
        <v>8</v>
      </c>
      <c r="AF61" s="34">
        <v>29</v>
      </c>
      <c r="AH61">
        <f t="shared" si="4"/>
        <v>0</v>
      </c>
      <c r="AI61">
        <f t="shared" si="5"/>
        <v>0</v>
      </c>
      <c r="AJ61" s="11">
        <f>SUM(AH$5:AH61)/SUM(AI$5:AI61)</f>
        <v>0.93548387096774188</v>
      </c>
    </row>
    <row r="62" spans="1:36" x14ac:dyDescent="0.35">
      <c r="A62" t="s">
        <v>177</v>
      </c>
      <c r="B62">
        <v>7</v>
      </c>
      <c r="C62" t="s">
        <v>7</v>
      </c>
      <c r="D62" t="s">
        <v>8</v>
      </c>
      <c r="E62" t="s">
        <v>46</v>
      </c>
      <c r="G62" t="s">
        <v>364</v>
      </c>
      <c r="I62" t="s">
        <v>365</v>
      </c>
      <c r="K62" t="s">
        <v>366</v>
      </c>
      <c r="M62" t="s">
        <v>367</v>
      </c>
      <c r="O62">
        <v>0.97</v>
      </c>
      <c r="P62" t="s">
        <v>414</v>
      </c>
      <c r="Q62">
        <v>100</v>
      </c>
      <c r="R62">
        <v>4</v>
      </c>
      <c r="S62">
        <v>7</v>
      </c>
      <c r="T62" s="14">
        <v>0</v>
      </c>
      <c r="U62" s="11">
        <f t="shared" si="1"/>
        <v>1.5239588095704613E-4</v>
      </c>
      <c r="V62" s="11">
        <f t="shared" si="2"/>
        <v>0</v>
      </c>
      <c r="X62" s="11">
        <f t="shared" si="6"/>
        <v>1.5239588095704613E-4</v>
      </c>
      <c r="Y62" s="12">
        <f t="shared" si="7"/>
        <v>0.99605947793525351</v>
      </c>
      <c r="AA62" t="str">
        <f>IF(P62="*","-",IFERROR(VLOOKUP(P62,'AE-W1'!$P$4:$T$126,4,FALSE),"-"))</f>
        <v>-</v>
      </c>
      <c r="AB62">
        <f>IF(P62="*","-",IFERROR(VLOOKUP(P62,'AE-W3'!$P$4:$T$129,4,FALSE),"-"))</f>
        <v>5</v>
      </c>
      <c r="AC62" s="25">
        <f>IF(P62="*","-",IFERROR(VLOOKUP(P62,'All MECSM samples'!$P$4:$AD$454,15,FALSE),"-"))</f>
        <v>30</v>
      </c>
      <c r="AE62">
        <v>0</v>
      </c>
      <c r="AF62" s="34">
        <v>0</v>
      </c>
      <c r="AH62">
        <f t="shared" si="4"/>
        <v>0</v>
      </c>
      <c r="AI62">
        <f t="shared" si="5"/>
        <v>0</v>
      </c>
      <c r="AJ62" s="11">
        <f>SUM(AH$5:AH62)/SUM(AI$5:AI62)</f>
        <v>0.93548387096774188</v>
      </c>
    </row>
    <row r="63" spans="1:36" x14ac:dyDescent="0.35">
      <c r="A63" t="s">
        <v>255</v>
      </c>
      <c r="B63">
        <v>7</v>
      </c>
      <c r="C63" t="s">
        <v>7</v>
      </c>
      <c r="D63" t="s">
        <v>8</v>
      </c>
      <c r="E63" t="s">
        <v>9</v>
      </c>
      <c r="G63" t="s">
        <v>138</v>
      </c>
      <c r="I63" t="s">
        <v>345</v>
      </c>
      <c r="K63" t="s">
        <v>377</v>
      </c>
      <c r="M63" t="s">
        <v>378</v>
      </c>
      <c r="O63">
        <v>1</v>
      </c>
      <c r="P63" t="s">
        <v>379</v>
      </c>
      <c r="Q63">
        <v>100</v>
      </c>
      <c r="R63">
        <v>1</v>
      </c>
      <c r="S63">
        <v>7</v>
      </c>
      <c r="T63" s="14">
        <v>0</v>
      </c>
      <c r="U63" s="11">
        <f t="shared" si="1"/>
        <v>1.5239588095704613E-4</v>
      </c>
      <c r="V63" s="11">
        <f t="shared" si="2"/>
        <v>0</v>
      </c>
      <c r="X63" s="11">
        <f t="shared" si="6"/>
        <v>1.5239588095704613E-4</v>
      </c>
      <c r="Y63" s="12">
        <f t="shared" si="7"/>
        <v>0.99621187381621057</v>
      </c>
      <c r="AA63">
        <f>IF(P63="*","-",IFERROR(VLOOKUP(P63,'AE-W1'!$P$4:$T$126,4,FALSE),"-"))</f>
        <v>5</v>
      </c>
      <c r="AB63" t="str">
        <f>IF(P63="*","-",IFERROR(VLOOKUP(P63,'AE-W3'!$P$4:$T$129,4,FALSE),"-"))</f>
        <v>-</v>
      </c>
      <c r="AC63" s="25">
        <f>IF(P63="*","-",IFERROR(VLOOKUP(P63,'All MECSM samples'!$P$4:$AD$454,15,FALSE),"-"))</f>
        <v>3448</v>
      </c>
      <c r="AE63">
        <v>0</v>
      </c>
      <c r="AF63" s="34">
        <v>0</v>
      </c>
      <c r="AH63">
        <f t="shared" si="4"/>
        <v>0</v>
      </c>
      <c r="AI63">
        <f t="shared" si="5"/>
        <v>0</v>
      </c>
      <c r="AJ63" s="11">
        <f>SUM(AH$5:AH63)/SUM(AI$5:AI63)</f>
        <v>0.93548387096774188</v>
      </c>
    </row>
    <row r="64" spans="1:36" x14ac:dyDescent="0.35">
      <c r="A64" t="s">
        <v>307</v>
      </c>
      <c r="B64">
        <v>7</v>
      </c>
      <c r="C64" t="s">
        <v>7</v>
      </c>
      <c r="D64" t="s">
        <v>8</v>
      </c>
      <c r="E64" t="s">
        <v>46</v>
      </c>
      <c r="G64" t="s">
        <v>64</v>
      </c>
      <c r="I64" t="s">
        <v>65</v>
      </c>
      <c r="K64" t="s">
        <v>66</v>
      </c>
      <c r="O64">
        <v>0.53</v>
      </c>
      <c r="P64" t="s">
        <v>67</v>
      </c>
      <c r="Q64">
        <v>88.5</v>
      </c>
      <c r="R64">
        <v>2</v>
      </c>
      <c r="S64">
        <v>7</v>
      </c>
      <c r="T64" s="14">
        <v>0</v>
      </c>
      <c r="U64" s="11">
        <f t="shared" si="1"/>
        <v>1.5239588095704613E-4</v>
      </c>
      <c r="V64" s="11">
        <f t="shared" si="2"/>
        <v>0</v>
      </c>
      <c r="X64" s="11">
        <f t="shared" si="6"/>
        <v>1.5239588095704613E-4</v>
      </c>
      <c r="Y64" s="12">
        <f t="shared" si="7"/>
        <v>0.99636426969716763</v>
      </c>
      <c r="AA64" t="str">
        <f>IF(P64="*","-",IFERROR(VLOOKUP(P64,'AE-W1'!$P$4:$T$126,4,FALSE),"-"))</f>
        <v>-</v>
      </c>
      <c r="AB64">
        <f>IF(P64="*","-",IFERROR(VLOOKUP(P64,'AE-W3'!$P$4:$T$129,4,FALSE),"-"))</f>
        <v>533</v>
      </c>
      <c r="AC64" s="25">
        <f>IF(P64="*","-",IFERROR(VLOOKUP(P64,'All MECSM samples'!$P$4:$AD$454,15,FALSE),"-"))</f>
        <v>945</v>
      </c>
      <c r="AE64">
        <v>31</v>
      </c>
      <c r="AF64" s="34">
        <v>1</v>
      </c>
      <c r="AH64">
        <f t="shared" si="4"/>
        <v>0</v>
      </c>
      <c r="AI64">
        <f t="shared" si="5"/>
        <v>0</v>
      </c>
      <c r="AJ64" s="11">
        <f>SUM(AH$5:AH64)/SUM(AI$5:AI64)</f>
        <v>0.93548387096774188</v>
      </c>
    </row>
    <row r="65" spans="1:36" x14ac:dyDescent="0.35">
      <c r="A65" t="s">
        <v>267</v>
      </c>
      <c r="B65">
        <v>6</v>
      </c>
      <c r="C65" t="s">
        <v>7</v>
      </c>
      <c r="D65" t="s">
        <v>8</v>
      </c>
      <c r="E65" t="s">
        <v>32</v>
      </c>
      <c r="O65">
        <v>0.99</v>
      </c>
      <c r="P65" t="s">
        <v>375</v>
      </c>
      <c r="Q65">
        <v>86.6</v>
      </c>
      <c r="R65">
        <v>2</v>
      </c>
      <c r="S65">
        <v>6</v>
      </c>
      <c r="T65" s="14">
        <v>0</v>
      </c>
      <c r="U65" s="11">
        <f t="shared" si="1"/>
        <v>1.3062504082032525E-4</v>
      </c>
      <c r="V65" s="11">
        <f t="shared" si="2"/>
        <v>0</v>
      </c>
      <c r="X65" s="11">
        <f t="shared" si="6"/>
        <v>1.3062504082032525E-4</v>
      </c>
      <c r="Y65" s="12">
        <f t="shared" si="7"/>
        <v>0.99649489473798791</v>
      </c>
      <c r="AA65" t="str">
        <f>IF(P65="*","-",IFERROR(VLOOKUP(P65,'AE-W1'!$P$4:$T$126,4,FALSE),"-"))</f>
        <v>-</v>
      </c>
      <c r="AB65">
        <f>IF(P65="*","-",IFERROR(VLOOKUP(P65,'AE-W3'!$P$4:$T$129,4,FALSE),"-"))</f>
        <v>6</v>
      </c>
      <c r="AC65" s="25">
        <f>IF(P65="*","-",IFERROR(VLOOKUP(P65,'All MECSM samples'!$P$4:$AD$454,15,FALSE),"-"))</f>
        <v>2087</v>
      </c>
      <c r="AE65">
        <v>0</v>
      </c>
      <c r="AF65" s="34">
        <v>0</v>
      </c>
      <c r="AH65">
        <f t="shared" si="4"/>
        <v>0</v>
      </c>
      <c r="AI65">
        <f t="shared" si="5"/>
        <v>0</v>
      </c>
      <c r="AJ65" s="11">
        <f>SUM(AH$5:AH65)/SUM(AI$5:AI65)</f>
        <v>0.93548387096774188</v>
      </c>
    </row>
    <row r="66" spans="1:36" x14ac:dyDescent="0.35">
      <c r="A66" t="s">
        <v>188</v>
      </c>
      <c r="B66">
        <v>6</v>
      </c>
      <c r="C66" t="s">
        <v>7</v>
      </c>
      <c r="D66" t="s">
        <v>8</v>
      </c>
      <c r="E66" t="s">
        <v>32</v>
      </c>
      <c r="G66" t="s">
        <v>35</v>
      </c>
      <c r="I66" t="s">
        <v>36</v>
      </c>
      <c r="K66" t="s">
        <v>37</v>
      </c>
      <c r="O66">
        <v>0.97</v>
      </c>
      <c r="P66" t="s">
        <v>401</v>
      </c>
      <c r="Q66">
        <v>93.7</v>
      </c>
      <c r="R66">
        <v>1</v>
      </c>
      <c r="S66">
        <v>6</v>
      </c>
      <c r="T66" s="14">
        <v>0</v>
      </c>
      <c r="U66" s="11">
        <f t="shared" si="1"/>
        <v>1.3062504082032525E-4</v>
      </c>
      <c r="V66" s="11">
        <f t="shared" si="2"/>
        <v>0</v>
      </c>
      <c r="X66" s="11">
        <f t="shared" si="6"/>
        <v>1.3062504082032525E-4</v>
      </c>
      <c r="Y66" s="12">
        <f t="shared" si="7"/>
        <v>0.9966255197788082</v>
      </c>
      <c r="AA66">
        <f>IF(P66="*","-",IFERROR(VLOOKUP(P66,'AE-W1'!$P$4:$T$126,4,FALSE),"-"))</f>
        <v>5</v>
      </c>
      <c r="AB66">
        <f>IF(P66="*","-",IFERROR(VLOOKUP(P66,'AE-W3'!$P$4:$T$129,4,FALSE),"-"))</f>
        <v>5</v>
      </c>
      <c r="AC66" s="25">
        <f>IF(P66="*","-",IFERROR(VLOOKUP(P66,'All MECSM samples'!$P$4:$AD$454,15,FALSE),"-"))</f>
        <v>6</v>
      </c>
      <c r="AE66">
        <v>1</v>
      </c>
      <c r="AF66" s="34">
        <v>728</v>
      </c>
      <c r="AH66">
        <f t="shared" si="4"/>
        <v>0</v>
      </c>
      <c r="AI66">
        <f t="shared" si="5"/>
        <v>0</v>
      </c>
      <c r="AJ66" s="11">
        <f>SUM(AH$5:AH66)/SUM(AI$5:AI66)</f>
        <v>0.93548387096774188</v>
      </c>
    </row>
    <row r="67" spans="1:36" x14ac:dyDescent="0.35">
      <c r="A67" t="s">
        <v>253</v>
      </c>
      <c r="B67">
        <v>6</v>
      </c>
      <c r="C67" t="s">
        <v>7</v>
      </c>
      <c r="D67" t="s">
        <v>8</v>
      </c>
      <c r="E67" t="s">
        <v>32</v>
      </c>
      <c r="O67">
        <v>1</v>
      </c>
      <c r="P67" t="s">
        <v>144</v>
      </c>
      <c r="Q67">
        <v>85.8</v>
      </c>
      <c r="R67">
        <v>1</v>
      </c>
      <c r="S67">
        <v>6</v>
      </c>
      <c r="T67" s="14">
        <v>0</v>
      </c>
      <c r="U67" s="11">
        <f t="shared" si="1"/>
        <v>1.3062504082032525E-4</v>
      </c>
      <c r="V67" s="11">
        <f t="shared" si="2"/>
        <v>0</v>
      </c>
      <c r="X67" s="11">
        <f t="shared" si="6"/>
        <v>1.3062504082032525E-4</v>
      </c>
      <c r="Y67" s="12">
        <f t="shared" si="7"/>
        <v>0.99675614481962849</v>
      </c>
      <c r="AA67">
        <f>IF(P67="*","-",IFERROR(VLOOKUP(P67,'AE-W1'!$P$4:$T$126,4,FALSE),"-"))</f>
        <v>53</v>
      </c>
      <c r="AB67">
        <f>IF(P67="*","-",IFERROR(VLOOKUP(P67,'AE-W3'!$P$4:$T$129,4,FALSE),"-"))</f>
        <v>119</v>
      </c>
      <c r="AC67" s="25">
        <f>IF(P67="*","-",IFERROR(VLOOKUP(P67,'All MECSM samples'!$P$4:$AD$454,15,FALSE),"-"))</f>
        <v>1118</v>
      </c>
      <c r="AE67">
        <v>0</v>
      </c>
      <c r="AF67" s="34">
        <v>0</v>
      </c>
      <c r="AH67">
        <f t="shared" si="4"/>
        <v>0</v>
      </c>
      <c r="AI67">
        <f t="shared" si="5"/>
        <v>0</v>
      </c>
      <c r="AJ67" s="11">
        <f>SUM(AH$5:AH67)/SUM(AI$5:AI67)</f>
        <v>0.93548387096774188</v>
      </c>
    </row>
    <row r="68" spans="1:36" x14ac:dyDescent="0.35">
      <c r="A68" t="s">
        <v>200</v>
      </c>
      <c r="B68">
        <v>6</v>
      </c>
      <c r="C68" t="s">
        <v>7</v>
      </c>
      <c r="D68" t="s">
        <v>8</v>
      </c>
      <c r="E68" t="s">
        <v>46</v>
      </c>
      <c r="G68" t="s">
        <v>47</v>
      </c>
      <c r="I68" t="s">
        <v>69</v>
      </c>
      <c r="K68" t="s">
        <v>70</v>
      </c>
      <c r="O68">
        <v>0.55000000000000004</v>
      </c>
      <c r="P68" t="s">
        <v>610</v>
      </c>
      <c r="Q68">
        <v>89.7</v>
      </c>
      <c r="R68">
        <v>2</v>
      </c>
      <c r="S68">
        <v>6</v>
      </c>
      <c r="T68" s="14">
        <v>0</v>
      </c>
      <c r="U68" s="11">
        <f t="shared" si="1"/>
        <v>1.3062504082032525E-4</v>
      </c>
      <c r="V68" s="11">
        <f t="shared" si="2"/>
        <v>0</v>
      </c>
      <c r="X68" s="11">
        <f t="shared" ref="X68:X99" si="8">S68/S$1</f>
        <v>1.3062504082032525E-4</v>
      </c>
      <c r="Y68" s="12">
        <f t="shared" si="7"/>
        <v>0.99688676986044877</v>
      </c>
      <c r="AA68" t="str">
        <f>IF(P68="*","-",IFERROR(VLOOKUP(P68,'AE-W1'!$P$4:$T$126,4,FALSE),"-"))</f>
        <v>-</v>
      </c>
      <c r="AB68">
        <f>IF(P68="*","-",IFERROR(VLOOKUP(P68,'AE-W3'!$P$4:$T$129,4,FALSE),"-"))</f>
        <v>33</v>
      </c>
      <c r="AC68" s="25">
        <f>IF(P68="*","-",IFERROR(VLOOKUP(P68,'All MECSM samples'!$P$4:$AD$454,15,FALSE),"-"))</f>
        <v>33</v>
      </c>
      <c r="AE68">
        <v>100</v>
      </c>
      <c r="AF68" s="34">
        <v>84</v>
      </c>
      <c r="AH68">
        <f t="shared" si="4"/>
        <v>0</v>
      </c>
      <c r="AI68">
        <f t="shared" si="5"/>
        <v>1</v>
      </c>
      <c r="AJ68" s="11">
        <f>SUM(AH$5:AH68)/SUM(AI$5:AI68)</f>
        <v>0.90625</v>
      </c>
    </row>
    <row r="69" spans="1:36" x14ac:dyDescent="0.35">
      <c r="A69" t="s">
        <v>300</v>
      </c>
      <c r="B69">
        <v>6</v>
      </c>
      <c r="C69" t="s">
        <v>7</v>
      </c>
      <c r="D69" t="s">
        <v>8</v>
      </c>
      <c r="E69" t="s">
        <v>46</v>
      </c>
      <c r="G69" t="s">
        <v>47</v>
      </c>
      <c r="I69" t="s">
        <v>61</v>
      </c>
      <c r="O69">
        <v>1</v>
      </c>
      <c r="P69" t="s">
        <v>381</v>
      </c>
      <c r="Q69">
        <v>94.9</v>
      </c>
      <c r="R69">
        <v>1</v>
      </c>
      <c r="S69">
        <v>6</v>
      </c>
      <c r="T69" s="14">
        <v>0</v>
      </c>
      <c r="U69" s="11">
        <f t="shared" ref="U69:U105" si="9">S69/S$1</f>
        <v>1.3062504082032525E-4</v>
      </c>
      <c r="V69" s="11">
        <f t="shared" ref="V69:V105" si="10">T69/T$1</f>
        <v>0</v>
      </c>
      <c r="X69" s="11">
        <f t="shared" si="8"/>
        <v>1.3062504082032525E-4</v>
      </c>
      <c r="Y69" s="12">
        <f t="shared" ref="Y69:Y100" si="11">Y68+X69</f>
        <v>0.99701739490126906</v>
      </c>
      <c r="AA69">
        <f>IF(P69="*","-",IFERROR(VLOOKUP(P69,'AE-W1'!$P$4:$T$126,4,FALSE),"-"))</f>
        <v>5</v>
      </c>
      <c r="AB69">
        <f>IF(P69="*","-",IFERROR(VLOOKUP(P69,'AE-W3'!$P$4:$T$129,4,FALSE),"-"))</f>
        <v>5</v>
      </c>
      <c r="AC69" s="25">
        <f>IF(P69="*","-",IFERROR(VLOOKUP(P69,'All MECSM samples'!$P$4:$AD$454,15,FALSE),"-"))</f>
        <v>932</v>
      </c>
      <c r="AE69">
        <v>22</v>
      </c>
      <c r="AF69" s="34">
        <v>273</v>
      </c>
      <c r="AH69">
        <f t="shared" ref="AH69:AH105" si="12">IF(AND(S69&gt;0,AE69&gt;=90, T69&gt;0), 1, 0)</f>
        <v>0</v>
      </c>
      <c r="AI69">
        <f t="shared" ref="AI69:AI105" si="13">IF(AND(S69&gt;0,AE69&gt;=90),1,0)</f>
        <v>0</v>
      </c>
      <c r="AJ69" s="11">
        <f>SUM(AH$5:AH69)/SUM(AI$5:AI69)</f>
        <v>0.90625</v>
      </c>
    </row>
    <row r="70" spans="1:36" x14ac:dyDescent="0.35">
      <c r="A70" t="s">
        <v>189</v>
      </c>
      <c r="B70">
        <v>5</v>
      </c>
      <c r="C70" t="s">
        <v>7</v>
      </c>
      <c r="D70" t="s">
        <v>8</v>
      </c>
      <c r="E70" t="s">
        <v>451</v>
      </c>
      <c r="G70" t="s">
        <v>451</v>
      </c>
      <c r="I70" t="s">
        <v>452</v>
      </c>
      <c r="K70" t="s">
        <v>453</v>
      </c>
      <c r="M70" t="s">
        <v>454</v>
      </c>
      <c r="O70">
        <v>1</v>
      </c>
      <c r="P70" t="s">
        <v>455</v>
      </c>
      <c r="Q70">
        <v>99.2</v>
      </c>
      <c r="R70">
        <v>1</v>
      </c>
      <c r="S70">
        <v>5</v>
      </c>
      <c r="T70" s="14">
        <v>0</v>
      </c>
      <c r="U70" s="11">
        <f t="shared" si="9"/>
        <v>1.0885420068360438E-4</v>
      </c>
      <c r="V70" s="11">
        <f t="shared" si="10"/>
        <v>0</v>
      </c>
      <c r="X70" s="11">
        <f t="shared" si="8"/>
        <v>1.0885420068360438E-4</v>
      </c>
      <c r="Y70" s="12">
        <f t="shared" si="11"/>
        <v>0.99712624910195269</v>
      </c>
      <c r="AA70" t="str">
        <f>IF(P70="*","-",IFERROR(VLOOKUP(P70,'AE-W1'!$P$4:$T$126,4,FALSE),"-"))</f>
        <v>-</v>
      </c>
      <c r="AB70" t="str">
        <f>IF(P70="*","-",IFERROR(VLOOKUP(P70,'AE-W3'!$P$4:$T$129,4,FALSE),"-"))</f>
        <v>-</v>
      </c>
      <c r="AC70" s="25">
        <f>IF(P70="*","-",IFERROR(VLOOKUP(P70,'All MECSM samples'!$P$4:$AD$454,15,FALSE),"-"))</f>
        <v>562</v>
      </c>
      <c r="AE70">
        <v>0</v>
      </c>
      <c r="AF70" s="34">
        <v>0</v>
      </c>
      <c r="AH70">
        <f t="shared" si="12"/>
        <v>0</v>
      </c>
      <c r="AI70">
        <f t="shared" si="13"/>
        <v>0</v>
      </c>
      <c r="AJ70" s="11">
        <f>SUM(AH$5:AH70)/SUM(AI$5:AI70)</f>
        <v>0.90625</v>
      </c>
    </row>
    <row r="71" spans="1:36" x14ac:dyDescent="0.35">
      <c r="A71" t="s">
        <v>286</v>
      </c>
      <c r="B71">
        <v>5</v>
      </c>
      <c r="C71" t="s">
        <v>7</v>
      </c>
      <c r="D71" t="s">
        <v>8</v>
      </c>
      <c r="E71" t="s">
        <v>32</v>
      </c>
      <c r="G71" t="s">
        <v>35</v>
      </c>
      <c r="I71" t="s">
        <v>36</v>
      </c>
      <c r="K71" t="s">
        <v>37</v>
      </c>
      <c r="M71" t="s">
        <v>480</v>
      </c>
      <c r="O71">
        <v>0.51</v>
      </c>
      <c r="P71" t="s">
        <v>401</v>
      </c>
      <c r="Q71">
        <v>94.8</v>
      </c>
      <c r="R71">
        <v>1</v>
      </c>
      <c r="S71">
        <v>5</v>
      </c>
      <c r="T71" s="14">
        <v>0</v>
      </c>
      <c r="U71" s="11">
        <f t="shared" si="9"/>
        <v>1.0885420068360438E-4</v>
      </c>
      <c r="V71" s="11">
        <f t="shared" si="10"/>
        <v>0</v>
      </c>
      <c r="X71" s="11">
        <f t="shared" si="8"/>
        <v>1.0885420068360438E-4</v>
      </c>
      <c r="Y71" s="12">
        <f t="shared" si="11"/>
        <v>0.99723510330263632</v>
      </c>
      <c r="AA71">
        <f>IF(P71="*","-",IFERROR(VLOOKUP(P71,'AE-W1'!$P$4:$T$126,4,FALSE),"-"))</f>
        <v>5</v>
      </c>
      <c r="AB71">
        <f>IF(P71="*","-",IFERROR(VLOOKUP(P71,'AE-W3'!$P$4:$T$129,4,FALSE),"-"))</f>
        <v>5</v>
      </c>
      <c r="AC71" s="25">
        <f>IF(P71="*","-",IFERROR(VLOOKUP(P71,'All MECSM samples'!$P$4:$AD$454,15,FALSE),"-"))</f>
        <v>6</v>
      </c>
      <c r="AE71">
        <v>1</v>
      </c>
      <c r="AF71" s="34">
        <v>728</v>
      </c>
      <c r="AH71">
        <f t="shared" si="12"/>
        <v>0</v>
      </c>
      <c r="AI71">
        <f t="shared" si="13"/>
        <v>0</v>
      </c>
      <c r="AJ71" s="11">
        <f>SUM(AH$5:AH71)/SUM(AI$5:AI71)</f>
        <v>0.90625</v>
      </c>
    </row>
    <row r="72" spans="1:36" x14ac:dyDescent="0.35">
      <c r="A72" t="s">
        <v>603</v>
      </c>
      <c r="B72">
        <v>5</v>
      </c>
      <c r="C72" t="s">
        <v>7</v>
      </c>
      <c r="D72" t="s">
        <v>8</v>
      </c>
      <c r="E72" t="s">
        <v>9</v>
      </c>
      <c r="O72">
        <v>0.53</v>
      </c>
      <c r="P72" t="s">
        <v>98</v>
      </c>
      <c r="Q72">
        <v>0</v>
      </c>
      <c r="R72">
        <v>1</v>
      </c>
      <c r="S72">
        <v>5</v>
      </c>
      <c r="T72" s="14">
        <v>0</v>
      </c>
      <c r="U72" s="11">
        <f t="shared" si="9"/>
        <v>1.0885420068360438E-4</v>
      </c>
      <c r="V72" s="11">
        <f t="shared" si="10"/>
        <v>0</v>
      </c>
      <c r="X72" s="11">
        <f t="shared" si="8"/>
        <v>1.0885420068360438E-4</v>
      </c>
      <c r="Y72" s="12">
        <f t="shared" si="11"/>
        <v>0.99734395750331994</v>
      </c>
      <c r="AA72" t="str">
        <f>IF(P72="*","-",IFERROR(VLOOKUP(P72,'AE-W1'!$P$4:$T$126,4,FALSE),"-"))</f>
        <v>-</v>
      </c>
      <c r="AB72" t="str">
        <f>IF(P72="*","-",IFERROR(VLOOKUP(P72,'AE-W3'!$P$4:$T$129,4,FALSE),"-"))</f>
        <v>-</v>
      </c>
      <c r="AC72" s="25" t="str">
        <f>IF(P72="*","-",IFERROR(VLOOKUP(P72,'All MECSM samples'!$P$4:$AD$454,15,FALSE),"-"))</f>
        <v>-</v>
      </c>
      <c r="AE72">
        <v>0</v>
      </c>
      <c r="AF72" s="34">
        <v>0</v>
      </c>
      <c r="AH72">
        <f t="shared" si="12"/>
        <v>0</v>
      </c>
      <c r="AI72">
        <f t="shared" si="13"/>
        <v>0</v>
      </c>
      <c r="AJ72" s="11">
        <f>SUM(AH$5:AH72)/SUM(AI$5:AI72)</f>
        <v>0.90625</v>
      </c>
    </row>
    <row r="73" spans="1:36" x14ac:dyDescent="0.35">
      <c r="A73" t="s">
        <v>282</v>
      </c>
      <c r="B73">
        <v>5</v>
      </c>
      <c r="C73" t="s">
        <v>7</v>
      </c>
      <c r="D73" t="s">
        <v>8</v>
      </c>
      <c r="E73" t="s">
        <v>9</v>
      </c>
      <c r="G73" t="s">
        <v>172</v>
      </c>
      <c r="I73" t="s">
        <v>347</v>
      </c>
      <c r="O73">
        <v>0.56000000000000005</v>
      </c>
      <c r="P73" t="s">
        <v>348</v>
      </c>
      <c r="Q73">
        <v>92.9</v>
      </c>
      <c r="R73">
        <v>2</v>
      </c>
      <c r="S73">
        <v>5</v>
      </c>
      <c r="T73" s="14">
        <v>0</v>
      </c>
      <c r="U73" s="11">
        <f t="shared" si="9"/>
        <v>1.0885420068360438E-4</v>
      </c>
      <c r="V73" s="11">
        <f t="shared" si="10"/>
        <v>0</v>
      </c>
      <c r="X73" s="11">
        <f t="shared" si="8"/>
        <v>1.0885420068360438E-4</v>
      </c>
      <c r="Y73" s="12">
        <f t="shared" si="11"/>
        <v>0.99745281170400357</v>
      </c>
      <c r="AA73">
        <f>IF(P73="*","-",IFERROR(VLOOKUP(P73,'AE-W1'!$P$4:$T$126,4,FALSE),"-"))</f>
        <v>14</v>
      </c>
      <c r="AB73">
        <f>IF(P73="*","-",IFERROR(VLOOKUP(P73,'AE-W3'!$P$4:$T$129,4,FALSE),"-"))</f>
        <v>4</v>
      </c>
      <c r="AC73" s="25">
        <f>IF(P73="*","-",IFERROR(VLOOKUP(P73,'All MECSM samples'!$P$4:$AD$454,15,FALSE),"-"))</f>
        <v>5401</v>
      </c>
      <c r="AE73">
        <v>0</v>
      </c>
      <c r="AF73" s="34">
        <v>0</v>
      </c>
      <c r="AH73">
        <f t="shared" si="12"/>
        <v>0</v>
      </c>
      <c r="AI73">
        <f t="shared" si="13"/>
        <v>0</v>
      </c>
      <c r="AJ73" s="11">
        <f>SUM(AH$5:AH73)/SUM(AI$5:AI73)</f>
        <v>0.90625</v>
      </c>
    </row>
    <row r="74" spans="1:36" x14ac:dyDescent="0.35">
      <c r="A74" t="s">
        <v>313</v>
      </c>
      <c r="B74">
        <v>5</v>
      </c>
      <c r="C74" t="s">
        <v>7</v>
      </c>
      <c r="D74" t="s">
        <v>8</v>
      </c>
      <c r="O74">
        <v>1</v>
      </c>
      <c r="P74" t="s">
        <v>521</v>
      </c>
      <c r="Q74">
        <v>86.6</v>
      </c>
      <c r="R74">
        <v>12</v>
      </c>
      <c r="S74">
        <v>5</v>
      </c>
      <c r="T74" s="14">
        <v>0</v>
      </c>
      <c r="U74" s="11">
        <f t="shared" si="9"/>
        <v>1.0885420068360438E-4</v>
      </c>
      <c r="V74" s="11">
        <f t="shared" si="10"/>
        <v>0</v>
      </c>
      <c r="X74" s="11">
        <f t="shared" si="8"/>
        <v>1.0885420068360438E-4</v>
      </c>
      <c r="Y74" s="12">
        <f t="shared" si="11"/>
        <v>0.9975616659046872</v>
      </c>
      <c r="AA74" t="str">
        <f>IF(P74="*","-",IFERROR(VLOOKUP(P74,'AE-W1'!$P$4:$T$126,4,FALSE),"-"))</f>
        <v>-</v>
      </c>
      <c r="AB74" t="str">
        <f>IF(P74="*","-",IFERROR(VLOOKUP(P74,'AE-W3'!$P$4:$T$129,4,FALSE),"-"))</f>
        <v>-</v>
      </c>
      <c r="AC74" s="25">
        <f>IF(P74="*","-",IFERROR(VLOOKUP(P74,'All MECSM samples'!$P$4:$AD$454,15,FALSE),"-"))</f>
        <v>5</v>
      </c>
      <c r="AE74">
        <v>98</v>
      </c>
      <c r="AF74" s="34">
        <v>1</v>
      </c>
      <c r="AH74">
        <f t="shared" si="12"/>
        <v>0</v>
      </c>
      <c r="AI74">
        <f t="shared" si="13"/>
        <v>1</v>
      </c>
      <c r="AJ74" s="11">
        <f>SUM(AH$5:AH74)/SUM(AI$5:AI74)</f>
        <v>0.87878787878787878</v>
      </c>
    </row>
    <row r="75" spans="1:36" x14ac:dyDescent="0.35">
      <c r="A75" t="s">
        <v>225</v>
      </c>
      <c r="B75">
        <v>5</v>
      </c>
      <c r="C75" t="s">
        <v>7</v>
      </c>
      <c r="D75" t="s">
        <v>8</v>
      </c>
      <c r="E75" t="s">
        <v>9</v>
      </c>
      <c r="G75" t="s">
        <v>138</v>
      </c>
      <c r="I75" t="s">
        <v>139</v>
      </c>
      <c r="K75" t="s">
        <v>140</v>
      </c>
      <c r="O75">
        <v>0.67</v>
      </c>
      <c r="P75" t="s">
        <v>141</v>
      </c>
      <c r="Q75">
        <v>90.1</v>
      </c>
      <c r="R75">
        <v>1</v>
      </c>
      <c r="S75">
        <v>5</v>
      </c>
      <c r="T75" s="14">
        <v>0</v>
      </c>
      <c r="U75" s="11">
        <f t="shared" si="9"/>
        <v>1.0885420068360438E-4</v>
      </c>
      <c r="V75" s="11">
        <f t="shared" si="10"/>
        <v>0</v>
      </c>
      <c r="X75" s="11">
        <f t="shared" si="8"/>
        <v>1.0885420068360438E-4</v>
      </c>
      <c r="Y75" s="12">
        <f t="shared" si="11"/>
        <v>0.99767052010537083</v>
      </c>
      <c r="AA75">
        <f>IF(P75="*","-",IFERROR(VLOOKUP(P75,'AE-W1'!$P$4:$T$126,4,FALSE),"-"))</f>
        <v>6</v>
      </c>
      <c r="AB75">
        <f>IF(P75="*","-",IFERROR(VLOOKUP(P75,'AE-W3'!$P$4:$T$129,4,FALSE),"-"))</f>
        <v>290</v>
      </c>
      <c r="AC75" s="25">
        <f>IF(P75="*","-",IFERROR(VLOOKUP(P75,'All MECSM samples'!$P$4:$AD$454,15,FALSE),"-"))</f>
        <v>469</v>
      </c>
      <c r="AE75">
        <v>0</v>
      </c>
      <c r="AF75" s="34">
        <v>0</v>
      </c>
      <c r="AH75">
        <f t="shared" si="12"/>
        <v>0</v>
      </c>
      <c r="AI75">
        <f t="shared" si="13"/>
        <v>0</v>
      </c>
      <c r="AJ75" s="11">
        <f>SUM(AH$5:AH75)/SUM(AI$5:AI75)</f>
        <v>0.87878787878787878</v>
      </c>
    </row>
    <row r="76" spans="1:36" x14ac:dyDescent="0.35">
      <c r="A76" t="s">
        <v>265</v>
      </c>
      <c r="B76">
        <v>5</v>
      </c>
      <c r="C76" t="s">
        <v>7</v>
      </c>
      <c r="D76" t="s">
        <v>8</v>
      </c>
      <c r="E76" t="s">
        <v>32</v>
      </c>
      <c r="O76">
        <v>0.98</v>
      </c>
      <c r="P76" t="s">
        <v>341</v>
      </c>
      <c r="Q76">
        <v>86.6</v>
      </c>
      <c r="R76">
        <v>1</v>
      </c>
      <c r="S76">
        <v>5</v>
      </c>
      <c r="T76" s="14">
        <v>0</v>
      </c>
      <c r="U76" s="11">
        <f t="shared" si="9"/>
        <v>1.0885420068360438E-4</v>
      </c>
      <c r="V76" s="11">
        <f t="shared" si="10"/>
        <v>0</v>
      </c>
      <c r="X76" s="11">
        <f t="shared" si="8"/>
        <v>1.0885420068360438E-4</v>
      </c>
      <c r="Y76" s="12">
        <f t="shared" si="11"/>
        <v>0.99777937430605446</v>
      </c>
      <c r="AA76">
        <f>IF(P76="*","-",IFERROR(VLOOKUP(P76,'AE-W1'!$P$4:$T$126,4,FALSE),"-"))</f>
        <v>15</v>
      </c>
      <c r="AB76">
        <f>IF(P76="*","-",IFERROR(VLOOKUP(P76,'AE-W3'!$P$4:$T$129,4,FALSE),"-"))</f>
        <v>5</v>
      </c>
      <c r="AC76" s="25">
        <f>IF(P76="*","-",IFERROR(VLOOKUP(P76,'All MECSM samples'!$P$4:$AD$454,15,FALSE),"-"))</f>
        <v>1251</v>
      </c>
      <c r="AE76">
        <v>1</v>
      </c>
      <c r="AF76" s="34">
        <v>728</v>
      </c>
      <c r="AH76">
        <f t="shared" si="12"/>
        <v>0</v>
      </c>
      <c r="AI76">
        <f t="shared" si="13"/>
        <v>0</v>
      </c>
      <c r="AJ76" s="11">
        <f>SUM(AH$5:AH76)/SUM(AI$5:AI76)</f>
        <v>0.87878787878787878</v>
      </c>
    </row>
    <row r="77" spans="1:36" x14ac:dyDescent="0.35">
      <c r="A77" t="s">
        <v>315</v>
      </c>
      <c r="B77">
        <v>5</v>
      </c>
      <c r="C77" t="s">
        <v>7</v>
      </c>
      <c r="D77" t="s">
        <v>8</v>
      </c>
      <c r="E77" t="s">
        <v>32</v>
      </c>
      <c r="G77" t="s">
        <v>445</v>
      </c>
      <c r="I77" t="s">
        <v>446</v>
      </c>
      <c r="O77">
        <v>0.5</v>
      </c>
      <c r="P77" t="s">
        <v>33</v>
      </c>
      <c r="Q77">
        <v>88.9</v>
      </c>
      <c r="R77">
        <v>1</v>
      </c>
      <c r="S77">
        <v>5</v>
      </c>
      <c r="T77" s="14">
        <v>0</v>
      </c>
      <c r="U77" s="11">
        <f t="shared" si="9"/>
        <v>1.0885420068360438E-4</v>
      </c>
      <c r="V77" s="11">
        <f t="shared" si="10"/>
        <v>0</v>
      </c>
      <c r="X77" s="11">
        <f t="shared" si="8"/>
        <v>1.0885420068360438E-4</v>
      </c>
      <c r="Y77" s="12">
        <f t="shared" si="11"/>
        <v>0.99788822850673808</v>
      </c>
      <c r="AA77">
        <f>IF(P77="*","-",IFERROR(VLOOKUP(P77,'AE-W1'!$P$4:$T$126,4,FALSE),"-"))</f>
        <v>9</v>
      </c>
      <c r="AB77">
        <f>IF(P77="*","-",IFERROR(VLOOKUP(P77,'AE-W3'!$P$4:$T$129,4,FALSE),"-"))</f>
        <v>7</v>
      </c>
      <c r="AC77" s="25">
        <f>IF(P77="*","-",IFERROR(VLOOKUP(P77,'All MECSM samples'!$P$4:$AD$454,15,FALSE),"-"))</f>
        <v>5880</v>
      </c>
      <c r="AE77">
        <v>0</v>
      </c>
      <c r="AF77" s="34">
        <v>0</v>
      </c>
      <c r="AH77">
        <f t="shared" si="12"/>
        <v>0</v>
      </c>
      <c r="AI77">
        <f t="shared" si="13"/>
        <v>0</v>
      </c>
      <c r="AJ77" s="11">
        <f>SUM(AH$5:AH77)/SUM(AI$5:AI77)</f>
        <v>0.87878787878787878</v>
      </c>
    </row>
    <row r="78" spans="1:36" x14ac:dyDescent="0.35">
      <c r="A78" t="s">
        <v>275</v>
      </c>
      <c r="B78">
        <v>5</v>
      </c>
      <c r="C78" t="s">
        <v>7</v>
      </c>
      <c r="D78" t="s">
        <v>8</v>
      </c>
      <c r="E78" t="s">
        <v>46</v>
      </c>
      <c r="G78" t="s">
        <v>47</v>
      </c>
      <c r="I78" t="s">
        <v>61</v>
      </c>
      <c r="O78">
        <v>0.85</v>
      </c>
      <c r="P78" t="s">
        <v>90</v>
      </c>
      <c r="Q78">
        <v>91.3</v>
      </c>
      <c r="R78">
        <v>1</v>
      </c>
      <c r="S78">
        <v>5</v>
      </c>
      <c r="T78" s="14">
        <v>0</v>
      </c>
      <c r="U78" s="11">
        <f t="shared" si="9"/>
        <v>1.0885420068360438E-4</v>
      </c>
      <c r="V78" s="11">
        <f t="shared" si="10"/>
        <v>0</v>
      </c>
      <c r="X78" s="11">
        <f t="shared" si="8"/>
        <v>1.0885420068360438E-4</v>
      </c>
      <c r="Y78" s="12">
        <f t="shared" si="11"/>
        <v>0.99799708270742171</v>
      </c>
      <c r="AA78">
        <f>IF(P78="*","-",IFERROR(VLOOKUP(P78,'AE-W1'!$P$4:$T$126,4,FALSE),"-"))</f>
        <v>32</v>
      </c>
      <c r="AB78">
        <f>IF(P78="*","-",IFERROR(VLOOKUP(P78,'AE-W3'!$P$4:$T$129,4,FALSE),"-"))</f>
        <v>1124</v>
      </c>
      <c r="AC78" s="25">
        <f>IF(P78="*","-",IFERROR(VLOOKUP(P78,'All MECSM samples'!$P$4:$AD$454,15,FALSE),"-"))</f>
        <v>1132</v>
      </c>
      <c r="AE78">
        <v>9</v>
      </c>
      <c r="AF78" s="34">
        <v>720</v>
      </c>
      <c r="AH78">
        <f t="shared" si="12"/>
        <v>0</v>
      </c>
      <c r="AI78">
        <f t="shared" si="13"/>
        <v>0</v>
      </c>
      <c r="AJ78" s="11">
        <f>SUM(AH$5:AH78)/SUM(AI$5:AI78)</f>
        <v>0.87878787878787878</v>
      </c>
    </row>
    <row r="79" spans="1:36" x14ac:dyDescent="0.35">
      <c r="A79" t="s">
        <v>266</v>
      </c>
      <c r="B79">
        <v>5</v>
      </c>
      <c r="C79" t="s">
        <v>7</v>
      </c>
      <c r="D79" t="s">
        <v>8</v>
      </c>
      <c r="E79" t="s">
        <v>100</v>
      </c>
      <c r="G79" t="s">
        <v>101</v>
      </c>
      <c r="I79" t="s">
        <v>102</v>
      </c>
      <c r="K79" t="s">
        <v>103</v>
      </c>
      <c r="M79" t="s">
        <v>383</v>
      </c>
      <c r="O79">
        <v>0.81</v>
      </c>
      <c r="P79" t="s">
        <v>384</v>
      </c>
      <c r="Q79">
        <v>95.7</v>
      </c>
      <c r="R79">
        <v>1</v>
      </c>
      <c r="S79">
        <v>5</v>
      </c>
      <c r="T79" s="14">
        <v>0</v>
      </c>
      <c r="U79" s="11">
        <f t="shared" si="9"/>
        <v>1.0885420068360438E-4</v>
      </c>
      <c r="V79" s="11">
        <f t="shared" si="10"/>
        <v>0</v>
      </c>
      <c r="X79" s="11">
        <f t="shared" si="8"/>
        <v>1.0885420068360438E-4</v>
      </c>
      <c r="Y79" s="12">
        <f t="shared" si="11"/>
        <v>0.99810593690810534</v>
      </c>
      <c r="AA79">
        <f>IF(P79="*","-",IFERROR(VLOOKUP(P79,'AE-W1'!$P$4:$T$126,4,FALSE),"-"))</f>
        <v>6</v>
      </c>
      <c r="AB79">
        <f>IF(P79="*","-",IFERROR(VLOOKUP(P79,'AE-W3'!$P$4:$T$129,4,FALSE),"-"))</f>
        <v>4</v>
      </c>
      <c r="AC79" s="25">
        <f>IF(P79="*","-",IFERROR(VLOOKUP(P79,'All MECSM samples'!$P$4:$AD$454,15,FALSE),"-"))</f>
        <v>1015</v>
      </c>
      <c r="AE79">
        <v>0</v>
      </c>
      <c r="AF79" s="34">
        <v>0</v>
      </c>
      <c r="AH79">
        <f t="shared" si="12"/>
        <v>0</v>
      </c>
      <c r="AI79">
        <f t="shared" si="13"/>
        <v>0</v>
      </c>
      <c r="AJ79" s="11">
        <f>SUM(AH$5:AH79)/SUM(AI$5:AI79)</f>
        <v>0.87878787878787878</v>
      </c>
    </row>
    <row r="80" spans="1:36" x14ac:dyDescent="0.35">
      <c r="A80" t="s">
        <v>327</v>
      </c>
      <c r="B80">
        <v>5</v>
      </c>
      <c r="C80" t="s">
        <v>7</v>
      </c>
      <c r="D80" t="s">
        <v>8</v>
      </c>
      <c r="E80" t="s">
        <v>46</v>
      </c>
      <c r="G80" t="s">
        <v>47</v>
      </c>
      <c r="I80" t="s">
        <v>61</v>
      </c>
      <c r="K80" t="s">
        <v>611</v>
      </c>
      <c r="M80" t="s">
        <v>612</v>
      </c>
      <c r="O80">
        <v>0.97</v>
      </c>
      <c r="P80" t="s">
        <v>613</v>
      </c>
      <c r="Q80">
        <v>100</v>
      </c>
      <c r="R80">
        <v>2</v>
      </c>
      <c r="S80">
        <v>5</v>
      </c>
      <c r="T80" s="14">
        <v>0</v>
      </c>
      <c r="U80" s="11">
        <f t="shared" si="9"/>
        <v>1.0885420068360438E-4</v>
      </c>
      <c r="V80" s="11">
        <f t="shared" si="10"/>
        <v>0</v>
      </c>
      <c r="X80" s="11">
        <f t="shared" si="8"/>
        <v>1.0885420068360438E-4</v>
      </c>
      <c r="Y80" s="12">
        <f t="shared" si="11"/>
        <v>0.99821479110878897</v>
      </c>
      <c r="AA80" t="str">
        <f>IF(P80="*","-",IFERROR(VLOOKUP(P80,'AE-W1'!$P$4:$T$126,4,FALSE),"-"))</f>
        <v>-</v>
      </c>
      <c r="AB80" t="str">
        <f>IF(P80="*","-",IFERROR(VLOOKUP(P80,'AE-W3'!$P$4:$T$129,4,FALSE),"-"))</f>
        <v>-</v>
      </c>
      <c r="AC80" s="25">
        <f>IF(P80="*","-",IFERROR(VLOOKUP(P80,'All MECSM samples'!$P$4:$AD$454,15,FALSE),"-"))</f>
        <v>945</v>
      </c>
      <c r="AE80">
        <v>9</v>
      </c>
      <c r="AF80" s="34">
        <v>559</v>
      </c>
      <c r="AH80">
        <f t="shared" si="12"/>
        <v>0</v>
      </c>
      <c r="AI80">
        <f t="shared" si="13"/>
        <v>0</v>
      </c>
      <c r="AJ80" s="11">
        <f>SUM(AH$5:AH80)/SUM(AI$5:AI80)</f>
        <v>0.87878787878787878</v>
      </c>
    </row>
    <row r="81" spans="1:36" x14ac:dyDescent="0.35">
      <c r="A81" t="s">
        <v>234</v>
      </c>
      <c r="B81">
        <v>4</v>
      </c>
      <c r="C81" t="s">
        <v>7</v>
      </c>
      <c r="D81" t="s">
        <v>8</v>
      </c>
      <c r="E81" t="s">
        <v>9</v>
      </c>
      <c r="G81" t="s">
        <v>10</v>
      </c>
      <c r="I81" t="s">
        <v>107</v>
      </c>
      <c r="K81" t="s">
        <v>108</v>
      </c>
      <c r="M81" t="s">
        <v>109</v>
      </c>
      <c r="O81">
        <v>1</v>
      </c>
      <c r="P81" t="s">
        <v>129</v>
      </c>
      <c r="Q81">
        <v>99.2</v>
      </c>
      <c r="R81">
        <v>1</v>
      </c>
      <c r="S81">
        <v>4</v>
      </c>
      <c r="T81" s="14">
        <v>0</v>
      </c>
      <c r="U81" s="11">
        <f t="shared" si="9"/>
        <v>8.7083360546883506E-5</v>
      </c>
      <c r="V81" s="11">
        <f t="shared" si="10"/>
        <v>0</v>
      </c>
      <c r="X81" s="11">
        <f t="shared" si="8"/>
        <v>8.7083360546883506E-5</v>
      </c>
      <c r="Y81" s="12">
        <f t="shared" si="11"/>
        <v>0.99830187446933583</v>
      </c>
      <c r="AA81">
        <f>IF(P81="*","-",IFERROR(VLOOKUP(P81,'AE-W1'!$P$4:$T$126,4,FALSE),"-"))</f>
        <v>108</v>
      </c>
      <c r="AB81">
        <f>IF(P81="*","-",IFERROR(VLOOKUP(P81,'AE-W3'!$P$4:$T$129,4,FALSE),"-"))</f>
        <v>429</v>
      </c>
      <c r="AC81" s="25">
        <f>IF(P81="*","-",IFERROR(VLOOKUP(P81,'All MECSM samples'!$P$4:$AD$454,15,FALSE),"-"))</f>
        <v>762</v>
      </c>
      <c r="AE81">
        <v>0</v>
      </c>
      <c r="AF81" s="34">
        <v>0</v>
      </c>
      <c r="AH81">
        <f t="shared" si="12"/>
        <v>0</v>
      </c>
      <c r="AI81">
        <f t="shared" si="13"/>
        <v>0</v>
      </c>
      <c r="AJ81" s="11">
        <f>SUM(AH$5:AH81)/SUM(AI$5:AI81)</f>
        <v>0.87878787878787878</v>
      </c>
    </row>
    <row r="82" spans="1:36" x14ac:dyDescent="0.35">
      <c r="A82" t="s">
        <v>280</v>
      </c>
      <c r="B82">
        <v>4</v>
      </c>
      <c r="C82" t="s">
        <v>7</v>
      </c>
      <c r="D82" t="s">
        <v>8</v>
      </c>
      <c r="E82" t="s">
        <v>9</v>
      </c>
      <c r="G82" t="s">
        <v>172</v>
      </c>
      <c r="I82" t="s">
        <v>173</v>
      </c>
      <c r="K82" t="s">
        <v>174</v>
      </c>
      <c r="M82" t="s">
        <v>175</v>
      </c>
      <c r="O82">
        <v>0.88</v>
      </c>
      <c r="P82" t="s">
        <v>332</v>
      </c>
      <c r="Q82">
        <v>98.4</v>
      </c>
      <c r="R82">
        <v>1</v>
      </c>
      <c r="S82">
        <v>4</v>
      </c>
      <c r="T82" s="14">
        <v>0</v>
      </c>
      <c r="U82" s="11">
        <f t="shared" si="9"/>
        <v>8.7083360546883506E-5</v>
      </c>
      <c r="V82" s="11">
        <f t="shared" si="10"/>
        <v>0</v>
      </c>
      <c r="X82" s="11">
        <f t="shared" si="8"/>
        <v>8.7083360546883506E-5</v>
      </c>
      <c r="Y82" s="12">
        <f t="shared" si="11"/>
        <v>0.99838895782988268</v>
      </c>
      <c r="AA82">
        <f>IF(P82="*","-",IFERROR(VLOOKUP(P82,'AE-W1'!$P$4:$T$126,4,FALSE),"-"))</f>
        <v>18</v>
      </c>
      <c r="AB82" t="str">
        <f>IF(P82="*","-",IFERROR(VLOOKUP(P82,'AE-W3'!$P$4:$T$129,4,FALSE),"-"))</f>
        <v>-</v>
      </c>
      <c r="AC82" s="25">
        <f>IF(P82="*","-",IFERROR(VLOOKUP(P82,'All MECSM samples'!$P$4:$AD$454,15,FALSE),"-"))</f>
        <v>4692</v>
      </c>
      <c r="AE82">
        <v>0</v>
      </c>
      <c r="AF82" s="34">
        <v>0</v>
      </c>
      <c r="AH82">
        <f t="shared" si="12"/>
        <v>0</v>
      </c>
      <c r="AI82">
        <f t="shared" si="13"/>
        <v>0</v>
      </c>
      <c r="AJ82" s="11">
        <f>SUM(AH$5:AH82)/SUM(AI$5:AI82)</f>
        <v>0.87878787878787878</v>
      </c>
    </row>
    <row r="83" spans="1:36" x14ac:dyDescent="0.35">
      <c r="A83" t="s">
        <v>156</v>
      </c>
      <c r="B83">
        <v>4</v>
      </c>
      <c r="C83" t="s">
        <v>7</v>
      </c>
      <c r="D83" t="s">
        <v>8</v>
      </c>
      <c r="E83" t="s">
        <v>32</v>
      </c>
      <c r="G83" t="s">
        <v>35</v>
      </c>
      <c r="I83" t="s">
        <v>36</v>
      </c>
      <c r="K83" t="s">
        <v>37</v>
      </c>
      <c r="O83">
        <v>0.85</v>
      </c>
      <c r="P83" t="s">
        <v>401</v>
      </c>
      <c r="Q83">
        <v>89.7</v>
      </c>
      <c r="R83">
        <v>1</v>
      </c>
      <c r="S83">
        <v>4</v>
      </c>
      <c r="T83" s="14">
        <v>0</v>
      </c>
      <c r="U83" s="11">
        <f t="shared" si="9"/>
        <v>8.7083360546883506E-5</v>
      </c>
      <c r="V83" s="11">
        <f t="shared" si="10"/>
        <v>0</v>
      </c>
      <c r="X83" s="11">
        <f t="shared" si="8"/>
        <v>8.7083360546883506E-5</v>
      </c>
      <c r="Y83" s="12">
        <f t="shared" si="11"/>
        <v>0.99847604119042954</v>
      </c>
      <c r="AA83">
        <f>IF(P83="*","-",IFERROR(VLOOKUP(P83,'AE-W1'!$P$4:$T$126,4,FALSE),"-"))</f>
        <v>5</v>
      </c>
      <c r="AB83">
        <f>IF(P83="*","-",IFERROR(VLOOKUP(P83,'AE-W3'!$P$4:$T$129,4,FALSE),"-"))</f>
        <v>5</v>
      </c>
      <c r="AC83" s="25">
        <f>IF(P83="*","-",IFERROR(VLOOKUP(P83,'All MECSM samples'!$P$4:$AD$454,15,FALSE),"-"))</f>
        <v>6</v>
      </c>
      <c r="AE83">
        <v>0</v>
      </c>
      <c r="AF83" s="34">
        <v>0</v>
      </c>
      <c r="AH83">
        <f t="shared" si="12"/>
        <v>0</v>
      </c>
      <c r="AI83">
        <f t="shared" si="13"/>
        <v>0</v>
      </c>
      <c r="AJ83" s="11">
        <f>SUM(AH$5:AH83)/SUM(AI$5:AI83)</f>
        <v>0.87878787878787878</v>
      </c>
    </row>
    <row r="84" spans="1:36" x14ac:dyDescent="0.35">
      <c r="A84" t="s">
        <v>295</v>
      </c>
      <c r="B84">
        <v>4</v>
      </c>
      <c r="C84" t="s">
        <v>7</v>
      </c>
      <c r="D84" t="s">
        <v>8</v>
      </c>
      <c r="E84" t="s">
        <v>120</v>
      </c>
      <c r="G84" t="s">
        <v>121</v>
      </c>
      <c r="I84" t="s">
        <v>122</v>
      </c>
      <c r="K84" t="s">
        <v>123</v>
      </c>
      <c r="M84" t="s">
        <v>124</v>
      </c>
      <c r="O84">
        <v>0.94</v>
      </c>
      <c r="P84" t="s">
        <v>125</v>
      </c>
      <c r="Q84">
        <v>90.1</v>
      </c>
      <c r="R84">
        <v>1</v>
      </c>
      <c r="S84">
        <v>4</v>
      </c>
      <c r="T84" s="14">
        <v>0</v>
      </c>
      <c r="U84" s="11">
        <f t="shared" si="9"/>
        <v>8.7083360546883506E-5</v>
      </c>
      <c r="V84" s="11">
        <f t="shared" si="10"/>
        <v>0</v>
      </c>
      <c r="X84" s="11">
        <f t="shared" si="8"/>
        <v>8.7083360546883506E-5</v>
      </c>
      <c r="Y84" s="12">
        <f t="shared" si="11"/>
        <v>0.9985631245509764</v>
      </c>
      <c r="AA84">
        <f>IF(P84="*","-",IFERROR(VLOOKUP(P84,'AE-W1'!$P$4:$T$126,4,FALSE),"-"))</f>
        <v>796</v>
      </c>
      <c r="AB84">
        <f>IF(P84="*","-",IFERROR(VLOOKUP(P84,'AE-W3'!$P$4:$T$129,4,FALSE),"-"))</f>
        <v>8</v>
      </c>
      <c r="AC84" s="25">
        <f>IF(P84="*","-",IFERROR(VLOOKUP(P84,'All MECSM samples'!$P$4:$AD$454,15,FALSE),"-"))</f>
        <v>799</v>
      </c>
      <c r="AE84">
        <v>8</v>
      </c>
      <c r="AF84" s="34">
        <v>13</v>
      </c>
      <c r="AH84">
        <f t="shared" si="12"/>
        <v>0</v>
      </c>
      <c r="AI84">
        <f t="shared" si="13"/>
        <v>0</v>
      </c>
      <c r="AJ84" s="11">
        <f>SUM(AH$5:AH84)/SUM(AI$5:AI84)</f>
        <v>0.87878787878787878</v>
      </c>
    </row>
    <row r="85" spans="1:36" x14ac:dyDescent="0.35">
      <c r="A85" t="s">
        <v>248</v>
      </c>
      <c r="B85">
        <v>4</v>
      </c>
      <c r="C85" t="s">
        <v>7</v>
      </c>
      <c r="D85" t="s">
        <v>8</v>
      </c>
      <c r="E85" t="s">
        <v>46</v>
      </c>
      <c r="O85">
        <v>0.72</v>
      </c>
      <c r="P85" t="s">
        <v>354</v>
      </c>
      <c r="Q85">
        <v>87.4</v>
      </c>
      <c r="R85">
        <v>1</v>
      </c>
      <c r="S85">
        <v>4</v>
      </c>
      <c r="T85" s="14">
        <v>0</v>
      </c>
      <c r="U85" s="11">
        <f t="shared" si="9"/>
        <v>8.7083360546883506E-5</v>
      </c>
      <c r="V85" s="11">
        <f t="shared" si="10"/>
        <v>0</v>
      </c>
      <c r="X85" s="11">
        <f t="shared" si="8"/>
        <v>8.7083360546883506E-5</v>
      </c>
      <c r="Y85" s="12">
        <f t="shared" si="11"/>
        <v>0.99865020791152326</v>
      </c>
      <c r="AA85">
        <f>IF(P85="*","-",IFERROR(VLOOKUP(P85,'AE-W1'!$P$4:$T$126,4,FALSE),"-"))</f>
        <v>8</v>
      </c>
      <c r="AB85">
        <f>IF(P85="*","-",IFERROR(VLOOKUP(P85,'AE-W3'!$P$4:$T$129,4,FALSE),"-"))</f>
        <v>10</v>
      </c>
      <c r="AC85" s="25">
        <f>IF(P85="*","-",IFERROR(VLOOKUP(P85,'All MECSM samples'!$P$4:$AD$454,15,FALSE),"-"))</f>
        <v>905</v>
      </c>
      <c r="AE85">
        <v>15</v>
      </c>
      <c r="AF85" s="34">
        <v>742</v>
      </c>
      <c r="AH85">
        <f t="shared" si="12"/>
        <v>0</v>
      </c>
      <c r="AI85">
        <f t="shared" si="13"/>
        <v>0</v>
      </c>
      <c r="AJ85" s="11">
        <f>SUM(AH$5:AH85)/SUM(AI$5:AI85)</f>
        <v>0.87878787878787878</v>
      </c>
    </row>
    <row r="86" spans="1:36" x14ac:dyDescent="0.35">
      <c r="A86" t="s">
        <v>264</v>
      </c>
      <c r="B86">
        <v>4</v>
      </c>
      <c r="C86" t="s">
        <v>7</v>
      </c>
      <c r="D86" t="s">
        <v>8</v>
      </c>
      <c r="E86" t="s">
        <v>120</v>
      </c>
      <c r="G86" t="s">
        <v>121</v>
      </c>
      <c r="I86" t="s">
        <v>122</v>
      </c>
      <c r="K86" t="s">
        <v>123</v>
      </c>
      <c r="O86">
        <v>0.65</v>
      </c>
      <c r="P86" t="s">
        <v>220</v>
      </c>
      <c r="Q86">
        <v>87.7</v>
      </c>
      <c r="R86">
        <v>1</v>
      </c>
      <c r="S86">
        <v>4</v>
      </c>
      <c r="T86" s="14">
        <v>0</v>
      </c>
      <c r="U86" s="11">
        <f t="shared" si="9"/>
        <v>8.7083360546883506E-5</v>
      </c>
      <c r="V86" s="11">
        <f t="shared" si="10"/>
        <v>0</v>
      </c>
      <c r="X86" s="11">
        <f t="shared" si="8"/>
        <v>8.7083360546883506E-5</v>
      </c>
      <c r="Y86" s="12">
        <f t="shared" si="11"/>
        <v>0.99873729127207012</v>
      </c>
      <c r="AA86" t="str">
        <f>IF(P86="*","-",IFERROR(VLOOKUP(P86,'AE-W1'!$P$4:$T$126,4,FALSE),"-"))</f>
        <v>-</v>
      </c>
      <c r="AB86">
        <f>IF(P86="*","-",IFERROR(VLOOKUP(P86,'AE-W3'!$P$4:$T$129,4,FALSE),"-"))</f>
        <v>58</v>
      </c>
      <c r="AC86" s="25">
        <f>IF(P86="*","-",IFERROR(VLOOKUP(P86,'All MECSM samples'!$P$4:$AD$454,15,FALSE),"-"))</f>
        <v>81</v>
      </c>
      <c r="AE86">
        <v>87</v>
      </c>
      <c r="AF86" s="34">
        <v>1</v>
      </c>
      <c r="AH86">
        <f t="shared" si="12"/>
        <v>0</v>
      </c>
      <c r="AI86">
        <f t="shared" si="13"/>
        <v>0</v>
      </c>
      <c r="AJ86" s="11">
        <f>SUM(AH$5:AH86)/SUM(AI$5:AI86)</f>
        <v>0.87878787878787878</v>
      </c>
    </row>
    <row r="87" spans="1:36" x14ac:dyDescent="0.35">
      <c r="A87" t="s">
        <v>213</v>
      </c>
      <c r="B87">
        <v>4</v>
      </c>
      <c r="C87" t="s">
        <v>7</v>
      </c>
      <c r="D87" t="s">
        <v>8</v>
      </c>
      <c r="O87">
        <v>1</v>
      </c>
      <c r="P87" t="s">
        <v>98</v>
      </c>
      <c r="Q87">
        <v>0</v>
      </c>
      <c r="R87">
        <v>1</v>
      </c>
      <c r="S87">
        <v>4</v>
      </c>
      <c r="T87" s="14">
        <v>0</v>
      </c>
      <c r="U87" s="11">
        <f t="shared" si="9"/>
        <v>8.7083360546883506E-5</v>
      </c>
      <c r="V87" s="11">
        <f t="shared" si="10"/>
        <v>0</v>
      </c>
      <c r="X87" s="11">
        <f t="shared" si="8"/>
        <v>8.7083360546883506E-5</v>
      </c>
      <c r="Y87" s="12">
        <f t="shared" si="11"/>
        <v>0.99882437463261697</v>
      </c>
      <c r="AA87" t="str">
        <f>IF(P87="*","-",IFERROR(VLOOKUP(P87,'AE-W1'!$P$4:$T$126,4,FALSE),"-"))</f>
        <v>-</v>
      </c>
      <c r="AB87" t="str">
        <f>IF(P87="*","-",IFERROR(VLOOKUP(P87,'AE-W3'!$P$4:$T$129,4,FALSE),"-"))</f>
        <v>-</v>
      </c>
      <c r="AC87" s="25" t="str">
        <f>IF(P87="*","-",IFERROR(VLOOKUP(P87,'All MECSM samples'!$P$4:$AD$454,15,FALSE),"-"))</f>
        <v>-</v>
      </c>
      <c r="AE87">
        <v>12</v>
      </c>
      <c r="AF87" s="34">
        <v>225</v>
      </c>
      <c r="AH87">
        <f t="shared" si="12"/>
        <v>0</v>
      </c>
      <c r="AI87">
        <f t="shared" si="13"/>
        <v>0</v>
      </c>
      <c r="AJ87" s="11">
        <f>SUM(AH$5:AH87)/SUM(AI$5:AI87)</f>
        <v>0.87878787878787878</v>
      </c>
    </row>
    <row r="88" spans="1:36" x14ac:dyDescent="0.35">
      <c r="A88" t="s">
        <v>185</v>
      </c>
      <c r="B88">
        <v>4</v>
      </c>
      <c r="C88" t="s">
        <v>7</v>
      </c>
      <c r="D88" t="s">
        <v>8</v>
      </c>
      <c r="E88" t="s">
        <v>46</v>
      </c>
      <c r="G88" t="s">
        <v>47</v>
      </c>
      <c r="I88" t="s">
        <v>61</v>
      </c>
      <c r="K88" t="s">
        <v>210</v>
      </c>
      <c r="M88" t="s">
        <v>211</v>
      </c>
      <c r="O88">
        <v>1</v>
      </c>
      <c r="P88" t="s">
        <v>212</v>
      </c>
      <c r="Q88">
        <v>96.8</v>
      </c>
      <c r="R88">
        <v>1</v>
      </c>
      <c r="S88">
        <v>4</v>
      </c>
      <c r="T88" s="14">
        <v>0</v>
      </c>
      <c r="U88" s="11">
        <f t="shared" si="9"/>
        <v>8.7083360546883506E-5</v>
      </c>
      <c r="V88" s="11">
        <f t="shared" si="10"/>
        <v>0</v>
      </c>
      <c r="X88" s="11">
        <f t="shared" si="8"/>
        <v>8.7083360546883506E-5</v>
      </c>
      <c r="Y88" s="12">
        <f t="shared" si="11"/>
        <v>0.99891145799316383</v>
      </c>
      <c r="AA88">
        <f>IF(P88="*","-",IFERROR(VLOOKUP(P88,'AE-W1'!$P$4:$T$126,4,FALSE),"-"))</f>
        <v>53</v>
      </c>
      <c r="AB88">
        <f>IF(P88="*","-",IFERROR(VLOOKUP(P88,'AE-W3'!$P$4:$T$129,4,FALSE),"-"))</f>
        <v>61</v>
      </c>
      <c r="AC88" s="25">
        <f>IF(P88="*","-",IFERROR(VLOOKUP(P88,'All MECSM samples'!$P$4:$AD$454,15,FALSE),"-"))</f>
        <v>439</v>
      </c>
      <c r="AE88">
        <v>0</v>
      </c>
      <c r="AF88" s="34">
        <v>1</v>
      </c>
      <c r="AH88">
        <f t="shared" si="12"/>
        <v>0</v>
      </c>
      <c r="AI88">
        <f t="shared" si="13"/>
        <v>0</v>
      </c>
      <c r="AJ88" s="11">
        <f>SUM(AH$5:AH88)/SUM(AI$5:AI88)</f>
        <v>0.87878787878787878</v>
      </c>
    </row>
    <row r="89" spans="1:36" x14ac:dyDescent="0.35">
      <c r="A89" t="s">
        <v>311</v>
      </c>
      <c r="B89">
        <v>4</v>
      </c>
      <c r="C89" t="s">
        <v>7</v>
      </c>
      <c r="D89" t="s">
        <v>8</v>
      </c>
      <c r="E89" t="s">
        <v>46</v>
      </c>
      <c r="G89" t="s">
        <v>47</v>
      </c>
      <c r="I89" t="s">
        <v>61</v>
      </c>
      <c r="O89">
        <v>0.69</v>
      </c>
      <c r="P89" t="s">
        <v>354</v>
      </c>
      <c r="Q89">
        <v>89.7</v>
      </c>
      <c r="R89">
        <v>1</v>
      </c>
      <c r="S89">
        <v>4</v>
      </c>
      <c r="T89" s="14">
        <v>0</v>
      </c>
      <c r="U89" s="11">
        <f t="shared" si="9"/>
        <v>8.7083360546883506E-5</v>
      </c>
      <c r="V89" s="11">
        <f t="shared" si="10"/>
        <v>0</v>
      </c>
      <c r="X89" s="11">
        <f t="shared" si="8"/>
        <v>8.7083360546883506E-5</v>
      </c>
      <c r="Y89" s="12">
        <f t="shared" si="11"/>
        <v>0.99899854135371069</v>
      </c>
      <c r="AA89">
        <f>IF(P89="*","-",IFERROR(VLOOKUP(P89,'AE-W1'!$P$4:$T$126,4,FALSE),"-"))</f>
        <v>8</v>
      </c>
      <c r="AB89">
        <f>IF(P89="*","-",IFERROR(VLOOKUP(P89,'AE-W3'!$P$4:$T$129,4,FALSE),"-"))</f>
        <v>10</v>
      </c>
      <c r="AC89" s="25">
        <f>IF(P89="*","-",IFERROR(VLOOKUP(P89,'All MECSM samples'!$P$4:$AD$454,15,FALSE),"-"))</f>
        <v>905</v>
      </c>
      <c r="AE89">
        <v>83</v>
      </c>
      <c r="AF89" s="34">
        <v>80</v>
      </c>
      <c r="AH89">
        <f t="shared" si="12"/>
        <v>0</v>
      </c>
      <c r="AI89">
        <f t="shared" si="13"/>
        <v>0</v>
      </c>
      <c r="AJ89" s="11">
        <f>SUM(AH$5:AH89)/SUM(AI$5:AI89)</f>
        <v>0.87878787878787878</v>
      </c>
    </row>
    <row r="90" spans="1:36" x14ac:dyDescent="0.35">
      <c r="A90" t="s">
        <v>306</v>
      </c>
      <c r="B90">
        <v>4</v>
      </c>
      <c r="C90" t="s">
        <v>7</v>
      </c>
      <c r="D90" t="s">
        <v>8</v>
      </c>
      <c r="E90" t="s">
        <v>120</v>
      </c>
      <c r="G90" t="s">
        <v>121</v>
      </c>
      <c r="I90" t="s">
        <v>122</v>
      </c>
      <c r="K90" t="s">
        <v>123</v>
      </c>
      <c r="O90">
        <v>0.95</v>
      </c>
      <c r="P90" t="s">
        <v>224</v>
      </c>
      <c r="Q90">
        <v>85.4</v>
      </c>
      <c r="R90">
        <v>1</v>
      </c>
      <c r="S90">
        <v>4</v>
      </c>
      <c r="T90" s="14">
        <v>0</v>
      </c>
      <c r="U90" s="11">
        <f t="shared" si="9"/>
        <v>8.7083360546883506E-5</v>
      </c>
      <c r="V90" s="11">
        <f t="shared" si="10"/>
        <v>0</v>
      </c>
      <c r="X90" s="11">
        <f t="shared" si="8"/>
        <v>8.7083360546883506E-5</v>
      </c>
      <c r="Y90" s="12">
        <f t="shared" si="11"/>
        <v>0.99908562471425755</v>
      </c>
      <c r="AA90">
        <f>IF(P90="*","-",IFERROR(VLOOKUP(P90,'AE-W1'!$P$4:$T$126,4,FALSE),"-"))</f>
        <v>2</v>
      </c>
      <c r="AB90" t="str">
        <f>IF(P90="*","-",IFERROR(VLOOKUP(P90,'AE-W3'!$P$4:$T$129,4,FALSE),"-"))</f>
        <v>-</v>
      </c>
      <c r="AC90" s="25">
        <f>IF(P90="*","-",IFERROR(VLOOKUP(P90,'All MECSM samples'!$P$4:$AD$454,15,FALSE),"-"))</f>
        <v>54</v>
      </c>
      <c r="AE90">
        <v>83</v>
      </c>
      <c r="AF90" s="34">
        <v>2</v>
      </c>
      <c r="AH90">
        <f t="shared" si="12"/>
        <v>0</v>
      </c>
      <c r="AI90">
        <f t="shared" si="13"/>
        <v>0</v>
      </c>
      <c r="AJ90" s="11">
        <f>SUM(AH$5:AH90)/SUM(AI$5:AI90)</f>
        <v>0.87878787878787878</v>
      </c>
    </row>
    <row r="91" spans="1:36" x14ac:dyDescent="0.35">
      <c r="A91" t="s">
        <v>336</v>
      </c>
      <c r="B91">
        <v>4</v>
      </c>
      <c r="C91" t="s">
        <v>7</v>
      </c>
      <c r="D91" t="s">
        <v>8</v>
      </c>
      <c r="E91" t="s">
        <v>46</v>
      </c>
      <c r="G91" t="s">
        <v>47</v>
      </c>
      <c r="I91" t="s">
        <v>61</v>
      </c>
      <c r="O91">
        <v>0.94</v>
      </c>
      <c r="P91" t="s">
        <v>302</v>
      </c>
      <c r="Q91">
        <v>92.1</v>
      </c>
      <c r="R91">
        <v>1</v>
      </c>
      <c r="S91">
        <v>4</v>
      </c>
      <c r="T91" s="14">
        <v>0</v>
      </c>
      <c r="U91" s="11">
        <f t="shared" si="9"/>
        <v>8.7083360546883506E-5</v>
      </c>
      <c r="V91" s="11">
        <f t="shared" si="10"/>
        <v>0</v>
      </c>
      <c r="X91" s="11">
        <f t="shared" si="8"/>
        <v>8.7083360546883506E-5</v>
      </c>
      <c r="Y91" s="12">
        <f t="shared" si="11"/>
        <v>0.99917270807480441</v>
      </c>
      <c r="AA91">
        <f>IF(P91="*","-",IFERROR(VLOOKUP(P91,'AE-W1'!$P$4:$T$126,4,FALSE),"-"))</f>
        <v>23</v>
      </c>
      <c r="AB91" t="str">
        <f>IF(P91="*","-",IFERROR(VLOOKUP(P91,'AE-W3'!$P$4:$T$129,4,FALSE),"-"))</f>
        <v>-</v>
      </c>
      <c r="AC91" s="25">
        <f>IF(P91="*","-",IFERROR(VLOOKUP(P91,'All MECSM samples'!$P$4:$AD$454,15,FALSE),"-"))</f>
        <v>469</v>
      </c>
      <c r="AE91">
        <v>18</v>
      </c>
      <c r="AF91" s="34">
        <v>285</v>
      </c>
      <c r="AH91">
        <f t="shared" si="12"/>
        <v>0</v>
      </c>
      <c r="AI91">
        <f t="shared" si="13"/>
        <v>0</v>
      </c>
      <c r="AJ91" s="11">
        <f>SUM(AH$5:AH91)/SUM(AI$5:AI91)</f>
        <v>0.87878787878787878</v>
      </c>
    </row>
    <row r="92" spans="1:36" x14ac:dyDescent="0.35">
      <c r="A92" t="s">
        <v>289</v>
      </c>
      <c r="B92">
        <v>4</v>
      </c>
      <c r="C92" t="s">
        <v>7</v>
      </c>
      <c r="D92" t="s">
        <v>8</v>
      </c>
      <c r="E92" t="s">
        <v>32</v>
      </c>
      <c r="G92" t="s">
        <v>35</v>
      </c>
      <c r="I92" t="s">
        <v>36</v>
      </c>
      <c r="K92" t="s">
        <v>37</v>
      </c>
      <c r="M92" t="s">
        <v>304</v>
      </c>
      <c r="O92">
        <v>0.87</v>
      </c>
      <c r="P92" t="s">
        <v>305</v>
      </c>
      <c r="Q92">
        <v>97.6</v>
      </c>
      <c r="R92">
        <v>1</v>
      </c>
      <c r="S92">
        <v>4</v>
      </c>
      <c r="T92" s="14">
        <v>0</v>
      </c>
      <c r="U92" s="11">
        <f t="shared" si="9"/>
        <v>8.7083360546883506E-5</v>
      </c>
      <c r="V92" s="11">
        <f t="shared" si="10"/>
        <v>0</v>
      </c>
      <c r="X92" s="11">
        <f t="shared" si="8"/>
        <v>8.7083360546883506E-5</v>
      </c>
      <c r="Y92" s="12">
        <f t="shared" si="11"/>
        <v>0.99925979143535126</v>
      </c>
      <c r="AA92">
        <f>IF(P92="*","-",IFERROR(VLOOKUP(P92,'AE-W1'!$P$4:$T$126,4,FALSE),"-"))</f>
        <v>27</v>
      </c>
      <c r="AB92">
        <f>IF(P92="*","-",IFERROR(VLOOKUP(P92,'AE-W3'!$P$4:$T$129,4,FALSE),"-"))</f>
        <v>7</v>
      </c>
      <c r="AC92" s="25">
        <f>IF(P92="*","-",IFERROR(VLOOKUP(P92,'All MECSM samples'!$P$4:$AD$454,15,FALSE),"-"))</f>
        <v>2600</v>
      </c>
      <c r="AE92">
        <v>0</v>
      </c>
      <c r="AF92" s="34">
        <v>0</v>
      </c>
      <c r="AH92">
        <f t="shared" si="12"/>
        <v>0</v>
      </c>
      <c r="AI92">
        <f t="shared" si="13"/>
        <v>0</v>
      </c>
      <c r="AJ92" s="11">
        <f>SUM(AH$5:AH92)/SUM(AI$5:AI92)</f>
        <v>0.87878787878787878</v>
      </c>
    </row>
    <row r="93" spans="1:36" x14ac:dyDescent="0.35">
      <c r="A93" t="s">
        <v>221</v>
      </c>
      <c r="B93">
        <v>4</v>
      </c>
      <c r="C93" t="s">
        <v>7</v>
      </c>
      <c r="D93" t="s">
        <v>8</v>
      </c>
      <c r="E93" t="s">
        <v>9</v>
      </c>
      <c r="G93" t="s">
        <v>138</v>
      </c>
      <c r="I93" t="s">
        <v>410</v>
      </c>
      <c r="K93" t="s">
        <v>411</v>
      </c>
      <c r="O93">
        <v>1</v>
      </c>
      <c r="P93" t="s">
        <v>412</v>
      </c>
      <c r="Q93">
        <v>99.2</v>
      </c>
      <c r="R93">
        <v>7</v>
      </c>
      <c r="S93">
        <v>4</v>
      </c>
      <c r="T93" s="14">
        <v>0</v>
      </c>
      <c r="U93" s="11">
        <f t="shared" si="9"/>
        <v>8.7083360546883506E-5</v>
      </c>
      <c r="V93" s="11">
        <f t="shared" si="10"/>
        <v>0</v>
      </c>
      <c r="X93" s="11">
        <f t="shared" si="8"/>
        <v>8.7083360546883506E-5</v>
      </c>
      <c r="Y93" s="12">
        <f t="shared" si="11"/>
        <v>0.99934687479589812</v>
      </c>
      <c r="AA93">
        <f>IF(P93="*","-",IFERROR(VLOOKUP(P93,'AE-W1'!$P$4:$T$126,4,FALSE),"-"))</f>
        <v>5</v>
      </c>
      <c r="AB93">
        <f>IF(P93="*","-",IFERROR(VLOOKUP(P93,'AE-W3'!$P$4:$T$129,4,FALSE),"-"))</f>
        <v>3</v>
      </c>
      <c r="AC93" s="25">
        <f>IF(P93="*","-",IFERROR(VLOOKUP(P93,'All MECSM samples'!$P$4:$AD$454,15,FALSE),"-"))</f>
        <v>1524</v>
      </c>
      <c r="AE93">
        <v>0</v>
      </c>
      <c r="AF93" s="34">
        <v>0</v>
      </c>
      <c r="AH93">
        <f t="shared" si="12"/>
        <v>0</v>
      </c>
      <c r="AI93">
        <f t="shared" si="13"/>
        <v>0</v>
      </c>
      <c r="AJ93" s="11">
        <f>SUM(AH$5:AH93)/SUM(AI$5:AI93)</f>
        <v>0.87878787878787878</v>
      </c>
    </row>
    <row r="94" spans="1:36" x14ac:dyDescent="0.35">
      <c r="A94" t="s">
        <v>226</v>
      </c>
      <c r="B94">
        <v>3</v>
      </c>
      <c r="C94" t="s">
        <v>7</v>
      </c>
      <c r="D94" t="s">
        <v>8</v>
      </c>
      <c r="E94" t="s">
        <v>9</v>
      </c>
      <c r="G94" t="s">
        <v>138</v>
      </c>
      <c r="I94" t="s">
        <v>345</v>
      </c>
      <c r="K94" t="s">
        <v>538</v>
      </c>
      <c r="M94" t="s">
        <v>539</v>
      </c>
      <c r="O94">
        <v>0.99</v>
      </c>
      <c r="P94" t="s">
        <v>540</v>
      </c>
      <c r="Q94">
        <v>100</v>
      </c>
      <c r="R94">
        <v>2</v>
      </c>
      <c r="S94">
        <v>3</v>
      </c>
      <c r="T94" s="14">
        <v>0</v>
      </c>
      <c r="U94" s="11">
        <f t="shared" si="9"/>
        <v>6.5312520410162623E-5</v>
      </c>
      <c r="V94" s="11">
        <f t="shared" si="10"/>
        <v>0</v>
      </c>
      <c r="X94" s="11">
        <f t="shared" si="8"/>
        <v>6.5312520410162623E-5</v>
      </c>
      <c r="Y94" s="12">
        <f t="shared" si="11"/>
        <v>0.99941218731630832</v>
      </c>
      <c r="AA94" t="str">
        <f>IF(P94="*","-",IFERROR(VLOOKUP(P94,'AE-W1'!$P$4:$T$126,4,FALSE),"-"))</f>
        <v>-</v>
      </c>
      <c r="AB94" t="str">
        <f>IF(P94="*","-",IFERROR(VLOOKUP(P94,'AE-W3'!$P$4:$T$129,4,FALSE),"-"))</f>
        <v>-</v>
      </c>
      <c r="AC94" s="25">
        <f>IF(P94="*","-",IFERROR(VLOOKUP(P94,'All MECSM samples'!$P$4:$AD$454,15,FALSE),"-"))</f>
        <v>748</v>
      </c>
      <c r="AE94">
        <v>0</v>
      </c>
      <c r="AF94" s="34">
        <v>0</v>
      </c>
      <c r="AH94">
        <f t="shared" si="12"/>
        <v>0</v>
      </c>
      <c r="AI94">
        <f t="shared" si="13"/>
        <v>0</v>
      </c>
      <c r="AJ94" s="11">
        <f>SUM(AH$5:AH94)/SUM(AI$5:AI94)</f>
        <v>0.87878787878787878</v>
      </c>
    </row>
    <row r="95" spans="1:36" x14ac:dyDescent="0.35">
      <c r="A95" t="s">
        <v>284</v>
      </c>
      <c r="B95">
        <v>3</v>
      </c>
      <c r="C95" t="s">
        <v>7</v>
      </c>
      <c r="D95" t="s">
        <v>8</v>
      </c>
      <c r="E95" t="s">
        <v>46</v>
      </c>
      <c r="G95" t="s">
        <v>47</v>
      </c>
      <c r="I95" t="s">
        <v>69</v>
      </c>
      <c r="K95" t="s">
        <v>70</v>
      </c>
      <c r="M95" t="s">
        <v>459</v>
      </c>
      <c r="O95">
        <v>0.98</v>
      </c>
      <c r="P95" t="s">
        <v>460</v>
      </c>
      <c r="Q95">
        <v>95.7</v>
      </c>
      <c r="R95">
        <v>3</v>
      </c>
      <c r="S95">
        <v>3</v>
      </c>
      <c r="T95" s="14">
        <v>0</v>
      </c>
      <c r="U95" s="11">
        <f t="shared" si="9"/>
        <v>6.5312520410162623E-5</v>
      </c>
      <c r="V95" s="11">
        <f t="shared" si="10"/>
        <v>0</v>
      </c>
      <c r="X95" s="11">
        <f t="shared" si="8"/>
        <v>6.5312520410162623E-5</v>
      </c>
      <c r="Y95" s="12">
        <f t="shared" si="11"/>
        <v>0.99947749983671852</v>
      </c>
      <c r="AA95" t="str">
        <f>IF(P95="*","-",IFERROR(VLOOKUP(P95,'AE-W1'!$P$4:$T$126,4,FALSE),"-"))</f>
        <v>-</v>
      </c>
      <c r="AB95">
        <f>IF(P95="*","-",IFERROR(VLOOKUP(P95,'AE-W3'!$P$4:$T$129,4,FALSE),"-"))</f>
        <v>6</v>
      </c>
      <c r="AC95" s="25">
        <f>IF(P95="*","-",IFERROR(VLOOKUP(P95,'All MECSM samples'!$P$4:$AD$454,15,FALSE),"-"))</f>
        <v>6</v>
      </c>
      <c r="AE95">
        <v>73</v>
      </c>
      <c r="AF95" s="34">
        <v>88</v>
      </c>
      <c r="AH95">
        <f t="shared" si="12"/>
        <v>0</v>
      </c>
      <c r="AI95">
        <f t="shared" si="13"/>
        <v>0</v>
      </c>
      <c r="AJ95" s="11">
        <f>SUM(AH$5:AH95)/SUM(AI$5:AI95)</f>
        <v>0.87878787878787878</v>
      </c>
    </row>
    <row r="96" spans="1:36" x14ac:dyDescent="0.35">
      <c r="A96" t="s">
        <v>318</v>
      </c>
      <c r="B96">
        <v>3</v>
      </c>
      <c r="C96" t="s">
        <v>7</v>
      </c>
      <c r="D96" t="s">
        <v>8</v>
      </c>
      <c r="E96" t="s">
        <v>394</v>
      </c>
      <c r="G96" t="s">
        <v>395</v>
      </c>
      <c r="I96" t="s">
        <v>396</v>
      </c>
      <c r="K96" t="s">
        <v>397</v>
      </c>
      <c r="M96" t="s">
        <v>398</v>
      </c>
      <c r="O96">
        <v>0.99</v>
      </c>
      <c r="P96" t="s">
        <v>399</v>
      </c>
      <c r="Q96">
        <v>94.8</v>
      </c>
      <c r="R96">
        <v>1</v>
      </c>
      <c r="S96">
        <v>3</v>
      </c>
      <c r="T96" s="14">
        <v>0</v>
      </c>
      <c r="U96" s="11">
        <f t="shared" si="9"/>
        <v>6.5312520410162623E-5</v>
      </c>
      <c r="V96" s="11">
        <f t="shared" si="10"/>
        <v>0</v>
      </c>
      <c r="X96" s="11">
        <f t="shared" si="8"/>
        <v>6.5312520410162623E-5</v>
      </c>
      <c r="Y96" s="12">
        <f t="shared" si="11"/>
        <v>0.99954281235712872</v>
      </c>
      <c r="AA96" t="str">
        <f>IF(P96="*","-",IFERROR(VLOOKUP(P96,'AE-W1'!$P$4:$T$126,4,FALSE),"-"))</f>
        <v>-</v>
      </c>
      <c r="AB96">
        <f>IF(P96="*","-",IFERROR(VLOOKUP(P96,'AE-W3'!$P$4:$T$129,4,FALSE),"-"))</f>
        <v>7</v>
      </c>
      <c r="AC96" s="25">
        <f>IF(P96="*","-",IFERROR(VLOOKUP(P96,'All MECSM samples'!$P$4:$AD$454,15,FALSE),"-"))</f>
        <v>2033</v>
      </c>
      <c r="AE96">
        <v>0</v>
      </c>
      <c r="AF96" s="34">
        <v>0</v>
      </c>
      <c r="AH96">
        <f t="shared" si="12"/>
        <v>0</v>
      </c>
      <c r="AI96">
        <f t="shared" si="13"/>
        <v>0</v>
      </c>
      <c r="AJ96" s="11">
        <f>SUM(AH$5:AH96)/SUM(AI$5:AI96)</f>
        <v>0.87878787878787878</v>
      </c>
    </row>
    <row r="97" spans="1:36" x14ac:dyDescent="0.35">
      <c r="A97" t="s">
        <v>323</v>
      </c>
      <c r="B97">
        <v>3</v>
      </c>
      <c r="C97" t="s">
        <v>7</v>
      </c>
      <c r="D97" t="s">
        <v>8</v>
      </c>
      <c r="E97" t="s">
        <v>46</v>
      </c>
      <c r="G97" t="s">
        <v>47</v>
      </c>
      <c r="I97" t="s">
        <v>61</v>
      </c>
      <c r="K97" t="s">
        <v>527</v>
      </c>
      <c r="M97" t="s">
        <v>528</v>
      </c>
      <c r="O97">
        <v>1</v>
      </c>
      <c r="P97" t="s">
        <v>529</v>
      </c>
      <c r="Q97">
        <v>100</v>
      </c>
      <c r="R97">
        <v>1</v>
      </c>
      <c r="S97">
        <v>3</v>
      </c>
      <c r="T97" s="14">
        <v>0</v>
      </c>
      <c r="U97" s="11">
        <f t="shared" si="9"/>
        <v>6.5312520410162623E-5</v>
      </c>
      <c r="V97" s="11">
        <f t="shared" si="10"/>
        <v>0</v>
      </c>
      <c r="X97" s="11">
        <f t="shared" si="8"/>
        <v>6.5312520410162623E-5</v>
      </c>
      <c r="Y97" s="12">
        <f t="shared" si="11"/>
        <v>0.99960812487753892</v>
      </c>
      <c r="AA97" t="str">
        <f>IF(P97="*","-",IFERROR(VLOOKUP(P97,'AE-W1'!$P$4:$T$126,4,FALSE),"-"))</f>
        <v>-</v>
      </c>
      <c r="AB97" t="str">
        <f>IF(P97="*","-",IFERROR(VLOOKUP(P97,'AE-W3'!$P$4:$T$129,4,FALSE),"-"))</f>
        <v>-</v>
      </c>
      <c r="AC97" s="25">
        <f>IF(P97="*","-",IFERROR(VLOOKUP(P97,'All MECSM samples'!$P$4:$AD$454,15,FALSE),"-"))</f>
        <v>289</v>
      </c>
      <c r="AE97">
        <v>1</v>
      </c>
      <c r="AF97" s="34">
        <v>505</v>
      </c>
      <c r="AH97">
        <f t="shared" si="12"/>
        <v>0</v>
      </c>
      <c r="AI97">
        <f t="shared" si="13"/>
        <v>0</v>
      </c>
      <c r="AJ97" s="11">
        <f>SUM(AH$5:AH97)/SUM(AI$5:AI97)</f>
        <v>0.87878787878787878</v>
      </c>
    </row>
    <row r="98" spans="1:36" x14ac:dyDescent="0.35">
      <c r="A98" t="s">
        <v>465</v>
      </c>
      <c r="B98">
        <v>3</v>
      </c>
      <c r="C98" t="s">
        <v>7</v>
      </c>
      <c r="D98" t="s">
        <v>8</v>
      </c>
      <c r="E98" t="s">
        <v>46</v>
      </c>
      <c r="O98">
        <v>0.59</v>
      </c>
      <c r="P98" t="s">
        <v>98</v>
      </c>
      <c r="Q98">
        <v>0</v>
      </c>
      <c r="R98">
        <v>1</v>
      </c>
      <c r="S98">
        <v>3</v>
      </c>
      <c r="T98" s="14">
        <v>0</v>
      </c>
      <c r="U98" s="11">
        <f t="shared" si="9"/>
        <v>6.5312520410162623E-5</v>
      </c>
      <c r="V98" s="11">
        <f t="shared" si="10"/>
        <v>0</v>
      </c>
      <c r="X98" s="11">
        <f t="shared" si="8"/>
        <v>6.5312520410162623E-5</v>
      </c>
      <c r="Y98" s="12">
        <f t="shared" si="11"/>
        <v>0.99967343739794912</v>
      </c>
      <c r="AA98" t="str">
        <f>IF(P98="*","-",IFERROR(VLOOKUP(P98,'AE-W1'!$P$4:$T$126,4,FALSE),"-"))</f>
        <v>-</v>
      </c>
      <c r="AB98" t="str">
        <f>IF(P98="*","-",IFERROR(VLOOKUP(P98,'AE-W3'!$P$4:$T$129,4,FALSE),"-"))</f>
        <v>-</v>
      </c>
      <c r="AC98" s="25" t="str">
        <f>IF(P98="*","-",IFERROR(VLOOKUP(P98,'All MECSM samples'!$P$4:$AD$454,15,FALSE),"-"))</f>
        <v>-</v>
      </c>
      <c r="AE98">
        <v>1</v>
      </c>
      <c r="AF98" s="34">
        <v>242</v>
      </c>
      <c r="AH98">
        <f t="shared" si="12"/>
        <v>0</v>
      </c>
      <c r="AI98">
        <f t="shared" si="13"/>
        <v>0</v>
      </c>
      <c r="AJ98" s="11">
        <f>SUM(AH$5:AH98)/SUM(AI$5:AI98)</f>
        <v>0.87878787878787878</v>
      </c>
    </row>
    <row r="99" spans="1:36" x14ac:dyDescent="0.35">
      <c r="A99" t="s">
        <v>277</v>
      </c>
      <c r="B99">
        <v>3</v>
      </c>
      <c r="C99" t="s">
        <v>7</v>
      </c>
      <c r="D99" t="s">
        <v>8</v>
      </c>
      <c r="E99" t="s">
        <v>32</v>
      </c>
      <c r="G99" t="s">
        <v>35</v>
      </c>
      <c r="I99" t="s">
        <v>36</v>
      </c>
      <c r="K99" t="s">
        <v>37</v>
      </c>
      <c r="O99">
        <v>0.97</v>
      </c>
      <c r="P99" t="s">
        <v>401</v>
      </c>
      <c r="Q99">
        <v>93.7</v>
      </c>
      <c r="R99">
        <v>1</v>
      </c>
      <c r="S99">
        <v>3</v>
      </c>
      <c r="T99" s="14">
        <v>0</v>
      </c>
      <c r="U99" s="11">
        <f t="shared" si="9"/>
        <v>6.5312520410162623E-5</v>
      </c>
      <c r="V99" s="11">
        <f t="shared" si="10"/>
        <v>0</v>
      </c>
      <c r="X99" s="11">
        <f t="shared" si="8"/>
        <v>6.5312520410162623E-5</v>
      </c>
      <c r="Y99" s="12">
        <f t="shared" si="11"/>
        <v>0.99973874991835932</v>
      </c>
      <c r="AA99">
        <f>IF(P99="*","-",IFERROR(VLOOKUP(P99,'AE-W1'!$P$4:$T$126,4,FALSE),"-"))</f>
        <v>5</v>
      </c>
      <c r="AB99">
        <f>IF(P99="*","-",IFERROR(VLOOKUP(P99,'AE-W3'!$P$4:$T$129,4,FALSE),"-"))</f>
        <v>5</v>
      </c>
      <c r="AC99" s="25">
        <f>IF(P99="*","-",IFERROR(VLOOKUP(P99,'All MECSM samples'!$P$4:$AD$454,15,FALSE),"-"))</f>
        <v>6</v>
      </c>
      <c r="AE99">
        <v>0</v>
      </c>
      <c r="AF99" s="34">
        <v>0</v>
      </c>
      <c r="AH99">
        <f t="shared" si="12"/>
        <v>0</v>
      </c>
      <c r="AI99">
        <f t="shared" si="13"/>
        <v>0</v>
      </c>
      <c r="AJ99" s="11">
        <f>SUM(AH$5:AH99)/SUM(AI$5:AI99)</f>
        <v>0.87878787878787878</v>
      </c>
    </row>
    <row r="100" spans="1:36" x14ac:dyDescent="0.35">
      <c r="A100" t="s">
        <v>287</v>
      </c>
      <c r="B100">
        <v>2</v>
      </c>
      <c r="C100" t="s">
        <v>7</v>
      </c>
      <c r="D100" t="s">
        <v>8</v>
      </c>
      <c r="E100" t="s">
        <v>46</v>
      </c>
      <c r="G100" t="s">
        <v>47</v>
      </c>
      <c r="O100">
        <v>0.88</v>
      </c>
      <c r="P100" t="s">
        <v>578</v>
      </c>
      <c r="Q100">
        <v>90.9</v>
      </c>
      <c r="R100">
        <v>1</v>
      </c>
      <c r="S100">
        <v>2</v>
      </c>
      <c r="T100" s="14">
        <v>0</v>
      </c>
      <c r="U100" s="11">
        <f t="shared" si="9"/>
        <v>4.3541680273441753E-5</v>
      </c>
      <c r="V100" s="11">
        <f t="shared" si="10"/>
        <v>0</v>
      </c>
      <c r="X100" s="11">
        <f t="shared" ref="X100:X105" si="14">S100/S$1</f>
        <v>4.3541680273441753E-5</v>
      </c>
      <c r="Y100" s="12">
        <f t="shared" si="11"/>
        <v>0.99978229159863274</v>
      </c>
      <c r="AA100" t="str">
        <f>IF(P100="*","-",IFERROR(VLOOKUP(P100,'AE-W1'!$P$4:$T$126,4,FALSE),"-"))</f>
        <v>-</v>
      </c>
      <c r="AB100" t="str">
        <f>IF(P100="*","-",IFERROR(VLOOKUP(P100,'AE-W3'!$P$4:$T$129,4,FALSE),"-"))</f>
        <v>-</v>
      </c>
      <c r="AC100" s="25">
        <f>IF(P100="*","-",IFERROR(VLOOKUP(P100,'All MECSM samples'!$P$4:$AD$454,15,FALSE),"-"))</f>
        <v>7</v>
      </c>
      <c r="AE100">
        <v>63</v>
      </c>
      <c r="AF100" s="34">
        <v>14</v>
      </c>
      <c r="AH100">
        <f t="shared" si="12"/>
        <v>0</v>
      </c>
      <c r="AI100">
        <f t="shared" si="13"/>
        <v>0</v>
      </c>
      <c r="AJ100" s="11">
        <f>SUM(AH$5:AH100)/SUM(AI$5:AI100)</f>
        <v>0.87878787878787878</v>
      </c>
    </row>
    <row r="101" spans="1:36" x14ac:dyDescent="0.35">
      <c r="A101" t="s">
        <v>356</v>
      </c>
      <c r="B101">
        <v>2</v>
      </c>
      <c r="C101" t="s">
        <v>7</v>
      </c>
      <c r="D101" t="s">
        <v>8</v>
      </c>
      <c r="E101" t="s">
        <v>9</v>
      </c>
      <c r="G101" t="s">
        <v>10</v>
      </c>
      <c r="I101" t="s">
        <v>131</v>
      </c>
      <c r="K101" t="s">
        <v>150</v>
      </c>
      <c r="M101" t="s">
        <v>151</v>
      </c>
      <c r="O101">
        <v>0.7</v>
      </c>
      <c r="P101" t="s">
        <v>152</v>
      </c>
      <c r="Q101">
        <v>93.3</v>
      </c>
      <c r="R101">
        <v>1</v>
      </c>
      <c r="S101">
        <v>2</v>
      </c>
      <c r="T101" s="14">
        <v>0</v>
      </c>
      <c r="U101" s="11">
        <f t="shared" si="9"/>
        <v>4.3541680273441753E-5</v>
      </c>
      <c r="V101" s="11">
        <f t="shared" si="10"/>
        <v>0</v>
      </c>
      <c r="X101" s="11">
        <f t="shared" si="14"/>
        <v>4.3541680273441753E-5</v>
      </c>
      <c r="Y101" s="12">
        <f>Y100+X101</f>
        <v>0.99982583327890617</v>
      </c>
      <c r="AA101">
        <f>IF(P101="*","-",IFERROR(VLOOKUP(P101,'AE-W1'!$P$4:$T$126,4,FALSE),"-"))</f>
        <v>92</v>
      </c>
      <c r="AB101">
        <f>IF(P101="*","-",IFERROR(VLOOKUP(P101,'AE-W3'!$P$4:$T$129,4,FALSE),"-"))</f>
        <v>108</v>
      </c>
      <c r="AC101" s="25">
        <f>IF(P101="*","-",IFERROR(VLOOKUP(P101,'All MECSM samples'!$P$4:$AD$454,15,FALSE),"-"))</f>
        <v>577</v>
      </c>
      <c r="AE101">
        <v>0</v>
      </c>
      <c r="AF101" s="34">
        <v>0</v>
      </c>
      <c r="AH101">
        <f t="shared" si="12"/>
        <v>0</v>
      </c>
      <c r="AI101">
        <f t="shared" si="13"/>
        <v>0</v>
      </c>
      <c r="AJ101" s="11">
        <f>SUM(AH$5:AH101)/SUM(AI$5:AI101)</f>
        <v>0.87878787878787878</v>
      </c>
    </row>
    <row r="102" spans="1:36" x14ac:dyDescent="0.35">
      <c r="A102" t="s">
        <v>257</v>
      </c>
      <c r="B102">
        <v>2</v>
      </c>
      <c r="C102" t="s">
        <v>7</v>
      </c>
      <c r="D102" t="s">
        <v>8</v>
      </c>
      <c r="E102" t="s">
        <v>46</v>
      </c>
      <c r="G102" t="s">
        <v>47</v>
      </c>
      <c r="I102" t="s">
        <v>69</v>
      </c>
      <c r="K102" t="s">
        <v>70</v>
      </c>
      <c r="O102">
        <v>0.51</v>
      </c>
      <c r="P102" t="s">
        <v>580</v>
      </c>
      <c r="Q102">
        <v>86.2</v>
      </c>
      <c r="R102">
        <v>2</v>
      </c>
      <c r="S102">
        <v>2</v>
      </c>
      <c r="T102" s="14">
        <v>0</v>
      </c>
      <c r="U102" s="11">
        <f t="shared" si="9"/>
        <v>4.3541680273441753E-5</v>
      </c>
      <c r="V102" s="11">
        <f t="shared" si="10"/>
        <v>0</v>
      </c>
      <c r="X102" s="11">
        <f t="shared" si="14"/>
        <v>4.3541680273441753E-5</v>
      </c>
      <c r="Y102" s="12">
        <f>Y101+X102</f>
        <v>0.9998693749591796</v>
      </c>
      <c r="AA102" t="str">
        <f>IF(P102="*","-",IFERROR(VLOOKUP(P102,'AE-W1'!$P$4:$T$126,4,FALSE),"-"))</f>
        <v>-</v>
      </c>
      <c r="AB102" t="str">
        <f>IF(P102="*","-",IFERROR(VLOOKUP(P102,'AE-W3'!$P$4:$T$129,4,FALSE),"-"))</f>
        <v>-</v>
      </c>
      <c r="AC102" s="25">
        <f>IF(P102="*","-",IFERROR(VLOOKUP(P102,'All MECSM samples'!$P$4:$AD$454,15,FALSE),"-"))</f>
        <v>42</v>
      </c>
      <c r="AE102">
        <v>40</v>
      </c>
      <c r="AF102" s="34">
        <v>278</v>
      </c>
      <c r="AH102">
        <f t="shared" si="12"/>
        <v>0</v>
      </c>
      <c r="AI102">
        <f t="shared" si="13"/>
        <v>0</v>
      </c>
      <c r="AJ102" s="11">
        <f>SUM(AH$5:AH102)/SUM(AI$5:AI102)</f>
        <v>0.87878787878787878</v>
      </c>
    </row>
    <row r="103" spans="1:36" x14ac:dyDescent="0.35">
      <c r="A103" t="s">
        <v>233</v>
      </c>
      <c r="B103">
        <v>2</v>
      </c>
      <c r="C103" t="s">
        <v>7</v>
      </c>
      <c r="D103" t="s">
        <v>8</v>
      </c>
      <c r="E103" t="s">
        <v>9</v>
      </c>
      <c r="G103" t="s">
        <v>138</v>
      </c>
      <c r="I103" t="s">
        <v>345</v>
      </c>
      <c r="K103" t="s">
        <v>547</v>
      </c>
      <c r="O103">
        <v>0.93</v>
      </c>
      <c r="P103" t="s">
        <v>548</v>
      </c>
      <c r="Q103">
        <v>99.6</v>
      </c>
      <c r="R103">
        <v>1</v>
      </c>
      <c r="S103">
        <v>2</v>
      </c>
      <c r="T103" s="14">
        <v>0</v>
      </c>
      <c r="U103" s="11">
        <f t="shared" si="9"/>
        <v>4.3541680273441753E-5</v>
      </c>
      <c r="V103" s="11">
        <f t="shared" si="10"/>
        <v>0</v>
      </c>
      <c r="X103" s="11">
        <f t="shared" si="14"/>
        <v>4.3541680273441753E-5</v>
      </c>
      <c r="Y103" s="12">
        <f>Y102+X103</f>
        <v>0.99991291663945303</v>
      </c>
      <c r="AA103">
        <f>IF(P103="*","-",IFERROR(VLOOKUP(P103,'AE-W1'!$P$4:$T$126,4,FALSE),"-"))</f>
        <v>2</v>
      </c>
      <c r="AB103" t="str">
        <f>IF(P103="*","-",IFERROR(VLOOKUP(P103,'AE-W3'!$P$4:$T$129,4,FALSE),"-"))</f>
        <v>-</v>
      </c>
      <c r="AC103" s="25">
        <f>IF(P103="*","-",IFERROR(VLOOKUP(P103,'All MECSM samples'!$P$4:$AD$454,15,FALSE),"-"))</f>
        <v>1137</v>
      </c>
      <c r="AE103">
        <v>0</v>
      </c>
      <c r="AF103" s="34">
        <v>0</v>
      </c>
      <c r="AH103">
        <f t="shared" si="12"/>
        <v>0</v>
      </c>
      <c r="AI103">
        <f t="shared" si="13"/>
        <v>0</v>
      </c>
      <c r="AJ103" s="11">
        <f>SUM(AH$5:AH103)/SUM(AI$5:AI103)</f>
        <v>0.87878787878787878</v>
      </c>
    </row>
    <row r="104" spans="1:36" x14ac:dyDescent="0.35">
      <c r="A104" t="s">
        <v>320</v>
      </c>
      <c r="B104">
        <v>2</v>
      </c>
      <c r="C104" t="s">
        <v>7</v>
      </c>
      <c r="D104" t="s">
        <v>8</v>
      </c>
      <c r="E104" t="s">
        <v>46</v>
      </c>
      <c r="G104" t="s">
        <v>47</v>
      </c>
      <c r="I104" t="s">
        <v>61</v>
      </c>
      <c r="K104" t="s">
        <v>157</v>
      </c>
      <c r="M104" t="s">
        <v>440</v>
      </c>
      <c r="O104">
        <v>0.61</v>
      </c>
      <c r="P104" t="s">
        <v>441</v>
      </c>
      <c r="Q104">
        <v>96.8</v>
      </c>
      <c r="R104">
        <v>1</v>
      </c>
      <c r="S104">
        <v>2</v>
      </c>
      <c r="T104" s="14">
        <v>0</v>
      </c>
      <c r="U104" s="11">
        <f t="shared" si="9"/>
        <v>4.3541680273441753E-5</v>
      </c>
      <c r="V104" s="11">
        <f t="shared" si="10"/>
        <v>0</v>
      </c>
      <c r="X104" s="11">
        <f t="shared" si="14"/>
        <v>4.3541680273441753E-5</v>
      </c>
      <c r="Y104" s="12">
        <f>Y103+X104</f>
        <v>0.99995645831972646</v>
      </c>
      <c r="AA104">
        <f>IF(P104="*","-",IFERROR(VLOOKUP(P104,'AE-W1'!$P$4:$T$126,4,FALSE),"-"))</f>
        <v>4</v>
      </c>
      <c r="AB104">
        <f>IF(P104="*","-",IFERROR(VLOOKUP(P104,'AE-W3'!$P$4:$T$129,4,FALSE),"-"))</f>
        <v>4</v>
      </c>
      <c r="AC104" s="25">
        <f>IF(P104="*","-",IFERROR(VLOOKUP(P104,'All MECSM samples'!$P$4:$AD$454,15,FALSE),"-"))</f>
        <v>767</v>
      </c>
      <c r="AE104">
        <v>0</v>
      </c>
      <c r="AF104" s="34">
        <v>0</v>
      </c>
      <c r="AH104">
        <f t="shared" si="12"/>
        <v>0</v>
      </c>
      <c r="AI104">
        <f t="shared" si="13"/>
        <v>0</v>
      </c>
      <c r="AJ104" s="11">
        <f>SUM(AH$5:AH104)/SUM(AI$5:AI104)</f>
        <v>0.87878787878787878</v>
      </c>
    </row>
    <row r="105" spans="1:36" x14ac:dyDescent="0.35">
      <c r="A105" t="s">
        <v>301</v>
      </c>
      <c r="B105">
        <v>2</v>
      </c>
      <c r="C105" t="s">
        <v>7</v>
      </c>
      <c r="D105" t="s">
        <v>8</v>
      </c>
      <c r="O105">
        <v>0.99</v>
      </c>
      <c r="P105" t="s">
        <v>487</v>
      </c>
      <c r="Q105">
        <v>85.8</v>
      </c>
      <c r="R105">
        <v>2</v>
      </c>
      <c r="S105">
        <v>2</v>
      </c>
      <c r="T105" s="14">
        <v>0</v>
      </c>
      <c r="U105" s="11">
        <f t="shared" si="9"/>
        <v>4.3541680273441753E-5</v>
      </c>
      <c r="V105" s="11">
        <f t="shared" si="10"/>
        <v>0</v>
      </c>
      <c r="X105" s="11">
        <f t="shared" si="14"/>
        <v>4.3541680273441753E-5</v>
      </c>
      <c r="Y105" s="12">
        <f>Y104+X105</f>
        <v>0.99999999999999989</v>
      </c>
      <c r="AA105">
        <f>IF(P105="*","-",IFERROR(VLOOKUP(P105,'AE-W1'!$P$4:$T$126,4,FALSE),"-"))</f>
        <v>4</v>
      </c>
      <c r="AB105" t="str">
        <f>IF(P105="*","-",IFERROR(VLOOKUP(P105,'AE-W3'!$P$4:$T$129,4,FALSE),"-"))</f>
        <v>-</v>
      </c>
      <c r="AC105" s="25">
        <f>IF(P105="*","-",IFERROR(VLOOKUP(P105,'All MECSM samples'!$P$4:$AD$454,15,FALSE),"-"))</f>
        <v>369</v>
      </c>
      <c r="AE105">
        <v>7</v>
      </c>
      <c r="AF105" s="34">
        <v>31</v>
      </c>
      <c r="AH105">
        <f t="shared" si="12"/>
        <v>0</v>
      </c>
      <c r="AI105">
        <f t="shared" si="13"/>
        <v>0</v>
      </c>
      <c r="AJ105" s="11">
        <f>SUM(AH$5:AH105)/SUM(AI$5:AI105)</f>
        <v>0.87878787878787878</v>
      </c>
    </row>
    <row r="106" spans="1:36" x14ac:dyDescent="0.35">
      <c r="U106" s="11"/>
      <c r="V106" s="11"/>
      <c r="X106" s="11"/>
      <c r="Y106" s="12"/>
      <c r="AC106" s="25"/>
      <c r="AF106" s="34"/>
      <c r="AJ106" s="11"/>
    </row>
    <row r="107" spans="1:36" x14ac:dyDescent="0.35">
      <c r="X107" s="11"/>
      <c r="Y107" s="12"/>
    </row>
    <row r="108" spans="1:36" x14ac:dyDescent="0.35">
      <c r="X108" s="11"/>
      <c r="Y108" s="12"/>
    </row>
    <row r="109" spans="1:36" x14ac:dyDescent="0.35">
      <c r="X109" s="11"/>
      <c r="Y109" s="12"/>
    </row>
    <row r="110" spans="1:36" x14ac:dyDescent="0.35">
      <c r="X110" s="11"/>
      <c r="Y110" s="12"/>
    </row>
    <row r="111" spans="1:36" x14ac:dyDescent="0.35">
      <c r="X111" s="11"/>
      <c r="Y111" s="12"/>
    </row>
    <row r="112" spans="1:36" x14ac:dyDescent="0.35">
      <c r="X112" s="11"/>
      <c r="Y112" s="12"/>
    </row>
    <row r="113" spans="24:25" x14ac:dyDescent="0.35">
      <c r="X113" s="11"/>
      <c r="Y113" s="12"/>
    </row>
    <row r="114" spans="24:25" x14ac:dyDescent="0.35">
      <c r="X114" s="11"/>
      <c r="Y114" s="12"/>
    </row>
    <row r="115" spans="24:25" x14ac:dyDescent="0.35">
      <c r="X115" s="11"/>
      <c r="Y115" s="12"/>
    </row>
    <row r="116" spans="24:25" x14ac:dyDescent="0.35">
      <c r="X116" s="11"/>
      <c r="Y116" s="12"/>
    </row>
    <row r="117" spans="24:25" x14ac:dyDescent="0.35">
      <c r="X117" s="11"/>
      <c r="Y117" s="12"/>
    </row>
    <row r="118" spans="24:25" x14ac:dyDescent="0.35">
      <c r="X118" s="11"/>
      <c r="Y118" s="12"/>
    </row>
    <row r="119" spans="24:25" x14ac:dyDescent="0.35">
      <c r="X119" s="11"/>
      <c r="Y119" s="12"/>
    </row>
    <row r="120" spans="24:25" x14ac:dyDescent="0.35">
      <c r="X120" s="11"/>
      <c r="Y120" s="12"/>
    </row>
    <row r="121" spans="24:25" x14ac:dyDescent="0.35">
      <c r="X121" s="11"/>
      <c r="Y121" s="12"/>
    </row>
    <row r="122" spans="24:25" x14ac:dyDescent="0.35">
      <c r="X122" s="11"/>
      <c r="Y122" s="12"/>
    </row>
    <row r="123" spans="24:25" x14ac:dyDescent="0.35">
      <c r="X123" s="11"/>
      <c r="Y123" s="12"/>
    </row>
    <row r="124" spans="24:25" x14ac:dyDescent="0.35">
      <c r="X124" s="11"/>
      <c r="Y124" s="12"/>
    </row>
    <row r="125" spans="24:25" x14ac:dyDescent="0.35">
      <c r="X125" s="11"/>
      <c r="Y125" s="12"/>
    </row>
    <row r="126" spans="24:25" x14ac:dyDescent="0.35">
      <c r="X126" s="11"/>
      <c r="Y126" s="12"/>
    </row>
  </sheetData>
  <sortState ref="A4:T105">
    <sortCondition descending="1" ref="S4:S105"/>
  </sortState>
  <conditionalFormatting sqref="S4">
    <cfRule type="expression" dxfId="8" priority="2" stopIfTrue="1">
      <formula>$S4=0</formula>
    </cfRule>
  </conditionalFormatting>
  <conditionalFormatting sqref="S4:S105">
    <cfRule type="expression" dxfId="7" priority="3" stopIfTrue="1">
      <formula>$AE4=0</formula>
    </cfRule>
    <cfRule type="expression" dxfId="6" priority="4">
      <formula>$AE4&lt;80</formula>
    </cfRule>
  </conditionalFormatting>
  <conditionalFormatting sqref="U4:V10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28"/>
  <sheetViews>
    <sheetView zoomScale="80" zoomScaleNormal="80" workbookViewId="0">
      <selection activeCell="G9" sqref="G9"/>
    </sheetView>
  </sheetViews>
  <sheetFormatPr defaultColWidth="8.81640625" defaultRowHeight="14.5" x14ac:dyDescent="0.35"/>
  <cols>
    <col min="16" max="16" width="26.81640625" style="9" customWidth="1"/>
    <col min="19" max="22" width="10.81640625" customWidth="1"/>
    <col min="23" max="23" width="3.54296875" customWidth="1"/>
    <col min="24" max="25" width="11.81640625" customWidth="1"/>
    <col min="26" max="26" width="3.81640625" customWidth="1"/>
    <col min="27" max="32" width="9.81640625" customWidth="1"/>
    <col min="34" max="36" width="9.81640625" customWidth="1"/>
  </cols>
  <sheetData>
    <row r="1" spans="1:36" x14ac:dyDescent="0.35">
      <c r="S1">
        <f>SUM(S4:S128)</f>
        <v>34817</v>
      </c>
      <c r="T1">
        <f>SUM(T4:T128)</f>
        <v>23063</v>
      </c>
    </row>
    <row r="3" spans="1:36" s="1" customFormat="1" ht="43.5" x14ac:dyDescent="0.35">
      <c r="A3" s="1" t="s">
        <v>0</v>
      </c>
      <c r="B3" s="1" t="s">
        <v>1</v>
      </c>
      <c r="C3" s="1" t="s">
        <v>2</v>
      </c>
      <c r="P3" s="10" t="s">
        <v>3</v>
      </c>
      <c r="Q3" s="1" t="s">
        <v>4</v>
      </c>
      <c r="R3" s="1" t="s">
        <v>5</v>
      </c>
      <c r="S3" s="1" t="s">
        <v>2091</v>
      </c>
      <c r="T3" s="1" t="s">
        <v>2092</v>
      </c>
      <c r="U3" s="1" t="s">
        <v>2091</v>
      </c>
      <c r="V3" s="1" t="s">
        <v>2092</v>
      </c>
      <c r="X3" s="1" t="s">
        <v>627</v>
      </c>
      <c r="Y3" s="1" t="s">
        <v>618</v>
      </c>
      <c r="AA3" s="1" t="s">
        <v>2124</v>
      </c>
      <c r="AB3" s="1" t="s">
        <v>2134</v>
      </c>
      <c r="AC3" s="1" t="s">
        <v>1467</v>
      </c>
      <c r="AE3" s="1" t="s">
        <v>2143</v>
      </c>
      <c r="AF3" s="1" t="s">
        <v>1078</v>
      </c>
      <c r="AH3" s="1" t="s">
        <v>1477</v>
      </c>
      <c r="AI3" s="1" t="s">
        <v>1478</v>
      </c>
      <c r="AJ3" s="1" t="str">
        <f>AH3</f>
        <v>Kelpie</v>
      </c>
    </row>
    <row r="4" spans="1:36" x14ac:dyDescent="0.35">
      <c r="A4" t="s">
        <v>6</v>
      </c>
      <c r="B4">
        <v>10129</v>
      </c>
      <c r="C4" t="s">
        <v>7</v>
      </c>
      <c r="D4" t="s">
        <v>24</v>
      </c>
      <c r="E4" t="s">
        <v>25</v>
      </c>
      <c r="G4" t="s">
        <v>26</v>
      </c>
      <c r="I4" t="s">
        <v>27</v>
      </c>
      <c r="K4" t="s">
        <v>28</v>
      </c>
      <c r="M4" t="s">
        <v>29</v>
      </c>
      <c r="O4">
        <v>1</v>
      </c>
      <c r="P4" s="9" t="s">
        <v>30</v>
      </c>
      <c r="Q4">
        <v>100</v>
      </c>
      <c r="R4">
        <v>1</v>
      </c>
      <c r="S4">
        <v>7736</v>
      </c>
      <c r="T4">
        <v>2393</v>
      </c>
      <c r="U4" s="11">
        <f>S4/S$1</f>
        <v>0.22219030933164832</v>
      </c>
      <c r="V4" s="11">
        <f>T4/T$1</f>
        <v>0.10375926809174869</v>
      </c>
      <c r="X4" s="11">
        <f t="shared" ref="X4:X35" si="0">S4/S$1</f>
        <v>0.22219030933164832</v>
      </c>
      <c r="Y4" s="12">
        <f>X4</f>
        <v>0.22219030933164832</v>
      </c>
      <c r="AA4" s="25">
        <f>IF(P4="*","-",IFERROR(VLOOKUP(P4,'AE-W1'!$P$4:$T$126,4,FALSE),"-"))</f>
        <v>6</v>
      </c>
      <c r="AB4" s="25">
        <f>IF(P4="*","-",IFERROR(VLOOKUP(P4,'AE-W2'!$P$4:$T$107,4,FALSE),"-"))</f>
        <v>29</v>
      </c>
      <c r="AC4" s="25">
        <f>IF(P4="*","-",IFERROR(VLOOKUP(P4,'All MECSM samples'!$P$4:$AD$454,15,FALSE),"-"))</f>
        <v>7783</v>
      </c>
      <c r="AD4" s="25"/>
      <c r="AE4">
        <v>100</v>
      </c>
      <c r="AF4">
        <v>1465</v>
      </c>
      <c r="AH4">
        <f>IF(AND(S4&gt;0,AE4&gt;=90, T4&gt;0), 1, 0)</f>
        <v>1</v>
      </c>
      <c r="AI4">
        <f>IF(AND(S4&gt;0,AE4&gt;=90),1,0)</f>
        <v>1</v>
      </c>
      <c r="AJ4" s="11">
        <f>SUM(AH4:AH$5)/SUM(AI4:AI$5)</f>
        <v>1</v>
      </c>
    </row>
    <row r="5" spans="1:36" x14ac:dyDescent="0.35">
      <c r="A5" t="s">
        <v>15</v>
      </c>
      <c r="B5">
        <v>9025</v>
      </c>
      <c r="C5" t="s">
        <v>7</v>
      </c>
      <c r="D5" t="s">
        <v>8</v>
      </c>
      <c r="E5" t="s">
        <v>18</v>
      </c>
      <c r="G5" t="s">
        <v>19</v>
      </c>
      <c r="I5" t="s">
        <v>20</v>
      </c>
      <c r="K5" t="s">
        <v>21</v>
      </c>
      <c r="O5">
        <v>0.56999999999999995</v>
      </c>
      <c r="P5" s="9" t="s">
        <v>22</v>
      </c>
      <c r="Q5">
        <v>85.8</v>
      </c>
      <c r="R5">
        <v>1</v>
      </c>
      <c r="S5">
        <v>5956</v>
      </c>
      <c r="T5">
        <v>3069</v>
      </c>
      <c r="U5" s="11">
        <f t="shared" ref="U5:U68" si="1">S5/S$1</f>
        <v>0.17106585863227733</v>
      </c>
      <c r="V5" s="11">
        <f t="shared" ref="V5:V68" si="2">T5/T$1</f>
        <v>0.13307028573906257</v>
      </c>
      <c r="X5" s="11">
        <f t="shared" si="0"/>
        <v>0.17106585863227733</v>
      </c>
      <c r="Y5" s="12">
        <f t="shared" ref="Y5:Y36" si="3">Y4+X5</f>
        <v>0.39325616796392565</v>
      </c>
      <c r="AA5" s="25">
        <f>IF(P5="*","-",IFERROR(VLOOKUP(P5,'AE-W1'!$P$4:$T$126,4,FALSE),"-"))</f>
        <v>13</v>
      </c>
      <c r="AB5" s="25">
        <f>IF(P5="*","-",IFERROR(VLOOKUP(P5,'AE-W2'!$P$4:$T$107,4,FALSE),"-"))</f>
        <v>1171</v>
      </c>
      <c r="AC5" s="25">
        <f>IF(P5="*","-",IFERROR(VLOOKUP(P5,'All MECSM samples'!$P$4:$AD$454,15,FALSE),"-"))</f>
        <v>5986</v>
      </c>
      <c r="AD5" s="25"/>
      <c r="AE5">
        <v>100</v>
      </c>
      <c r="AF5">
        <v>2033</v>
      </c>
      <c r="AH5">
        <f t="shared" ref="AH5:AH68" si="4">IF(AND(S5&gt;0,AE5&gt;=90, T5&gt;0), 1, 0)</f>
        <v>1</v>
      </c>
      <c r="AI5">
        <f t="shared" ref="AI5:AI68" si="5">IF(AND(S5&gt;0,AE5&gt;=90),1,0)</f>
        <v>1</v>
      </c>
      <c r="AJ5" s="11">
        <f>SUM(AH5:AH$5)/SUM(AI5:AI$5)</f>
        <v>1</v>
      </c>
    </row>
    <row r="6" spans="1:36" x14ac:dyDescent="0.35">
      <c r="A6" t="s">
        <v>17</v>
      </c>
      <c r="B6">
        <v>5501</v>
      </c>
      <c r="C6" t="s">
        <v>7</v>
      </c>
      <c r="D6" t="s">
        <v>8</v>
      </c>
      <c r="E6" t="s">
        <v>46</v>
      </c>
      <c r="G6" t="s">
        <v>47</v>
      </c>
      <c r="O6">
        <v>0.57999999999999996</v>
      </c>
      <c r="P6" s="9" t="s">
        <v>48</v>
      </c>
      <c r="Q6">
        <v>87</v>
      </c>
      <c r="R6">
        <v>1</v>
      </c>
      <c r="S6">
        <v>3285</v>
      </c>
      <c r="T6">
        <v>2216</v>
      </c>
      <c r="U6" s="11">
        <f t="shared" si="1"/>
        <v>9.435046098170434E-2</v>
      </c>
      <c r="V6" s="11">
        <f t="shared" si="2"/>
        <v>9.6084637731431291E-2</v>
      </c>
      <c r="X6" s="11">
        <f t="shared" si="0"/>
        <v>9.435046098170434E-2</v>
      </c>
      <c r="Y6" s="12">
        <f t="shared" si="3"/>
        <v>0.48760662894563001</v>
      </c>
      <c r="AA6" s="25">
        <f>IF(P6="*","-",IFERROR(VLOOKUP(P6,'AE-W1'!$P$4:$T$126,4,FALSE),"-"))</f>
        <v>5</v>
      </c>
      <c r="AB6" s="25">
        <f>IF(P6="*","-",IFERROR(VLOOKUP(P6,'AE-W2'!$P$4:$T$107,4,FALSE),"-"))</f>
        <v>14</v>
      </c>
      <c r="AC6" s="25">
        <f>IF(P6="*","-",IFERROR(VLOOKUP(P6,'All MECSM samples'!$P$4:$AD$454,15,FALSE),"-"))</f>
        <v>3303</v>
      </c>
      <c r="AD6" s="25"/>
      <c r="AE6">
        <v>100</v>
      </c>
      <c r="AF6">
        <v>1275</v>
      </c>
      <c r="AH6">
        <f t="shared" si="4"/>
        <v>1</v>
      </c>
      <c r="AI6">
        <f t="shared" si="5"/>
        <v>1</v>
      </c>
      <c r="AJ6" s="11">
        <f>SUM(AH$5:AH6)/SUM(AI$5:AI6)</f>
        <v>1</v>
      </c>
    </row>
    <row r="7" spans="1:36" x14ac:dyDescent="0.35">
      <c r="A7" t="s">
        <v>23</v>
      </c>
      <c r="B7">
        <v>5274</v>
      </c>
      <c r="C7" t="s">
        <v>7</v>
      </c>
      <c r="D7" t="s">
        <v>24</v>
      </c>
      <c r="E7" t="s">
        <v>25</v>
      </c>
      <c r="G7" t="s">
        <v>40</v>
      </c>
      <c r="I7" t="s">
        <v>41</v>
      </c>
      <c r="K7" t="s">
        <v>42</v>
      </c>
      <c r="M7" t="s">
        <v>43</v>
      </c>
      <c r="O7">
        <v>1</v>
      </c>
      <c r="P7" s="9" t="s">
        <v>44</v>
      </c>
      <c r="Q7">
        <v>97.2</v>
      </c>
      <c r="R7">
        <v>1</v>
      </c>
      <c r="S7">
        <v>3332</v>
      </c>
      <c r="T7">
        <v>1942</v>
      </c>
      <c r="U7" s="11">
        <f t="shared" si="1"/>
        <v>9.5700376252979863E-2</v>
      </c>
      <c r="V7" s="11">
        <f t="shared" si="2"/>
        <v>8.4204136495685727E-2</v>
      </c>
      <c r="X7" s="11">
        <f t="shared" si="0"/>
        <v>9.5700376252979863E-2</v>
      </c>
      <c r="Y7" s="12">
        <f t="shared" si="3"/>
        <v>0.5833070051986099</v>
      </c>
      <c r="AA7" s="25">
        <f>IF(P7="*","-",IFERROR(VLOOKUP(P7,'AE-W1'!$P$4:$T$126,4,FALSE),"-"))</f>
        <v>1032</v>
      </c>
      <c r="AB7" s="25">
        <f>IF(P7="*","-",IFERROR(VLOOKUP(P7,'AE-W2'!$P$4:$T$107,4,FALSE),"-"))</f>
        <v>16</v>
      </c>
      <c r="AC7" s="25">
        <f>IF(P7="*","-",IFERROR(VLOOKUP(P7,'All MECSM samples'!$P$4:$AD$454,15,FALSE),"-"))</f>
        <v>11703</v>
      </c>
      <c r="AD7" s="25"/>
      <c r="AE7">
        <v>100</v>
      </c>
      <c r="AF7">
        <v>1198</v>
      </c>
      <c r="AH7">
        <f t="shared" si="4"/>
        <v>1</v>
      </c>
      <c r="AI7">
        <f t="shared" si="5"/>
        <v>1</v>
      </c>
      <c r="AJ7" s="11">
        <f>SUM(AH$5:AH7)/SUM(AI$5:AI7)</f>
        <v>1</v>
      </c>
    </row>
    <row r="8" spans="1:36" x14ac:dyDescent="0.35">
      <c r="A8" t="s">
        <v>34</v>
      </c>
      <c r="B8">
        <v>4714</v>
      </c>
      <c r="C8" t="s">
        <v>7</v>
      </c>
      <c r="D8" t="s">
        <v>8</v>
      </c>
      <c r="E8" t="s">
        <v>32</v>
      </c>
      <c r="G8" t="s">
        <v>35</v>
      </c>
      <c r="I8" t="s">
        <v>36</v>
      </c>
      <c r="K8" t="s">
        <v>37</v>
      </c>
      <c r="O8">
        <v>0.67</v>
      </c>
      <c r="P8" s="9" t="s">
        <v>38</v>
      </c>
      <c r="Q8">
        <v>85.8</v>
      </c>
      <c r="R8">
        <v>1</v>
      </c>
      <c r="S8">
        <v>3116</v>
      </c>
      <c r="T8">
        <v>1598</v>
      </c>
      <c r="U8" s="11">
        <f t="shared" si="1"/>
        <v>8.9496510325415751E-2</v>
      </c>
      <c r="V8" s="11">
        <f t="shared" si="2"/>
        <v>6.9288470710662103E-2</v>
      </c>
      <c r="X8" s="11">
        <f t="shared" si="0"/>
        <v>8.9496510325415751E-2</v>
      </c>
      <c r="Y8" s="12">
        <f t="shared" si="3"/>
        <v>0.67280351552402562</v>
      </c>
      <c r="AA8" s="25">
        <f>IF(P8="*","-",IFERROR(VLOOKUP(P8,'AE-W1'!$P$4:$T$126,4,FALSE),"-"))</f>
        <v>1270</v>
      </c>
      <c r="AB8" s="25">
        <f>IF(P8="*","-",IFERROR(VLOOKUP(P8,'AE-W2'!$P$4:$T$107,4,FALSE),"-"))</f>
        <v>9</v>
      </c>
      <c r="AC8" s="25">
        <f>IF(P8="*","-",IFERROR(VLOOKUP(P8,'All MECSM samples'!$P$4:$AD$454,15,FALSE),"-"))</f>
        <v>3129</v>
      </c>
      <c r="AD8" s="25"/>
      <c r="AE8">
        <v>100</v>
      </c>
      <c r="AF8">
        <v>977</v>
      </c>
      <c r="AH8">
        <f t="shared" si="4"/>
        <v>1</v>
      </c>
      <c r="AI8">
        <f t="shared" si="5"/>
        <v>1</v>
      </c>
      <c r="AJ8" s="11">
        <f>SUM(AH$5:AH8)/SUM(AI$5:AI8)</f>
        <v>1</v>
      </c>
    </row>
    <row r="9" spans="1:36" x14ac:dyDescent="0.35">
      <c r="A9" t="s">
        <v>51</v>
      </c>
      <c r="B9">
        <v>4601</v>
      </c>
      <c r="C9" t="s">
        <v>7</v>
      </c>
      <c r="D9" t="s">
        <v>8</v>
      </c>
      <c r="E9" t="s">
        <v>46</v>
      </c>
      <c r="G9" t="s">
        <v>64</v>
      </c>
      <c r="I9" t="s">
        <v>65</v>
      </c>
      <c r="K9" t="s">
        <v>66</v>
      </c>
      <c r="O9">
        <v>0.53</v>
      </c>
      <c r="P9" s="9" t="s">
        <v>67</v>
      </c>
      <c r="Q9">
        <v>88.5</v>
      </c>
      <c r="R9">
        <v>2</v>
      </c>
      <c r="S9">
        <v>533</v>
      </c>
      <c r="T9">
        <v>4068</v>
      </c>
      <c r="U9" s="11">
        <f t="shared" si="1"/>
        <v>1.5308613608294799E-2</v>
      </c>
      <c r="V9" s="11">
        <f t="shared" si="2"/>
        <v>0.17638641980661665</v>
      </c>
      <c r="X9" s="11">
        <f t="shared" si="0"/>
        <v>1.5308613608294799E-2</v>
      </c>
      <c r="Y9" s="12">
        <f t="shared" si="3"/>
        <v>0.68811212913232045</v>
      </c>
      <c r="AA9" s="25" t="str">
        <f>IF(P9="*","-",IFERROR(VLOOKUP(P9,'AE-W1'!$P$4:$T$126,4,FALSE),"-"))</f>
        <v>-</v>
      </c>
      <c r="AB9" s="25">
        <f>IF(P9="*","-",IFERROR(VLOOKUP(P9,'AE-W2'!$P$4:$T$107,4,FALSE),"-"))</f>
        <v>7</v>
      </c>
      <c r="AC9" s="25">
        <f>IF(P9="*","-",IFERROR(VLOOKUP(P9,'All MECSM samples'!$P$4:$AD$454,15,FALSE),"-"))</f>
        <v>945</v>
      </c>
      <c r="AD9" s="25"/>
      <c r="AE9">
        <v>100</v>
      </c>
      <c r="AF9">
        <v>2139</v>
      </c>
      <c r="AH9">
        <f t="shared" si="4"/>
        <v>1</v>
      </c>
      <c r="AI9">
        <f t="shared" si="5"/>
        <v>1</v>
      </c>
      <c r="AJ9" s="11">
        <f>SUM(AH$5:AH9)/SUM(AI$5:AI9)</f>
        <v>1</v>
      </c>
    </row>
    <row r="10" spans="1:36" x14ac:dyDescent="0.35">
      <c r="A10" t="s">
        <v>39</v>
      </c>
      <c r="B10">
        <v>2564</v>
      </c>
      <c r="C10" t="s">
        <v>7</v>
      </c>
      <c r="D10" t="s">
        <v>8</v>
      </c>
      <c r="E10" t="s">
        <v>9</v>
      </c>
      <c r="G10" t="s">
        <v>10</v>
      </c>
      <c r="I10" t="s">
        <v>11</v>
      </c>
      <c r="K10" t="s">
        <v>12</v>
      </c>
      <c r="M10" t="s">
        <v>13</v>
      </c>
      <c r="O10">
        <v>0.91</v>
      </c>
      <c r="P10" s="9" t="s">
        <v>14</v>
      </c>
      <c r="Q10">
        <v>96.8</v>
      </c>
      <c r="R10">
        <v>1</v>
      </c>
      <c r="S10">
        <v>1554</v>
      </c>
      <c r="T10">
        <v>1010</v>
      </c>
      <c r="U10" s="11">
        <f t="shared" si="1"/>
        <v>4.4633368756641874E-2</v>
      </c>
      <c r="V10" s="11">
        <f t="shared" si="2"/>
        <v>4.3793088496726355E-2</v>
      </c>
      <c r="X10" s="11">
        <f t="shared" si="0"/>
        <v>4.4633368756641874E-2</v>
      </c>
      <c r="Y10" s="12">
        <f t="shared" si="3"/>
        <v>0.73274549788896237</v>
      </c>
      <c r="AA10" s="25">
        <f>IF(P10="*","-",IFERROR(VLOOKUP(P10,'AE-W1'!$P$4:$T$126,4,FALSE),"-"))</f>
        <v>27333</v>
      </c>
      <c r="AB10" s="25">
        <f>IF(P10="*","-",IFERROR(VLOOKUP(P10,'AE-W2'!$P$4:$T$107,4,FALSE),"-"))</f>
        <v>132</v>
      </c>
      <c r="AC10" s="25">
        <f>IF(P10="*","-",IFERROR(VLOOKUP(P10,'All MECSM samples'!$P$4:$AD$454,15,FALSE),"-"))</f>
        <v>27497</v>
      </c>
      <c r="AD10" s="25"/>
      <c r="AE10">
        <v>100</v>
      </c>
      <c r="AF10">
        <v>581</v>
      </c>
      <c r="AH10">
        <f t="shared" si="4"/>
        <v>1</v>
      </c>
      <c r="AI10">
        <f t="shared" si="5"/>
        <v>1</v>
      </c>
      <c r="AJ10" s="11">
        <f>SUM(AH$5:AH10)/SUM(AI$5:AI10)</f>
        <v>1</v>
      </c>
    </row>
    <row r="11" spans="1:36" x14ac:dyDescent="0.35">
      <c r="A11" t="s">
        <v>31</v>
      </c>
      <c r="B11">
        <v>2089</v>
      </c>
      <c r="C11" t="s">
        <v>7</v>
      </c>
      <c r="D11" t="s">
        <v>8</v>
      </c>
      <c r="E11" t="s">
        <v>46</v>
      </c>
      <c r="G11" t="s">
        <v>47</v>
      </c>
      <c r="I11" t="s">
        <v>61</v>
      </c>
      <c r="O11">
        <v>0.85</v>
      </c>
      <c r="P11" s="9" t="s">
        <v>90</v>
      </c>
      <c r="Q11">
        <v>91.3</v>
      </c>
      <c r="R11">
        <v>1</v>
      </c>
      <c r="S11">
        <v>1124</v>
      </c>
      <c r="T11">
        <v>965</v>
      </c>
      <c r="U11" s="11">
        <f t="shared" si="1"/>
        <v>3.2283080104546627E-2</v>
      </c>
      <c r="V11" s="11">
        <f t="shared" si="2"/>
        <v>4.1841911286476172E-2</v>
      </c>
      <c r="X11" s="11">
        <f t="shared" si="0"/>
        <v>3.2283080104546627E-2</v>
      </c>
      <c r="Y11" s="12">
        <f t="shared" si="3"/>
        <v>0.76502857799350898</v>
      </c>
      <c r="AA11" s="25">
        <f>IF(P11="*","-",IFERROR(VLOOKUP(P11,'AE-W1'!$P$4:$T$126,4,FALSE),"-"))</f>
        <v>32</v>
      </c>
      <c r="AB11" s="25">
        <f>IF(P11="*","-",IFERROR(VLOOKUP(P11,'AE-W2'!$P$4:$T$107,4,FALSE),"-"))</f>
        <v>5</v>
      </c>
      <c r="AC11" s="25">
        <f>IF(P11="*","-",IFERROR(VLOOKUP(P11,'All MECSM samples'!$P$4:$AD$454,15,FALSE),"-"))</f>
        <v>1132</v>
      </c>
      <c r="AD11" s="25"/>
      <c r="AE11">
        <v>100</v>
      </c>
      <c r="AF11">
        <v>613</v>
      </c>
      <c r="AH11">
        <f t="shared" si="4"/>
        <v>1</v>
      </c>
      <c r="AI11">
        <f t="shared" si="5"/>
        <v>1</v>
      </c>
      <c r="AJ11" s="11">
        <f>SUM(AH$5:AH11)/SUM(AI$5:AI11)</f>
        <v>1</v>
      </c>
    </row>
    <row r="12" spans="1:36" x14ac:dyDescent="0.35">
      <c r="A12" t="s">
        <v>49</v>
      </c>
      <c r="B12">
        <v>2047</v>
      </c>
      <c r="C12" t="s">
        <v>7</v>
      </c>
      <c r="D12" t="s">
        <v>8</v>
      </c>
      <c r="E12" t="s">
        <v>46</v>
      </c>
      <c r="G12" t="s">
        <v>47</v>
      </c>
      <c r="I12" t="s">
        <v>61</v>
      </c>
      <c r="K12" t="s">
        <v>84</v>
      </c>
      <c r="M12" t="s">
        <v>85</v>
      </c>
      <c r="O12">
        <v>0.87</v>
      </c>
      <c r="P12" s="9" t="s">
        <v>86</v>
      </c>
      <c r="Q12">
        <v>99.2</v>
      </c>
      <c r="R12">
        <v>1</v>
      </c>
      <c r="S12">
        <v>1293</v>
      </c>
      <c r="T12">
        <v>754</v>
      </c>
      <c r="U12" s="11">
        <f t="shared" si="1"/>
        <v>3.7137030760835223E-2</v>
      </c>
      <c r="V12" s="11">
        <f t="shared" si="2"/>
        <v>3.2693058145080868E-2</v>
      </c>
      <c r="X12" s="11">
        <f t="shared" si="0"/>
        <v>3.7137030760835223E-2</v>
      </c>
      <c r="Y12" s="12">
        <f t="shared" si="3"/>
        <v>0.80216560875434417</v>
      </c>
      <c r="AA12" s="25">
        <f>IF(P12="*","-",IFERROR(VLOOKUP(P12,'AE-W1'!$P$4:$T$126,4,FALSE),"-"))</f>
        <v>12</v>
      </c>
      <c r="AB12" s="25" t="str">
        <f>IF(P12="*","-",IFERROR(VLOOKUP(P12,'AE-W2'!$P$4:$T$107,4,FALSE),"-"))</f>
        <v>-</v>
      </c>
      <c r="AC12" s="25">
        <f>IF(P12="*","-",IFERROR(VLOOKUP(P12,'All MECSM samples'!$P$4:$AD$454,15,FALSE),"-"))</f>
        <v>1299</v>
      </c>
      <c r="AD12" s="25"/>
      <c r="AE12">
        <v>100</v>
      </c>
      <c r="AF12">
        <v>663</v>
      </c>
      <c r="AH12">
        <f t="shared" si="4"/>
        <v>1</v>
      </c>
      <c r="AI12">
        <f t="shared" si="5"/>
        <v>1</v>
      </c>
      <c r="AJ12" s="11">
        <f>SUM(AH$5:AH12)/SUM(AI$5:AI12)</f>
        <v>1</v>
      </c>
    </row>
    <row r="13" spans="1:36" x14ac:dyDescent="0.35">
      <c r="A13" t="s">
        <v>63</v>
      </c>
      <c r="B13">
        <v>1949</v>
      </c>
      <c r="C13" t="s">
        <v>7</v>
      </c>
      <c r="D13" t="s">
        <v>8</v>
      </c>
      <c r="E13" t="s">
        <v>32</v>
      </c>
      <c r="G13" t="s">
        <v>35</v>
      </c>
      <c r="I13" t="s">
        <v>36</v>
      </c>
      <c r="K13" t="s">
        <v>37</v>
      </c>
      <c r="O13">
        <v>0.5</v>
      </c>
      <c r="P13" s="9" t="s">
        <v>112</v>
      </c>
      <c r="Q13">
        <v>85.8</v>
      </c>
      <c r="R13">
        <v>1</v>
      </c>
      <c r="S13">
        <v>931</v>
      </c>
      <c r="T13">
        <v>1018</v>
      </c>
      <c r="U13" s="11">
        <f t="shared" si="1"/>
        <v>2.6739811011862021E-2</v>
      </c>
      <c r="V13" s="11">
        <f t="shared" si="2"/>
        <v>4.4139964445215278E-2</v>
      </c>
      <c r="X13" s="11">
        <f t="shared" si="0"/>
        <v>2.6739811011862021E-2</v>
      </c>
      <c r="Y13" s="12">
        <f t="shared" si="3"/>
        <v>0.82890541976620624</v>
      </c>
      <c r="AA13" s="25">
        <f>IF(P13="*","-",IFERROR(VLOOKUP(P13,'AE-W1'!$P$4:$T$126,4,FALSE),"-"))</f>
        <v>5</v>
      </c>
      <c r="AB13" s="25" t="str">
        <f>IF(P13="*","-",IFERROR(VLOOKUP(P13,'AE-W2'!$P$4:$T$107,4,FALSE),"-"))</f>
        <v>-</v>
      </c>
      <c r="AC13" s="25">
        <f>IF(P13="*","-",IFERROR(VLOOKUP(P13,'All MECSM samples'!$P$4:$AD$454,15,FALSE),"-"))</f>
        <v>943</v>
      </c>
      <c r="AD13" s="25"/>
      <c r="AE13">
        <v>100</v>
      </c>
      <c r="AF13">
        <v>688</v>
      </c>
      <c r="AH13">
        <f t="shared" si="4"/>
        <v>1</v>
      </c>
      <c r="AI13">
        <f t="shared" si="5"/>
        <v>1</v>
      </c>
      <c r="AJ13" s="11">
        <f>SUM(AH$5:AH13)/SUM(AI$5:AI13)</f>
        <v>1</v>
      </c>
    </row>
    <row r="14" spans="1:36" x14ac:dyDescent="0.35">
      <c r="A14" t="s">
        <v>45</v>
      </c>
      <c r="B14">
        <v>1484</v>
      </c>
      <c r="C14" t="s">
        <v>7</v>
      </c>
      <c r="D14" t="s">
        <v>8</v>
      </c>
      <c r="E14" t="s">
        <v>9</v>
      </c>
      <c r="G14" t="s">
        <v>10</v>
      </c>
      <c r="I14" t="s">
        <v>107</v>
      </c>
      <c r="K14" t="s">
        <v>108</v>
      </c>
      <c r="M14" t="s">
        <v>109</v>
      </c>
      <c r="O14">
        <v>1</v>
      </c>
      <c r="P14" s="9" t="s">
        <v>110</v>
      </c>
      <c r="Q14">
        <v>100</v>
      </c>
      <c r="R14">
        <v>1</v>
      </c>
      <c r="S14">
        <v>860</v>
      </c>
      <c r="T14">
        <v>624</v>
      </c>
      <c r="U14" s="11">
        <f t="shared" si="1"/>
        <v>2.4700577304190483E-2</v>
      </c>
      <c r="V14" s="11">
        <f t="shared" si="2"/>
        <v>2.705632398213589E-2</v>
      </c>
      <c r="X14" s="11">
        <f t="shared" si="0"/>
        <v>2.4700577304190483E-2</v>
      </c>
      <c r="Y14" s="12">
        <f t="shared" si="3"/>
        <v>0.85360599707039675</v>
      </c>
      <c r="AA14" s="25">
        <f>IF(P14="*","-",IFERROR(VLOOKUP(P14,'AE-W1'!$P$4:$T$126,4,FALSE),"-"))</f>
        <v>19</v>
      </c>
      <c r="AB14" s="25" t="str">
        <f>IF(P14="*","-",IFERROR(VLOOKUP(P14,'AE-W2'!$P$4:$T$107,4,FALSE),"-"))</f>
        <v>-</v>
      </c>
      <c r="AC14" s="25">
        <f>IF(P14="*","-",IFERROR(VLOOKUP(P14,'All MECSM samples'!$P$4:$AD$454,15,FALSE),"-"))</f>
        <v>866</v>
      </c>
      <c r="AD14" s="25"/>
      <c r="AE14">
        <v>100</v>
      </c>
      <c r="AF14">
        <v>425</v>
      </c>
      <c r="AH14">
        <f t="shared" si="4"/>
        <v>1</v>
      </c>
      <c r="AI14">
        <f t="shared" si="5"/>
        <v>1</v>
      </c>
      <c r="AJ14" s="11">
        <f>SUM(AH$5:AH14)/SUM(AI$5:AI14)</f>
        <v>1</v>
      </c>
    </row>
    <row r="15" spans="1:36" x14ac:dyDescent="0.35">
      <c r="A15" t="s">
        <v>68</v>
      </c>
      <c r="B15">
        <v>851</v>
      </c>
      <c r="C15" t="s">
        <v>7</v>
      </c>
      <c r="D15" t="s">
        <v>24</v>
      </c>
      <c r="E15" t="s">
        <v>25</v>
      </c>
      <c r="G15" t="s">
        <v>26</v>
      </c>
      <c r="I15" t="s">
        <v>27</v>
      </c>
      <c r="K15" t="s">
        <v>28</v>
      </c>
      <c r="M15" t="s">
        <v>29</v>
      </c>
      <c r="O15">
        <v>0.9</v>
      </c>
      <c r="P15" s="9" t="s">
        <v>88</v>
      </c>
      <c r="Q15">
        <v>100</v>
      </c>
      <c r="R15">
        <v>2</v>
      </c>
      <c r="S15">
        <v>586</v>
      </c>
      <c r="T15">
        <v>265</v>
      </c>
      <c r="U15" s="11">
        <f t="shared" si="1"/>
        <v>1.6830858488669328E-2</v>
      </c>
      <c r="V15" s="11">
        <f t="shared" si="2"/>
        <v>1.1490265793695529E-2</v>
      </c>
      <c r="X15" s="11">
        <f t="shared" si="0"/>
        <v>1.6830858488669328E-2</v>
      </c>
      <c r="Y15" s="12">
        <f t="shared" si="3"/>
        <v>0.87043685555906603</v>
      </c>
      <c r="AA15" s="25" t="str">
        <f>IF(P15="*","-",IFERROR(VLOOKUP(P15,'AE-W1'!$P$4:$T$126,4,FALSE),"-"))</f>
        <v>-</v>
      </c>
      <c r="AB15" s="25">
        <f>IF(P15="*","-",IFERROR(VLOOKUP(P15,'AE-W2'!$P$4:$T$107,4,FALSE),"-"))</f>
        <v>1161</v>
      </c>
      <c r="AC15" s="25">
        <f>IF(P15="*","-",IFERROR(VLOOKUP(P15,'All MECSM samples'!$P$4:$AD$454,15,FALSE),"-"))</f>
        <v>1168</v>
      </c>
      <c r="AD15" s="25"/>
      <c r="AE15">
        <v>100</v>
      </c>
      <c r="AF15">
        <v>108</v>
      </c>
      <c r="AH15">
        <f t="shared" si="4"/>
        <v>1</v>
      </c>
      <c r="AI15">
        <f t="shared" si="5"/>
        <v>1</v>
      </c>
      <c r="AJ15" s="11">
        <f>SUM(AH$5:AH15)/SUM(AI$5:AI15)</f>
        <v>1</v>
      </c>
    </row>
    <row r="16" spans="1:36" x14ac:dyDescent="0.35">
      <c r="A16" t="s">
        <v>77</v>
      </c>
      <c r="B16">
        <v>820</v>
      </c>
      <c r="C16" t="s">
        <v>7</v>
      </c>
      <c r="D16" t="s">
        <v>8</v>
      </c>
      <c r="E16" t="s">
        <v>46</v>
      </c>
      <c r="G16" t="s">
        <v>47</v>
      </c>
      <c r="I16" t="s">
        <v>61</v>
      </c>
      <c r="O16">
        <v>0.8</v>
      </c>
      <c r="P16" s="9" t="s">
        <v>136</v>
      </c>
      <c r="Q16">
        <v>91.3</v>
      </c>
      <c r="R16">
        <v>2</v>
      </c>
      <c r="S16">
        <v>477</v>
      </c>
      <c r="T16">
        <v>343</v>
      </c>
      <c r="U16" s="11">
        <f t="shared" si="1"/>
        <v>1.3700203923370766E-2</v>
      </c>
      <c r="V16" s="11">
        <f t="shared" si="2"/>
        <v>1.4872306291462516E-2</v>
      </c>
      <c r="X16" s="11">
        <f t="shared" si="0"/>
        <v>1.3700203923370766E-2</v>
      </c>
      <c r="Y16" s="12">
        <f t="shared" si="3"/>
        <v>0.88413705948243682</v>
      </c>
      <c r="AA16" s="25">
        <f>IF(P16="*","-",IFERROR(VLOOKUP(P16,'AE-W1'!$P$4:$T$126,4,FALSE),"-"))</f>
        <v>17</v>
      </c>
      <c r="AB16" s="25" t="str">
        <f>IF(P16="*","-",IFERROR(VLOOKUP(P16,'AE-W2'!$P$4:$T$107,4,FALSE),"-"))</f>
        <v>-</v>
      </c>
      <c r="AC16" s="25">
        <f>IF(P16="*","-",IFERROR(VLOOKUP(P16,'All MECSM samples'!$P$4:$AD$454,15,FALSE),"-"))</f>
        <v>780</v>
      </c>
      <c r="AD16" s="25"/>
      <c r="AE16">
        <v>100</v>
      </c>
      <c r="AF16">
        <v>394</v>
      </c>
      <c r="AH16">
        <f t="shared" si="4"/>
        <v>1</v>
      </c>
      <c r="AI16">
        <f t="shared" si="5"/>
        <v>1</v>
      </c>
      <c r="AJ16" s="11">
        <f>SUM(AH$5:AH16)/SUM(AI$5:AI16)</f>
        <v>1</v>
      </c>
    </row>
    <row r="17" spans="1:36" x14ac:dyDescent="0.35">
      <c r="A17" t="s">
        <v>55</v>
      </c>
      <c r="B17">
        <v>575</v>
      </c>
      <c r="C17" t="s">
        <v>7</v>
      </c>
      <c r="D17" t="s">
        <v>8</v>
      </c>
      <c r="E17" t="s">
        <v>9</v>
      </c>
      <c r="G17" t="s">
        <v>138</v>
      </c>
      <c r="I17" t="s">
        <v>139</v>
      </c>
      <c r="K17" t="s">
        <v>140</v>
      </c>
      <c r="O17">
        <v>0.67</v>
      </c>
      <c r="P17" s="9" t="s">
        <v>141</v>
      </c>
      <c r="Q17">
        <v>90.1</v>
      </c>
      <c r="R17">
        <v>1</v>
      </c>
      <c r="S17">
        <v>290</v>
      </c>
      <c r="T17">
        <v>285</v>
      </c>
      <c r="U17" s="11">
        <f t="shared" si="1"/>
        <v>8.3292644397851626E-3</v>
      </c>
      <c r="V17" s="11">
        <f t="shared" si="2"/>
        <v>1.2357455664917834E-2</v>
      </c>
      <c r="X17" s="11">
        <f t="shared" si="0"/>
        <v>8.3292644397851626E-3</v>
      </c>
      <c r="Y17" s="12">
        <f t="shared" si="3"/>
        <v>0.89246632392222203</v>
      </c>
      <c r="AA17" s="25">
        <f>IF(P17="*","-",IFERROR(VLOOKUP(P17,'AE-W1'!$P$4:$T$126,4,FALSE),"-"))</f>
        <v>6</v>
      </c>
      <c r="AB17" s="25">
        <f>IF(P17="*","-",IFERROR(VLOOKUP(P17,'AE-W2'!$P$4:$T$107,4,FALSE),"-"))</f>
        <v>5</v>
      </c>
      <c r="AC17" s="25">
        <f>IF(P17="*","-",IFERROR(VLOOKUP(P17,'All MECSM samples'!$P$4:$AD$454,15,FALSE),"-"))</f>
        <v>469</v>
      </c>
      <c r="AD17" s="25"/>
      <c r="AE17">
        <v>100</v>
      </c>
      <c r="AF17">
        <v>204</v>
      </c>
      <c r="AH17">
        <f t="shared" si="4"/>
        <v>1</v>
      </c>
      <c r="AI17">
        <f t="shared" si="5"/>
        <v>1</v>
      </c>
      <c r="AJ17" s="11">
        <f>SUM(AH$5:AH17)/SUM(AI$5:AI17)</f>
        <v>1</v>
      </c>
    </row>
    <row r="18" spans="1:36" x14ac:dyDescent="0.35">
      <c r="A18" t="s">
        <v>60</v>
      </c>
      <c r="B18">
        <v>518</v>
      </c>
      <c r="C18" t="s">
        <v>7</v>
      </c>
      <c r="D18" t="s">
        <v>8</v>
      </c>
      <c r="E18" t="s">
        <v>32</v>
      </c>
      <c r="G18" t="s">
        <v>35</v>
      </c>
      <c r="I18" t="s">
        <v>36</v>
      </c>
      <c r="O18">
        <v>0.61</v>
      </c>
      <c r="P18" s="9" t="s">
        <v>92</v>
      </c>
      <c r="Q18">
        <v>86.2</v>
      </c>
      <c r="R18">
        <v>2</v>
      </c>
      <c r="S18">
        <v>389</v>
      </c>
      <c r="T18">
        <v>129</v>
      </c>
      <c r="U18" s="11">
        <f t="shared" si="1"/>
        <v>1.1172702989918718E-2</v>
      </c>
      <c r="V18" s="11">
        <f t="shared" si="2"/>
        <v>5.5933746693838616E-3</v>
      </c>
      <c r="X18" s="11">
        <f t="shared" si="0"/>
        <v>1.1172702989918718E-2</v>
      </c>
      <c r="Y18" s="12">
        <f t="shared" si="3"/>
        <v>0.90363902691214071</v>
      </c>
      <c r="AA18" s="25">
        <f>IF(P18="*","-",IFERROR(VLOOKUP(P18,'AE-W1'!$P$4:$T$126,4,FALSE),"-"))</f>
        <v>1059</v>
      </c>
      <c r="AB18" s="25">
        <f>IF(P18="*","-",IFERROR(VLOOKUP(P18,'AE-W2'!$P$4:$T$107,4,FALSE),"-"))</f>
        <v>29</v>
      </c>
      <c r="AC18" s="25">
        <f>IF(P18="*","-",IFERROR(VLOOKUP(P18,'All MECSM samples'!$P$4:$AD$454,15,FALSE),"-"))</f>
        <v>6717</v>
      </c>
      <c r="AD18" s="25"/>
      <c r="AE18">
        <v>100</v>
      </c>
      <c r="AF18">
        <v>75</v>
      </c>
      <c r="AH18">
        <f t="shared" si="4"/>
        <v>1</v>
      </c>
      <c r="AI18">
        <f t="shared" si="5"/>
        <v>1</v>
      </c>
      <c r="AJ18" s="11">
        <f>SUM(AH$5:AH18)/SUM(AI$5:AI18)</f>
        <v>1</v>
      </c>
    </row>
    <row r="19" spans="1:36" x14ac:dyDescent="0.35">
      <c r="A19" t="s">
        <v>145</v>
      </c>
      <c r="B19">
        <v>484</v>
      </c>
      <c r="C19" t="s">
        <v>7</v>
      </c>
      <c r="D19" t="s">
        <v>8</v>
      </c>
      <c r="E19" t="s">
        <v>46</v>
      </c>
      <c r="G19" t="s">
        <v>64</v>
      </c>
      <c r="I19" t="s">
        <v>65</v>
      </c>
      <c r="K19" t="s">
        <v>66</v>
      </c>
      <c r="M19" t="s">
        <v>146</v>
      </c>
      <c r="O19">
        <v>0.95</v>
      </c>
      <c r="P19" s="9" t="s">
        <v>147</v>
      </c>
      <c r="Q19">
        <v>98</v>
      </c>
      <c r="R19">
        <v>4</v>
      </c>
      <c r="S19">
        <v>309</v>
      </c>
      <c r="T19">
        <v>175</v>
      </c>
      <c r="U19" s="11">
        <f t="shared" si="1"/>
        <v>8.8749748685986729E-3</v>
      </c>
      <c r="V19" s="11">
        <f t="shared" si="2"/>
        <v>7.5879113731951607E-3</v>
      </c>
      <c r="X19" s="11">
        <f t="shared" si="0"/>
        <v>8.8749748685986729E-3</v>
      </c>
      <c r="Y19" s="12">
        <f t="shared" si="3"/>
        <v>0.91251400178073938</v>
      </c>
      <c r="AA19" s="25" t="str">
        <f>IF(P19="*","-",IFERROR(VLOOKUP(P19,'AE-W1'!$P$4:$T$126,4,FALSE),"-"))</f>
        <v>-</v>
      </c>
      <c r="AB19" s="25" t="str">
        <f>IF(P19="*","-",IFERROR(VLOOKUP(P19,'AE-W2'!$P$4:$T$107,4,FALSE),"-"))</f>
        <v>-</v>
      </c>
      <c r="AC19" s="25">
        <f>IF(P19="*","-",IFERROR(VLOOKUP(P19,'All MECSM samples'!$P$4:$AD$454,15,FALSE),"-"))</f>
        <v>313</v>
      </c>
      <c r="AD19" s="25"/>
      <c r="AE19">
        <v>100</v>
      </c>
      <c r="AF19">
        <v>146</v>
      </c>
      <c r="AH19">
        <f t="shared" si="4"/>
        <v>1</v>
      </c>
      <c r="AI19">
        <f t="shared" si="5"/>
        <v>1</v>
      </c>
      <c r="AJ19" s="11">
        <f>SUM(AH$5:AH19)/SUM(AI$5:AI19)</f>
        <v>1</v>
      </c>
    </row>
    <row r="20" spans="1:36" x14ac:dyDescent="0.35">
      <c r="A20" t="s">
        <v>72</v>
      </c>
      <c r="B20">
        <v>452</v>
      </c>
      <c r="C20" t="s">
        <v>7</v>
      </c>
      <c r="D20" t="s">
        <v>8</v>
      </c>
      <c r="E20" t="s">
        <v>9</v>
      </c>
      <c r="G20" t="s">
        <v>10</v>
      </c>
      <c r="I20" t="s">
        <v>107</v>
      </c>
      <c r="K20" t="s">
        <v>108</v>
      </c>
      <c r="M20" t="s">
        <v>109</v>
      </c>
      <c r="O20">
        <v>1</v>
      </c>
      <c r="P20" s="9" t="s">
        <v>129</v>
      </c>
      <c r="Q20">
        <v>99.2</v>
      </c>
      <c r="R20">
        <v>1</v>
      </c>
      <c r="S20">
        <v>429</v>
      </c>
      <c r="T20">
        <v>23</v>
      </c>
      <c r="U20" s="11">
        <f t="shared" si="1"/>
        <v>1.2321567050578741E-2</v>
      </c>
      <c r="V20" s="11">
        <f t="shared" si="2"/>
        <v>9.9726835190564974E-4</v>
      </c>
      <c r="X20" s="11">
        <f t="shared" si="0"/>
        <v>1.2321567050578741E-2</v>
      </c>
      <c r="Y20" s="12">
        <f t="shared" si="3"/>
        <v>0.92483556883131812</v>
      </c>
      <c r="AA20" s="25">
        <f>IF(P20="*","-",IFERROR(VLOOKUP(P20,'AE-W1'!$P$4:$T$126,4,FALSE),"-"))</f>
        <v>108</v>
      </c>
      <c r="AB20" s="25">
        <f>IF(P20="*","-",IFERROR(VLOOKUP(P20,'AE-W2'!$P$4:$T$107,4,FALSE),"-"))</f>
        <v>4</v>
      </c>
      <c r="AC20" s="25">
        <f>IF(P20="*","-",IFERROR(VLOOKUP(P20,'All MECSM samples'!$P$4:$AD$454,15,FALSE),"-"))</f>
        <v>762</v>
      </c>
      <c r="AD20" s="25"/>
      <c r="AE20">
        <v>100</v>
      </c>
      <c r="AF20">
        <v>148</v>
      </c>
      <c r="AH20">
        <f t="shared" si="4"/>
        <v>1</v>
      </c>
      <c r="AI20">
        <f t="shared" si="5"/>
        <v>1</v>
      </c>
      <c r="AJ20" s="11">
        <f>SUM(AH$5:AH20)/SUM(AI$5:AI20)</f>
        <v>1</v>
      </c>
    </row>
    <row r="21" spans="1:36" x14ac:dyDescent="0.35">
      <c r="A21" t="s">
        <v>97</v>
      </c>
      <c r="B21">
        <v>393</v>
      </c>
      <c r="C21" t="s">
        <v>7</v>
      </c>
      <c r="D21" t="s">
        <v>8</v>
      </c>
      <c r="E21" t="s">
        <v>9</v>
      </c>
      <c r="G21" t="s">
        <v>10</v>
      </c>
      <c r="I21" t="s">
        <v>131</v>
      </c>
      <c r="K21" t="s">
        <v>132</v>
      </c>
      <c r="M21" t="s">
        <v>133</v>
      </c>
      <c r="O21">
        <v>1</v>
      </c>
      <c r="P21" s="9" t="s">
        <v>134</v>
      </c>
      <c r="Q21">
        <v>100</v>
      </c>
      <c r="R21">
        <v>1</v>
      </c>
      <c r="S21">
        <v>254</v>
      </c>
      <c r="T21">
        <v>139</v>
      </c>
      <c r="U21" s="11">
        <f t="shared" si="1"/>
        <v>7.2952867851911419E-3</v>
      </c>
      <c r="V21" s="11">
        <f t="shared" si="2"/>
        <v>6.0269696049950134E-3</v>
      </c>
      <c r="X21" s="11">
        <f t="shared" si="0"/>
        <v>7.2952867851911419E-3</v>
      </c>
      <c r="Y21" s="12">
        <f t="shared" si="3"/>
        <v>0.93213085561650921</v>
      </c>
      <c r="AA21" s="25">
        <f>IF(P21="*","-",IFERROR(VLOOKUP(P21,'AE-W1'!$P$4:$T$126,4,FALSE),"-"))</f>
        <v>219</v>
      </c>
      <c r="AB21" s="25">
        <f>IF(P21="*","-",IFERROR(VLOOKUP(P21,'AE-W2'!$P$4:$T$107,4,FALSE),"-"))</f>
        <v>17</v>
      </c>
      <c r="AC21" s="25">
        <f>IF(P21="*","-",IFERROR(VLOOKUP(P21,'All MECSM samples'!$P$4:$AD$454,15,FALSE),"-"))</f>
        <v>255</v>
      </c>
      <c r="AD21" s="25"/>
      <c r="AE21">
        <v>100</v>
      </c>
      <c r="AF21">
        <v>88</v>
      </c>
      <c r="AH21">
        <f t="shared" si="4"/>
        <v>1</v>
      </c>
      <c r="AI21">
        <f t="shared" si="5"/>
        <v>1</v>
      </c>
      <c r="AJ21" s="11">
        <f>SUM(AH$5:AH21)/SUM(AI$5:AI21)</f>
        <v>1</v>
      </c>
    </row>
    <row r="22" spans="1:36" x14ac:dyDescent="0.35">
      <c r="A22" t="s">
        <v>99</v>
      </c>
      <c r="B22">
        <v>308</v>
      </c>
      <c r="C22" t="s">
        <v>7</v>
      </c>
      <c r="D22" t="s">
        <v>8</v>
      </c>
      <c r="E22" t="s">
        <v>46</v>
      </c>
      <c r="G22" t="s">
        <v>47</v>
      </c>
      <c r="I22" t="s">
        <v>61</v>
      </c>
      <c r="K22" t="s">
        <v>94</v>
      </c>
      <c r="M22" t="s">
        <v>95</v>
      </c>
      <c r="O22">
        <v>1</v>
      </c>
      <c r="P22" s="9" t="s">
        <v>96</v>
      </c>
      <c r="Q22">
        <v>100</v>
      </c>
      <c r="R22">
        <v>3</v>
      </c>
      <c r="S22">
        <v>153</v>
      </c>
      <c r="T22">
        <v>155</v>
      </c>
      <c r="U22" s="11">
        <f t="shared" si="1"/>
        <v>4.3944050320245858E-3</v>
      </c>
      <c r="V22" s="11">
        <f t="shared" si="2"/>
        <v>6.7207215019728572E-3</v>
      </c>
      <c r="X22" s="11">
        <f t="shared" si="0"/>
        <v>4.3944050320245858E-3</v>
      </c>
      <c r="Y22" s="12">
        <f t="shared" si="3"/>
        <v>0.93652526064853381</v>
      </c>
      <c r="AA22" s="25">
        <f>IF(P22="*","-",IFERROR(VLOOKUP(P22,'AE-W1'!$P$4:$T$126,4,FALSE),"-"))</f>
        <v>929</v>
      </c>
      <c r="AB22" s="25">
        <f>IF(P22="*","-",IFERROR(VLOOKUP(P22,'AE-W2'!$P$4:$T$107,4,FALSE),"-"))</f>
        <v>16</v>
      </c>
      <c r="AC22" s="25">
        <f>IF(P22="*","-",IFERROR(VLOOKUP(P22,'All MECSM samples'!$P$4:$AD$454,15,FALSE),"-"))</f>
        <v>2442</v>
      </c>
      <c r="AD22" s="25"/>
      <c r="AE22">
        <v>100</v>
      </c>
      <c r="AF22">
        <v>120</v>
      </c>
      <c r="AH22">
        <f t="shared" si="4"/>
        <v>1</v>
      </c>
      <c r="AI22">
        <f t="shared" si="5"/>
        <v>1</v>
      </c>
      <c r="AJ22" s="11">
        <f>SUM(AH$5:AH22)/SUM(AI$5:AI22)</f>
        <v>1</v>
      </c>
    </row>
    <row r="23" spans="1:36" x14ac:dyDescent="0.35">
      <c r="A23" t="s">
        <v>74</v>
      </c>
      <c r="B23">
        <v>307</v>
      </c>
      <c r="C23" t="s">
        <v>7</v>
      </c>
      <c r="D23" t="s">
        <v>8</v>
      </c>
      <c r="E23" t="s">
        <v>32</v>
      </c>
      <c r="G23" t="s">
        <v>35</v>
      </c>
      <c r="I23" t="s">
        <v>36</v>
      </c>
      <c r="K23" t="s">
        <v>143</v>
      </c>
      <c r="O23">
        <v>0.87</v>
      </c>
      <c r="P23" s="9" t="s">
        <v>144</v>
      </c>
      <c r="Q23">
        <v>91.7</v>
      </c>
      <c r="R23">
        <v>1</v>
      </c>
      <c r="S23">
        <v>119</v>
      </c>
      <c r="T23">
        <v>188</v>
      </c>
      <c r="U23" s="11">
        <f t="shared" si="1"/>
        <v>3.4178705804635665E-3</v>
      </c>
      <c r="V23" s="11">
        <f t="shared" si="2"/>
        <v>8.1515847894896593E-3</v>
      </c>
      <c r="X23" s="11">
        <f t="shared" si="0"/>
        <v>3.4178705804635665E-3</v>
      </c>
      <c r="Y23" s="12">
        <f t="shared" si="3"/>
        <v>0.93994313122899742</v>
      </c>
      <c r="AA23" s="25">
        <f>IF(P23="*","-",IFERROR(VLOOKUP(P23,'AE-W1'!$P$4:$T$126,4,FALSE),"-"))</f>
        <v>53</v>
      </c>
      <c r="AB23" s="25">
        <f>IF(P23="*","-",IFERROR(VLOOKUP(P23,'AE-W2'!$P$4:$T$107,4,FALSE),"-"))</f>
        <v>112</v>
      </c>
      <c r="AC23" s="25">
        <f>IF(P23="*","-",IFERROR(VLOOKUP(P23,'All MECSM samples'!$P$4:$AD$454,15,FALSE),"-"))</f>
        <v>1118</v>
      </c>
      <c r="AD23" s="25"/>
      <c r="AE23">
        <v>100</v>
      </c>
      <c r="AF23">
        <v>113</v>
      </c>
      <c r="AH23">
        <f t="shared" si="4"/>
        <v>1</v>
      </c>
      <c r="AI23">
        <f t="shared" si="5"/>
        <v>1</v>
      </c>
      <c r="AJ23" s="11">
        <f>SUM(AH$5:AH23)/SUM(AI$5:AI23)</f>
        <v>1</v>
      </c>
    </row>
    <row r="24" spans="1:36" x14ac:dyDescent="0.35">
      <c r="A24" t="s">
        <v>135</v>
      </c>
      <c r="B24">
        <v>276</v>
      </c>
      <c r="C24" t="s">
        <v>7</v>
      </c>
      <c r="D24" t="s">
        <v>24</v>
      </c>
      <c r="E24" t="s">
        <v>25</v>
      </c>
      <c r="G24" t="s">
        <v>40</v>
      </c>
      <c r="I24" t="s">
        <v>41</v>
      </c>
      <c r="K24" t="s">
        <v>52</v>
      </c>
      <c r="M24" t="s">
        <v>53</v>
      </c>
      <c r="O24">
        <v>1</v>
      </c>
      <c r="P24" s="9" t="s">
        <v>54</v>
      </c>
      <c r="Q24">
        <v>100</v>
      </c>
      <c r="R24">
        <v>7</v>
      </c>
      <c r="S24">
        <v>54</v>
      </c>
      <c r="T24">
        <v>222</v>
      </c>
      <c r="U24" s="11">
        <f t="shared" si="1"/>
        <v>1.5509664818910303E-3</v>
      </c>
      <c r="V24" s="11">
        <f t="shared" si="2"/>
        <v>9.6258075705675759E-3</v>
      </c>
      <c r="W24" s="9"/>
      <c r="X24" s="15">
        <f t="shared" si="0"/>
        <v>1.5509664818910303E-3</v>
      </c>
      <c r="Y24" s="16">
        <f t="shared" si="3"/>
        <v>0.94149409771088843</v>
      </c>
      <c r="AA24" s="25">
        <f>IF(P24="*","-",IFERROR(VLOOKUP(P24,'AE-W1'!$P$4:$T$126,4,FALSE),"-"))</f>
        <v>1238</v>
      </c>
      <c r="AB24" s="25">
        <f>IF(P24="*","-",IFERROR(VLOOKUP(P24,'AE-W2'!$P$4:$T$107,4,FALSE),"-"))</f>
        <v>11</v>
      </c>
      <c r="AC24" s="25">
        <f>IF(P24="*","-",IFERROR(VLOOKUP(P24,'All MECSM samples'!$P$4:$AD$454,15,FALSE),"-"))</f>
        <v>2085</v>
      </c>
      <c r="AD24" s="25"/>
      <c r="AE24">
        <v>100</v>
      </c>
      <c r="AF24">
        <v>177</v>
      </c>
      <c r="AH24">
        <f t="shared" si="4"/>
        <v>1</v>
      </c>
      <c r="AI24">
        <f t="shared" si="5"/>
        <v>1</v>
      </c>
      <c r="AJ24" s="11">
        <f>SUM(AH$5:AH24)/SUM(AI$5:AI24)</f>
        <v>1</v>
      </c>
    </row>
    <row r="25" spans="1:36" x14ac:dyDescent="0.35">
      <c r="A25" t="s">
        <v>83</v>
      </c>
      <c r="B25">
        <v>264</v>
      </c>
      <c r="C25" t="s">
        <v>7</v>
      </c>
      <c r="D25" t="s">
        <v>8</v>
      </c>
      <c r="E25" t="s">
        <v>46</v>
      </c>
      <c r="G25" t="s">
        <v>47</v>
      </c>
      <c r="I25" t="s">
        <v>61</v>
      </c>
      <c r="K25" t="s">
        <v>178</v>
      </c>
      <c r="M25" t="s">
        <v>179</v>
      </c>
      <c r="O25">
        <v>0.9</v>
      </c>
      <c r="P25" s="9" t="s">
        <v>180</v>
      </c>
      <c r="Q25">
        <v>97.6</v>
      </c>
      <c r="R25">
        <v>1</v>
      </c>
      <c r="S25">
        <v>146</v>
      </c>
      <c r="T25">
        <v>118</v>
      </c>
      <c r="U25" s="11">
        <f t="shared" si="1"/>
        <v>4.1933538214090817E-3</v>
      </c>
      <c r="V25" s="11">
        <f t="shared" si="2"/>
        <v>5.1164202402115945E-3</v>
      </c>
      <c r="X25" s="11">
        <f t="shared" si="0"/>
        <v>4.1933538214090817E-3</v>
      </c>
      <c r="Y25" s="12">
        <f t="shared" si="3"/>
        <v>0.9456874515322975</v>
      </c>
      <c r="AA25" s="25" t="str">
        <f>IF(P25="*","-",IFERROR(VLOOKUP(P25,'AE-W1'!$P$4:$T$126,4,FALSE),"-"))</f>
        <v>-</v>
      </c>
      <c r="AB25" s="25" t="str">
        <f>IF(P25="*","-",IFERROR(VLOOKUP(P25,'AE-W2'!$P$4:$T$107,4,FALSE),"-"))</f>
        <v>-</v>
      </c>
      <c r="AC25" s="25">
        <f>IF(P25="*","-",IFERROR(VLOOKUP(P25,'All MECSM samples'!$P$4:$AD$454,15,FALSE),"-"))</f>
        <v>148</v>
      </c>
      <c r="AD25" s="25"/>
      <c r="AE25">
        <v>100</v>
      </c>
      <c r="AF25">
        <v>140</v>
      </c>
      <c r="AH25">
        <f t="shared" si="4"/>
        <v>1</v>
      </c>
      <c r="AI25">
        <f t="shared" si="5"/>
        <v>1</v>
      </c>
      <c r="AJ25" s="11">
        <f>SUM(AH$5:AH25)/SUM(AI$5:AI25)</f>
        <v>1</v>
      </c>
    </row>
    <row r="26" spans="1:36" x14ac:dyDescent="0.35">
      <c r="A26" t="s">
        <v>106</v>
      </c>
      <c r="B26">
        <v>264</v>
      </c>
      <c r="C26" t="s">
        <v>7</v>
      </c>
      <c r="D26" t="s">
        <v>8</v>
      </c>
      <c r="E26" t="s">
        <v>9</v>
      </c>
      <c r="G26" t="s">
        <v>172</v>
      </c>
      <c r="I26" t="s">
        <v>173</v>
      </c>
      <c r="K26" t="s">
        <v>174</v>
      </c>
      <c r="M26" t="s">
        <v>175</v>
      </c>
      <c r="O26">
        <v>0.99</v>
      </c>
      <c r="P26" s="9" t="s">
        <v>176</v>
      </c>
      <c r="Q26">
        <v>100</v>
      </c>
      <c r="R26">
        <v>2</v>
      </c>
      <c r="S26">
        <v>138</v>
      </c>
      <c r="T26">
        <v>126</v>
      </c>
      <c r="U26" s="11">
        <f t="shared" si="1"/>
        <v>3.9635810092770772E-3</v>
      </c>
      <c r="V26" s="11">
        <f t="shared" si="2"/>
        <v>5.4632961887005156E-3</v>
      </c>
      <c r="X26" s="11">
        <f t="shared" si="0"/>
        <v>3.9635810092770772E-3</v>
      </c>
      <c r="Y26" s="12">
        <f t="shared" si="3"/>
        <v>0.94965103254157457</v>
      </c>
      <c r="AA26" s="25">
        <f>IF(P26="*","-",IFERROR(VLOOKUP(P26,'AE-W1'!$P$4:$T$126,4,FALSE),"-"))</f>
        <v>6</v>
      </c>
      <c r="AB26" s="25" t="str">
        <f>IF(P26="*","-",IFERROR(VLOOKUP(P26,'AE-W2'!$P$4:$T$107,4,FALSE),"-"))</f>
        <v>-</v>
      </c>
      <c r="AC26" s="25">
        <f>IF(P26="*","-",IFERROR(VLOOKUP(P26,'All MECSM samples'!$P$4:$AD$454,15,FALSE),"-"))</f>
        <v>1109</v>
      </c>
      <c r="AD26" s="25"/>
      <c r="AE26">
        <v>100</v>
      </c>
      <c r="AF26">
        <v>82</v>
      </c>
      <c r="AH26">
        <f t="shared" si="4"/>
        <v>1</v>
      </c>
      <c r="AI26">
        <f t="shared" si="5"/>
        <v>1</v>
      </c>
      <c r="AJ26" s="11">
        <f>SUM(AH$5:AH26)/SUM(AI$5:AI26)</f>
        <v>1</v>
      </c>
    </row>
    <row r="27" spans="1:36" x14ac:dyDescent="0.35">
      <c r="A27" t="s">
        <v>126</v>
      </c>
      <c r="B27">
        <v>255</v>
      </c>
      <c r="C27" t="s">
        <v>7</v>
      </c>
      <c r="D27" t="s">
        <v>8</v>
      </c>
      <c r="E27" t="s">
        <v>46</v>
      </c>
      <c r="G27" t="s">
        <v>47</v>
      </c>
      <c r="I27" t="s">
        <v>61</v>
      </c>
      <c r="K27" t="s">
        <v>178</v>
      </c>
      <c r="M27" t="s">
        <v>186</v>
      </c>
      <c r="O27">
        <v>1</v>
      </c>
      <c r="P27" s="9" t="s">
        <v>187</v>
      </c>
      <c r="Q27">
        <v>98.8</v>
      </c>
      <c r="R27">
        <v>1</v>
      </c>
      <c r="S27">
        <v>181</v>
      </c>
      <c r="T27">
        <v>74</v>
      </c>
      <c r="U27" s="11">
        <f t="shared" si="1"/>
        <v>5.1986098744866011E-3</v>
      </c>
      <c r="V27" s="11">
        <f t="shared" si="2"/>
        <v>3.2086025235225253E-3</v>
      </c>
      <c r="X27" s="11">
        <f t="shared" si="0"/>
        <v>5.1986098744866011E-3</v>
      </c>
      <c r="Y27" s="12">
        <f t="shared" si="3"/>
        <v>0.95484964241606118</v>
      </c>
      <c r="AA27" s="25" t="str">
        <f>IF(P27="*","-",IFERROR(VLOOKUP(P27,'AE-W1'!$P$4:$T$126,4,FALSE),"-"))</f>
        <v>-</v>
      </c>
      <c r="AB27" s="25" t="str">
        <f>IF(P27="*","-",IFERROR(VLOOKUP(P27,'AE-W2'!$P$4:$T$107,4,FALSE),"-"))</f>
        <v>-</v>
      </c>
      <c r="AC27" s="25">
        <f>IF(P27="*","-",IFERROR(VLOOKUP(P27,'All MECSM samples'!$P$4:$AD$454,15,FALSE),"-"))</f>
        <v>520</v>
      </c>
      <c r="AD27" s="25"/>
      <c r="AE27">
        <v>100</v>
      </c>
      <c r="AF27">
        <v>222</v>
      </c>
      <c r="AH27">
        <f t="shared" si="4"/>
        <v>1</v>
      </c>
      <c r="AI27">
        <f t="shared" si="5"/>
        <v>1</v>
      </c>
      <c r="AJ27" s="11">
        <f>SUM(AH$5:AH27)/SUM(AI$5:AI27)</f>
        <v>1</v>
      </c>
    </row>
    <row r="28" spans="1:36" x14ac:dyDescent="0.35">
      <c r="A28" t="s">
        <v>89</v>
      </c>
      <c r="B28">
        <v>232</v>
      </c>
      <c r="C28" t="s">
        <v>7</v>
      </c>
      <c r="D28" t="s">
        <v>8</v>
      </c>
      <c r="E28" t="s">
        <v>46</v>
      </c>
      <c r="G28" t="s">
        <v>47</v>
      </c>
      <c r="I28" t="s">
        <v>160</v>
      </c>
      <c r="K28" t="s">
        <v>161</v>
      </c>
      <c r="M28" t="s">
        <v>162</v>
      </c>
      <c r="O28">
        <v>0.95</v>
      </c>
      <c r="P28" s="9" t="s">
        <v>163</v>
      </c>
      <c r="Q28">
        <v>96</v>
      </c>
      <c r="R28">
        <v>1</v>
      </c>
      <c r="S28">
        <v>128</v>
      </c>
      <c r="T28">
        <v>104</v>
      </c>
      <c r="U28" s="11">
        <f t="shared" si="1"/>
        <v>3.6763649941120718E-3</v>
      </c>
      <c r="V28" s="11">
        <f t="shared" si="2"/>
        <v>4.5093873303559814E-3</v>
      </c>
      <c r="W28" s="9"/>
      <c r="X28" s="15">
        <f t="shared" si="0"/>
        <v>3.6763649941120718E-3</v>
      </c>
      <c r="Y28" s="16">
        <f t="shared" si="3"/>
        <v>0.95852600741017324</v>
      </c>
      <c r="AA28" s="25">
        <f>IF(P28="*","-",IFERROR(VLOOKUP(P28,'AE-W1'!$P$4:$T$126,4,FALSE),"-"))</f>
        <v>15</v>
      </c>
      <c r="AB28" s="25">
        <f>IF(P28="*","-",IFERROR(VLOOKUP(P28,'AE-W2'!$P$4:$T$107,4,FALSE),"-"))</f>
        <v>108</v>
      </c>
      <c r="AC28" s="25">
        <f>IF(P28="*","-",IFERROR(VLOOKUP(P28,'All MECSM samples'!$P$4:$AD$454,15,FALSE),"-"))</f>
        <v>3869</v>
      </c>
      <c r="AD28" s="25"/>
      <c r="AE28">
        <v>100</v>
      </c>
      <c r="AF28">
        <v>102</v>
      </c>
      <c r="AH28">
        <f t="shared" si="4"/>
        <v>1</v>
      </c>
      <c r="AI28">
        <f t="shared" si="5"/>
        <v>1</v>
      </c>
      <c r="AJ28" s="11">
        <f>SUM(AH$5:AH28)/SUM(AI$5:AI28)</f>
        <v>1</v>
      </c>
    </row>
    <row r="29" spans="1:36" x14ac:dyDescent="0.35">
      <c r="A29" t="s">
        <v>91</v>
      </c>
      <c r="B29">
        <v>210</v>
      </c>
      <c r="C29" t="s">
        <v>7</v>
      </c>
      <c r="D29" t="s">
        <v>8</v>
      </c>
      <c r="E29" t="s">
        <v>32</v>
      </c>
      <c r="G29" t="s">
        <v>35</v>
      </c>
      <c r="I29" t="s">
        <v>36</v>
      </c>
      <c r="K29" t="s">
        <v>194</v>
      </c>
      <c r="M29" t="s">
        <v>195</v>
      </c>
      <c r="O29">
        <v>0.6</v>
      </c>
      <c r="P29" s="9" t="s">
        <v>196</v>
      </c>
      <c r="Q29">
        <v>92.5</v>
      </c>
      <c r="R29">
        <v>1</v>
      </c>
      <c r="S29">
        <v>32</v>
      </c>
      <c r="T29">
        <v>178</v>
      </c>
      <c r="U29" s="11">
        <f t="shared" si="1"/>
        <v>9.1909124852801796E-4</v>
      </c>
      <c r="V29" s="11">
        <f t="shared" si="2"/>
        <v>7.7179898538785067E-3</v>
      </c>
      <c r="X29" s="11">
        <f t="shared" si="0"/>
        <v>9.1909124852801796E-4</v>
      </c>
      <c r="Y29" s="12">
        <f t="shared" si="3"/>
        <v>0.95944509865870131</v>
      </c>
      <c r="AA29" s="25" t="str">
        <f>IF(P29="*","-",IFERROR(VLOOKUP(P29,'AE-W1'!$P$4:$T$126,4,FALSE),"-"))</f>
        <v>-</v>
      </c>
      <c r="AB29" s="25" t="str">
        <f>IF(P29="*","-",IFERROR(VLOOKUP(P29,'AE-W2'!$P$4:$T$107,4,FALSE),"-"))</f>
        <v>-</v>
      </c>
      <c r="AC29" s="25">
        <f>IF(P29="*","-",IFERROR(VLOOKUP(P29,'All MECSM samples'!$P$4:$AD$454,15,FALSE),"-"))</f>
        <v>35</v>
      </c>
      <c r="AD29" s="25"/>
      <c r="AE29">
        <v>100</v>
      </c>
      <c r="AF29">
        <v>112</v>
      </c>
      <c r="AH29">
        <f t="shared" si="4"/>
        <v>1</v>
      </c>
      <c r="AI29">
        <f t="shared" si="5"/>
        <v>1</v>
      </c>
      <c r="AJ29" s="11">
        <f>SUM(AH$5:AH29)/SUM(AI$5:AI29)</f>
        <v>1</v>
      </c>
    </row>
    <row r="30" spans="1:36" x14ac:dyDescent="0.35">
      <c r="A30" t="s">
        <v>111</v>
      </c>
      <c r="B30">
        <v>158</v>
      </c>
      <c r="C30" t="s">
        <v>7</v>
      </c>
      <c r="D30" t="s">
        <v>8</v>
      </c>
      <c r="E30" t="s">
        <v>9</v>
      </c>
      <c r="G30" t="s">
        <v>10</v>
      </c>
      <c r="I30" t="s">
        <v>131</v>
      </c>
      <c r="K30" t="s">
        <v>150</v>
      </c>
      <c r="M30" t="s">
        <v>151</v>
      </c>
      <c r="O30">
        <v>0.97</v>
      </c>
      <c r="P30" s="9" t="s">
        <v>152</v>
      </c>
      <c r="Q30">
        <v>98</v>
      </c>
      <c r="R30">
        <v>1</v>
      </c>
      <c r="S30">
        <v>108</v>
      </c>
      <c r="T30">
        <v>50</v>
      </c>
      <c r="U30" s="11">
        <f t="shared" si="1"/>
        <v>3.1019329637820606E-3</v>
      </c>
      <c r="V30" s="11">
        <f t="shared" si="2"/>
        <v>2.1679746780557604E-3</v>
      </c>
      <c r="X30" s="11">
        <f t="shared" si="0"/>
        <v>3.1019329637820606E-3</v>
      </c>
      <c r="Y30" s="12">
        <f t="shared" si="3"/>
        <v>0.96254703162248334</v>
      </c>
      <c r="AA30" s="25">
        <f>IF(P30="*","-",IFERROR(VLOOKUP(P30,'AE-W1'!$P$4:$T$126,4,FALSE),"-"))</f>
        <v>92</v>
      </c>
      <c r="AB30" s="25">
        <f>IF(P30="*","-",IFERROR(VLOOKUP(P30,'AE-W2'!$P$4:$T$107,4,FALSE),"-"))</f>
        <v>220</v>
      </c>
      <c r="AC30" s="25">
        <f>IF(P30="*","-",IFERROR(VLOOKUP(P30,'All MECSM samples'!$P$4:$AD$454,15,FALSE),"-"))</f>
        <v>577</v>
      </c>
      <c r="AD30" s="25"/>
      <c r="AE30">
        <v>100</v>
      </c>
      <c r="AF30">
        <v>27</v>
      </c>
      <c r="AH30">
        <f t="shared" si="4"/>
        <v>1</v>
      </c>
      <c r="AI30">
        <f t="shared" si="5"/>
        <v>1</v>
      </c>
      <c r="AJ30" s="11">
        <f>SUM(AH$5:AH30)/SUM(AI$5:AI30)</f>
        <v>1</v>
      </c>
    </row>
    <row r="31" spans="1:36" x14ac:dyDescent="0.35">
      <c r="A31" t="s">
        <v>93</v>
      </c>
      <c r="B31">
        <v>155</v>
      </c>
      <c r="C31" t="s">
        <v>7</v>
      </c>
      <c r="D31" t="s">
        <v>8</v>
      </c>
      <c r="E31" t="s">
        <v>46</v>
      </c>
      <c r="O31">
        <v>0.96</v>
      </c>
      <c r="P31" s="9" t="s">
        <v>222</v>
      </c>
      <c r="Q31">
        <v>92.5</v>
      </c>
      <c r="R31">
        <v>5</v>
      </c>
      <c r="S31">
        <v>106</v>
      </c>
      <c r="T31">
        <v>49</v>
      </c>
      <c r="U31" s="11">
        <f t="shared" si="1"/>
        <v>3.0444897607490593E-3</v>
      </c>
      <c r="V31" s="11">
        <f t="shared" si="2"/>
        <v>2.1246151844946451E-3</v>
      </c>
      <c r="X31" s="11">
        <f t="shared" si="0"/>
        <v>3.0444897607490593E-3</v>
      </c>
      <c r="Y31" s="12">
        <f t="shared" si="3"/>
        <v>0.96559152138323245</v>
      </c>
      <c r="AA31" s="25" t="str">
        <f>IF(P31="*","-",IFERROR(VLOOKUP(P31,'AE-W1'!$P$4:$T$126,4,FALSE),"-"))</f>
        <v>-</v>
      </c>
      <c r="AB31" s="25" t="str">
        <f>IF(P31="*","-",IFERROR(VLOOKUP(P31,'AE-W2'!$P$4:$T$107,4,FALSE),"-"))</f>
        <v>-</v>
      </c>
      <c r="AC31" s="25">
        <f>IF(P31="*","-",IFERROR(VLOOKUP(P31,'All MECSM samples'!$P$4:$AD$454,15,FALSE),"-"))</f>
        <v>106</v>
      </c>
      <c r="AD31" s="25"/>
      <c r="AE31">
        <v>100</v>
      </c>
      <c r="AF31">
        <v>111</v>
      </c>
      <c r="AH31">
        <f t="shared" si="4"/>
        <v>1</v>
      </c>
      <c r="AI31">
        <f t="shared" si="5"/>
        <v>1</v>
      </c>
      <c r="AJ31" s="11">
        <f>SUM(AH$5:AH31)/SUM(AI$5:AI31)</f>
        <v>1</v>
      </c>
    </row>
    <row r="32" spans="1:36" x14ac:dyDescent="0.35">
      <c r="A32" t="s">
        <v>87</v>
      </c>
      <c r="B32">
        <v>130</v>
      </c>
      <c r="C32" t="s">
        <v>7</v>
      </c>
      <c r="D32" t="s">
        <v>8</v>
      </c>
      <c r="E32" t="s">
        <v>46</v>
      </c>
      <c r="G32" t="s">
        <v>47</v>
      </c>
      <c r="I32" t="s">
        <v>61</v>
      </c>
      <c r="K32" t="s">
        <v>210</v>
      </c>
      <c r="M32" t="s">
        <v>211</v>
      </c>
      <c r="O32">
        <v>1</v>
      </c>
      <c r="P32" s="9" t="s">
        <v>212</v>
      </c>
      <c r="Q32">
        <v>96.8</v>
      </c>
      <c r="R32">
        <v>1</v>
      </c>
      <c r="S32">
        <v>61</v>
      </c>
      <c r="T32">
        <v>69</v>
      </c>
      <c r="U32" s="11">
        <f t="shared" si="1"/>
        <v>1.7520176925065341E-3</v>
      </c>
      <c r="V32" s="11">
        <f t="shared" si="2"/>
        <v>2.9918050557169494E-3</v>
      </c>
      <c r="X32" s="11">
        <f t="shared" si="0"/>
        <v>1.7520176925065341E-3</v>
      </c>
      <c r="Y32" s="12">
        <f t="shared" si="3"/>
        <v>0.967343539075739</v>
      </c>
      <c r="AA32" s="25">
        <f>IF(P32="*","-",IFERROR(VLOOKUP(P32,'AE-W1'!$P$4:$T$126,4,FALSE),"-"))</f>
        <v>53</v>
      </c>
      <c r="AB32" s="25">
        <f>IF(P32="*","-",IFERROR(VLOOKUP(P32,'AE-W2'!$P$4:$T$107,4,FALSE),"-"))</f>
        <v>4</v>
      </c>
      <c r="AC32" s="25">
        <f>IF(P32="*","-",IFERROR(VLOOKUP(P32,'All MECSM samples'!$P$4:$AD$454,15,FALSE),"-"))</f>
        <v>439</v>
      </c>
      <c r="AD32" s="25"/>
      <c r="AE32">
        <v>100</v>
      </c>
      <c r="AF32">
        <v>38</v>
      </c>
      <c r="AH32">
        <f t="shared" si="4"/>
        <v>1</v>
      </c>
      <c r="AI32">
        <f t="shared" si="5"/>
        <v>1</v>
      </c>
      <c r="AJ32" s="11">
        <f>SUM(AH$5:AH32)/SUM(AI$5:AI32)</f>
        <v>1</v>
      </c>
    </row>
    <row r="33" spans="1:36" x14ac:dyDescent="0.35">
      <c r="A33" t="s">
        <v>602</v>
      </c>
      <c r="B33">
        <v>116</v>
      </c>
      <c r="C33" t="s">
        <v>7</v>
      </c>
      <c r="D33" t="s">
        <v>8</v>
      </c>
      <c r="E33" t="s">
        <v>9</v>
      </c>
      <c r="G33" t="s">
        <v>10</v>
      </c>
      <c r="K33" t="s">
        <v>227</v>
      </c>
      <c r="M33" t="s">
        <v>228</v>
      </c>
      <c r="O33">
        <v>0.99</v>
      </c>
      <c r="P33" s="9" t="s">
        <v>229</v>
      </c>
      <c r="Q33">
        <v>94.9</v>
      </c>
      <c r="R33">
        <v>1</v>
      </c>
      <c r="S33">
        <v>82</v>
      </c>
      <c r="T33">
        <v>34</v>
      </c>
      <c r="U33" s="11">
        <f t="shared" si="1"/>
        <v>2.3551713243530458E-3</v>
      </c>
      <c r="V33" s="11">
        <f t="shared" si="2"/>
        <v>1.474222781077917E-3</v>
      </c>
      <c r="X33" s="11">
        <f t="shared" si="0"/>
        <v>2.3551713243530458E-3</v>
      </c>
      <c r="Y33" s="12">
        <f t="shared" si="3"/>
        <v>0.96969871040009203</v>
      </c>
      <c r="AA33" s="25">
        <f>IF(P33="*","-",IFERROR(VLOOKUP(P33,'AE-W1'!$P$4:$T$126,4,FALSE),"-"))</f>
        <v>25</v>
      </c>
      <c r="AB33" s="25">
        <f>IF(P33="*","-",IFERROR(VLOOKUP(P33,'AE-W2'!$P$4:$T$107,4,FALSE),"-"))</f>
        <v>52</v>
      </c>
      <c r="AC33" s="25">
        <f>IF(P33="*","-",IFERROR(VLOOKUP(P33,'All MECSM samples'!$P$4:$AD$454,15,FALSE),"-"))</f>
        <v>1516</v>
      </c>
      <c r="AD33" s="25"/>
      <c r="AE33">
        <v>100</v>
      </c>
      <c r="AF33">
        <v>44</v>
      </c>
      <c r="AH33">
        <f t="shared" si="4"/>
        <v>1</v>
      </c>
      <c r="AI33">
        <f t="shared" si="5"/>
        <v>1</v>
      </c>
      <c r="AJ33" s="11">
        <f>SUM(AH$5:AH33)/SUM(AI$5:AI33)</f>
        <v>1</v>
      </c>
    </row>
    <row r="34" spans="1:36" x14ac:dyDescent="0.35">
      <c r="A34" t="s">
        <v>153</v>
      </c>
      <c r="B34">
        <v>116</v>
      </c>
      <c r="C34" t="s">
        <v>7</v>
      </c>
      <c r="D34" t="s">
        <v>8</v>
      </c>
      <c r="E34" t="s">
        <v>46</v>
      </c>
      <c r="G34" t="s">
        <v>47</v>
      </c>
      <c r="I34" t="s">
        <v>61</v>
      </c>
      <c r="K34" t="s">
        <v>238</v>
      </c>
      <c r="M34" t="s">
        <v>239</v>
      </c>
      <c r="O34">
        <v>1</v>
      </c>
      <c r="P34" s="9" t="s">
        <v>240</v>
      </c>
      <c r="Q34" s="9">
        <v>98.4</v>
      </c>
      <c r="R34" s="9">
        <v>1</v>
      </c>
      <c r="S34">
        <v>53</v>
      </c>
      <c r="T34" s="9">
        <v>63</v>
      </c>
      <c r="U34" s="11">
        <f t="shared" si="1"/>
        <v>1.5222448803745296E-3</v>
      </c>
      <c r="V34" s="11">
        <f t="shared" si="2"/>
        <v>2.7316480943502578E-3</v>
      </c>
      <c r="X34" s="11">
        <f t="shared" si="0"/>
        <v>1.5222448803745296E-3</v>
      </c>
      <c r="Y34" s="12">
        <f t="shared" si="3"/>
        <v>0.97122095528046659</v>
      </c>
      <c r="AA34" s="25" t="str">
        <f>IF(P34="*","-",IFERROR(VLOOKUP(P34,'AE-W1'!$P$4:$T$126,4,FALSE),"-"))</f>
        <v>-</v>
      </c>
      <c r="AB34" s="25" t="str">
        <f>IF(P34="*","-",IFERROR(VLOOKUP(P34,'AE-W2'!$P$4:$T$107,4,FALSE),"-"))</f>
        <v>-</v>
      </c>
      <c r="AC34" s="25">
        <f>IF(P34="*","-",IFERROR(VLOOKUP(P34,'All MECSM samples'!$P$4:$AD$454,15,FALSE),"-"))</f>
        <v>53</v>
      </c>
      <c r="AD34" s="25"/>
      <c r="AE34">
        <v>100</v>
      </c>
      <c r="AF34">
        <v>39</v>
      </c>
      <c r="AH34">
        <f t="shared" si="4"/>
        <v>1</v>
      </c>
      <c r="AI34">
        <f t="shared" si="5"/>
        <v>1</v>
      </c>
      <c r="AJ34" s="11">
        <f>SUM(AH$5:AH34)/SUM(AI$5:AI34)</f>
        <v>1</v>
      </c>
    </row>
    <row r="35" spans="1:36" x14ac:dyDescent="0.35">
      <c r="A35" t="s">
        <v>294</v>
      </c>
      <c r="B35">
        <v>114</v>
      </c>
      <c r="C35" t="s">
        <v>7</v>
      </c>
      <c r="D35" t="s">
        <v>8</v>
      </c>
      <c r="E35" t="s">
        <v>18</v>
      </c>
      <c r="G35" t="s">
        <v>19</v>
      </c>
      <c r="I35" t="s">
        <v>20</v>
      </c>
      <c r="K35" t="s">
        <v>21</v>
      </c>
      <c r="M35" t="s">
        <v>235</v>
      </c>
      <c r="O35">
        <v>0.51</v>
      </c>
      <c r="P35" s="9" t="s">
        <v>236</v>
      </c>
      <c r="Q35">
        <v>88.1</v>
      </c>
      <c r="R35">
        <v>1</v>
      </c>
      <c r="S35">
        <v>61</v>
      </c>
      <c r="T35">
        <v>53</v>
      </c>
      <c r="U35" s="11">
        <f t="shared" si="1"/>
        <v>1.7520176925065341E-3</v>
      </c>
      <c r="V35" s="11">
        <f t="shared" si="2"/>
        <v>2.298053158739106E-3</v>
      </c>
      <c r="X35" s="11">
        <f t="shared" si="0"/>
        <v>1.7520176925065341E-3</v>
      </c>
      <c r="Y35" s="12">
        <f t="shared" si="3"/>
        <v>0.97297297297297314</v>
      </c>
      <c r="AA35" s="25" t="str">
        <f>IF(P35="*","-",IFERROR(VLOOKUP(P35,'AE-W1'!$P$4:$T$126,4,FALSE),"-"))</f>
        <v>-</v>
      </c>
      <c r="AB35" s="25" t="str">
        <f>IF(P35="*","-",IFERROR(VLOOKUP(P35,'AE-W2'!$P$4:$T$107,4,FALSE),"-"))</f>
        <v>-</v>
      </c>
      <c r="AC35" s="25">
        <f>IF(P35="*","-",IFERROR(VLOOKUP(P35,'All MECSM samples'!$P$4:$AD$454,15,FALSE),"-"))</f>
        <v>61</v>
      </c>
      <c r="AD35" s="25"/>
      <c r="AE35">
        <v>100</v>
      </c>
      <c r="AF35">
        <v>30</v>
      </c>
      <c r="AH35">
        <f t="shared" si="4"/>
        <v>1</v>
      </c>
      <c r="AI35">
        <f t="shared" si="5"/>
        <v>1</v>
      </c>
      <c r="AJ35" s="11">
        <f>SUM(AH$5:AH35)/SUM(AI$5:AI35)</f>
        <v>1</v>
      </c>
    </row>
    <row r="36" spans="1:36" x14ac:dyDescent="0.35">
      <c r="A36" t="s">
        <v>130</v>
      </c>
      <c r="B36">
        <v>112</v>
      </c>
      <c r="C36" t="s">
        <v>7</v>
      </c>
      <c r="D36" t="s">
        <v>8</v>
      </c>
      <c r="E36" t="s">
        <v>9</v>
      </c>
      <c r="G36" t="s">
        <v>10</v>
      </c>
      <c r="I36" t="s">
        <v>11</v>
      </c>
      <c r="K36" t="s">
        <v>249</v>
      </c>
      <c r="M36" t="s">
        <v>250</v>
      </c>
      <c r="O36">
        <v>0.94</v>
      </c>
      <c r="P36" s="9" t="s">
        <v>251</v>
      </c>
      <c r="Q36">
        <v>96.8</v>
      </c>
      <c r="R36">
        <v>1</v>
      </c>
      <c r="S36">
        <v>61</v>
      </c>
      <c r="T36">
        <v>51</v>
      </c>
      <c r="U36" s="11">
        <f t="shared" si="1"/>
        <v>1.7520176925065341E-3</v>
      </c>
      <c r="V36" s="11">
        <f t="shared" si="2"/>
        <v>2.2113341716168754E-3</v>
      </c>
      <c r="X36" s="11">
        <f t="shared" ref="X36:X67" si="6">S36/S$1</f>
        <v>1.7520176925065341E-3</v>
      </c>
      <c r="Y36" s="12">
        <f t="shared" si="3"/>
        <v>0.97472499066547968</v>
      </c>
      <c r="AA36" s="25">
        <f>IF(P36="*","-",IFERROR(VLOOKUP(P36,'AE-W1'!$P$4:$T$126,4,FALSE),"-"))</f>
        <v>4</v>
      </c>
      <c r="AB36" s="25" t="str">
        <f>IF(P36="*","-",IFERROR(VLOOKUP(P36,'AE-W2'!$P$4:$T$107,4,FALSE),"-"))</f>
        <v>-</v>
      </c>
      <c r="AC36" s="25">
        <f>IF(P36="*","-",IFERROR(VLOOKUP(P36,'All MECSM samples'!$P$4:$AD$454,15,FALSE),"-"))</f>
        <v>523</v>
      </c>
      <c r="AD36" s="25"/>
      <c r="AE36">
        <v>100</v>
      </c>
      <c r="AF36">
        <v>21</v>
      </c>
      <c r="AH36">
        <f t="shared" si="4"/>
        <v>1</v>
      </c>
      <c r="AI36">
        <f t="shared" si="5"/>
        <v>1</v>
      </c>
      <c r="AJ36" s="11">
        <f>SUM(AH$5:AH36)/SUM(AI$5:AI36)</f>
        <v>1</v>
      </c>
    </row>
    <row r="37" spans="1:36" x14ac:dyDescent="0.35">
      <c r="A37" t="s">
        <v>113</v>
      </c>
      <c r="B37">
        <v>108</v>
      </c>
      <c r="C37" t="s">
        <v>7</v>
      </c>
      <c r="D37" t="s">
        <v>8</v>
      </c>
      <c r="E37" t="s">
        <v>120</v>
      </c>
      <c r="G37" t="s">
        <v>121</v>
      </c>
      <c r="I37" t="s">
        <v>122</v>
      </c>
      <c r="K37" t="s">
        <v>123</v>
      </c>
      <c r="M37" t="s">
        <v>219</v>
      </c>
      <c r="O37">
        <v>0.9</v>
      </c>
      <c r="P37" s="9" t="s">
        <v>220</v>
      </c>
      <c r="Q37">
        <v>98</v>
      </c>
      <c r="R37">
        <v>1</v>
      </c>
      <c r="S37">
        <v>58</v>
      </c>
      <c r="T37">
        <v>50</v>
      </c>
      <c r="U37" s="11">
        <f t="shared" si="1"/>
        <v>1.6658528879570326E-3</v>
      </c>
      <c r="V37" s="11">
        <f t="shared" si="2"/>
        <v>2.1679746780557604E-3</v>
      </c>
      <c r="X37" s="11">
        <f t="shared" si="6"/>
        <v>1.6658528879570326E-3</v>
      </c>
      <c r="Y37" s="12">
        <f t="shared" ref="Y37:Y68" si="7">Y36+X37</f>
        <v>0.97639084355343675</v>
      </c>
      <c r="AA37" s="25" t="str">
        <f>IF(P37="*","-",IFERROR(VLOOKUP(P37,'AE-W1'!$P$4:$T$126,4,FALSE),"-"))</f>
        <v>-</v>
      </c>
      <c r="AB37" s="25">
        <f>IF(P37="*","-",IFERROR(VLOOKUP(P37,'AE-W2'!$P$4:$T$107,4,FALSE),"-"))</f>
        <v>93</v>
      </c>
      <c r="AC37" s="25">
        <f>IF(P37="*","-",IFERROR(VLOOKUP(P37,'All MECSM samples'!$P$4:$AD$454,15,FALSE),"-"))</f>
        <v>81</v>
      </c>
      <c r="AD37" s="25"/>
      <c r="AE37">
        <v>100</v>
      </c>
      <c r="AF37">
        <v>28</v>
      </c>
      <c r="AH37">
        <f t="shared" si="4"/>
        <v>1</v>
      </c>
      <c r="AI37">
        <f t="shared" si="5"/>
        <v>1</v>
      </c>
      <c r="AJ37" s="11">
        <f>SUM(AH$5:AH37)/SUM(AI$5:AI37)</f>
        <v>1</v>
      </c>
    </row>
    <row r="38" spans="1:36" x14ac:dyDescent="0.35">
      <c r="A38" t="s">
        <v>272</v>
      </c>
      <c r="B38">
        <v>81</v>
      </c>
      <c r="C38" t="s">
        <v>7</v>
      </c>
      <c r="D38" t="s">
        <v>8</v>
      </c>
      <c r="E38" t="s">
        <v>9</v>
      </c>
      <c r="G38" t="s">
        <v>10</v>
      </c>
      <c r="K38" t="s">
        <v>227</v>
      </c>
      <c r="M38" t="s">
        <v>228</v>
      </c>
      <c r="O38">
        <v>1</v>
      </c>
      <c r="P38" s="9" t="s">
        <v>229</v>
      </c>
      <c r="Q38">
        <v>97.2</v>
      </c>
      <c r="R38">
        <v>1</v>
      </c>
      <c r="S38">
        <v>25</v>
      </c>
      <c r="T38">
        <v>56</v>
      </c>
      <c r="U38" s="11">
        <f t="shared" si="1"/>
        <v>7.1804003791251403E-4</v>
      </c>
      <c r="V38" s="11">
        <f t="shared" si="2"/>
        <v>2.4281316394224517E-3</v>
      </c>
      <c r="X38" s="11">
        <f t="shared" si="6"/>
        <v>7.1804003791251403E-4</v>
      </c>
      <c r="Y38" s="12">
        <f t="shared" si="7"/>
        <v>0.97710888359134929</v>
      </c>
      <c r="AA38" s="25">
        <f>IF(P38="*","-",IFERROR(VLOOKUP(P38,'AE-W1'!$P$4:$T$126,4,FALSE),"-"))</f>
        <v>25</v>
      </c>
      <c r="AB38" s="25">
        <f>IF(P38="*","-",IFERROR(VLOOKUP(P38,'AE-W2'!$P$4:$T$107,4,FALSE),"-"))</f>
        <v>52</v>
      </c>
      <c r="AC38" s="25">
        <f>IF(P38="*","-",IFERROR(VLOOKUP(P38,'All MECSM samples'!$P$4:$AD$454,15,FALSE),"-"))</f>
        <v>1516</v>
      </c>
      <c r="AD38" s="25"/>
      <c r="AE38">
        <v>100</v>
      </c>
      <c r="AF38">
        <v>19</v>
      </c>
      <c r="AH38">
        <f t="shared" si="4"/>
        <v>1</v>
      </c>
      <c r="AI38">
        <f t="shared" si="5"/>
        <v>1</v>
      </c>
      <c r="AJ38" s="11">
        <f>SUM(AH$5:AH38)/SUM(AI$5:AI38)</f>
        <v>1</v>
      </c>
    </row>
    <row r="39" spans="1:36" x14ac:dyDescent="0.35">
      <c r="A39" t="s">
        <v>193</v>
      </c>
      <c r="B39">
        <v>72</v>
      </c>
      <c r="C39" t="s">
        <v>7</v>
      </c>
      <c r="D39" t="s">
        <v>8</v>
      </c>
      <c r="E39" t="s">
        <v>46</v>
      </c>
      <c r="G39" t="s">
        <v>47</v>
      </c>
      <c r="I39" t="s">
        <v>61</v>
      </c>
      <c r="K39" t="s">
        <v>268</v>
      </c>
      <c r="M39" t="s">
        <v>269</v>
      </c>
      <c r="O39">
        <v>0.99</v>
      </c>
      <c r="P39" s="9" t="s">
        <v>270</v>
      </c>
      <c r="Q39" s="9">
        <v>95.7</v>
      </c>
      <c r="R39" s="9">
        <v>1</v>
      </c>
      <c r="S39">
        <v>32</v>
      </c>
      <c r="T39" s="9">
        <v>40</v>
      </c>
      <c r="U39" s="11">
        <f t="shared" si="1"/>
        <v>9.1909124852801796E-4</v>
      </c>
      <c r="V39" s="11">
        <f t="shared" si="2"/>
        <v>1.7343797424446083E-3</v>
      </c>
      <c r="X39" s="11">
        <f t="shared" si="6"/>
        <v>9.1909124852801796E-4</v>
      </c>
      <c r="Y39" s="12">
        <f t="shared" si="7"/>
        <v>0.97802797483987736</v>
      </c>
      <c r="AA39" s="25" t="str">
        <f>IF(P39="*","-",IFERROR(VLOOKUP(P39,'AE-W1'!$P$4:$T$126,4,FALSE),"-"))</f>
        <v>-</v>
      </c>
      <c r="AB39" s="25" t="str">
        <f>IF(P39="*","-",IFERROR(VLOOKUP(P39,'AE-W2'!$P$4:$T$107,4,FALSE),"-"))</f>
        <v>-</v>
      </c>
      <c r="AC39" s="25">
        <f>IF(P39="*","-",IFERROR(VLOOKUP(P39,'All MECSM samples'!$P$4:$AD$454,15,FALSE),"-"))</f>
        <v>51</v>
      </c>
      <c r="AD39" s="25"/>
      <c r="AE39">
        <v>100</v>
      </c>
      <c r="AF39">
        <v>37</v>
      </c>
      <c r="AH39">
        <f t="shared" si="4"/>
        <v>1</v>
      </c>
      <c r="AI39">
        <f t="shared" si="5"/>
        <v>1</v>
      </c>
      <c r="AJ39" s="11">
        <f>SUM(AH$5:AH39)/SUM(AI$5:AI39)</f>
        <v>1</v>
      </c>
    </row>
    <row r="40" spans="1:36" x14ac:dyDescent="0.35">
      <c r="A40" t="s">
        <v>128</v>
      </c>
      <c r="B40">
        <v>70</v>
      </c>
      <c r="C40" t="s">
        <v>7</v>
      </c>
      <c r="D40" t="s">
        <v>8</v>
      </c>
      <c r="E40" t="s">
        <v>46</v>
      </c>
      <c r="G40" t="s">
        <v>47</v>
      </c>
      <c r="I40" t="s">
        <v>61</v>
      </c>
      <c r="K40" t="s">
        <v>190</v>
      </c>
      <c r="M40" t="s">
        <v>191</v>
      </c>
      <c r="O40">
        <v>0.99</v>
      </c>
      <c r="P40" s="9" t="s">
        <v>192</v>
      </c>
      <c r="Q40">
        <v>100</v>
      </c>
      <c r="R40">
        <v>1</v>
      </c>
      <c r="S40">
        <v>46</v>
      </c>
      <c r="T40">
        <v>24</v>
      </c>
      <c r="U40" s="11">
        <f t="shared" si="1"/>
        <v>1.3211936697590258E-3</v>
      </c>
      <c r="V40" s="11">
        <f t="shared" si="2"/>
        <v>1.0406278454667649E-3</v>
      </c>
      <c r="X40" s="15">
        <f t="shared" si="6"/>
        <v>1.3211936697590258E-3</v>
      </c>
      <c r="Y40" s="16">
        <f t="shared" si="7"/>
        <v>0.97934916850963638</v>
      </c>
      <c r="AA40" s="25">
        <f>IF(P40="*","-",IFERROR(VLOOKUP(P40,'AE-W1'!$P$4:$T$126,4,FALSE),"-"))</f>
        <v>169</v>
      </c>
      <c r="AB40" s="25" t="str">
        <f>IF(P40="*","-",IFERROR(VLOOKUP(P40,'AE-W2'!$P$4:$T$107,4,FALSE),"-"))</f>
        <v>-</v>
      </c>
      <c r="AC40" s="25">
        <f>IF(P40="*","-",IFERROR(VLOOKUP(P40,'All MECSM samples'!$P$4:$AD$454,15,FALSE),"-"))</f>
        <v>245</v>
      </c>
      <c r="AD40" s="25"/>
      <c r="AE40">
        <v>100</v>
      </c>
      <c r="AF40">
        <v>18</v>
      </c>
      <c r="AH40">
        <f t="shared" si="4"/>
        <v>1</v>
      </c>
      <c r="AI40">
        <f t="shared" si="5"/>
        <v>1</v>
      </c>
      <c r="AJ40" s="11">
        <f>SUM(AH$5:AH40)/SUM(AI$5:AI40)</f>
        <v>1</v>
      </c>
    </row>
    <row r="41" spans="1:36" x14ac:dyDescent="0.35">
      <c r="A41" t="s">
        <v>181</v>
      </c>
      <c r="B41">
        <v>59</v>
      </c>
      <c r="C41" t="s">
        <v>7</v>
      </c>
      <c r="D41" t="s">
        <v>8</v>
      </c>
      <c r="E41" t="s">
        <v>46</v>
      </c>
      <c r="G41" t="s">
        <v>47</v>
      </c>
      <c r="I41" t="s">
        <v>69</v>
      </c>
      <c r="K41" t="s">
        <v>70</v>
      </c>
      <c r="O41">
        <v>0.55000000000000004</v>
      </c>
      <c r="P41" s="9" t="s">
        <v>610</v>
      </c>
      <c r="Q41">
        <v>89.7</v>
      </c>
      <c r="R41">
        <v>2</v>
      </c>
      <c r="S41">
        <v>33</v>
      </c>
      <c r="T41">
        <v>26</v>
      </c>
      <c r="U41" s="11">
        <f t="shared" si="1"/>
        <v>9.4781285004451852E-4</v>
      </c>
      <c r="V41" s="11">
        <f t="shared" si="2"/>
        <v>1.1273468325889954E-3</v>
      </c>
      <c r="X41" s="15">
        <f t="shared" si="6"/>
        <v>9.4781285004451852E-4</v>
      </c>
      <c r="Y41" s="52">
        <f t="shared" si="7"/>
        <v>0.98029698135968091</v>
      </c>
      <c r="AA41" s="25" t="str">
        <f>IF(P41="*","-",IFERROR(VLOOKUP(P41,'AE-W1'!$P$4:$T$126,4,FALSE),"-"))</f>
        <v>-</v>
      </c>
      <c r="AB41" s="25">
        <f>IF(P41="*","-",IFERROR(VLOOKUP(P41,'AE-W2'!$P$4:$T$107,4,FALSE),"-"))</f>
        <v>6</v>
      </c>
      <c r="AC41" s="25">
        <f>IF(P41="*","-",IFERROR(VLOOKUP(P41,'All MECSM samples'!$P$4:$AD$454,15,FALSE),"-"))</f>
        <v>33</v>
      </c>
      <c r="AD41" s="25"/>
      <c r="AE41">
        <v>100</v>
      </c>
      <c r="AF41">
        <v>136</v>
      </c>
      <c r="AH41">
        <f t="shared" si="4"/>
        <v>1</v>
      </c>
      <c r="AI41">
        <f t="shared" si="5"/>
        <v>1</v>
      </c>
      <c r="AJ41" s="11">
        <f>SUM(AH$5:AH41)/SUM(AI$5:AI41)</f>
        <v>1</v>
      </c>
    </row>
    <row r="42" spans="1:36" x14ac:dyDescent="0.35">
      <c r="A42" t="s">
        <v>119</v>
      </c>
      <c r="B42">
        <v>57</v>
      </c>
      <c r="C42" t="s">
        <v>7</v>
      </c>
      <c r="D42" t="s">
        <v>8</v>
      </c>
      <c r="E42" t="s">
        <v>120</v>
      </c>
      <c r="G42" t="s">
        <v>121</v>
      </c>
      <c r="I42" t="s">
        <v>122</v>
      </c>
      <c r="K42" t="s">
        <v>123</v>
      </c>
      <c r="O42">
        <v>0.63</v>
      </c>
      <c r="P42" s="9" t="s">
        <v>324</v>
      </c>
      <c r="Q42">
        <v>86.6</v>
      </c>
      <c r="R42">
        <v>2</v>
      </c>
      <c r="S42">
        <v>22</v>
      </c>
      <c r="T42">
        <v>35</v>
      </c>
      <c r="U42" s="11">
        <f t="shared" si="1"/>
        <v>6.3187523336301235E-4</v>
      </c>
      <c r="V42" s="11">
        <f t="shared" si="2"/>
        <v>1.5175822746390322E-3</v>
      </c>
      <c r="X42" s="15">
        <f t="shared" si="6"/>
        <v>6.3187523336301235E-4</v>
      </c>
      <c r="Y42" s="16">
        <f t="shared" si="7"/>
        <v>0.98092885659304396</v>
      </c>
      <c r="AA42" s="25" t="str">
        <f>IF(P42="*","-",IFERROR(VLOOKUP(P42,'AE-W1'!$P$4:$T$126,4,FALSE),"-"))</f>
        <v>-</v>
      </c>
      <c r="AB42" s="25" t="str">
        <f>IF(P42="*","-",IFERROR(VLOOKUP(P42,'AE-W2'!$P$4:$T$107,4,FALSE),"-"))</f>
        <v>-</v>
      </c>
      <c r="AC42" s="25">
        <f>IF(P42="*","-",IFERROR(VLOOKUP(P42,'All MECSM samples'!$P$4:$AD$454,15,FALSE),"-"))</f>
        <v>22</v>
      </c>
      <c r="AD42" s="25"/>
      <c r="AE42">
        <v>100</v>
      </c>
      <c r="AF42">
        <v>10</v>
      </c>
      <c r="AH42">
        <f t="shared" si="4"/>
        <v>1</v>
      </c>
      <c r="AI42">
        <f t="shared" si="5"/>
        <v>1</v>
      </c>
      <c r="AJ42" s="11">
        <f>SUM(AH$5:AH42)/SUM(AI$5:AI42)</f>
        <v>1</v>
      </c>
    </row>
    <row r="43" spans="1:36" x14ac:dyDescent="0.35">
      <c r="A43" t="s">
        <v>137</v>
      </c>
      <c r="B43">
        <v>55</v>
      </c>
      <c r="C43" t="s">
        <v>7</v>
      </c>
      <c r="D43" t="s">
        <v>8</v>
      </c>
      <c r="E43" t="s">
        <v>46</v>
      </c>
      <c r="G43" t="s">
        <v>64</v>
      </c>
      <c r="I43" t="s">
        <v>65</v>
      </c>
      <c r="K43" t="s">
        <v>66</v>
      </c>
      <c r="O43">
        <v>0.83</v>
      </c>
      <c r="P43" s="9" t="s">
        <v>281</v>
      </c>
      <c r="Q43">
        <v>89.3</v>
      </c>
      <c r="R43">
        <v>1</v>
      </c>
      <c r="S43">
        <v>28</v>
      </c>
      <c r="T43">
        <v>27</v>
      </c>
      <c r="U43" s="11">
        <f t="shared" si="1"/>
        <v>8.0420484246201572E-4</v>
      </c>
      <c r="V43" s="11">
        <f t="shared" si="2"/>
        <v>1.1707063261501105E-3</v>
      </c>
      <c r="X43" s="15">
        <f t="shared" si="6"/>
        <v>8.0420484246201572E-4</v>
      </c>
      <c r="Y43" s="16">
        <f t="shared" si="7"/>
        <v>0.98173306143550598</v>
      </c>
      <c r="AA43" s="25" t="str">
        <f>IF(P43="*","-",IFERROR(VLOOKUP(P43,'AE-W1'!$P$4:$T$126,4,FALSE),"-"))</f>
        <v>-</v>
      </c>
      <c r="AB43" s="25" t="str">
        <f>IF(P43="*","-",IFERROR(VLOOKUP(P43,'AE-W2'!$P$4:$T$107,4,FALSE),"-"))</f>
        <v>-</v>
      </c>
      <c r="AC43" s="25">
        <f>IF(P43="*","-",IFERROR(VLOOKUP(P43,'All MECSM samples'!$P$4:$AD$454,15,FALSE),"-"))</f>
        <v>28</v>
      </c>
      <c r="AD43" s="25"/>
      <c r="AE43">
        <v>100</v>
      </c>
      <c r="AF43">
        <v>16</v>
      </c>
      <c r="AH43">
        <f t="shared" si="4"/>
        <v>1</v>
      </c>
      <c r="AI43">
        <f t="shared" si="5"/>
        <v>1</v>
      </c>
      <c r="AJ43" s="11">
        <f>SUM(AH$5:AH43)/SUM(AI$5:AI43)</f>
        <v>1</v>
      </c>
    </row>
    <row r="44" spans="1:36" x14ac:dyDescent="0.35">
      <c r="A44" t="s">
        <v>349</v>
      </c>
      <c r="B44">
        <v>51</v>
      </c>
      <c r="C44" t="s">
        <v>7</v>
      </c>
      <c r="D44" t="s">
        <v>8</v>
      </c>
      <c r="O44">
        <v>0.99</v>
      </c>
      <c r="P44" s="9" t="s">
        <v>98</v>
      </c>
      <c r="Q44">
        <v>0</v>
      </c>
      <c r="R44">
        <v>1</v>
      </c>
      <c r="S44">
        <v>11</v>
      </c>
      <c r="T44">
        <v>40</v>
      </c>
      <c r="U44" s="11">
        <f t="shared" si="1"/>
        <v>3.1593761668150617E-4</v>
      </c>
      <c r="V44" s="11">
        <f t="shared" si="2"/>
        <v>1.7343797424446083E-3</v>
      </c>
      <c r="W44" s="9"/>
      <c r="X44" s="15">
        <f t="shared" si="6"/>
        <v>3.1593761668150617E-4</v>
      </c>
      <c r="Y44" s="16">
        <f t="shared" si="7"/>
        <v>0.98204899905218745</v>
      </c>
      <c r="Z44" s="9"/>
      <c r="AA44" s="25" t="str">
        <f>IF(P44="*","-",IFERROR(VLOOKUP(P44,'AE-W1'!$P$4:$T$126,4,FALSE),"-"))</f>
        <v>-</v>
      </c>
      <c r="AB44" s="25" t="str">
        <f>IF(P44="*","-",IFERROR(VLOOKUP(P44,'AE-W2'!$P$4:$T$107,4,FALSE),"-"))</f>
        <v>-</v>
      </c>
      <c r="AC44" s="25" t="str">
        <f>IF(P44="*","-",IFERROR(VLOOKUP(P44,'All MECSM samples'!$P$4:$AD$454,15,FALSE),"-"))</f>
        <v>-</v>
      </c>
      <c r="AD44" s="25"/>
      <c r="AE44">
        <v>100</v>
      </c>
      <c r="AF44">
        <v>26</v>
      </c>
      <c r="AH44">
        <f t="shared" si="4"/>
        <v>1</v>
      </c>
      <c r="AI44">
        <f t="shared" si="5"/>
        <v>1</v>
      </c>
      <c r="AJ44" s="11">
        <f>SUM(AH$5:AH44)/SUM(AI$5:AI44)</f>
        <v>1</v>
      </c>
    </row>
    <row r="45" spans="1:36" x14ac:dyDescent="0.35">
      <c r="A45" t="s">
        <v>197</v>
      </c>
      <c r="B45">
        <v>50</v>
      </c>
      <c r="C45" t="s">
        <v>7</v>
      </c>
      <c r="D45" t="s">
        <v>8</v>
      </c>
      <c r="E45" t="s">
        <v>46</v>
      </c>
      <c r="G45" t="s">
        <v>47</v>
      </c>
      <c r="I45" t="s">
        <v>61</v>
      </c>
      <c r="O45">
        <v>0.52</v>
      </c>
      <c r="P45" s="9" t="s">
        <v>288</v>
      </c>
      <c r="Q45">
        <v>88.2</v>
      </c>
      <c r="R45">
        <v>1</v>
      </c>
      <c r="S45">
        <v>39</v>
      </c>
      <c r="T45">
        <v>11</v>
      </c>
      <c r="U45" s="11">
        <f t="shared" si="1"/>
        <v>1.1201424591435218E-3</v>
      </c>
      <c r="V45" s="11">
        <f t="shared" si="2"/>
        <v>4.7695442917226725E-4</v>
      </c>
      <c r="X45" s="15">
        <f t="shared" si="6"/>
        <v>1.1201424591435218E-3</v>
      </c>
      <c r="Y45" s="16">
        <f t="shared" si="7"/>
        <v>0.98316914151133095</v>
      </c>
      <c r="AA45" s="25" t="str">
        <f>IF(P45="*","-",IFERROR(VLOOKUP(P45,'AE-W1'!$P$4:$T$126,4,FALSE),"-"))</f>
        <v>-</v>
      </c>
      <c r="AB45" s="25" t="str">
        <f>IF(P45="*","-",IFERROR(VLOOKUP(P45,'AE-W2'!$P$4:$T$107,4,FALSE),"-"))</f>
        <v>-</v>
      </c>
      <c r="AC45" s="25">
        <f>IF(P45="*","-",IFERROR(VLOOKUP(P45,'All MECSM samples'!$P$4:$AD$454,15,FALSE),"-"))</f>
        <v>50</v>
      </c>
      <c r="AD45" s="25"/>
      <c r="AE45">
        <v>100</v>
      </c>
      <c r="AF45">
        <v>11</v>
      </c>
      <c r="AH45">
        <f t="shared" si="4"/>
        <v>1</v>
      </c>
      <c r="AI45">
        <f t="shared" si="5"/>
        <v>1</v>
      </c>
      <c r="AJ45" s="11">
        <f>SUM(AH$5:AH45)/SUM(AI$5:AI45)</f>
        <v>1</v>
      </c>
    </row>
    <row r="46" spans="1:36" x14ac:dyDescent="0.35">
      <c r="A46" t="s">
        <v>164</v>
      </c>
      <c r="B46">
        <v>45</v>
      </c>
      <c r="C46" t="s">
        <v>7</v>
      </c>
      <c r="D46" t="s">
        <v>8</v>
      </c>
      <c r="E46" t="s">
        <v>9</v>
      </c>
      <c r="G46" t="s">
        <v>138</v>
      </c>
      <c r="I46" t="s">
        <v>296</v>
      </c>
      <c r="K46" t="s">
        <v>297</v>
      </c>
      <c r="M46" t="s">
        <v>298</v>
      </c>
      <c r="O46">
        <v>1</v>
      </c>
      <c r="P46" s="64" t="s">
        <v>299</v>
      </c>
      <c r="Q46">
        <v>100</v>
      </c>
      <c r="R46">
        <v>1</v>
      </c>
      <c r="S46">
        <v>0</v>
      </c>
      <c r="T46" s="63">
        <v>45</v>
      </c>
      <c r="U46" s="11">
        <f t="shared" si="1"/>
        <v>0</v>
      </c>
      <c r="V46" s="11">
        <f t="shared" si="2"/>
        <v>1.9511772102501844E-3</v>
      </c>
      <c r="X46" s="15">
        <f t="shared" si="6"/>
        <v>0</v>
      </c>
      <c r="Y46" s="16">
        <f t="shared" si="7"/>
        <v>0.98316914151133095</v>
      </c>
      <c r="AA46" s="25" t="str">
        <f>IF(P46="*","-",IFERROR(VLOOKUP(P46,'AE-W1'!$P$4:$T$126,4,FALSE),"-"))</f>
        <v>-</v>
      </c>
      <c r="AB46" s="25" t="str">
        <f>IF(P46="*","-",IFERROR(VLOOKUP(P46,'AE-W2'!$P$4:$T$107,4,FALSE),"-"))</f>
        <v>-</v>
      </c>
      <c r="AC46" s="25" t="str">
        <f>IF(P46="*","-",IFERROR(VLOOKUP(P46,'All MECSM samples'!$P$4:$AD$454,15,FALSE),"-"))</f>
        <v>-</v>
      </c>
      <c r="AD46" s="25"/>
      <c r="AE46">
        <v>100</v>
      </c>
      <c r="AF46">
        <v>16</v>
      </c>
      <c r="AH46">
        <f t="shared" si="4"/>
        <v>0</v>
      </c>
      <c r="AI46">
        <f t="shared" si="5"/>
        <v>0</v>
      </c>
      <c r="AJ46" s="11">
        <f>SUM(AH$5:AH46)/SUM(AI$5:AI46)</f>
        <v>1</v>
      </c>
    </row>
    <row r="47" spans="1:36" x14ac:dyDescent="0.35">
      <c r="A47" t="s">
        <v>209</v>
      </c>
      <c r="B47">
        <v>41</v>
      </c>
      <c r="C47" t="s">
        <v>7</v>
      </c>
      <c r="D47" t="s">
        <v>8</v>
      </c>
      <c r="E47" t="s">
        <v>46</v>
      </c>
      <c r="G47" t="s">
        <v>47</v>
      </c>
      <c r="I47" t="s">
        <v>61</v>
      </c>
      <c r="K47" t="s">
        <v>190</v>
      </c>
      <c r="M47" t="s">
        <v>273</v>
      </c>
      <c r="O47">
        <v>0.92</v>
      </c>
      <c r="P47" s="9" t="s">
        <v>614</v>
      </c>
      <c r="Q47">
        <v>97.2</v>
      </c>
      <c r="R47">
        <v>1</v>
      </c>
      <c r="S47">
        <v>29</v>
      </c>
      <c r="T47">
        <v>12</v>
      </c>
      <c r="U47" s="11">
        <f t="shared" si="1"/>
        <v>8.3292644397851628E-4</v>
      </c>
      <c r="V47" s="11">
        <f t="shared" si="2"/>
        <v>5.2031392273338244E-4</v>
      </c>
      <c r="X47" s="15">
        <f t="shared" si="6"/>
        <v>8.3292644397851628E-4</v>
      </c>
      <c r="Y47" s="16">
        <f t="shared" si="7"/>
        <v>0.98400206795530942</v>
      </c>
      <c r="AA47" s="25" t="str">
        <f>IF(P47="*","-",IFERROR(VLOOKUP(P47,'AE-W1'!$P$4:$T$126,4,FALSE),"-"))</f>
        <v>-</v>
      </c>
      <c r="AB47" s="25" t="str">
        <f>IF(P47="*","-",IFERROR(VLOOKUP(P47,'AE-W2'!$P$4:$T$107,4,FALSE),"-"))</f>
        <v>-</v>
      </c>
      <c r="AC47" s="25">
        <f>IF(P47="*","-",IFERROR(VLOOKUP(P47,'All MECSM samples'!$P$4:$AD$454,15,FALSE),"-"))</f>
        <v>32</v>
      </c>
      <c r="AD47" s="25"/>
      <c r="AE47">
        <v>100</v>
      </c>
      <c r="AF47">
        <v>109</v>
      </c>
      <c r="AH47">
        <f t="shared" si="4"/>
        <v>1</v>
      </c>
      <c r="AI47">
        <f t="shared" si="5"/>
        <v>1</v>
      </c>
      <c r="AJ47" s="11">
        <f>SUM(AH$5:AH47)/SUM(AI$5:AI47)</f>
        <v>1</v>
      </c>
    </row>
    <row r="48" spans="1:36" x14ac:dyDescent="0.35">
      <c r="A48" t="s">
        <v>142</v>
      </c>
      <c r="B48">
        <v>38</v>
      </c>
      <c r="C48" t="s">
        <v>7</v>
      </c>
      <c r="D48" t="s">
        <v>8</v>
      </c>
      <c r="E48" t="s">
        <v>46</v>
      </c>
      <c r="G48" t="s">
        <v>47</v>
      </c>
      <c r="I48" t="s">
        <v>61</v>
      </c>
      <c r="K48" t="s">
        <v>238</v>
      </c>
      <c r="M48" t="s">
        <v>239</v>
      </c>
      <c r="O48">
        <v>1</v>
      </c>
      <c r="P48" s="9" t="s">
        <v>787</v>
      </c>
      <c r="Q48">
        <v>98</v>
      </c>
      <c r="R48">
        <v>1</v>
      </c>
      <c r="S48">
        <v>17</v>
      </c>
      <c r="T48">
        <v>21</v>
      </c>
      <c r="U48" s="11">
        <f t="shared" si="1"/>
        <v>4.8826722578050954E-4</v>
      </c>
      <c r="V48" s="11">
        <f t="shared" si="2"/>
        <v>9.1054936478341937E-4</v>
      </c>
      <c r="X48" s="15">
        <f t="shared" si="6"/>
        <v>4.8826722578050954E-4</v>
      </c>
      <c r="Y48" s="16">
        <f t="shared" si="7"/>
        <v>0.98449033518108997</v>
      </c>
      <c r="AA48" s="25" t="str">
        <f>IF(P48="*","-",IFERROR(VLOOKUP(P48,'AE-W1'!$P$4:$T$126,4,FALSE),"-"))</f>
        <v>-</v>
      </c>
      <c r="AB48" s="25" t="str">
        <f>IF(P48="*","-",IFERROR(VLOOKUP(P48,'AE-W2'!$P$4:$T$107,4,FALSE),"-"))</f>
        <v>-</v>
      </c>
      <c r="AC48" s="25">
        <f>IF(P48="*","-",IFERROR(VLOOKUP(P48,'All MECSM samples'!$P$4:$AD$454,15,FALSE),"-"))</f>
        <v>17</v>
      </c>
      <c r="AD48" s="25"/>
      <c r="AE48">
        <v>100</v>
      </c>
      <c r="AF48">
        <v>13</v>
      </c>
      <c r="AH48">
        <f t="shared" si="4"/>
        <v>1</v>
      </c>
      <c r="AI48">
        <f t="shared" si="5"/>
        <v>1</v>
      </c>
      <c r="AJ48" s="11">
        <f>SUM(AH$5:AH48)/SUM(AI$5:AI48)</f>
        <v>1</v>
      </c>
    </row>
    <row r="49" spans="1:36" x14ac:dyDescent="0.35">
      <c r="A49" t="s">
        <v>148</v>
      </c>
      <c r="B49">
        <v>33</v>
      </c>
      <c r="C49" t="s">
        <v>7</v>
      </c>
      <c r="D49" t="s">
        <v>24</v>
      </c>
      <c r="E49" t="s">
        <v>25</v>
      </c>
      <c r="G49" t="s">
        <v>26</v>
      </c>
      <c r="I49" t="s">
        <v>27</v>
      </c>
      <c r="K49" t="s">
        <v>28</v>
      </c>
      <c r="M49" t="s">
        <v>29</v>
      </c>
      <c r="O49">
        <v>1</v>
      </c>
      <c r="P49" s="9" t="s">
        <v>283</v>
      </c>
      <c r="Q49">
        <v>99.6</v>
      </c>
      <c r="R49">
        <v>1</v>
      </c>
      <c r="S49">
        <v>33</v>
      </c>
      <c r="T49">
        <v>0</v>
      </c>
      <c r="U49" s="11">
        <f t="shared" si="1"/>
        <v>9.4781285004451852E-4</v>
      </c>
      <c r="V49" s="11">
        <f t="shared" si="2"/>
        <v>0</v>
      </c>
      <c r="X49" s="15">
        <f t="shared" si="6"/>
        <v>9.4781285004451852E-4</v>
      </c>
      <c r="Y49" s="16">
        <f t="shared" si="7"/>
        <v>0.9854381480311345</v>
      </c>
      <c r="AA49" s="25">
        <f>IF(P49="*","-",IFERROR(VLOOKUP(P49,'AE-W1'!$P$4:$T$126,4,FALSE),"-"))</f>
        <v>10</v>
      </c>
      <c r="AB49" s="25">
        <f>IF(P49="*","-",IFERROR(VLOOKUP(P49,'AE-W2'!$P$4:$T$107,4,FALSE),"-"))</f>
        <v>18</v>
      </c>
      <c r="AC49" s="25">
        <f>IF(P49="*","-",IFERROR(VLOOKUP(P49,'All MECSM samples'!$P$4:$AD$454,15,FALSE),"-"))</f>
        <v>22906</v>
      </c>
      <c r="AD49" s="25"/>
      <c r="AE49">
        <v>100</v>
      </c>
      <c r="AF49">
        <v>39</v>
      </c>
      <c r="AH49">
        <f t="shared" si="4"/>
        <v>0</v>
      </c>
      <c r="AI49">
        <f t="shared" si="5"/>
        <v>1</v>
      </c>
      <c r="AJ49" s="11">
        <f>SUM(AH$5:AH49)/SUM(AI$5:AI49)</f>
        <v>0.97727272727272729</v>
      </c>
    </row>
    <row r="50" spans="1:36" x14ac:dyDescent="0.35">
      <c r="A50" t="s">
        <v>203</v>
      </c>
      <c r="B50">
        <v>31</v>
      </c>
      <c r="C50" t="s">
        <v>7</v>
      </c>
      <c r="D50" t="s">
        <v>8</v>
      </c>
      <c r="E50" t="s">
        <v>9</v>
      </c>
      <c r="G50" t="s">
        <v>78</v>
      </c>
      <c r="I50" t="s">
        <v>79</v>
      </c>
      <c r="K50" t="s">
        <v>80</v>
      </c>
      <c r="M50" t="s">
        <v>81</v>
      </c>
      <c r="O50">
        <v>0.62</v>
      </c>
      <c r="P50" s="9" t="s">
        <v>82</v>
      </c>
      <c r="Q50">
        <v>97.2</v>
      </c>
      <c r="R50">
        <v>1</v>
      </c>
      <c r="S50">
        <v>31</v>
      </c>
      <c r="T50">
        <v>0</v>
      </c>
      <c r="U50" s="11">
        <f t="shared" si="1"/>
        <v>8.903696470115174E-4</v>
      </c>
      <c r="V50" s="11">
        <f t="shared" si="2"/>
        <v>0</v>
      </c>
      <c r="X50" s="15">
        <f t="shared" si="6"/>
        <v>8.903696470115174E-4</v>
      </c>
      <c r="Y50" s="16">
        <f t="shared" si="7"/>
        <v>0.986328517678146</v>
      </c>
      <c r="AA50" s="25">
        <f>IF(P50="*","-",IFERROR(VLOOKUP(P50,'AE-W1'!$P$4:$T$126,4,FALSE),"-"))</f>
        <v>2340</v>
      </c>
      <c r="AB50" s="25">
        <f>IF(P50="*","-",IFERROR(VLOOKUP(P50,'AE-W2'!$P$4:$T$107,4,FALSE),"-"))</f>
        <v>41</v>
      </c>
      <c r="AC50" s="25">
        <f>IF(P50="*","-",IFERROR(VLOOKUP(P50,'All MECSM samples'!$P$4:$AD$454,15,FALSE),"-"))</f>
        <v>14011</v>
      </c>
      <c r="AD50" s="25"/>
      <c r="AE50">
        <v>0</v>
      </c>
      <c r="AF50">
        <v>0</v>
      </c>
      <c r="AH50">
        <f t="shared" si="4"/>
        <v>0</v>
      </c>
      <c r="AI50">
        <f t="shared" si="5"/>
        <v>0</v>
      </c>
      <c r="AJ50" s="11">
        <f>SUM(AH$5:AH50)/SUM(AI$5:AI50)</f>
        <v>0.97727272727272729</v>
      </c>
    </row>
    <row r="51" spans="1:36" x14ac:dyDescent="0.35">
      <c r="A51" t="s">
        <v>159</v>
      </c>
      <c r="B51">
        <v>29</v>
      </c>
      <c r="C51" t="s">
        <v>7</v>
      </c>
      <c r="D51" t="s">
        <v>24</v>
      </c>
      <c r="E51" t="s">
        <v>25</v>
      </c>
      <c r="G51" t="s">
        <v>40</v>
      </c>
      <c r="I51" t="s">
        <v>56</v>
      </c>
      <c r="K51" t="s">
        <v>57</v>
      </c>
      <c r="M51" t="s">
        <v>58</v>
      </c>
      <c r="O51">
        <v>1</v>
      </c>
      <c r="P51" s="9" t="s">
        <v>59</v>
      </c>
      <c r="Q51">
        <v>99.6</v>
      </c>
      <c r="R51">
        <v>1</v>
      </c>
      <c r="S51">
        <v>29</v>
      </c>
      <c r="T51">
        <v>0</v>
      </c>
      <c r="U51" s="11">
        <f t="shared" si="1"/>
        <v>8.3292644397851628E-4</v>
      </c>
      <c r="V51" s="11">
        <f t="shared" si="2"/>
        <v>0</v>
      </c>
      <c r="X51" s="15">
        <f t="shared" si="6"/>
        <v>8.3292644397851628E-4</v>
      </c>
      <c r="Y51" s="16">
        <f t="shared" si="7"/>
        <v>0.98716144412212448</v>
      </c>
      <c r="AA51" s="25">
        <f>IF(P51="*","-",IFERROR(VLOOKUP(P51,'AE-W1'!$P$4:$T$126,4,FALSE),"-"))</f>
        <v>3312</v>
      </c>
      <c r="AB51" s="25">
        <f>IF(P51="*","-",IFERROR(VLOOKUP(P51,'AE-W2'!$P$4:$T$107,4,FALSE),"-"))</f>
        <v>30</v>
      </c>
      <c r="AC51" s="25">
        <f>IF(P51="*","-",IFERROR(VLOOKUP(P51,'All MECSM samples'!$P$4:$AD$454,15,FALSE),"-"))</f>
        <v>10512</v>
      </c>
      <c r="AD51" s="25"/>
      <c r="AE51">
        <v>18</v>
      </c>
      <c r="AF51">
        <v>1</v>
      </c>
      <c r="AH51">
        <f t="shared" si="4"/>
        <v>0</v>
      </c>
      <c r="AI51">
        <f t="shared" si="5"/>
        <v>0</v>
      </c>
      <c r="AJ51" s="11">
        <f>SUM(AH$5:AH51)/SUM(AI$5:AI51)</f>
        <v>0.97727272727272729</v>
      </c>
    </row>
    <row r="52" spans="1:36" x14ac:dyDescent="0.35">
      <c r="A52" t="s">
        <v>189</v>
      </c>
      <c r="B52">
        <v>27</v>
      </c>
      <c r="C52" t="s">
        <v>7</v>
      </c>
      <c r="D52" t="s">
        <v>8</v>
      </c>
      <c r="E52" t="s">
        <v>46</v>
      </c>
      <c r="G52" t="s">
        <v>47</v>
      </c>
      <c r="I52" t="s">
        <v>61</v>
      </c>
      <c r="O52">
        <v>0.84</v>
      </c>
      <c r="P52" s="9" t="s">
        <v>321</v>
      </c>
      <c r="Q52">
        <v>90.9</v>
      </c>
      <c r="R52">
        <v>1</v>
      </c>
      <c r="S52">
        <v>14</v>
      </c>
      <c r="T52">
        <v>13</v>
      </c>
      <c r="U52" s="11">
        <f t="shared" si="1"/>
        <v>4.0210242123100786E-4</v>
      </c>
      <c r="V52" s="11">
        <f t="shared" si="2"/>
        <v>5.6367341629449768E-4</v>
      </c>
      <c r="X52" s="15">
        <f t="shared" si="6"/>
        <v>4.0210242123100786E-4</v>
      </c>
      <c r="Y52" s="16">
        <f t="shared" si="7"/>
        <v>0.98756354654335543</v>
      </c>
      <c r="AA52" s="25">
        <f>IF(P52="*","-",IFERROR(VLOOKUP(P52,'AE-W1'!$P$4:$T$126,4,FALSE),"-"))</f>
        <v>18</v>
      </c>
      <c r="AB52" s="25" t="str">
        <f>IF(P52="*","-",IFERROR(VLOOKUP(P52,'AE-W2'!$P$4:$T$107,4,FALSE),"-"))</f>
        <v>-</v>
      </c>
      <c r="AC52" s="25">
        <f>IF(P52="*","-",IFERROR(VLOOKUP(P52,'All MECSM samples'!$P$4:$AD$454,15,FALSE),"-"))</f>
        <v>276</v>
      </c>
      <c r="AD52" s="25"/>
      <c r="AE52">
        <v>97</v>
      </c>
      <c r="AF52">
        <v>263</v>
      </c>
      <c r="AH52">
        <f t="shared" si="4"/>
        <v>1</v>
      </c>
      <c r="AI52">
        <f t="shared" si="5"/>
        <v>1</v>
      </c>
      <c r="AJ52" s="11">
        <f>SUM(AH$5:AH52)/SUM(AI$5:AI52)</f>
        <v>0.97777777777777775</v>
      </c>
    </row>
    <row r="53" spans="1:36" x14ac:dyDescent="0.35">
      <c r="A53" t="s">
        <v>149</v>
      </c>
      <c r="B53">
        <v>26</v>
      </c>
      <c r="C53" t="s">
        <v>7</v>
      </c>
      <c r="D53" t="s">
        <v>8</v>
      </c>
      <c r="E53" t="s">
        <v>46</v>
      </c>
      <c r="G53" t="s">
        <v>47</v>
      </c>
      <c r="I53" t="s">
        <v>61</v>
      </c>
      <c r="K53" t="s">
        <v>210</v>
      </c>
      <c r="M53" t="s">
        <v>211</v>
      </c>
      <c r="O53">
        <v>0.94</v>
      </c>
      <c r="P53" s="9" t="s">
        <v>360</v>
      </c>
      <c r="Q53">
        <v>94.5</v>
      </c>
      <c r="R53">
        <v>1</v>
      </c>
      <c r="S53">
        <v>2</v>
      </c>
      <c r="T53">
        <v>24</v>
      </c>
      <c r="U53" s="11">
        <f t="shared" si="1"/>
        <v>5.7443203033001123E-5</v>
      </c>
      <c r="V53" s="11">
        <f t="shared" si="2"/>
        <v>1.0406278454667649E-3</v>
      </c>
      <c r="X53" s="15">
        <f t="shared" si="6"/>
        <v>5.7443203033001123E-5</v>
      </c>
      <c r="Y53" s="16">
        <f t="shared" si="7"/>
        <v>0.98762098974638846</v>
      </c>
      <c r="AA53" s="25">
        <f>IF(P53="*","-",IFERROR(VLOOKUP(P53,'AE-W1'!$P$4:$T$126,4,FALSE),"-"))</f>
        <v>11</v>
      </c>
      <c r="AB53" s="25">
        <f>IF(P53="*","-",IFERROR(VLOOKUP(P53,'AE-W2'!$P$4:$T$107,4,FALSE),"-"))</f>
        <v>9</v>
      </c>
      <c r="AC53" s="25">
        <f>IF(P53="*","-",IFERROR(VLOOKUP(P53,'All MECSM samples'!$P$4:$AD$454,15,FALSE),"-"))</f>
        <v>1108</v>
      </c>
      <c r="AD53" s="25"/>
      <c r="AE53">
        <v>100</v>
      </c>
      <c r="AF53">
        <v>11</v>
      </c>
      <c r="AH53">
        <f t="shared" si="4"/>
        <v>1</v>
      </c>
      <c r="AI53">
        <f t="shared" si="5"/>
        <v>1</v>
      </c>
      <c r="AJ53" s="11">
        <f>SUM(AH$5:AH53)/SUM(AI$5:AI53)</f>
        <v>0.97826086956521741</v>
      </c>
    </row>
    <row r="54" spans="1:36" x14ac:dyDescent="0.35">
      <c r="A54" t="s">
        <v>171</v>
      </c>
      <c r="B54">
        <v>25</v>
      </c>
      <c r="C54" t="s">
        <v>7</v>
      </c>
      <c r="D54" t="s">
        <v>24</v>
      </c>
      <c r="E54" t="s">
        <v>25</v>
      </c>
      <c r="G54" t="s">
        <v>40</v>
      </c>
      <c r="I54" t="s">
        <v>56</v>
      </c>
      <c r="K54" t="s">
        <v>466</v>
      </c>
      <c r="M54" t="s">
        <v>467</v>
      </c>
      <c r="O54">
        <v>0.91</v>
      </c>
      <c r="P54" s="9" t="s">
        <v>468</v>
      </c>
      <c r="Q54">
        <v>96.5</v>
      </c>
      <c r="R54">
        <v>1</v>
      </c>
      <c r="S54">
        <v>6</v>
      </c>
      <c r="T54">
        <v>19</v>
      </c>
      <c r="U54" s="11">
        <f t="shared" si="1"/>
        <v>1.7232960909900337E-4</v>
      </c>
      <c r="V54" s="11">
        <f t="shared" si="2"/>
        <v>8.2383037766118889E-4</v>
      </c>
      <c r="X54" s="15">
        <f t="shared" si="6"/>
        <v>1.7232960909900337E-4</v>
      </c>
      <c r="Y54" s="16">
        <f t="shared" si="7"/>
        <v>0.98779331935548742</v>
      </c>
      <c r="AA54" s="25" t="str">
        <f>IF(P54="*","-",IFERROR(VLOOKUP(P54,'AE-W1'!$P$4:$T$126,4,FALSE),"-"))</f>
        <v>-</v>
      </c>
      <c r="AB54" s="25" t="str">
        <f>IF(P54="*","-",IFERROR(VLOOKUP(P54,'AE-W2'!$P$4:$T$107,4,FALSE),"-"))</f>
        <v>-</v>
      </c>
      <c r="AC54" s="25">
        <f>IF(P54="*","-",IFERROR(VLOOKUP(P54,'All MECSM samples'!$P$4:$AD$454,15,FALSE),"-"))</f>
        <v>6</v>
      </c>
      <c r="AD54" s="25"/>
      <c r="AE54">
        <v>100</v>
      </c>
      <c r="AF54">
        <v>11</v>
      </c>
      <c r="AH54">
        <f t="shared" si="4"/>
        <v>1</v>
      </c>
      <c r="AI54">
        <f t="shared" si="5"/>
        <v>1</v>
      </c>
      <c r="AJ54" s="11">
        <f>SUM(AH$5:AH54)/SUM(AI$5:AI54)</f>
        <v>0.97872340425531912</v>
      </c>
    </row>
    <row r="55" spans="1:36" x14ac:dyDescent="0.35">
      <c r="A55" t="s">
        <v>156</v>
      </c>
      <c r="B55">
        <v>24</v>
      </c>
      <c r="C55" t="s">
        <v>7</v>
      </c>
      <c r="D55" t="s">
        <v>8</v>
      </c>
      <c r="E55" t="s">
        <v>46</v>
      </c>
      <c r="G55" t="s">
        <v>47</v>
      </c>
      <c r="I55" t="s">
        <v>61</v>
      </c>
      <c r="M55" t="s">
        <v>334</v>
      </c>
      <c r="O55">
        <v>0.66</v>
      </c>
      <c r="P55" s="9" t="s">
        <v>335</v>
      </c>
      <c r="Q55">
        <v>96</v>
      </c>
      <c r="R55">
        <v>1</v>
      </c>
      <c r="S55">
        <v>17</v>
      </c>
      <c r="T55">
        <v>7</v>
      </c>
      <c r="U55" s="11">
        <f t="shared" si="1"/>
        <v>4.8826722578050954E-4</v>
      </c>
      <c r="V55" s="11">
        <f t="shared" si="2"/>
        <v>3.0351645492780646E-4</v>
      </c>
      <c r="X55" s="15">
        <f t="shared" si="6"/>
        <v>4.8826722578050954E-4</v>
      </c>
      <c r="Y55" s="16">
        <f t="shared" si="7"/>
        <v>0.98828158658126797</v>
      </c>
      <c r="AA55" s="25" t="str">
        <f>IF(P55="*","-",IFERROR(VLOOKUP(P55,'AE-W1'!$P$4:$T$126,4,FALSE),"-"))</f>
        <v>-</v>
      </c>
      <c r="AB55" s="25" t="str">
        <f>IF(P55="*","-",IFERROR(VLOOKUP(P55,'AE-W2'!$P$4:$T$107,4,FALSE),"-"))</f>
        <v>-</v>
      </c>
      <c r="AC55" s="25">
        <f>IF(P55="*","-",IFERROR(VLOOKUP(P55,'All MECSM samples'!$P$4:$AD$454,15,FALSE),"-"))</f>
        <v>23</v>
      </c>
      <c r="AD55" s="25"/>
      <c r="AE55">
        <v>100</v>
      </c>
      <c r="AF55">
        <v>175</v>
      </c>
      <c r="AH55">
        <f t="shared" si="4"/>
        <v>1</v>
      </c>
      <c r="AI55">
        <f t="shared" si="5"/>
        <v>1</v>
      </c>
      <c r="AJ55" s="11">
        <f>SUM(AH$5:AH55)/SUM(AI$5:AI55)</f>
        <v>0.97916666666666663</v>
      </c>
    </row>
    <row r="56" spans="1:36" x14ac:dyDescent="0.35">
      <c r="A56" t="s">
        <v>255</v>
      </c>
      <c r="B56">
        <v>23</v>
      </c>
      <c r="C56" t="s">
        <v>7</v>
      </c>
      <c r="D56" t="s">
        <v>8</v>
      </c>
      <c r="E56" t="s">
        <v>46</v>
      </c>
      <c r="G56" t="s">
        <v>47</v>
      </c>
      <c r="I56" t="s">
        <v>61</v>
      </c>
      <c r="O56">
        <v>0.85</v>
      </c>
      <c r="P56" s="9" t="s">
        <v>370</v>
      </c>
      <c r="Q56">
        <v>88.5</v>
      </c>
      <c r="R56">
        <v>1</v>
      </c>
      <c r="S56">
        <v>16</v>
      </c>
      <c r="T56">
        <v>7</v>
      </c>
      <c r="U56" s="11">
        <f t="shared" si="1"/>
        <v>4.5954562426400898E-4</v>
      </c>
      <c r="V56" s="11">
        <f t="shared" si="2"/>
        <v>3.0351645492780646E-4</v>
      </c>
      <c r="X56" s="15">
        <f t="shared" si="6"/>
        <v>4.5954562426400898E-4</v>
      </c>
      <c r="Y56" s="16">
        <f t="shared" si="7"/>
        <v>0.98874113220553195</v>
      </c>
      <c r="AA56" s="25" t="str">
        <f>IF(P56="*","-",IFERROR(VLOOKUP(P56,'AE-W1'!$P$4:$T$126,4,FALSE),"-"))</f>
        <v>-</v>
      </c>
      <c r="AB56" s="25" t="str">
        <f>IF(P56="*","-",IFERROR(VLOOKUP(P56,'AE-W2'!$P$4:$T$107,4,FALSE),"-"))</f>
        <v>-</v>
      </c>
      <c r="AC56" s="25">
        <f>IF(P56="*","-",IFERROR(VLOOKUP(P56,'All MECSM samples'!$P$4:$AD$454,15,FALSE),"-"))</f>
        <v>16</v>
      </c>
      <c r="AD56" s="25"/>
      <c r="AE56">
        <v>100</v>
      </c>
      <c r="AF56">
        <v>145</v>
      </c>
      <c r="AH56">
        <f t="shared" si="4"/>
        <v>1</v>
      </c>
      <c r="AI56">
        <f t="shared" si="5"/>
        <v>1</v>
      </c>
      <c r="AJ56" s="11">
        <f>SUM(AH$5:AH56)/SUM(AI$5:AI56)</f>
        <v>0.97959183673469385</v>
      </c>
    </row>
    <row r="57" spans="1:36" x14ac:dyDescent="0.35">
      <c r="A57" t="s">
        <v>237</v>
      </c>
      <c r="B57">
        <v>22</v>
      </c>
      <c r="C57" t="s">
        <v>7</v>
      </c>
      <c r="D57" t="s">
        <v>8</v>
      </c>
      <c r="E57" t="s">
        <v>120</v>
      </c>
      <c r="G57" t="s">
        <v>121</v>
      </c>
      <c r="I57" t="s">
        <v>122</v>
      </c>
      <c r="K57" t="s">
        <v>123</v>
      </c>
      <c r="M57" t="s">
        <v>124</v>
      </c>
      <c r="O57">
        <v>0.56999999999999995</v>
      </c>
      <c r="P57" s="9" t="s">
        <v>125</v>
      </c>
      <c r="Q57">
        <v>93.7</v>
      </c>
      <c r="R57">
        <v>1</v>
      </c>
      <c r="S57">
        <v>8</v>
      </c>
      <c r="T57">
        <v>14</v>
      </c>
      <c r="U57" s="11">
        <f t="shared" si="1"/>
        <v>2.2977281213200449E-4</v>
      </c>
      <c r="V57" s="11">
        <f t="shared" si="2"/>
        <v>6.0703290985561291E-4</v>
      </c>
      <c r="X57" s="15">
        <f t="shared" si="6"/>
        <v>2.2977281213200449E-4</v>
      </c>
      <c r="Y57" s="16">
        <f t="shared" si="7"/>
        <v>0.98897090501766394</v>
      </c>
      <c r="AA57" s="25">
        <f>IF(P57="*","-",IFERROR(VLOOKUP(P57,'AE-W1'!$P$4:$T$126,4,FALSE),"-"))</f>
        <v>796</v>
      </c>
      <c r="AB57" s="25">
        <f>IF(P57="*","-",IFERROR(VLOOKUP(P57,'AE-W2'!$P$4:$T$107,4,FALSE),"-"))</f>
        <v>4</v>
      </c>
      <c r="AC57" s="25">
        <f>IF(P57="*","-",IFERROR(VLOOKUP(P57,'All MECSM samples'!$P$4:$AD$454,15,FALSE),"-"))</f>
        <v>799</v>
      </c>
      <c r="AD57" s="25"/>
      <c r="AE57">
        <v>97</v>
      </c>
      <c r="AF57">
        <v>7</v>
      </c>
      <c r="AH57">
        <f t="shared" si="4"/>
        <v>1</v>
      </c>
      <c r="AI57">
        <f t="shared" si="5"/>
        <v>1</v>
      </c>
      <c r="AJ57" s="11">
        <f>SUM(AH$5:AH57)/SUM(AI$5:AI57)</f>
        <v>0.98</v>
      </c>
    </row>
    <row r="58" spans="1:36" x14ac:dyDescent="0.35">
      <c r="A58" t="s">
        <v>307</v>
      </c>
      <c r="B58">
        <v>18</v>
      </c>
      <c r="C58" t="s">
        <v>7</v>
      </c>
      <c r="D58" t="s">
        <v>8</v>
      </c>
      <c r="E58" t="s">
        <v>46</v>
      </c>
      <c r="G58" t="s">
        <v>47</v>
      </c>
      <c r="I58" t="s">
        <v>61</v>
      </c>
      <c r="K58" t="s">
        <v>178</v>
      </c>
      <c r="M58" t="s">
        <v>186</v>
      </c>
      <c r="O58">
        <v>0.79</v>
      </c>
      <c r="P58" s="9" t="s">
        <v>187</v>
      </c>
      <c r="Q58" s="9">
        <v>92.9</v>
      </c>
      <c r="R58" s="9">
        <v>1</v>
      </c>
      <c r="S58">
        <v>12</v>
      </c>
      <c r="T58" s="9">
        <v>6</v>
      </c>
      <c r="U58" s="11">
        <f t="shared" si="1"/>
        <v>3.4465921819800674E-4</v>
      </c>
      <c r="V58" s="11">
        <f t="shared" si="2"/>
        <v>2.6015696136669122E-4</v>
      </c>
      <c r="X58" s="15">
        <f t="shared" si="6"/>
        <v>3.4465921819800674E-4</v>
      </c>
      <c r="Y58" s="16">
        <f t="shared" si="7"/>
        <v>0.98931556423586198</v>
      </c>
      <c r="AA58" s="25" t="str">
        <f>IF(P58="*","-",IFERROR(VLOOKUP(P58,'AE-W1'!$P$4:$T$126,4,FALSE),"-"))</f>
        <v>-</v>
      </c>
      <c r="AB58" s="25" t="str">
        <f>IF(P58="*","-",IFERROR(VLOOKUP(P58,'AE-W2'!$P$4:$T$107,4,FALSE),"-"))</f>
        <v>-</v>
      </c>
      <c r="AC58" s="25">
        <f>IF(P58="*","-",IFERROR(VLOOKUP(P58,'All MECSM samples'!$P$4:$AD$454,15,FALSE),"-"))</f>
        <v>520</v>
      </c>
      <c r="AD58" s="25"/>
      <c r="AE58">
        <v>100</v>
      </c>
      <c r="AF58">
        <v>58</v>
      </c>
      <c r="AH58">
        <f t="shared" si="4"/>
        <v>1</v>
      </c>
      <c r="AI58">
        <f t="shared" si="5"/>
        <v>1</v>
      </c>
      <c r="AJ58" s="11">
        <f>SUM(AH$5:AH58)/SUM(AI$5:AI58)</f>
        <v>0.98039215686274506</v>
      </c>
    </row>
    <row r="59" spans="1:36" x14ac:dyDescent="0.35">
      <c r="A59" t="s">
        <v>188</v>
      </c>
      <c r="B59">
        <v>14</v>
      </c>
      <c r="C59" t="s">
        <v>7</v>
      </c>
      <c r="D59" t="s">
        <v>8</v>
      </c>
      <c r="E59" t="s">
        <v>46</v>
      </c>
      <c r="G59" t="s">
        <v>47</v>
      </c>
      <c r="I59" t="s">
        <v>61</v>
      </c>
      <c r="K59" t="s">
        <v>190</v>
      </c>
      <c r="O59">
        <v>0.5</v>
      </c>
      <c r="P59" s="9" t="s">
        <v>319</v>
      </c>
      <c r="Q59">
        <v>89.3</v>
      </c>
      <c r="R59">
        <v>1</v>
      </c>
      <c r="S59">
        <v>14</v>
      </c>
      <c r="T59">
        <v>0</v>
      </c>
      <c r="U59" s="11">
        <f t="shared" si="1"/>
        <v>4.0210242123100786E-4</v>
      </c>
      <c r="V59" s="11">
        <f t="shared" si="2"/>
        <v>0</v>
      </c>
      <c r="X59" s="15">
        <f t="shared" si="6"/>
        <v>4.0210242123100786E-4</v>
      </c>
      <c r="Y59" s="52">
        <f t="shared" si="7"/>
        <v>0.98971766665709293</v>
      </c>
      <c r="AA59" s="25">
        <f>IF(P59="*","-",IFERROR(VLOOKUP(P59,'AE-W1'!$P$4:$T$126,4,FALSE),"-"))</f>
        <v>9</v>
      </c>
      <c r="AB59" s="25">
        <f>IF(P59="*","-",IFERROR(VLOOKUP(P59,'AE-W2'!$P$4:$T$107,4,FALSE),"-"))</f>
        <v>10</v>
      </c>
      <c r="AC59" s="25">
        <f>IF(P59="*","-",IFERROR(VLOOKUP(P59,'All MECSM samples'!$P$4:$AD$454,15,FALSE),"-"))</f>
        <v>5160</v>
      </c>
      <c r="AD59" s="25"/>
      <c r="AE59">
        <v>16</v>
      </c>
      <c r="AF59">
        <v>599</v>
      </c>
      <c r="AH59">
        <f t="shared" si="4"/>
        <v>0</v>
      </c>
      <c r="AI59">
        <f t="shared" si="5"/>
        <v>0</v>
      </c>
      <c r="AJ59" s="11">
        <f>SUM(AH$5:AH59)/SUM(AI$5:AI59)</f>
        <v>0.98039215686274506</v>
      </c>
    </row>
    <row r="60" spans="1:36" x14ac:dyDescent="0.35">
      <c r="A60" t="s">
        <v>223</v>
      </c>
      <c r="B60">
        <v>14</v>
      </c>
      <c r="C60" t="s">
        <v>7</v>
      </c>
      <c r="D60" t="s">
        <v>8</v>
      </c>
      <c r="E60" t="s">
        <v>46</v>
      </c>
      <c r="G60" t="s">
        <v>47</v>
      </c>
      <c r="I60" t="s">
        <v>61</v>
      </c>
      <c r="K60" t="s">
        <v>210</v>
      </c>
      <c r="M60" t="s">
        <v>211</v>
      </c>
      <c r="O60">
        <v>0.63</v>
      </c>
      <c r="P60" s="9" t="s">
        <v>362</v>
      </c>
      <c r="Q60">
        <v>96</v>
      </c>
      <c r="R60">
        <v>1</v>
      </c>
      <c r="S60">
        <v>11</v>
      </c>
      <c r="T60">
        <v>3</v>
      </c>
      <c r="U60" s="11">
        <f t="shared" si="1"/>
        <v>3.1593761668150617E-4</v>
      </c>
      <c r="V60" s="11">
        <f t="shared" si="2"/>
        <v>1.3007848068334561E-4</v>
      </c>
      <c r="X60" s="15">
        <f t="shared" si="6"/>
        <v>3.1593761668150617E-4</v>
      </c>
      <c r="Y60" s="16">
        <f t="shared" si="7"/>
        <v>0.9900336042737744</v>
      </c>
      <c r="AA60" s="25">
        <f>IF(P60="*","-",IFERROR(VLOOKUP(P60,'AE-W1'!$P$4:$T$126,4,FALSE),"-"))</f>
        <v>6</v>
      </c>
      <c r="AB60" s="25" t="str">
        <f>IF(P60="*","-",IFERROR(VLOOKUP(P60,'AE-W2'!$P$4:$T$107,4,FALSE),"-"))</f>
        <v>-</v>
      </c>
      <c r="AC60" s="25">
        <f>IF(P60="*","-",IFERROR(VLOOKUP(P60,'All MECSM samples'!$P$4:$AD$454,15,FALSE),"-"))</f>
        <v>1842</v>
      </c>
      <c r="AD60" s="25"/>
      <c r="AE60">
        <v>100</v>
      </c>
      <c r="AF60">
        <v>9</v>
      </c>
      <c r="AH60">
        <f t="shared" si="4"/>
        <v>1</v>
      </c>
      <c r="AI60">
        <f t="shared" si="5"/>
        <v>1</v>
      </c>
      <c r="AJ60" s="11">
        <f>SUM(AH$5:AH60)/SUM(AI$5:AI60)</f>
        <v>0.98076923076923073</v>
      </c>
    </row>
    <row r="61" spans="1:36" x14ac:dyDescent="0.35">
      <c r="A61" t="s">
        <v>177</v>
      </c>
      <c r="B61">
        <v>14</v>
      </c>
      <c r="C61" t="s">
        <v>7</v>
      </c>
      <c r="D61" t="s">
        <v>8</v>
      </c>
      <c r="E61" t="s">
        <v>258</v>
      </c>
      <c r="G61" t="s">
        <v>258</v>
      </c>
      <c r="H61" t="s">
        <v>259</v>
      </c>
      <c r="I61" t="s">
        <v>260</v>
      </c>
      <c r="J61" t="s">
        <v>261</v>
      </c>
      <c r="K61" t="s">
        <v>262</v>
      </c>
      <c r="O61">
        <v>0.59</v>
      </c>
      <c r="P61" s="9" t="s">
        <v>263</v>
      </c>
      <c r="Q61">
        <v>88.5</v>
      </c>
      <c r="R61">
        <v>1</v>
      </c>
      <c r="S61">
        <v>14</v>
      </c>
      <c r="T61">
        <v>0</v>
      </c>
      <c r="U61" s="11">
        <f t="shared" si="1"/>
        <v>4.0210242123100786E-4</v>
      </c>
      <c r="V61" s="11">
        <f t="shared" si="2"/>
        <v>0</v>
      </c>
      <c r="X61" s="11">
        <f t="shared" si="6"/>
        <v>4.0210242123100786E-4</v>
      </c>
      <c r="Y61" s="12">
        <f t="shared" si="7"/>
        <v>0.99043570669500536</v>
      </c>
      <c r="AA61" s="25">
        <f>IF(P61="*","-",IFERROR(VLOOKUP(P61,'AE-W1'!$P$4:$T$126,4,FALSE),"-"))</f>
        <v>51</v>
      </c>
      <c r="AB61" s="25">
        <f>IF(P61="*","-",IFERROR(VLOOKUP(P61,'AE-W2'!$P$4:$T$107,4,FALSE),"-"))</f>
        <v>14</v>
      </c>
      <c r="AC61" s="25">
        <f>IF(P61="*","-",IFERROR(VLOOKUP(P61,'All MECSM samples'!$P$4:$AD$454,15,FALSE),"-"))</f>
        <v>9732</v>
      </c>
      <c r="AD61" s="25"/>
      <c r="AE61">
        <v>23</v>
      </c>
      <c r="AF61">
        <v>1</v>
      </c>
      <c r="AH61">
        <f t="shared" si="4"/>
        <v>0</v>
      </c>
      <c r="AI61">
        <f t="shared" si="5"/>
        <v>0</v>
      </c>
      <c r="AJ61" s="11">
        <f>SUM(AH$5:AH61)/SUM(AI$5:AI61)</f>
        <v>0.98076923076923073</v>
      </c>
    </row>
    <row r="62" spans="1:36" x14ac:dyDescent="0.35">
      <c r="A62" t="s">
        <v>603</v>
      </c>
      <c r="B62">
        <v>13</v>
      </c>
      <c r="C62" t="s">
        <v>7</v>
      </c>
      <c r="D62" t="s">
        <v>8</v>
      </c>
      <c r="E62" t="s">
        <v>9</v>
      </c>
      <c r="G62" t="s">
        <v>243</v>
      </c>
      <c r="I62" t="s">
        <v>244</v>
      </c>
      <c r="K62" t="s">
        <v>245</v>
      </c>
      <c r="M62" t="s">
        <v>246</v>
      </c>
      <c r="O62">
        <v>0.98</v>
      </c>
      <c r="P62" s="9" t="s">
        <v>247</v>
      </c>
      <c r="Q62">
        <v>99.2</v>
      </c>
      <c r="R62">
        <v>1</v>
      </c>
      <c r="S62">
        <v>13</v>
      </c>
      <c r="T62">
        <v>0</v>
      </c>
      <c r="U62" s="11">
        <f t="shared" si="1"/>
        <v>3.733808197145073E-4</v>
      </c>
      <c r="V62" s="11">
        <f t="shared" si="2"/>
        <v>0</v>
      </c>
      <c r="X62" s="11">
        <f t="shared" si="6"/>
        <v>3.733808197145073E-4</v>
      </c>
      <c r="Y62" s="12">
        <f t="shared" si="7"/>
        <v>0.99080908751471986</v>
      </c>
      <c r="AA62" s="25">
        <f>IF(P62="*","-",IFERROR(VLOOKUP(P62,'AE-W1'!$P$4:$T$126,4,FALSE),"-"))</f>
        <v>71</v>
      </c>
      <c r="AB62" s="25">
        <f>IF(P62="*","-",IFERROR(VLOOKUP(P62,'AE-W2'!$P$4:$T$107,4,FALSE),"-"))</f>
        <v>10</v>
      </c>
      <c r="AC62" s="25">
        <f>IF(P62="*","-",IFERROR(VLOOKUP(P62,'All MECSM samples'!$P$4:$AD$454,15,FALSE),"-"))</f>
        <v>7416</v>
      </c>
      <c r="AD62" s="25"/>
      <c r="AE62">
        <v>4</v>
      </c>
      <c r="AF62">
        <v>1</v>
      </c>
      <c r="AH62">
        <f t="shared" si="4"/>
        <v>0</v>
      </c>
      <c r="AI62">
        <f t="shared" si="5"/>
        <v>0</v>
      </c>
      <c r="AJ62" s="11">
        <f>SUM(AH$5:AH62)/SUM(AI$5:AI62)</f>
        <v>0.98076923076923073</v>
      </c>
    </row>
    <row r="63" spans="1:36" x14ac:dyDescent="0.35">
      <c r="A63" t="s">
        <v>267</v>
      </c>
      <c r="B63">
        <v>12</v>
      </c>
      <c r="C63" t="s">
        <v>7</v>
      </c>
      <c r="D63" t="s">
        <v>8</v>
      </c>
      <c r="E63" t="s">
        <v>46</v>
      </c>
      <c r="G63" t="s">
        <v>47</v>
      </c>
      <c r="I63" t="s">
        <v>61</v>
      </c>
      <c r="K63" t="s">
        <v>190</v>
      </c>
      <c r="M63" t="s">
        <v>273</v>
      </c>
      <c r="O63">
        <v>0.72</v>
      </c>
      <c r="P63" s="9" t="s">
        <v>628</v>
      </c>
      <c r="Q63">
        <v>94.9</v>
      </c>
      <c r="R63">
        <v>1</v>
      </c>
      <c r="S63">
        <v>11</v>
      </c>
      <c r="T63">
        <v>1</v>
      </c>
      <c r="U63" s="11">
        <f t="shared" si="1"/>
        <v>3.1593761668150617E-4</v>
      </c>
      <c r="V63" s="11">
        <f t="shared" si="2"/>
        <v>4.3359493561115205E-5</v>
      </c>
      <c r="X63" s="11">
        <f t="shared" si="6"/>
        <v>3.1593761668150617E-4</v>
      </c>
      <c r="Y63" s="12">
        <f t="shared" si="7"/>
        <v>0.99112502513140133</v>
      </c>
      <c r="AA63" s="25" t="str">
        <f>IF(P63="*","-",IFERROR(VLOOKUP(P63,'AE-W1'!$P$4:$T$126,4,FALSE),"-"))</f>
        <v>-</v>
      </c>
      <c r="AB63" s="25" t="str">
        <f>IF(P63="*","-",IFERROR(VLOOKUP(P63,'AE-W2'!$P$4:$T$107,4,FALSE),"-"))</f>
        <v>-</v>
      </c>
      <c r="AC63" s="25">
        <f>IF(P63="*","-",IFERROR(VLOOKUP(P63,'All MECSM samples'!$P$4:$AD$454,15,FALSE),"-"))</f>
        <v>469</v>
      </c>
      <c r="AD63" s="25"/>
      <c r="AE63">
        <v>100</v>
      </c>
      <c r="AF63">
        <v>44</v>
      </c>
      <c r="AH63">
        <f t="shared" si="4"/>
        <v>1</v>
      </c>
      <c r="AI63">
        <f t="shared" si="5"/>
        <v>1</v>
      </c>
      <c r="AJ63" s="11">
        <f>SUM(AH$5:AH63)/SUM(AI$5:AI63)</f>
        <v>0.98113207547169812</v>
      </c>
    </row>
    <row r="64" spans="1:36" x14ac:dyDescent="0.35">
      <c r="A64" t="s">
        <v>185</v>
      </c>
      <c r="B64">
        <v>12</v>
      </c>
      <c r="C64" t="s">
        <v>7</v>
      </c>
      <c r="D64" t="s">
        <v>8</v>
      </c>
      <c r="E64" t="s">
        <v>46</v>
      </c>
      <c r="G64" t="s">
        <v>47</v>
      </c>
      <c r="I64" t="s">
        <v>160</v>
      </c>
      <c r="K64" t="s">
        <v>161</v>
      </c>
      <c r="M64" t="s">
        <v>162</v>
      </c>
      <c r="O64">
        <v>0.57999999999999996</v>
      </c>
      <c r="P64" s="9" t="s">
        <v>163</v>
      </c>
      <c r="Q64">
        <v>89.7</v>
      </c>
      <c r="R64">
        <v>1</v>
      </c>
      <c r="S64">
        <v>12</v>
      </c>
      <c r="T64">
        <v>0</v>
      </c>
      <c r="U64" s="11">
        <f t="shared" si="1"/>
        <v>3.4465921819800674E-4</v>
      </c>
      <c r="V64" s="11">
        <f t="shared" si="2"/>
        <v>0</v>
      </c>
      <c r="X64" s="11">
        <f t="shared" si="6"/>
        <v>3.4465921819800674E-4</v>
      </c>
      <c r="Y64" s="12">
        <f t="shared" si="7"/>
        <v>0.99146968434959937</v>
      </c>
      <c r="AA64" s="25">
        <f>IF(P64="*","-",IFERROR(VLOOKUP(P64,'AE-W1'!$P$4:$T$126,4,FALSE),"-"))</f>
        <v>15</v>
      </c>
      <c r="AB64" s="25">
        <f>IF(P64="*","-",IFERROR(VLOOKUP(P64,'AE-W2'!$P$4:$T$107,4,FALSE),"-"))</f>
        <v>108</v>
      </c>
      <c r="AC64" s="25">
        <f>IF(P64="*","-",IFERROR(VLOOKUP(P64,'All MECSM samples'!$P$4:$AD$454,15,FALSE),"-"))</f>
        <v>3869</v>
      </c>
      <c r="AD64" s="25"/>
      <c r="AE64">
        <v>22</v>
      </c>
      <c r="AF64">
        <v>59</v>
      </c>
      <c r="AH64">
        <f t="shared" si="4"/>
        <v>0</v>
      </c>
      <c r="AI64">
        <f t="shared" si="5"/>
        <v>0</v>
      </c>
      <c r="AJ64" s="11">
        <f>SUM(AH$5:AH64)/SUM(AI$5:AI64)</f>
        <v>0.98113207547169812</v>
      </c>
    </row>
    <row r="65" spans="1:36" x14ac:dyDescent="0.35">
      <c r="A65" t="s">
        <v>230</v>
      </c>
      <c r="B65">
        <v>12</v>
      </c>
      <c r="C65" t="s">
        <v>7</v>
      </c>
      <c r="D65" t="s">
        <v>8</v>
      </c>
      <c r="E65" t="s">
        <v>46</v>
      </c>
      <c r="O65">
        <v>0.84</v>
      </c>
      <c r="P65" s="63" t="s">
        <v>335</v>
      </c>
      <c r="Q65">
        <v>88.5</v>
      </c>
      <c r="R65">
        <v>1</v>
      </c>
      <c r="S65">
        <v>0</v>
      </c>
      <c r="T65" s="63">
        <v>12</v>
      </c>
      <c r="U65" s="11">
        <f t="shared" si="1"/>
        <v>0</v>
      </c>
      <c r="V65" s="11">
        <f t="shared" si="2"/>
        <v>5.2031392273338244E-4</v>
      </c>
      <c r="X65" s="11">
        <f t="shared" si="6"/>
        <v>0</v>
      </c>
      <c r="Y65" s="12">
        <f t="shared" si="7"/>
        <v>0.99146968434959937</v>
      </c>
      <c r="AA65" s="25" t="str">
        <f>IF(P65="*","-",IFERROR(VLOOKUP(P65,'AE-W1'!$P$4:$T$126,4,FALSE),"-"))</f>
        <v>-</v>
      </c>
      <c r="AB65" s="25" t="str">
        <f>IF(P65="*","-",IFERROR(VLOOKUP(P65,'AE-W2'!$P$4:$T$107,4,FALSE),"-"))</f>
        <v>-</v>
      </c>
      <c r="AC65" s="25">
        <f>IF(P65="*","-",IFERROR(VLOOKUP(P65,'All MECSM samples'!$P$4:$AD$454,15,FALSE),"-"))</f>
        <v>23</v>
      </c>
      <c r="AD65" s="25"/>
      <c r="AE65">
        <v>91</v>
      </c>
      <c r="AF65">
        <v>1032</v>
      </c>
      <c r="AH65">
        <f t="shared" si="4"/>
        <v>0</v>
      </c>
      <c r="AI65">
        <f t="shared" si="5"/>
        <v>0</v>
      </c>
      <c r="AJ65" s="11">
        <f>SUM(AH$5:AH65)/SUM(AI$5:AI65)</f>
        <v>0.98113207547169812</v>
      </c>
    </row>
    <row r="66" spans="1:36" x14ac:dyDescent="0.35">
      <c r="A66" t="s">
        <v>234</v>
      </c>
      <c r="B66">
        <v>11</v>
      </c>
      <c r="C66" t="s">
        <v>7</v>
      </c>
      <c r="D66" t="s">
        <v>8</v>
      </c>
      <c r="O66">
        <v>1</v>
      </c>
      <c r="P66" s="9" t="s">
        <v>423</v>
      </c>
      <c r="Q66">
        <v>89.7</v>
      </c>
      <c r="R66">
        <v>3</v>
      </c>
      <c r="S66">
        <v>11</v>
      </c>
      <c r="T66">
        <v>0</v>
      </c>
      <c r="U66" s="11">
        <f t="shared" si="1"/>
        <v>3.1593761668150617E-4</v>
      </c>
      <c r="V66" s="11">
        <f t="shared" si="2"/>
        <v>0</v>
      </c>
      <c r="X66" s="11">
        <f t="shared" si="6"/>
        <v>3.1593761668150617E-4</v>
      </c>
      <c r="Y66" s="12">
        <f t="shared" si="7"/>
        <v>0.99178562196628084</v>
      </c>
      <c r="AA66" s="25" t="str">
        <f>IF(P66="*","-",IFERROR(VLOOKUP(P66,'AE-W1'!$P$4:$T$126,4,FALSE),"-"))</f>
        <v>-</v>
      </c>
      <c r="AB66" s="25" t="str">
        <f>IF(P66="*","-",IFERROR(VLOOKUP(P66,'AE-W2'!$P$4:$T$107,4,FALSE),"-"))</f>
        <v>-</v>
      </c>
      <c r="AC66" s="25">
        <f>IF(P66="*","-",IFERROR(VLOOKUP(P66,'All MECSM samples'!$P$4:$AD$454,15,FALSE),"-"))</f>
        <v>16</v>
      </c>
      <c r="AD66" s="25"/>
      <c r="AE66">
        <v>100</v>
      </c>
      <c r="AF66">
        <v>128</v>
      </c>
      <c r="AH66">
        <f t="shared" si="4"/>
        <v>0</v>
      </c>
      <c r="AI66">
        <f t="shared" si="5"/>
        <v>1</v>
      </c>
      <c r="AJ66" s="11">
        <f>SUM(AH$5:AH66)/SUM(AI$5:AI66)</f>
        <v>0.96296296296296291</v>
      </c>
    </row>
    <row r="67" spans="1:36" x14ac:dyDescent="0.35">
      <c r="A67" t="s">
        <v>221</v>
      </c>
      <c r="B67">
        <v>10</v>
      </c>
      <c r="C67" t="s">
        <v>7</v>
      </c>
      <c r="D67" t="s">
        <v>8</v>
      </c>
      <c r="O67">
        <v>0.99</v>
      </c>
      <c r="P67" s="9" t="s">
        <v>16</v>
      </c>
      <c r="Q67">
        <v>87</v>
      </c>
      <c r="R67">
        <v>1</v>
      </c>
      <c r="S67">
        <v>10</v>
      </c>
      <c r="T67">
        <v>0</v>
      </c>
      <c r="U67" s="11">
        <f t="shared" si="1"/>
        <v>2.8721601516500561E-4</v>
      </c>
      <c r="V67" s="11">
        <f t="shared" si="2"/>
        <v>0</v>
      </c>
      <c r="X67" s="11">
        <f t="shared" si="6"/>
        <v>2.8721601516500561E-4</v>
      </c>
      <c r="Y67" s="12">
        <f t="shared" si="7"/>
        <v>0.99207283798144585</v>
      </c>
      <c r="AA67" s="25">
        <f>IF(P67="*","-",IFERROR(VLOOKUP(P67,'AE-W1'!$P$4:$T$126,4,FALSE),"-"))</f>
        <v>24</v>
      </c>
      <c r="AB67" s="25">
        <f>IF(P67="*","-",IFERROR(VLOOKUP(P67,'AE-W2'!$P$4:$T$107,4,FALSE),"-"))</f>
        <v>17120</v>
      </c>
      <c r="AC67" s="25">
        <f>IF(P67="*","-",IFERROR(VLOOKUP(P67,'All MECSM samples'!$P$4:$AD$454,15,FALSE),"-"))</f>
        <v>17201</v>
      </c>
      <c r="AD67" s="25"/>
      <c r="AE67">
        <v>25</v>
      </c>
      <c r="AF67">
        <v>1</v>
      </c>
      <c r="AH67">
        <f t="shared" si="4"/>
        <v>0</v>
      </c>
      <c r="AI67">
        <f t="shared" si="5"/>
        <v>0</v>
      </c>
      <c r="AJ67" s="11">
        <f>SUM(AH$5:AH67)/SUM(AI$5:AI67)</f>
        <v>0.96296296296296291</v>
      </c>
    </row>
    <row r="68" spans="1:36" x14ac:dyDescent="0.35">
      <c r="A68" t="s">
        <v>214</v>
      </c>
      <c r="B68">
        <v>10</v>
      </c>
      <c r="C68" t="s">
        <v>7</v>
      </c>
      <c r="D68" t="s">
        <v>8</v>
      </c>
      <c r="E68" t="s">
        <v>46</v>
      </c>
      <c r="O68">
        <v>0.72</v>
      </c>
      <c r="P68" s="9" t="s">
        <v>354</v>
      </c>
      <c r="Q68">
        <v>87.4</v>
      </c>
      <c r="R68">
        <v>1</v>
      </c>
      <c r="S68">
        <v>10</v>
      </c>
      <c r="T68">
        <v>0</v>
      </c>
      <c r="U68" s="11">
        <f t="shared" si="1"/>
        <v>2.8721601516500561E-4</v>
      </c>
      <c r="V68" s="11">
        <f t="shared" si="2"/>
        <v>0</v>
      </c>
      <c r="X68" s="11">
        <f t="shared" ref="X68:X99" si="8">S68/S$1</f>
        <v>2.8721601516500561E-4</v>
      </c>
      <c r="Y68" s="12">
        <f t="shared" si="7"/>
        <v>0.99236005399661087</v>
      </c>
      <c r="AA68" s="25">
        <f>IF(P68="*","-",IFERROR(VLOOKUP(P68,'AE-W1'!$P$4:$T$126,4,FALSE),"-"))</f>
        <v>8</v>
      </c>
      <c r="AB68" s="25">
        <f>IF(P68="*","-",IFERROR(VLOOKUP(P68,'AE-W2'!$P$4:$T$107,4,FALSE),"-"))</f>
        <v>4</v>
      </c>
      <c r="AC68" s="25">
        <f>IF(P68="*","-",IFERROR(VLOOKUP(P68,'All MECSM samples'!$P$4:$AD$454,15,FALSE),"-"))</f>
        <v>905</v>
      </c>
      <c r="AD68" s="25"/>
      <c r="AE68">
        <v>84</v>
      </c>
      <c r="AF68">
        <v>105</v>
      </c>
      <c r="AH68">
        <f t="shared" si="4"/>
        <v>0</v>
      </c>
      <c r="AI68">
        <f t="shared" si="5"/>
        <v>0</v>
      </c>
      <c r="AJ68" s="11">
        <f>SUM(AH$5:AH68)/SUM(AI$5:AI68)</f>
        <v>0.96296296296296291</v>
      </c>
    </row>
    <row r="69" spans="1:36" x14ac:dyDescent="0.35">
      <c r="A69" t="s">
        <v>218</v>
      </c>
      <c r="B69">
        <v>10</v>
      </c>
      <c r="C69" t="s">
        <v>7</v>
      </c>
      <c r="D69" t="s">
        <v>8</v>
      </c>
      <c r="E69" t="s">
        <v>46</v>
      </c>
      <c r="G69" t="s">
        <v>364</v>
      </c>
      <c r="I69" t="s">
        <v>416</v>
      </c>
      <c r="K69" t="s">
        <v>417</v>
      </c>
      <c r="M69" t="s">
        <v>418</v>
      </c>
      <c r="O69">
        <v>1</v>
      </c>
      <c r="P69" s="9" t="s">
        <v>419</v>
      </c>
      <c r="Q69">
        <v>99.2</v>
      </c>
      <c r="R69">
        <v>1</v>
      </c>
      <c r="S69">
        <v>10</v>
      </c>
      <c r="T69">
        <v>0</v>
      </c>
      <c r="U69" s="11">
        <f t="shared" ref="U69:U128" si="9">S69/S$1</f>
        <v>2.8721601516500561E-4</v>
      </c>
      <c r="V69" s="11">
        <f t="shared" ref="V69:V128" si="10">T69/T$1</f>
        <v>0</v>
      </c>
      <c r="X69" s="11">
        <f t="shared" si="8"/>
        <v>2.8721601516500561E-4</v>
      </c>
      <c r="Y69" s="12">
        <f t="shared" ref="Y69:Y100" si="11">Y68+X69</f>
        <v>0.99264727001177588</v>
      </c>
      <c r="AA69" s="25" t="str">
        <f>IF(P69="*","-",IFERROR(VLOOKUP(P69,'AE-W1'!$P$4:$T$126,4,FALSE),"-"))</f>
        <v>-</v>
      </c>
      <c r="AB69" s="25" t="str">
        <f>IF(P69="*","-",IFERROR(VLOOKUP(P69,'AE-W2'!$P$4:$T$107,4,FALSE),"-"))</f>
        <v>-</v>
      </c>
      <c r="AC69" s="25">
        <f>IF(P69="*","-",IFERROR(VLOOKUP(P69,'All MECSM samples'!$P$4:$AD$454,15,FALSE),"-"))</f>
        <v>22</v>
      </c>
      <c r="AD69" s="25"/>
      <c r="AE69">
        <v>100</v>
      </c>
      <c r="AF69">
        <v>146</v>
      </c>
      <c r="AH69">
        <f t="shared" ref="AH69:AH128" si="12">IF(AND(S69&gt;0,AE69&gt;=90, T69&gt;0), 1, 0)</f>
        <v>0</v>
      </c>
      <c r="AI69">
        <f t="shared" ref="AI69:AI128" si="13">IF(AND(S69&gt;0,AE69&gt;=90),1,0)</f>
        <v>1</v>
      </c>
      <c r="AJ69" s="11">
        <f>SUM(AH$5:AH69)/SUM(AI$5:AI69)</f>
        <v>0.94545454545454544</v>
      </c>
    </row>
    <row r="70" spans="1:36" x14ac:dyDescent="0.35">
      <c r="A70" t="s">
        <v>216</v>
      </c>
      <c r="B70">
        <v>9</v>
      </c>
      <c r="C70" t="s">
        <v>7</v>
      </c>
      <c r="D70" t="s">
        <v>8</v>
      </c>
      <c r="E70" t="s">
        <v>46</v>
      </c>
      <c r="G70" t="s">
        <v>47</v>
      </c>
      <c r="I70" t="s">
        <v>61</v>
      </c>
      <c r="O70">
        <v>0.84</v>
      </c>
      <c r="P70" s="9" t="s">
        <v>321</v>
      </c>
      <c r="Q70">
        <v>91.7</v>
      </c>
      <c r="R70">
        <v>1</v>
      </c>
      <c r="S70">
        <v>0</v>
      </c>
      <c r="T70">
        <v>9</v>
      </c>
      <c r="U70" s="11">
        <f t="shared" si="9"/>
        <v>0</v>
      </c>
      <c r="V70" s="11">
        <f t="shared" si="10"/>
        <v>3.9023544205003688E-4</v>
      </c>
      <c r="X70" s="11">
        <f t="shared" si="8"/>
        <v>0</v>
      </c>
      <c r="Y70" s="12">
        <f t="shared" si="11"/>
        <v>0.99264727001177588</v>
      </c>
      <c r="AA70" s="25">
        <f>IF(P70="*","-",IFERROR(VLOOKUP(P70,'AE-W1'!$P$4:$T$126,4,FALSE),"-"))</f>
        <v>18</v>
      </c>
      <c r="AB70" s="25" t="str">
        <f>IF(P70="*","-",IFERROR(VLOOKUP(P70,'AE-W2'!$P$4:$T$107,4,FALSE),"-"))</f>
        <v>-</v>
      </c>
      <c r="AC70" s="25">
        <f>IF(P70="*","-",IFERROR(VLOOKUP(P70,'All MECSM samples'!$P$4:$AD$454,15,FALSE),"-"))</f>
        <v>276</v>
      </c>
      <c r="AD70" s="25"/>
      <c r="AE70">
        <v>100</v>
      </c>
      <c r="AF70">
        <v>222</v>
      </c>
      <c r="AH70">
        <f t="shared" si="12"/>
        <v>0</v>
      </c>
      <c r="AI70">
        <f t="shared" si="13"/>
        <v>0</v>
      </c>
      <c r="AJ70" s="11">
        <f>SUM(AH$5:AH70)/SUM(AI$5:AI70)</f>
        <v>0.94545454545454544</v>
      </c>
    </row>
    <row r="71" spans="1:36" x14ac:dyDescent="0.35">
      <c r="A71" t="s">
        <v>225</v>
      </c>
      <c r="B71">
        <v>9</v>
      </c>
      <c r="C71" t="s">
        <v>7</v>
      </c>
      <c r="D71" t="s">
        <v>8</v>
      </c>
      <c r="E71" t="s">
        <v>46</v>
      </c>
      <c r="G71" t="s">
        <v>47</v>
      </c>
      <c r="I71" t="s">
        <v>61</v>
      </c>
      <c r="K71" t="s">
        <v>403</v>
      </c>
      <c r="O71">
        <v>0.5</v>
      </c>
      <c r="P71" s="9" t="s">
        <v>321</v>
      </c>
      <c r="Q71">
        <v>90.1</v>
      </c>
      <c r="R71">
        <v>1</v>
      </c>
      <c r="S71">
        <v>9</v>
      </c>
      <c r="T71">
        <v>0</v>
      </c>
      <c r="U71" s="11">
        <f t="shared" si="9"/>
        <v>2.5849441364850505E-4</v>
      </c>
      <c r="V71" s="11">
        <f t="shared" si="10"/>
        <v>0</v>
      </c>
      <c r="X71" s="11">
        <f t="shared" si="8"/>
        <v>2.5849441364850505E-4</v>
      </c>
      <c r="Y71" s="12">
        <f t="shared" si="11"/>
        <v>0.99290576442542444</v>
      </c>
      <c r="AA71" s="25">
        <f>IF(P71="*","-",IFERROR(VLOOKUP(P71,'AE-W1'!$P$4:$T$126,4,FALSE),"-"))</f>
        <v>18</v>
      </c>
      <c r="AB71" s="25" t="str">
        <f>IF(P71="*","-",IFERROR(VLOOKUP(P71,'AE-W2'!$P$4:$T$107,4,FALSE),"-"))</f>
        <v>-</v>
      </c>
      <c r="AC71" s="25">
        <f>IF(P71="*","-",IFERROR(VLOOKUP(P71,'All MECSM samples'!$P$4:$AD$454,15,FALSE),"-"))</f>
        <v>276</v>
      </c>
      <c r="AD71" s="25"/>
      <c r="AE71">
        <v>100</v>
      </c>
      <c r="AF71">
        <v>127</v>
      </c>
      <c r="AH71">
        <f t="shared" si="12"/>
        <v>0</v>
      </c>
      <c r="AI71">
        <f t="shared" si="13"/>
        <v>1</v>
      </c>
      <c r="AJ71" s="11">
        <f>SUM(AH$5:AH71)/SUM(AI$5:AI71)</f>
        <v>0.9285714285714286</v>
      </c>
    </row>
    <row r="72" spans="1:36" x14ac:dyDescent="0.35">
      <c r="A72" t="s">
        <v>311</v>
      </c>
      <c r="B72">
        <v>9</v>
      </c>
      <c r="C72" t="s">
        <v>7</v>
      </c>
      <c r="D72" t="s">
        <v>8</v>
      </c>
      <c r="E72" t="s">
        <v>100</v>
      </c>
      <c r="G72" t="s">
        <v>101</v>
      </c>
      <c r="I72" t="s">
        <v>102</v>
      </c>
      <c r="K72" t="s">
        <v>103</v>
      </c>
      <c r="M72" t="s">
        <v>104</v>
      </c>
      <c r="O72">
        <v>1</v>
      </c>
      <c r="P72" s="9" t="s">
        <v>105</v>
      </c>
      <c r="Q72">
        <v>99.6</v>
      </c>
      <c r="R72">
        <v>1</v>
      </c>
      <c r="S72">
        <v>9</v>
      </c>
      <c r="T72">
        <v>0</v>
      </c>
      <c r="U72" s="11">
        <f t="shared" si="9"/>
        <v>2.5849441364850505E-4</v>
      </c>
      <c r="V72" s="11">
        <f t="shared" si="10"/>
        <v>0</v>
      </c>
      <c r="X72" s="11">
        <f t="shared" si="8"/>
        <v>2.5849441364850505E-4</v>
      </c>
      <c r="Y72" s="12">
        <f t="shared" si="11"/>
        <v>0.993164258839073</v>
      </c>
      <c r="AA72" s="25" t="str">
        <f>IF(P72="*","-",IFERROR(VLOOKUP(P72,'AE-W1'!$P$4:$T$126,4,FALSE),"-"))</f>
        <v>-</v>
      </c>
      <c r="AB72" s="25">
        <f>IF(P72="*","-",IFERROR(VLOOKUP(P72,'AE-W2'!$P$4:$T$107,4,FALSE),"-"))</f>
        <v>1089</v>
      </c>
      <c r="AC72" s="25">
        <f>IF(P72="*","-",IFERROR(VLOOKUP(P72,'All MECSM samples'!$P$4:$AD$454,15,FALSE),"-"))</f>
        <v>3639</v>
      </c>
      <c r="AD72" s="25"/>
      <c r="AE72">
        <v>0</v>
      </c>
      <c r="AF72">
        <v>0</v>
      </c>
      <c r="AH72">
        <f t="shared" si="12"/>
        <v>0</v>
      </c>
      <c r="AI72">
        <f t="shared" si="13"/>
        <v>0</v>
      </c>
      <c r="AJ72" s="11">
        <f>SUM(AH$5:AH72)/SUM(AI$5:AI72)</f>
        <v>0.9285714285714286</v>
      </c>
    </row>
    <row r="73" spans="1:36" x14ac:dyDescent="0.35">
      <c r="A73" t="s">
        <v>226</v>
      </c>
      <c r="B73">
        <v>8</v>
      </c>
      <c r="C73" t="s">
        <v>7</v>
      </c>
      <c r="D73" t="s">
        <v>8</v>
      </c>
      <c r="E73" t="s">
        <v>258</v>
      </c>
      <c r="G73" t="s">
        <v>258</v>
      </c>
      <c r="H73" t="s">
        <v>351</v>
      </c>
      <c r="O73">
        <v>0.56000000000000005</v>
      </c>
      <c r="P73" s="9" t="s">
        <v>352</v>
      </c>
      <c r="Q73">
        <v>89.3</v>
      </c>
      <c r="R73">
        <v>3</v>
      </c>
      <c r="S73">
        <v>8</v>
      </c>
      <c r="T73">
        <v>0</v>
      </c>
      <c r="U73" s="11">
        <f t="shared" si="9"/>
        <v>2.2977281213200449E-4</v>
      </c>
      <c r="V73" s="11">
        <f t="shared" si="10"/>
        <v>0</v>
      </c>
      <c r="X73" s="11">
        <f t="shared" si="8"/>
        <v>2.2977281213200449E-4</v>
      </c>
      <c r="Y73" s="12">
        <f t="shared" si="11"/>
        <v>0.99339403165120499</v>
      </c>
      <c r="AA73" s="25">
        <f>IF(P73="*","-",IFERROR(VLOOKUP(P73,'AE-W1'!$P$4:$T$126,4,FALSE),"-"))</f>
        <v>11</v>
      </c>
      <c r="AB73" s="25" t="str">
        <f>IF(P73="*","-",IFERROR(VLOOKUP(P73,'AE-W2'!$P$4:$T$107,4,FALSE),"-"))</f>
        <v>-</v>
      </c>
      <c r="AC73" s="25">
        <f>IF(P73="*","-",IFERROR(VLOOKUP(P73,'All MECSM samples'!$P$4:$AD$454,15,FALSE),"-"))</f>
        <v>18</v>
      </c>
      <c r="AD73" s="25"/>
      <c r="AE73">
        <v>100</v>
      </c>
      <c r="AF73">
        <v>8</v>
      </c>
      <c r="AH73">
        <f t="shared" si="12"/>
        <v>0</v>
      </c>
      <c r="AI73">
        <f t="shared" si="13"/>
        <v>1</v>
      </c>
      <c r="AJ73" s="11">
        <f>SUM(AH$5:AH73)/SUM(AI$5:AI73)</f>
        <v>0.91228070175438591</v>
      </c>
    </row>
    <row r="74" spans="1:36" x14ac:dyDescent="0.35">
      <c r="A74" t="s">
        <v>200</v>
      </c>
      <c r="B74">
        <v>7</v>
      </c>
      <c r="C74" t="s">
        <v>7</v>
      </c>
      <c r="D74" t="s">
        <v>24</v>
      </c>
      <c r="E74" t="s">
        <v>25</v>
      </c>
      <c r="G74" t="s">
        <v>26</v>
      </c>
      <c r="I74" t="s">
        <v>27</v>
      </c>
      <c r="K74" t="s">
        <v>28</v>
      </c>
      <c r="M74" t="s">
        <v>29</v>
      </c>
      <c r="O74">
        <v>0.98</v>
      </c>
      <c r="P74" s="9" t="s">
        <v>30</v>
      </c>
      <c r="Q74">
        <v>96.9</v>
      </c>
      <c r="R74">
        <v>1</v>
      </c>
      <c r="S74">
        <v>0</v>
      </c>
      <c r="T74">
        <v>7</v>
      </c>
      <c r="U74" s="11">
        <f t="shared" si="9"/>
        <v>0</v>
      </c>
      <c r="V74" s="11">
        <f t="shared" si="10"/>
        <v>3.0351645492780646E-4</v>
      </c>
      <c r="X74" s="11">
        <f t="shared" si="8"/>
        <v>0</v>
      </c>
      <c r="Y74" s="12">
        <f t="shared" si="11"/>
        <v>0.99339403165120499</v>
      </c>
      <c r="AA74" s="25">
        <f>IF(P74="*","-",IFERROR(VLOOKUP(P74,'AE-W1'!$P$4:$T$126,4,FALSE),"-"))</f>
        <v>6</v>
      </c>
      <c r="AB74" s="25">
        <f>IF(P74="*","-",IFERROR(VLOOKUP(P74,'AE-W2'!$P$4:$T$107,4,FALSE),"-"))</f>
        <v>29</v>
      </c>
      <c r="AC74" s="25">
        <f>IF(P74="*","-",IFERROR(VLOOKUP(P74,'All MECSM samples'!$P$4:$AD$454,15,FALSE),"-"))</f>
        <v>7783</v>
      </c>
      <c r="AD74" s="25"/>
      <c r="AE74">
        <v>100</v>
      </c>
      <c r="AF74">
        <v>1176</v>
      </c>
      <c r="AH74">
        <f t="shared" si="12"/>
        <v>0</v>
      </c>
      <c r="AI74">
        <f t="shared" si="13"/>
        <v>0</v>
      </c>
      <c r="AJ74" s="11">
        <f>SUM(AH$5:AH74)/SUM(AI$5:AI74)</f>
        <v>0.91228070175438591</v>
      </c>
    </row>
    <row r="75" spans="1:36" x14ac:dyDescent="0.35">
      <c r="A75" t="s">
        <v>320</v>
      </c>
      <c r="B75">
        <v>7</v>
      </c>
      <c r="C75" t="s">
        <v>7</v>
      </c>
      <c r="D75" t="s">
        <v>8</v>
      </c>
      <c r="E75" t="s">
        <v>32</v>
      </c>
      <c r="G75" t="s">
        <v>35</v>
      </c>
      <c r="I75" t="s">
        <v>36</v>
      </c>
      <c r="K75" t="s">
        <v>37</v>
      </c>
      <c r="M75" t="s">
        <v>304</v>
      </c>
      <c r="O75">
        <v>0.97</v>
      </c>
      <c r="P75" s="9" t="s">
        <v>305</v>
      </c>
      <c r="Q75">
        <v>98.4</v>
      </c>
      <c r="R75">
        <v>1</v>
      </c>
      <c r="S75">
        <v>7</v>
      </c>
      <c r="T75">
        <v>0</v>
      </c>
      <c r="U75" s="11">
        <f t="shared" si="9"/>
        <v>2.0105121061550393E-4</v>
      </c>
      <c r="V75" s="11">
        <f t="shared" si="10"/>
        <v>0</v>
      </c>
      <c r="X75" s="11">
        <f t="shared" si="8"/>
        <v>2.0105121061550393E-4</v>
      </c>
      <c r="Y75" s="12">
        <f t="shared" si="11"/>
        <v>0.99359508286182052</v>
      </c>
      <c r="AA75" s="25">
        <f>IF(P75="*","-",IFERROR(VLOOKUP(P75,'AE-W1'!$P$4:$T$126,4,FALSE),"-"))</f>
        <v>27</v>
      </c>
      <c r="AB75" s="25">
        <f>IF(P75="*","-",IFERROR(VLOOKUP(P75,'AE-W2'!$P$4:$T$107,4,FALSE),"-"))</f>
        <v>4</v>
      </c>
      <c r="AC75" s="25">
        <f>IF(P75="*","-",IFERROR(VLOOKUP(P75,'All MECSM samples'!$P$4:$AD$454,15,FALSE),"-"))</f>
        <v>2600</v>
      </c>
      <c r="AD75" s="25"/>
      <c r="AE75">
        <v>0</v>
      </c>
      <c r="AF75">
        <v>0</v>
      </c>
      <c r="AH75">
        <f t="shared" si="12"/>
        <v>0</v>
      </c>
      <c r="AI75">
        <f t="shared" si="13"/>
        <v>0</v>
      </c>
      <c r="AJ75" s="11">
        <f>SUM(AH$5:AH75)/SUM(AI$5:AI75)</f>
        <v>0.91228070175438591</v>
      </c>
    </row>
    <row r="76" spans="1:36" x14ac:dyDescent="0.35">
      <c r="A76" t="s">
        <v>213</v>
      </c>
      <c r="B76">
        <v>7</v>
      </c>
      <c r="C76" t="s">
        <v>7</v>
      </c>
      <c r="D76" t="s">
        <v>8</v>
      </c>
      <c r="E76" t="s">
        <v>120</v>
      </c>
      <c r="G76" t="s">
        <v>121</v>
      </c>
      <c r="I76" t="s">
        <v>122</v>
      </c>
      <c r="K76" t="s">
        <v>123</v>
      </c>
      <c r="M76" t="s">
        <v>124</v>
      </c>
      <c r="O76">
        <v>0.56999999999999995</v>
      </c>
      <c r="P76" s="9" t="s">
        <v>478</v>
      </c>
      <c r="Q76">
        <v>91.7</v>
      </c>
      <c r="R76">
        <v>1</v>
      </c>
      <c r="S76">
        <v>7</v>
      </c>
      <c r="T76">
        <v>0</v>
      </c>
      <c r="U76" s="11">
        <f t="shared" si="9"/>
        <v>2.0105121061550393E-4</v>
      </c>
      <c r="V76" s="11">
        <f t="shared" si="10"/>
        <v>0</v>
      </c>
      <c r="X76" s="11">
        <f t="shared" si="8"/>
        <v>2.0105121061550393E-4</v>
      </c>
      <c r="Y76" s="12">
        <f t="shared" si="11"/>
        <v>0.99379613407243605</v>
      </c>
      <c r="AA76" s="25" t="str">
        <f>IF(P76="*","-",IFERROR(VLOOKUP(P76,'AE-W1'!$P$4:$T$126,4,FALSE),"-"))</f>
        <v>-</v>
      </c>
      <c r="AB76" s="25" t="str">
        <f>IF(P76="*","-",IFERROR(VLOOKUP(P76,'AE-W2'!$P$4:$T$107,4,FALSE),"-"))</f>
        <v>-</v>
      </c>
      <c r="AC76" s="25">
        <f>IF(P76="*","-",IFERROR(VLOOKUP(P76,'All MECSM samples'!$P$4:$AD$454,15,FALSE),"-"))</f>
        <v>58</v>
      </c>
      <c r="AD76" s="25"/>
      <c r="AE76">
        <v>100</v>
      </c>
      <c r="AF76">
        <v>5</v>
      </c>
      <c r="AH76">
        <f t="shared" si="12"/>
        <v>0</v>
      </c>
      <c r="AI76">
        <f t="shared" si="13"/>
        <v>1</v>
      </c>
      <c r="AJ76" s="11">
        <f>SUM(AH$5:AH76)/SUM(AI$5:AI76)</f>
        <v>0.89655172413793105</v>
      </c>
    </row>
    <row r="77" spans="1:36" x14ac:dyDescent="0.35">
      <c r="A77" t="s">
        <v>286</v>
      </c>
      <c r="B77">
        <v>7</v>
      </c>
      <c r="C77" t="s">
        <v>7</v>
      </c>
      <c r="D77" t="s">
        <v>8</v>
      </c>
      <c r="E77" t="s">
        <v>32</v>
      </c>
      <c r="O77">
        <v>0.99</v>
      </c>
      <c r="P77" s="9" t="s">
        <v>33</v>
      </c>
      <c r="Q77">
        <v>87.7</v>
      </c>
      <c r="R77">
        <v>1</v>
      </c>
      <c r="S77">
        <v>7</v>
      </c>
      <c r="T77">
        <v>0</v>
      </c>
      <c r="U77" s="11">
        <f t="shared" si="9"/>
        <v>2.0105121061550393E-4</v>
      </c>
      <c r="V77" s="11">
        <f t="shared" si="10"/>
        <v>0</v>
      </c>
      <c r="X77" s="11">
        <f t="shared" si="8"/>
        <v>2.0105121061550393E-4</v>
      </c>
      <c r="Y77" s="12">
        <f t="shared" si="11"/>
        <v>0.99399718528305159</v>
      </c>
      <c r="AA77" s="25">
        <f>IF(P77="*","-",IFERROR(VLOOKUP(P77,'AE-W1'!$P$4:$T$126,4,FALSE),"-"))</f>
        <v>9</v>
      </c>
      <c r="AB77" s="25">
        <f>IF(P77="*","-",IFERROR(VLOOKUP(P77,'AE-W2'!$P$4:$T$107,4,FALSE),"-"))</f>
        <v>5845</v>
      </c>
      <c r="AC77" s="25">
        <f>IF(P77="*","-",IFERROR(VLOOKUP(P77,'All MECSM samples'!$P$4:$AD$454,15,FALSE),"-"))</f>
        <v>5880</v>
      </c>
      <c r="AD77" s="25"/>
      <c r="AE77">
        <v>25</v>
      </c>
      <c r="AF77">
        <v>9</v>
      </c>
      <c r="AH77">
        <f t="shared" si="12"/>
        <v>0</v>
      </c>
      <c r="AI77">
        <f t="shared" si="13"/>
        <v>0</v>
      </c>
      <c r="AJ77" s="11">
        <f>SUM(AH$5:AH77)/SUM(AI$5:AI77)</f>
        <v>0.89655172413793105</v>
      </c>
    </row>
    <row r="78" spans="1:36" x14ac:dyDescent="0.35">
      <c r="A78" t="s">
        <v>284</v>
      </c>
      <c r="B78">
        <v>7</v>
      </c>
      <c r="C78" t="s">
        <v>7</v>
      </c>
      <c r="D78" t="s">
        <v>8</v>
      </c>
      <c r="E78" t="s">
        <v>394</v>
      </c>
      <c r="G78" t="s">
        <v>395</v>
      </c>
      <c r="I78" t="s">
        <v>396</v>
      </c>
      <c r="K78" t="s">
        <v>397</v>
      </c>
      <c r="M78" t="s">
        <v>398</v>
      </c>
      <c r="O78">
        <v>0.9</v>
      </c>
      <c r="P78" s="9" t="s">
        <v>399</v>
      </c>
      <c r="Q78">
        <v>92.9</v>
      </c>
      <c r="R78">
        <v>1</v>
      </c>
      <c r="S78">
        <v>7</v>
      </c>
      <c r="T78">
        <v>0</v>
      </c>
      <c r="U78" s="11">
        <f t="shared" si="9"/>
        <v>2.0105121061550393E-4</v>
      </c>
      <c r="V78" s="11">
        <f t="shared" si="10"/>
        <v>0</v>
      </c>
      <c r="X78" s="11">
        <f t="shared" si="8"/>
        <v>2.0105121061550393E-4</v>
      </c>
      <c r="Y78" s="12">
        <f t="shared" si="11"/>
        <v>0.99419823649366712</v>
      </c>
      <c r="AA78" s="25" t="str">
        <f>IF(P78="*","-",IFERROR(VLOOKUP(P78,'AE-W1'!$P$4:$T$126,4,FALSE),"-"))</f>
        <v>-</v>
      </c>
      <c r="AB78" s="25">
        <f>IF(P78="*","-",IFERROR(VLOOKUP(P78,'AE-W2'!$P$4:$T$107,4,FALSE),"-"))</f>
        <v>3</v>
      </c>
      <c r="AC78" s="25">
        <f>IF(P78="*","-",IFERROR(VLOOKUP(P78,'All MECSM samples'!$P$4:$AD$454,15,FALSE),"-"))</f>
        <v>2033</v>
      </c>
      <c r="AD78" s="25"/>
      <c r="AE78">
        <v>0</v>
      </c>
      <c r="AF78">
        <v>0</v>
      </c>
      <c r="AH78">
        <f t="shared" si="12"/>
        <v>0</v>
      </c>
      <c r="AI78">
        <f t="shared" si="13"/>
        <v>0</v>
      </c>
      <c r="AJ78" s="11">
        <f>SUM(AH$5:AH78)/SUM(AI$5:AI78)</f>
        <v>0.89655172413793105</v>
      </c>
    </row>
    <row r="79" spans="1:36" x14ac:dyDescent="0.35">
      <c r="A79" t="s">
        <v>318</v>
      </c>
      <c r="B79">
        <v>7</v>
      </c>
      <c r="C79" t="s">
        <v>7</v>
      </c>
      <c r="D79" t="s">
        <v>8</v>
      </c>
      <c r="E79" t="s">
        <v>46</v>
      </c>
      <c r="G79" t="s">
        <v>47</v>
      </c>
      <c r="I79" t="s">
        <v>69</v>
      </c>
      <c r="K79" t="s">
        <v>70</v>
      </c>
      <c r="O79">
        <v>0.64</v>
      </c>
      <c r="P79" s="9" t="s">
        <v>71</v>
      </c>
      <c r="Q79">
        <v>90.5</v>
      </c>
      <c r="R79">
        <v>1</v>
      </c>
      <c r="S79">
        <v>7</v>
      </c>
      <c r="T79">
        <v>0</v>
      </c>
      <c r="U79" s="11">
        <f t="shared" si="9"/>
        <v>2.0105121061550393E-4</v>
      </c>
      <c r="V79" s="11">
        <f t="shared" si="10"/>
        <v>0</v>
      </c>
      <c r="X79" s="11">
        <f t="shared" si="8"/>
        <v>2.0105121061550393E-4</v>
      </c>
      <c r="Y79" s="12">
        <f t="shared" si="11"/>
        <v>0.99439928770428265</v>
      </c>
      <c r="AA79" s="25">
        <f>IF(P79="*","-",IFERROR(VLOOKUP(P79,'AE-W1'!$P$4:$T$126,4,FALSE),"-"))</f>
        <v>6</v>
      </c>
      <c r="AB79" s="25">
        <f>IF(P79="*","-",IFERROR(VLOOKUP(P79,'AE-W2'!$P$4:$T$107,4,FALSE),"-"))</f>
        <v>2871</v>
      </c>
      <c r="AC79" s="25">
        <f>IF(P79="*","-",IFERROR(VLOOKUP(P79,'All MECSM samples'!$P$4:$AD$454,15,FALSE),"-"))</f>
        <v>2892</v>
      </c>
      <c r="AD79" s="25"/>
      <c r="AE79">
        <v>7</v>
      </c>
      <c r="AF79">
        <v>1178</v>
      </c>
      <c r="AH79">
        <f t="shared" si="12"/>
        <v>0</v>
      </c>
      <c r="AI79">
        <f t="shared" si="13"/>
        <v>0</v>
      </c>
      <c r="AJ79" s="11">
        <f>SUM(AH$5:AH79)/SUM(AI$5:AI79)</f>
        <v>0.89655172413793105</v>
      </c>
    </row>
    <row r="80" spans="1:36" x14ac:dyDescent="0.35">
      <c r="A80" t="s">
        <v>350</v>
      </c>
      <c r="B80">
        <v>7</v>
      </c>
      <c r="C80" t="s">
        <v>7</v>
      </c>
      <c r="D80" t="s">
        <v>8</v>
      </c>
      <c r="E80" t="s">
        <v>46</v>
      </c>
      <c r="O80">
        <v>0.96</v>
      </c>
      <c r="P80" s="9" t="s">
        <v>330</v>
      </c>
      <c r="Q80">
        <v>90.9</v>
      </c>
      <c r="R80">
        <v>1</v>
      </c>
      <c r="S80">
        <v>7</v>
      </c>
      <c r="T80">
        <v>0</v>
      </c>
      <c r="U80" s="11">
        <f t="shared" si="9"/>
        <v>2.0105121061550393E-4</v>
      </c>
      <c r="V80" s="11">
        <f t="shared" si="10"/>
        <v>0</v>
      </c>
      <c r="X80" s="11">
        <f t="shared" si="8"/>
        <v>2.0105121061550393E-4</v>
      </c>
      <c r="Y80" s="12">
        <f t="shared" si="11"/>
        <v>0.99460033891489819</v>
      </c>
      <c r="AA80" s="25">
        <f>IF(P80="*","-",IFERROR(VLOOKUP(P80,'AE-W1'!$P$4:$T$126,4,FALSE),"-"))</f>
        <v>10</v>
      </c>
      <c r="AB80" s="25">
        <f>IF(P80="*","-",IFERROR(VLOOKUP(P80,'AE-W2'!$P$4:$T$107,4,FALSE),"-"))</f>
        <v>10</v>
      </c>
      <c r="AC80" s="25">
        <f>IF(P80="*","-",IFERROR(VLOOKUP(P80,'All MECSM samples'!$P$4:$AD$454,15,FALSE),"-"))</f>
        <v>3140</v>
      </c>
      <c r="AD80" s="25"/>
      <c r="AE80">
        <v>30</v>
      </c>
      <c r="AF80">
        <v>407</v>
      </c>
      <c r="AH80">
        <f t="shared" si="12"/>
        <v>0</v>
      </c>
      <c r="AI80">
        <f t="shared" si="13"/>
        <v>0</v>
      </c>
      <c r="AJ80" s="11">
        <f>SUM(AH$5:AH80)/SUM(AI$5:AI80)</f>
        <v>0.89655172413793105</v>
      </c>
    </row>
    <row r="81" spans="1:36" x14ac:dyDescent="0.35">
      <c r="A81" t="s">
        <v>313</v>
      </c>
      <c r="B81">
        <v>7</v>
      </c>
      <c r="C81" t="s">
        <v>7</v>
      </c>
      <c r="D81" t="s">
        <v>8</v>
      </c>
      <c r="E81" t="s">
        <v>46</v>
      </c>
      <c r="G81" t="s">
        <v>47</v>
      </c>
      <c r="I81" t="s">
        <v>61</v>
      </c>
      <c r="O81">
        <v>0.55000000000000004</v>
      </c>
      <c r="P81" s="9" t="s">
        <v>434</v>
      </c>
      <c r="Q81">
        <v>88.5</v>
      </c>
      <c r="R81">
        <v>6</v>
      </c>
      <c r="S81">
        <v>7</v>
      </c>
      <c r="T81">
        <v>0</v>
      </c>
      <c r="U81" s="11">
        <f t="shared" si="9"/>
        <v>2.0105121061550393E-4</v>
      </c>
      <c r="V81" s="11">
        <f t="shared" si="10"/>
        <v>0</v>
      </c>
      <c r="X81" s="11">
        <f t="shared" si="8"/>
        <v>2.0105121061550393E-4</v>
      </c>
      <c r="Y81" s="12">
        <f t="shared" si="11"/>
        <v>0.99480139012551372</v>
      </c>
      <c r="AA81" s="25" t="str">
        <f>IF(P81="*","-",IFERROR(VLOOKUP(P81,'AE-W1'!$P$4:$T$126,4,FALSE),"-"))</f>
        <v>-</v>
      </c>
      <c r="AB81" s="25" t="str">
        <f>IF(P81="*","-",IFERROR(VLOOKUP(P81,'AE-W2'!$P$4:$T$107,4,FALSE),"-"))</f>
        <v>-</v>
      </c>
      <c r="AC81" s="25">
        <f>IF(P81="*","-",IFERROR(VLOOKUP(P81,'All MECSM samples'!$P$4:$AD$454,15,FALSE),"-"))</f>
        <v>29</v>
      </c>
      <c r="AD81" s="25"/>
      <c r="AE81">
        <v>100</v>
      </c>
      <c r="AF81">
        <v>127</v>
      </c>
      <c r="AH81">
        <f t="shared" si="12"/>
        <v>0</v>
      </c>
      <c r="AI81">
        <f t="shared" si="13"/>
        <v>1</v>
      </c>
      <c r="AJ81" s="11">
        <f>SUM(AH$5:AH81)/SUM(AI$5:AI81)</f>
        <v>0.88135593220338981</v>
      </c>
    </row>
    <row r="82" spans="1:36" x14ac:dyDescent="0.35">
      <c r="A82" t="s">
        <v>282</v>
      </c>
      <c r="B82">
        <v>7</v>
      </c>
      <c r="C82" t="s">
        <v>7</v>
      </c>
      <c r="D82" t="s">
        <v>8</v>
      </c>
      <c r="E82" t="s">
        <v>46</v>
      </c>
      <c r="G82" t="s">
        <v>364</v>
      </c>
      <c r="I82" t="s">
        <v>365</v>
      </c>
      <c r="K82" t="s">
        <v>366</v>
      </c>
      <c r="M82" t="s">
        <v>367</v>
      </c>
      <c r="O82">
        <v>1</v>
      </c>
      <c r="P82" s="9" t="s">
        <v>368</v>
      </c>
      <c r="Q82">
        <v>100</v>
      </c>
      <c r="R82">
        <v>4</v>
      </c>
      <c r="S82">
        <v>7</v>
      </c>
      <c r="T82">
        <v>0</v>
      </c>
      <c r="U82" s="11">
        <f t="shared" si="9"/>
        <v>2.0105121061550393E-4</v>
      </c>
      <c r="V82" s="11">
        <f t="shared" si="10"/>
        <v>0</v>
      </c>
      <c r="X82" s="11">
        <f t="shared" si="8"/>
        <v>2.0105121061550393E-4</v>
      </c>
      <c r="Y82" s="12">
        <f t="shared" si="11"/>
        <v>0.99500244133612925</v>
      </c>
      <c r="AA82" s="25" t="str">
        <f>IF(P82="*","-",IFERROR(VLOOKUP(P82,'AE-W1'!$P$4:$T$126,4,FALSE),"-"))</f>
        <v>-</v>
      </c>
      <c r="AB82" s="25">
        <f>IF(P82="*","-",IFERROR(VLOOKUP(P82,'AE-W2'!$P$4:$T$107,4,FALSE),"-"))</f>
        <v>13</v>
      </c>
      <c r="AC82" s="25">
        <f>IF(P82="*","-",IFERROR(VLOOKUP(P82,'All MECSM samples'!$P$4:$AD$454,15,FALSE),"-"))</f>
        <v>13</v>
      </c>
      <c r="AD82" s="25"/>
      <c r="AE82">
        <v>0</v>
      </c>
      <c r="AF82">
        <v>0</v>
      </c>
      <c r="AH82">
        <f t="shared" si="12"/>
        <v>0</v>
      </c>
      <c r="AI82">
        <f t="shared" si="13"/>
        <v>0</v>
      </c>
      <c r="AJ82" s="11">
        <f>SUM(AH$5:AH82)/SUM(AI$5:AI82)</f>
        <v>0.88135593220338981</v>
      </c>
    </row>
    <row r="83" spans="1:36" x14ac:dyDescent="0.35">
      <c r="A83" t="s">
        <v>280</v>
      </c>
      <c r="B83">
        <v>6</v>
      </c>
      <c r="C83" t="s">
        <v>7</v>
      </c>
      <c r="D83" t="s">
        <v>8</v>
      </c>
      <c r="E83" t="s">
        <v>32</v>
      </c>
      <c r="O83">
        <v>0.99</v>
      </c>
      <c r="P83" s="9" t="s">
        <v>375</v>
      </c>
      <c r="Q83">
        <v>86.2</v>
      </c>
      <c r="R83">
        <v>2</v>
      </c>
      <c r="S83">
        <v>6</v>
      </c>
      <c r="T83">
        <v>0</v>
      </c>
      <c r="U83" s="11">
        <f t="shared" si="9"/>
        <v>1.7232960909900337E-4</v>
      </c>
      <c r="V83" s="11">
        <f t="shared" si="10"/>
        <v>0</v>
      </c>
      <c r="X83" s="11">
        <f t="shared" si="8"/>
        <v>1.7232960909900337E-4</v>
      </c>
      <c r="Y83" s="12">
        <f t="shared" si="11"/>
        <v>0.99517477094522822</v>
      </c>
      <c r="AA83" s="25" t="str">
        <f>IF(P83="*","-",IFERROR(VLOOKUP(P83,'AE-W1'!$P$4:$T$126,4,FALSE),"-"))</f>
        <v>-</v>
      </c>
      <c r="AB83" s="25">
        <f>IF(P83="*","-",IFERROR(VLOOKUP(P83,'AE-W2'!$P$4:$T$107,4,FALSE),"-"))</f>
        <v>6</v>
      </c>
      <c r="AC83" s="25">
        <f>IF(P83="*","-",IFERROR(VLOOKUP(P83,'All MECSM samples'!$P$4:$AD$454,15,FALSE),"-"))</f>
        <v>2087</v>
      </c>
      <c r="AD83" s="25"/>
      <c r="AE83">
        <v>4</v>
      </c>
      <c r="AF83">
        <v>1</v>
      </c>
      <c r="AH83">
        <f t="shared" si="12"/>
        <v>0</v>
      </c>
      <c r="AI83">
        <f t="shared" si="13"/>
        <v>0</v>
      </c>
      <c r="AJ83" s="11">
        <f>SUM(AH$5:AH83)/SUM(AI$5:AI83)</f>
        <v>0.88135593220338981</v>
      </c>
    </row>
    <row r="84" spans="1:36" x14ac:dyDescent="0.35">
      <c r="A84" t="s">
        <v>465</v>
      </c>
      <c r="B84">
        <v>6</v>
      </c>
      <c r="C84" t="s">
        <v>7</v>
      </c>
      <c r="D84" t="s">
        <v>8</v>
      </c>
      <c r="E84" t="s">
        <v>46</v>
      </c>
      <c r="G84" t="s">
        <v>47</v>
      </c>
      <c r="I84" t="s">
        <v>69</v>
      </c>
      <c r="K84" t="s">
        <v>70</v>
      </c>
      <c r="M84" t="s">
        <v>459</v>
      </c>
      <c r="O84">
        <v>0.98</v>
      </c>
      <c r="P84" s="9" t="s">
        <v>460</v>
      </c>
      <c r="Q84">
        <v>95.3</v>
      </c>
      <c r="R84">
        <v>3</v>
      </c>
      <c r="S84">
        <v>6</v>
      </c>
      <c r="T84">
        <v>0</v>
      </c>
      <c r="U84" s="11">
        <f t="shared" si="9"/>
        <v>1.7232960909900337E-4</v>
      </c>
      <c r="V84" s="11">
        <f t="shared" si="10"/>
        <v>0</v>
      </c>
      <c r="X84" s="11">
        <f t="shared" si="8"/>
        <v>1.7232960909900337E-4</v>
      </c>
      <c r="Y84" s="12">
        <f t="shared" si="11"/>
        <v>0.99534710055432718</v>
      </c>
      <c r="AA84" s="25" t="str">
        <f>IF(P84="*","-",IFERROR(VLOOKUP(P84,'AE-W1'!$P$4:$T$126,4,FALSE),"-"))</f>
        <v>-</v>
      </c>
      <c r="AB84" s="25">
        <f>IF(P84="*","-",IFERROR(VLOOKUP(P84,'AE-W2'!$P$4:$T$107,4,FALSE),"-"))</f>
        <v>3</v>
      </c>
      <c r="AC84" s="25">
        <f>IF(P84="*","-",IFERROR(VLOOKUP(P84,'All MECSM samples'!$P$4:$AD$454,15,FALSE),"-"))</f>
        <v>6</v>
      </c>
      <c r="AD84" s="25"/>
      <c r="AE84">
        <v>100</v>
      </c>
      <c r="AF84">
        <v>104</v>
      </c>
      <c r="AH84">
        <f t="shared" si="12"/>
        <v>0</v>
      </c>
      <c r="AI84">
        <f t="shared" si="13"/>
        <v>1</v>
      </c>
      <c r="AJ84" s="11">
        <f>SUM(AH$5:AH84)/SUM(AI$5:AI84)</f>
        <v>0.8666666666666667</v>
      </c>
    </row>
    <row r="85" spans="1:36" x14ac:dyDescent="0.35">
      <c r="A85" t="s">
        <v>248</v>
      </c>
      <c r="B85">
        <v>6</v>
      </c>
      <c r="C85" t="s">
        <v>7</v>
      </c>
      <c r="D85" t="s">
        <v>8</v>
      </c>
      <c r="E85" t="s">
        <v>120</v>
      </c>
      <c r="G85" t="s">
        <v>121</v>
      </c>
      <c r="I85" t="s">
        <v>122</v>
      </c>
      <c r="K85" t="s">
        <v>123</v>
      </c>
      <c r="O85">
        <v>0.65</v>
      </c>
      <c r="P85" s="9" t="s">
        <v>220</v>
      </c>
      <c r="Q85">
        <v>87.7</v>
      </c>
      <c r="R85">
        <v>1</v>
      </c>
      <c r="S85">
        <v>6</v>
      </c>
      <c r="T85">
        <v>0</v>
      </c>
      <c r="U85" s="11">
        <f t="shared" si="9"/>
        <v>1.7232960909900337E-4</v>
      </c>
      <c r="V85" s="11">
        <f t="shared" si="10"/>
        <v>0</v>
      </c>
      <c r="X85" s="11">
        <f t="shared" si="8"/>
        <v>1.7232960909900337E-4</v>
      </c>
      <c r="Y85" s="12">
        <f t="shared" si="11"/>
        <v>0.99551943016342614</v>
      </c>
      <c r="AA85" s="25" t="str">
        <f>IF(P85="*","-",IFERROR(VLOOKUP(P85,'AE-W1'!$P$4:$T$126,4,FALSE),"-"))</f>
        <v>-</v>
      </c>
      <c r="AB85" s="25">
        <f>IF(P85="*","-",IFERROR(VLOOKUP(P85,'AE-W2'!$P$4:$T$107,4,FALSE),"-"))</f>
        <v>93</v>
      </c>
      <c r="AC85" s="25">
        <f>IF(P85="*","-",IFERROR(VLOOKUP(P85,'All MECSM samples'!$P$4:$AD$454,15,FALSE),"-"))</f>
        <v>81</v>
      </c>
      <c r="AD85" s="25"/>
      <c r="AE85">
        <v>67</v>
      </c>
      <c r="AF85">
        <v>5</v>
      </c>
      <c r="AH85">
        <f t="shared" si="12"/>
        <v>0</v>
      </c>
      <c r="AI85">
        <f t="shared" si="13"/>
        <v>0</v>
      </c>
      <c r="AJ85" s="11">
        <f>SUM(AH$5:AH85)/SUM(AI$5:AI85)</f>
        <v>0.8666666666666667</v>
      </c>
    </row>
    <row r="86" spans="1:36" x14ac:dyDescent="0.35">
      <c r="A86" t="s">
        <v>253</v>
      </c>
      <c r="B86">
        <v>6</v>
      </c>
      <c r="C86" t="s">
        <v>7</v>
      </c>
      <c r="D86" t="s">
        <v>8</v>
      </c>
      <c r="O86">
        <v>1</v>
      </c>
      <c r="P86" s="9" t="s">
        <v>50</v>
      </c>
      <c r="Q86">
        <v>89.7</v>
      </c>
      <c r="R86">
        <v>1</v>
      </c>
      <c r="S86">
        <v>6</v>
      </c>
      <c r="T86">
        <v>0</v>
      </c>
      <c r="U86" s="11">
        <f t="shared" si="9"/>
        <v>1.7232960909900337E-4</v>
      </c>
      <c r="V86" s="11">
        <f t="shared" si="10"/>
        <v>0</v>
      </c>
      <c r="X86" s="11">
        <f t="shared" si="8"/>
        <v>1.7232960909900337E-4</v>
      </c>
      <c r="Y86" s="12">
        <f t="shared" si="11"/>
        <v>0.99569175977252511</v>
      </c>
      <c r="AA86" s="25">
        <f>IF(P86="*","-",IFERROR(VLOOKUP(P86,'AE-W1'!$P$4:$T$126,4,FALSE),"-"))</f>
        <v>3</v>
      </c>
      <c r="AB86" s="25">
        <f>IF(P86="*","-",IFERROR(VLOOKUP(P86,'AE-W2'!$P$4:$T$107,4,FALSE),"-"))</f>
        <v>4057</v>
      </c>
      <c r="AC86" s="25">
        <f>IF(P86="*","-",IFERROR(VLOOKUP(P86,'All MECSM samples'!$P$4:$AD$454,15,FALSE),"-"))</f>
        <v>4081</v>
      </c>
      <c r="AD86" s="25"/>
      <c r="AE86">
        <v>57</v>
      </c>
      <c r="AF86">
        <v>1</v>
      </c>
      <c r="AH86">
        <f t="shared" si="12"/>
        <v>0</v>
      </c>
      <c r="AI86">
        <f t="shared" si="13"/>
        <v>0</v>
      </c>
      <c r="AJ86" s="11">
        <f>SUM(AH$5:AH86)/SUM(AI$5:AI86)</f>
        <v>0.8666666666666667</v>
      </c>
    </row>
    <row r="87" spans="1:36" x14ac:dyDescent="0.35">
      <c r="A87" t="s">
        <v>257</v>
      </c>
      <c r="B87">
        <v>6</v>
      </c>
      <c r="C87" t="s">
        <v>7</v>
      </c>
      <c r="D87" t="s">
        <v>8</v>
      </c>
      <c r="E87" t="s">
        <v>46</v>
      </c>
      <c r="G87" t="s">
        <v>47</v>
      </c>
      <c r="I87" t="s">
        <v>61</v>
      </c>
      <c r="O87">
        <v>0.89</v>
      </c>
      <c r="P87" s="9" t="s">
        <v>62</v>
      </c>
      <c r="Q87">
        <v>90.9</v>
      </c>
      <c r="R87">
        <v>1</v>
      </c>
      <c r="S87">
        <v>6</v>
      </c>
      <c r="T87">
        <v>0</v>
      </c>
      <c r="U87" s="11">
        <f t="shared" si="9"/>
        <v>1.7232960909900337E-4</v>
      </c>
      <c r="V87" s="11">
        <f t="shared" si="10"/>
        <v>0</v>
      </c>
      <c r="X87" s="11">
        <f t="shared" si="8"/>
        <v>1.7232960909900337E-4</v>
      </c>
      <c r="Y87" s="12">
        <f t="shared" si="11"/>
        <v>0.99586408938162407</v>
      </c>
      <c r="AA87" s="25" t="str">
        <f>IF(P87="*","-",IFERROR(VLOOKUP(P87,'AE-W1'!$P$4:$T$126,4,FALSE),"-"))</f>
        <v>-</v>
      </c>
      <c r="AB87" s="25">
        <f>IF(P87="*","-",IFERROR(VLOOKUP(P87,'AE-W2'!$P$4:$T$107,4,FALSE),"-"))</f>
        <v>2463</v>
      </c>
      <c r="AC87" s="25">
        <f>IF(P87="*","-",IFERROR(VLOOKUP(P87,'All MECSM samples'!$P$4:$AD$454,15,FALSE),"-"))</f>
        <v>2474</v>
      </c>
      <c r="AD87" s="25"/>
      <c r="AE87">
        <v>43</v>
      </c>
      <c r="AF87">
        <v>289</v>
      </c>
      <c r="AH87">
        <f t="shared" si="12"/>
        <v>0</v>
      </c>
      <c r="AI87">
        <f t="shared" si="13"/>
        <v>0</v>
      </c>
      <c r="AJ87" s="11">
        <f>SUM(AH$5:AH87)/SUM(AI$5:AI87)</f>
        <v>0.8666666666666667</v>
      </c>
    </row>
    <row r="88" spans="1:36" x14ac:dyDescent="0.35">
      <c r="A88" t="s">
        <v>242</v>
      </c>
      <c r="B88">
        <v>6</v>
      </c>
      <c r="C88" t="s">
        <v>7</v>
      </c>
      <c r="D88" t="s">
        <v>8</v>
      </c>
      <c r="E88" t="s">
        <v>46</v>
      </c>
      <c r="G88" t="s">
        <v>47</v>
      </c>
      <c r="I88" t="s">
        <v>61</v>
      </c>
      <c r="K88" t="s">
        <v>94</v>
      </c>
      <c r="M88" t="s">
        <v>316</v>
      </c>
      <c r="O88">
        <v>1</v>
      </c>
      <c r="P88" s="9" t="s">
        <v>317</v>
      </c>
      <c r="Q88">
        <v>100</v>
      </c>
      <c r="R88">
        <v>1</v>
      </c>
      <c r="S88">
        <v>6</v>
      </c>
      <c r="T88">
        <v>0</v>
      </c>
      <c r="U88" s="11">
        <f t="shared" si="9"/>
        <v>1.7232960909900337E-4</v>
      </c>
      <c r="V88" s="11">
        <f t="shared" si="10"/>
        <v>0</v>
      </c>
      <c r="X88" s="11">
        <f t="shared" si="8"/>
        <v>1.7232960909900337E-4</v>
      </c>
      <c r="Y88" s="12">
        <f t="shared" si="11"/>
        <v>0.99603641899072304</v>
      </c>
      <c r="AA88" s="25">
        <f>IF(P88="*","-",IFERROR(VLOOKUP(P88,'AE-W1'!$P$4:$T$126,4,FALSE),"-"))</f>
        <v>18</v>
      </c>
      <c r="AB88" s="25">
        <f>IF(P88="*","-",IFERROR(VLOOKUP(P88,'AE-W2'!$P$4:$T$107,4,FALSE),"-"))</f>
        <v>9</v>
      </c>
      <c r="AC88" s="25">
        <f>IF(P88="*","-",IFERROR(VLOOKUP(P88,'All MECSM samples'!$P$4:$AD$454,15,FALSE),"-"))</f>
        <v>2300</v>
      </c>
      <c r="AD88" s="25"/>
      <c r="AE88">
        <v>13</v>
      </c>
      <c r="AF88">
        <v>931</v>
      </c>
      <c r="AH88">
        <f t="shared" si="12"/>
        <v>0</v>
      </c>
      <c r="AI88">
        <f t="shared" si="13"/>
        <v>0</v>
      </c>
      <c r="AJ88" s="11">
        <f>SUM(AH$5:AH88)/SUM(AI$5:AI88)</f>
        <v>0.8666666666666667</v>
      </c>
    </row>
    <row r="89" spans="1:36" x14ac:dyDescent="0.35">
      <c r="A89" t="s">
        <v>271</v>
      </c>
      <c r="B89">
        <v>5</v>
      </c>
      <c r="C89" t="s">
        <v>7</v>
      </c>
      <c r="D89" t="s">
        <v>8</v>
      </c>
      <c r="E89" t="s">
        <v>32</v>
      </c>
      <c r="G89" t="s">
        <v>35</v>
      </c>
      <c r="I89" t="s">
        <v>36</v>
      </c>
      <c r="O89">
        <v>0.72</v>
      </c>
      <c r="P89" s="9" t="s">
        <v>92</v>
      </c>
      <c r="Q89">
        <v>86.2</v>
      </c>
      <c r="R89">
        <v>1</v>
      </c>
      <c r="S89">
        <v>5</v>
      </c>
      <c r="T89">
        <v>0</v>
      </c>
      <c r="U89" s="11">
        <f t="shared" si="9"/>
        <v>1.4360800758250281E-4</v>
      </c>
      <c r="V89" s="11">
        <f t="shared" si="10"/>
        <v>0</v>
      </c>
      <c r="X89" s="11">
        <f t="shared" si="8"/>
        <v>1.4360800758250281E-4</v>
      </c>
      <c r="Y89" s="12">
        <f t="shared" si="11"/>
        <v>0.99618002699830555</v>
      </c>
      <c r="AA89" s="25">
        <f>IF(P89="*","-",IFERROR(VLOOKUP(P89,'AE-W1'!$P$4:$T$126,4,FALSE),"-"))</f>
        <v>1059</v>
      </c>
      <c r="AB89" s="25">
        <f>IF(P89="*","-",IFERROR(VLOOKUP(P89,'AE-W2'!$P$4:$T$107,4,FALSE),"-"))</f>
        <v>29</v>
      </c>
      <c r="AC89" s="25">
        <f>IF(P89="*","-",IFERROR(VLOOKUP(P89,'All MECSM samples'!$P$4:$AD$454,15,FALSE),"-"))</f>
        <v>6717</v>
      </c>
      <c r="AD89" s="25"/>
      <c r="AE89">
        <v>78</v>
      </c>
      <c r="AF89">
        <v>10</v>
      </c>
      <c r="AH89">
        <f t="shared" si="12"/>
        <v>0</v>
      </c>
      <c r="AI89">
        <f t="shared" si="13"/>
        <v>0</v>
      </c>
      <c r="AJ89" s="11">
        <f>SUM(AH$5:AH89)/SUM(AI$5:AI89)</f>
        <v>0.8666666666666667</v>
      </c>
    </row>
    <row r="90" spans="1:36" x14ac:dyDescent="0.35">
      <c r="A90" t="s">
        <v>340</v>
      </c>
      <c r="B90">
        <v>5</v>
      </c>
      <c r="C90" t="s">
        <v>7</v>
      </c>
      <c r="D90" t="s">
        <v>8</v>
      </c>
      <c r="E90" t="s">
        <v>394</v>
      </c>
      <c r="G90" t="s">
        <v>395</v>
      </c>
      <c r="I90" t="s">
        <v>396</v>
      </c>
      <c r="K90" t="s">
        <v>397</v>
      </c>
      <c r="M90" t="s">
        <v>398</v>
      </c>
      <c r="O90">
        <v>0.99</v>
      </c>
      <c r="P90" s="9" t="s">
        <v>399</v>
      </c>
      <c r="Q90">
        <v>94.8</v>
      </c>
      <c r="R90">
        <v>1</v>
      </c>
      <c r="S90">
        <v>5</v>
      </c>
      <c r="T90">
        <v>0</v>
      </c>
      <c r="U90" s="11">
        <f t="shared" si="9"/>
        <v>1.4360800758250281E-4</v>
      </c>
      <c r="V90" s="11">
        <f t="shared" si="10"/>
        <v>0</v>
      </c>
      <c r="X90" s="11">
        <f t="shared" si="8"/>
        <v>1.4360800758250281E-4</v>
      </c>
      <c r="Y90" s="12">
        <f t="shared" si="11"/>
        <v>0.99632363500588805</v>
      </c>
      <c r="AA90" s="25" t="str">
        <f>IF(P90="*","-",IFERROR(VLOOKUP(P90,'AE-W1'!$P$4:$T$126,4,FALSE),"-"))</f>
        <v>-</v>
      </c>
      <c r="AB90" s="25">
        <f>IF(P90="*","-",IFERROR(VLOOKUP(P90,'AE-W2'!$P$4:$T$107,4,FALSE),"-"))</f>
        <v>3</v>
      </c>
      <c r="AC90" s="25">
        <f>IF(P90="*","-",IFERROR(VLOOKUP(P90,'All MECSM samples'!$P$4:$AD$454,15,FALSE),"-"))</f>
        <v>2033</v>
      </c>
      <c r="AD90" s="25"/>
      <c r="AE90">
        <v>0</v>
      </c>
      <c r="AF90">
        <v>0</v>
      </c>
      <c r="AH90">
        <f t="shared" si="12"/>
        <v>0</v>
      </c>
      <c r="AI90">
        <f t="shared" si="13"/>
        <v>0</v>
      </c>
      <c r="AJ90" s="11">
        <f>SUM(AH$5:AH90)/SUM(AI$5:AI90)</f>
        <v>0.8666666666666667</v>
      </c>
    </row>
    <row r="91" spans="1:36" x14ac:dyDescent="0.35">
      <c r="A91" t="s">
        <v>275</v>
      </c>
      <c r="B91">
        <v>5</v>
      </c>
      <c r="C91" t="s">
        <v>7</v>
      </c>
      <c r="D91" t="s">
        <v>8</v>
      </c>
      <c r="E91" t="s">
        <v>46</v>
      </c>
      <c r="G91" t="s">
        <v>364</v>
      </c>
      <c r="I91" t="s">
        <v>365</v>
      </c>
      <c r="K91" t="s">
        <v>366</v>
      </c>
      <c r="M91" t="s">
        <v>367</v>
      </c>
      <c r="O91">
        <v>0.97</v>
      </c>
      <c r="P91" s="9" t="s">
        <v>414</v>
      </c>
      <c r="Q91">
        <v>100</v>
      </c>
      <c r="R91">
        <v>4</v>
      </c>
      <c r="S91">
        <v>5</v>
      </c>
      <c r="T91">
        <v>0</v>
      </c>
      <c r="U91" s="11">
        <f t="shared" si="9"/>
        <v>1.4360800758250281E-4</v>
      </c>
      <c r="V91" s="11">
        <f t="shared" si="10"/>
        <v>0</v>
      </c>
      <c r="X91" s="11">
        <f t="shared" si="8"/>
        <v>1.4360800758250281E-4</v>
      </c>
      <c r="Y91" s="12">
        <f t="shared" si="11"/>
        <v>0.99646724301347056</v>
      </c>
      <c r="AA91" s="25" t="str">
        <f>IF(P91="*","-",IFERROR(VLOOKUP(P91,'AE-W1'!$P$4:$T$126,4,FALSE),"-"))</f>
        <v>-</v>
      </c>
      <c r="AB91" s="25">
        <f>IF(P91="*","-",IFERROR(VLOOKUP(P91,'AE-W2'!$P$4:$T$107,4,FALSE),"-"))</f>
        <v>7</v>
      </c>
      <c r="AC91" s="25">
        <f>IF(P91="*","-",IFERROR(VLOOKUP(P91,'All MECSM samples'!$P$4:$AD$454,15,FALSE),"-"))</f>
        <v>30</v>
      </c>
      <c r="AD91" s="25"/>
      <c r="AE91">
        <v>0</v>
      </c>
      <c r="AF91">
        <v>0</v>
      </c>
      <c r="AH91">
        <f t="shared" si="12"/>
        <v>0</v>
      </c>
      <c r="AI91">
        <f t="shared" si="13"/>
        <v>0</v>
      </c>
      <c r="AJ91" s="11">
        <f>SUM(AH$5:AH91)/SUM(AI$5:AI91)</f>
        <v>0.8666666666666667</v>
      </c>
    </row>
    <row r="92" spans="1:36" x14ac:dyDescent="0.35">
      <c r="A92" t="s">
        <v>303</v>
      </c>
      <c r="B92">
        <v>5</v>
      </c>
      <c r="C92" t="s">
        <v>7</v>
      </c>
      <c r="D92" t="s">
        <v>8</v>
      </c>
      <c r="E92" t="s">
        <v>46</v>
      </c>
      <c r="G92" t="s">
        <v>47</v>
      </c>
      <c r="I92" t="s">
        <v>61</v>
      </c>
      <c r="O92">
        <v>1</v>
      </c>
      <c r="P92" s="9" t="s">
        <v>381</v>
      </c>
      <c r="Q92">
        <v>94.9</v>
      </c>
      <c r="R92">
        <v>1</v>
      </c>
      <c r="S92">
        <v>5</v>
      </c>
      <c r="T92">
        <v>0</v>
      </c>
      <c r="U92" s="11">
        <f t="shared" si="9"/>
        <v>1.4360800758250281E-4</v>
      </c>
      <c r="V92" s="11">
        <f t="shared" si="10"/>
        <v>0</v>
      </c>
      <c r="X92" s="11">
        <f t="shared" si="8"/>
        <v>1.4360800758250281E-4</v>
      </c>
      <c r="Y92" s="12">
        <f t="shared" si="11"/>
        <v>0.99661085102105307</v>
      </c>
      <c r="AA92" s="25">
        <f>IF(P92="*","-",IFERROR(VLOOKUP(P92,'AE-W1'!$P$4:$T$126,4,FALSE),"-"))</f>
        <v>5</v>
      </c>
      <c r="AB92" s="25">
        <f>IF(P92="*","-",IFERROR(VLOOKUP(P92,'AE-W2'!$P$4:$T$107,4,FALSE),"-"))</f>
        <v>6</v>
      </c>
      <c r="AC92" s="25">
        <f>IF(P92="*","-",IFERROR(VLOOKUP(P92,'All MECSM samples'!$P$4:$AD$454,15,FALSE),"-"))</f>
        <v>932</v>
      </c>
      <c r="AD92" s="25"/>
      <c r="AE92">
        <v>42</v>
      </c>
      <c r="AF92">
        <v>405</v>
      </c>
      <c r="AH92">
        <f t="shared" si="12"/>
        <v>0</v>
      </c>
      <c r="AI92">
        <f t="shared" si="13"/>
        <v>0</v>
      </c>
      <c r="AJ92" s="11">
        <f>SUM(AH$5:AH92)/SUM(AI$5:AI92)</f>
        <v>0.8666666666666667</v>
      </c>
    </row>
    <row r="93" spans="1:36" x14ac:dyDescent="0.35">
      <c r="A93" t="s">
        <v>353</v>
      </c>
      <c r="B93">
        <v>5</v>
      </c>
      <c r="C93" t="s">
        <v>7</v>
      </c>
      <c r="D93" t="s">
        <v>8</v>
      </c>
      <c r="E93" t="s">
        <v>32</v>
      </c>
      <c r="O93">
        <v>0.98</v>
      </c>
      <c r="P93" s="9" t="s">
        <v>341</v>
      </c>
      <c r="Q93">
        <v>86.6</v>
      </c>
      <c r="R93">
        <v>1</v>
      </c>
      <c r="S93">
        <v>5</v>
      </c>
      <c r="T93">
        <v>0</v>
      </c>
      <c r="U93" s="11">
        <f t="shared" si="9"/>
        <v>1.4360800758250281E-4</v>
      </c>
      <c r="V93" s="11">
        <f t="shared" si="10"/>
        <v>0</v>
      </c>
      <c r="X93" s="11">
        <f t="shared" si="8"/>
        <v>1.4360800758250281E-4</v>
      </c>
      <c r="Y93" s="12">
        <f t="shared" si="11"/>
        <v>0.99675445902863558</v>
      </c>
      <c r="AA93" s="25">
        <f>IF(P93="*","-",IFERROR(VLOOKUP(P93,'AE-W1'!$P$4:$T$126,4,FALSE),"-"))</f>
        <v>15</v>
      </c>
      <c r="AB93" s="25">
        <f>IF(P93="*","-",IFERROR(VLOOKUP(P93,'AE-W2'!$P$4:$T$107,4,FALSE),"-"))</f>
        <v>5</v>
      </c>
      <c r="AC93" s="25">
        <f>IF(P93="*","-",IFERROR(VLOOKUP(P93,'All MECSM samples'!$P$4:$AD$454,15,FALSE),"-"))</f>
        <v>1251</v>
      </c>
      <c r="AD93" s="25"/>
      <c r="AE93">
        <v>3</v>
      </c>
      <c r="AF93">
        <v>40</v>
      </c>
      <c r="AH93">
        <f t="shared" si="12"/>
        <v>0</v>
      </c>
      <c r="AI93">
        <f t="shared" si="13"/>
        <v>0</v>
      </c>
      <c r="AJ93" s="11">
        <f>SUM(AH$5:AH93)/SUM(AI$5:AI93)</f>
        <v>0.8666666666666667</v>
      </c>
    </row>
    <row r="94" spans="1:36" x14ac:dyDescent="0.35">
      <c r="A94" t="s">
        <v>266</v>
      </c>
      <c r="B94">
        <v>5</v>
      </c>
      <c r="C94" t="s">
        <v>7</v>
      </c>
      <c r="D94" t="s">
        <v>8</v>
      </c>
      <c r="E94" t="s">
        <v>9</v>
      </c>
      <c r="G94" t="s">
        <v>10</v>
      </c>
      <c r="O94">
        <v>0.5</v>
      </c>
      <c r="P94" s="9" t="s">
        <v>154</v>
      </c>
      <c r="Q94">
        <v>89.7</v>
      </c>
      <c r="R94">
        <v>1</v>
      </c>
      <c r="S94">
        <v>5</v>
      </c>
      <c r="T94">
        <v>0</v>
      </c>
      <c r="U94" s="11">
        <f t="shared" si="9"/>
        <v>1.4360800758250281E-4</v>
      </c>
      <c r="V94" s="11">
        <f t="shared" si="10"/>
        <v>0</v>
      </c>
      <c r="X94" s="11">
        <f t="shared" si="8"/>
        <v>1.4360800758250281E-4</v>
      </c>
      <c r="Y94" s="12">
        <f t="shared" si="11"/>
        <v>0.99689806703621808</v>
      </c>
      <c r="AA94" s="25">
        <f>IF(P94="*","-",IFERROR(VLOOKUP(P94,'AE-W1'!$P$4:$T$126,4,FALSE),"-"))</f>
        <v>304</v>
      </c>
      <c r="AB94" s="25" t="str">
        <f>IF(P94="*","-",IFERROR(VLOOKUP(P94,'AE-W2'!$P$4:$T$107,4,FALSE),"-"))</f>
        <v>-</v>
      </c>
      <c r="AC94" s="25">
        <f>IF(P94="*","-",IFERROR(VLOOKUP(P94,'All MECSM samples'!$P$4:$AD$454,15,FALSE),"-"))</f>
        <v>305</v>
      </c>
      <c r="AD94" s="25"/>
      <c r="AE94">
        <v>61</v>
      </c>
      <c r="AF94">
        <v>2</v>
      </c>
      <c r="AH94">
        <f t="shared" si="12"/>
        <v>0</v>
      </c>
      <c r="AI94">
        <f t="shared" si="13"/>
        <v>0</v>
      </c>
      <c r="AJ94" s="11">
        <f>SUM(AH$5:AH94)/SUM(AI$5:AI94)</f>
        <v>0.8666666666666667</v>
      </c>
    </row>
    <row r="95" spans="1:36" x14ac:dyDescent="0.35">
      <c r="A95" t="s">
        <v>372</v>
      </c>
      <c r="B95">
        <v>5</v>
      </c>
      <c r="C95" t="s">
        <v>7</v>
      </c>
      <c r="D95" t="s">
        <v>8</v>
      </c>
      <c r="E95" t="s">
        <v>32</v>
      </c>
      <c r="O95">
        <v>1</v>
      </c>
      <c r="P95" s="9" t="s">
        <v>436</v>
      </c>
      <c r="Q95">
        <v>88.5</v>
      </c>
      <c r="R95">
        <v>2</v>
      </c>
      <c r="S95">
        <v>5</v>
      </c>
      <c r="T95">
        <v>0</v>
      </c>
      <c r="U95" s="11">
        <f t="shared" si="9"/>
        <v>1.4360800758250281E-4</v>
      </c>
      <c r="V95" s="11">
        <f t="shared" si="10"/>
        <v>0</v>
      </c>
      <c r="X95" s="11">
        <f t="shared" si="8"/>
        <v>1.4360800758250281E-4</v>
      </c>
      <c r="Y95" s="12">
        <f t="shared" si="11"/>
        <v>0.99704167504380059</v>
      </c>
      <c r="AA95" s="25" t="str">
        <f>IF(P95="*","-",IFERROR(VLOOKUP(P95,'AE-W1'!$P$4:$T$126,4,FALSE),"-"))</f>
        <v>-</v>
      </c>
      <c r="AB95" s="25" t="str">
        <f>IF(P95="*","-",IFERROR(VLOOKUP(P95,'AE-W2'!$P$4:$T$107,4,FALSE),"-"))</f>
        <v>-</v>
      </c>
      <c r="AC95" s="25">
        <f>IF(P95="*","-",IFERROR(VLOOKUP(P95,'All MECSM samples'!$P$4:$AD$454,15,FALSE),"-"))</f>
        <v>1534</v>
      </c>
      <c r="AD95" s="25"/>
      <c r="AE95">
        <v>0</v>
      </c>
      <c r="AF95">
        <v>0</v>
      </c>
      <c r="AH95">
        <f t="shared" si="12"/>
        <v>0</v>
      </c>
      <c r="AI95">
        <f t="shared" si="13"/>
        <v>0</v>
      </c>
      <c r="AJ95" s="11">
        <f>SUM(AH$5:AH95)/SUM(AI$5:AI95)</f>
        <v>0.8666666666666667</v>
      </c>
    </row>
    <row r="96" spans="1:36" x14ac:dyDescent="0.35">
      <c r="A96" t="s">
        <v>315</v>
      </c>
      <c r="B96">
        <v>5</v>
      </c>
      <c r="C96" t="s">
        <v>7</v>
      </c>
      <c r="D96" t="s">
        <v>8</v>
      </c>
      <c r="E96" t="s">
        <v>32</v>
      </c>
      <c r="G96" t="s">
        <v>35</v>
      </c>
      <c r="I96" t="s">
        <v>36</v>
      </c>
      <c r="K96" t="s">
        <v>37</v>
      </c>
      <c r="O96">
        <v>0.9</v>
      </c>
      <c r="P96" s="9" t="s">
        <v>401</v>
      </c>
      <c r="Q96">
        <v>91.7</v>
      </c>
      <c r="R96">
        <v>1</v>
      </c>
      <c r="S96">
        <v>5</v>
      </c>
      <c r="T96">
        <v>0</v>
      </c>
      <c r="U96" s="11">
        <f t="shared" si="9"/>
        <v>1.4360800758250281E-4</v>
      </c>
      <c r="V96" s="11">
        <f t="shared" si="10"/>
        <v>0</v>
      </c>
      <c r="X96" s="11">
        <f t="shared" si="8"/>
        <v>1.4360800758250281E-4</v>
      </c>
      <c r="Y96" s="12">
        <f t="shared" si="11"/>
        <v>0.9971852830513831</v>
      </c>
      <c r="AA96" s="25">
        <f>IF(P96="*","-",IFERROR(VLOOKUP(P96,'AE-W1'!$P$4:$T$126,4,FALSE),"-"))</f>
        <v>5</v>
      </c>
      <c r="AB96" s="25">
        <f>IF(P96="*","-",IFERROR(VLOOKUP(P96,'AE-W2'!$P$4:$T$107,4,FALSE),"-"))</f>
        <v>6</v>
      </c>
      <c r="AC96" s="25">
        <f>IF(P96="*","-",IFERROR(VLOOKUP(P96,'All MECSM samples'!$P$4:$AD$454,15,FALSE),"-"))</f>
        <v>6</v>
      </c>
      <c r="AD96" s="25"/>
      <c r="AE96">
        <v>3</v>
      </c>
      <c r="AF96">
        <v>46</v>
      </c>
      <c r="AH96">
        <f t="shared" si="12"/>
        <v>0</v>
      </c>
      <c r="AI96">
        <f t="shared" si="13"/>
        <v>0</v>
      </c>
      <c r="AJ96" s="11">
        <f>SUM(AH$5:AH96)/SUM(AI$5:AI96)</f>
        <v>0.8666666666666667</v>
      </c>
    </row>
    <row r="97" spans="1:36" x14ac:dyDescent="0.35">
      <c r="A97" t="s">
        <v>327</v>
      </c>
      <c r="B97">
        <v>5</v>
      </c>
      <c r="C97" t="s">
        <v>7</v>
      </c>
      <c r="D97" t="s">
        <v>8</v>
      </c>
      <c r="E97" t="s">
        <v>258</v>
      </c>
      <c r="G97" t="s">
        <v>258</v>
      </c>
      <c r="H97" t="s">
        <v>259</v>
      </c>
      <c r="I97" t="s">
        <v>260</v>
      </c>
      <c r="J97" t="s">
        <v>261</v>
      </c>
      <c r="K97" t="s">
        <v>262</v>
      </c>
      <c r="O97">
        <v>0.56000000000000005</v>
      </c>
      <c r="P97" s="9" t="s">
        <v>328</v>
      </c>
      <c r="Q97">
        <v>89.3</v>
      </c>
      <c r="R97">
        <v>1</v>
      </c>
      <c r="S97">
        <v>5</v>
      </c>
      <c r="T97">
        <v>0</v>
      </c>
      <c r="U97" s="11">
        <f t="shared" si="9"/>
        <v>1.4360800758250281E-4</v>
      </c>
      <c r="V97" s="11">
        <f t="shared" si="10"/>
        <v>0</v>
      </c>
      <c r="X97" s="11">
        <f t="shared" si="8"/>
        <v>1.4360800758250281E-4</v>
      </c>
      <c r="Y97" s="12">
        <f t="shared" si="11"/>
        <v>0.99732889105896561</v>
      </c>
      <c r="AA97" s="25">
        <f>IF(P97="*","-",IFERROR(VLOOKUP(P97,'AE-W1'!$P$4:$T$126,4,FALSE),"-"))</f>
        <v>11</v>
      </c>
      <c r="AB97" s="25">
        <f>IF(P97="*","-",IFERROR(VLOOKUP(P97,'AE-W2'!$P$4:$T$107,4,FALSE),"-"))</f>
        <v>20</v>
      </c>
      <c r="AC97" s="25">
        <f>IF(P97="*","-",IFERROR(VLOOKUP(P97,'All MECSM samples'!$P$4:$AD$454,15,FALSE),"-"))</f>
        <v>3418</v>
      </c>
      <c r="AD97" s="25"/>
      <c r="AE97">
        <v>39</v>
      </c>
      <c r="AF97">
        <v>1</v>
      </c>
      <c r="AH97">
        <f t="shared" si="12"/>
        <v>0</v>
      </c>
      <c r="AI97">
        <f t="shared" si="13"/>
        <v>0</v>
      </c>
      <c r="AJ97" s="11">
        <f>SUM(AH$5:AH97)/SUM(AI$5:AI97)</f>
        <v>0.8666666666666667</v>
      </c>
    </row>
    <row r="98" spans="1:36" x14ac:dyDescent="0.35">
      <c r="A98" t="s">
        <v>424</v>
      </c>
      <c r="B98">
        <v>5</v>
      </c>
      <c r="C98" t="s">
        <v>7</v>
      </c>
      <c r="D98" t="s">
        <v>8</v>
      </c>
      <c r="E98" t="s">
        <v>258</v>
      </c>
      <c r="G98" t="s">
        <v>258</v>
      </c>
      <c r="O98">
        <v>0.51</v>
      </c>
      <c r="P98" s="9" t="s">
        <v>328</v>
      </c>
      <c r="Q98">
        <v>90.1</v>
      </c>
      <c r="R98">
        <v>1</v>
      </c>
      <c r="S98">
        <v>5</v>
      </c>
      <c r="T98">
        <v>0</v>
      </c>
      <c r="U98" s="11">
        <f t="shared" si="9"/>
        <v>1.4360800758250281E-4</v>
      </c>
      <c r="V98" s="11">
        <f t="shared" si="10"/>
        <v>0</v>
      </c>
      <c r="X98" s="11">
        <f t="shared" si="8"/>
        <v>1.4360800758250281E-4</v>
      </c>
      <c r="Y98" s="12">
        <f t="shared" si="11"/>
        <v>0.99747249906654811</v>
      </c>
      <c r="AA98" s="25">
        <f>IF(P98="*","-",IFERROR(VLOOKUP(P98,'AE-W1'!$P$4:$T$126,4,FALSE),"-"))</f>
        <v>11</v>
      </c>
      <c r="AB98" s="25">
        <f>IF(P98="*","-",IFERROR(VLOOKUP(P98,'AE-W2'!$P$4:$T$107,4,FALSE),"-"))</f>
        <v>20</v>
      </c>
      <c r="AC98" s="25">
        <f>IF(P98="*","-",IFERROR(VLOOKUP(P98,'All MECSM samples'!$P$4:$AD$454,15,FALSE),"-"))</f>
        <v>3418</v>
      </c>
      <c r="AD98" s="25"/>
      <c r="AE98">
        <v>0</v>
      </c>
      <c r="AF98">
        <v>0</v>
      </c>
      <c r="AH98">
        <f t="shared" si="12"/>
        <v>0</v>
      </c>
      <c r="AI98">
        <f t="shared" si="13"/>
        <v>0</v>
      </c>
      <c r="AJ98" s="11">
        <f>SUM(AH$5:AH98)/SUM(AI$5:AI98)</f>
        <v>0.8666666666666667</v>
      </c>
    </row>
    <row r="99" spans="1:36" x14ac:dyDescent="0.35">
      <c r="A99" t="s">
        <v>356</v>
      </c>
      <c r="B99">
        <v>4</v>
      </c>
      <c r="C99" t="s">
        <v>7</v>
      </c>
      <c r="D99" t="s">
        <v>8</v>
      </c>
      <c r="E99" t="s">
        <v>100</v>
      </c>
      <c r="G99" t="s">
        <v>101</v>
      </c>
      <c r="I99" t="s">
        <v>102</v>
      </c>
      <c r="K99" t="s">
        <v>103</v>
      </c>
      <c r="M99" t="s">
        <v>383</v>
      </c>
      <c r="O99">
        <v>0.81</v>
      </c>
      <c r="P99" s="9" t="s">
        <v>384</v>
      </c>
      <c r="Q99">
        <v>95.7</v>
      </c>
      <c r="R99">
        <v>1</v>
      </c>
      <c r="S99">
        <v>4</v>
      </c>
      <c r="T99">
        <v>0</v>
      </c>
      <c r="U99" s="11">
        <f t="shared" si="9"/>
        <v>1.1488640606600225E-4</v>
      </c>
      <c r="V99" s="11">
        <f t="shared" si="10"/>
        <v>0</v>
      </c>
      <c r="X99" s="11">
        <f t="shared" si="8"/>
        <v>1.1488640606600225E-4</v>
      </c>
      <c r="Y99" s="12">
        <f t="shared" si="11"/>
        <v>0.99758738547261416</v>
      </c>
      <c r="AA99" s="25">
        <f>IF(P99="*","-",IFERROR(VLOOKUP(P99,'AE-W1'!$P$4:$T$126,4,FALSE),"-"))</f>
        <v>6</v>
      </c>
      <c r="AB99" s="25">
        <f>IF(P99="*","-",IFERROR(VLOOKUP(P99,'AE-W2'!$P$4:$T$107,4,FALSE),"-"))</f>
        <v>5</v>
      </c>
      <c r="AC99" s="25">
        <f>IF(P99="*","-",IFERROR(VLOOKUP(P99,'All MECSM samples'!$P$4:$AD$454,15,FALSE),"-"))</f>
        <v>1015</v>
      </c>
      <c r="AD99" s="25"/>
      <c r="AE99">
        <v>0</v>
      </c>
      <c r="AF99">
        <v>0</v>
      </c>
      <c r="AH99">
        <f t="shared" si="12"/>
        <v>0</v>
      </c>
      <c r="AI99">
        <f t="shared" si="13"/>
        <v>0</v>
      </c>
      <c r="AJ99" s="11">
        <f>SUM(AH$5:AH99)/SUM(AI$5:AI99)</f>
        <v>0.8666666666666667</v>
      </c>
    </row>
    <row r="100" spans="1:36" x14ac:dyDescent="0.35">
      <c r="A100" t="s">
        <v>265</v>
      </c>
      <c r="B100">
        <v>4</v>
      </c>
      <c r="C100" t="s">
        <v>7</v>
      </c>
      <c r="D100" t="s">
        <v>8</v>
      </c>
      <c r="E100" t="s">
        <v>46</v>
      </c>
      <c r="G100" t="s">
        <v>47</v>
      </c>
      <c r="I100" t="s">
        <v>61</v>
      </c>
      <c r="O100">
        <v>0.99</v>
      </c>
      <c r="P100" s="9" t="s">
        <v>516</v>
      </c>
      <c r="Q100">
        <v>92.9</v>
      </c>
      <c r="R100">
        <v>1</v>
      </c>
      <c r="S100">
        <v>4</v>
      </c>
      <c r="T100">
        <v>0</v>
      </c>
      <c r="U100" s="11">
        <f t="shared" si="9"/>
        <v>1.1488640606600225E-4</v>
      </c>
      <c r="V100" s="11">
        <f t="shared" si="10"/>
        <v>0</v>
      </c>
      <c r="X100" s="11">
        <f t="shared" ref="X100:X127" si="14">S100/S$1</f>
        <v>1.1488640606600225E-4</v>
      </c>
      <c r="Y100" s="12">
        <f t="shared" si="11"/>
        <v>0.99770227187868021</v>
      </c>
      <c r="AA100" s="25" t="str">
        <f>IF(P100="*","-",IFERROR(VLOOKUP(P100,'AE-W1'!$P$4:$T$126,4,FALSE),"-"))</f>
        <v>-</v>
      </c>
      <c r="AB100" s="25" t="str">
        <f>IF(P100="*","-",IFERROR(VLOOKUP(P100,'AE-W2'!$P$4:$T$107,4,FALSE),"-"))</f>
        <v>-</v>
      </c>
      <c r="AC100" s="25" t="str">
        <f>IF(P100="*","-",IFERROR(VLOOKUP(P100,'All MECSM samples'!$P$4:$AD$454,15,FALSE),"-"))</f>
        <v>-</v>
      </c>
      <c r="AD100" s="25"/>
      <c r="AE100">
        <v>62</v>
      </c>
      <c r="AF100">
        <v>156</v>
      </c>
      <c r="AH100">
        <f t="shared" si="12"/>
        <v>0</v>
      </c>
      <c r="AI100">
        <f t="shared" si="13"/>
        <v>0</v>
      </c>
      <c r="AJ100" s="11">
        <f>SUM(AH$5:AH100)/SUM(AI$5:AI100)</f>
        <v>0.8666666666666667</v>
      </c>
    </row>
    <row r="101" spans="1:36" x14ac:dyDescent="0.35">
      <c r="A101" t="s">
        <v>264</v>
      </c>
      <c r="B101">
        <v>4</v>
      </c>
      <c r="C101" t="s">
        <v>7</v>
      </c>
      <c r="D101" t="s">
        <v>8</v>
      </c>
      <c r="E101" t="s">
        <v>165</v>
      </c>
      <c r="G101" t="s">
        <v>166</v>
      </c>
      <c r="I101" t="s">
        <v>167</v>
      </c>
      <c r="K101" t="s">
        <v>168</v>
      </c>
      <c r="M101" t="s">
        <v>169</v>
      </c>
      <c r="O101">
        <v>1</v>
      </c>
      <c r="P101" s="9" t="s">
        <v>170</v>
      </c>
      <c r="Q101">
        <v>95.6</v>
      </c>
      <c r="R101">
        <v>1</v>
      </c>
      <c r="S101">
        <v>0</v>
      </c>
      <c r="T101">
        <v>4</v>
      </c>
      <c r="U101" s="11">
        <f t="shared" si="9"/>
        <v>0</v>
      </c>
      <c r="V101" s="11">
        <f t="shared" si="10"/>
        <v>1.7343797424446082E-4</v>
      </c>
      <c r="X101" s="11">
        <f t="shared" si="14"/>
        <v>0</v>
      </c>
      <c r="Y101" s="12">
        <f t="shared" ref="Y101:Y127" si="15">Y100+X101</f>
        <v>0.99770227187868021</v>
      </c>
      <c r="AA101" s="25">
        <f>IF(P101="*","-",IFERROR(VLOOKUP(P101,'AE-W1'!$P$4:$T$126,4,FALSE),"-"))</f>
        <v>205</v>
      </c>
      <c r="AB101" s="25" t="str">
        <f>IF(P101="*","-",IFERROR(VLOOKUP(P101,'AE-W2'!$P$4:$T$107,4,FALSE),"-"))</f>
        <v>-</v>
      </c>
      <c r="AC101" s="25">
        <f>IF(P101="*","-",IFERROR(VLOOKUP(P101,'All MECSM samples'!$P$4:$AD$454,15,FALSE),"-"))</f>
        <v>205</v>
      </c>
      <c r="AD101" s="25"/>
      <c r="AE101">
        <v>100</v>
      </c>
      <c r="AF101">
        <v>478</v>
      </c>
      <c r="AH101">
        <f t="shared" si="12"/>
        <v>0</v>
      </c>
      <c r="AI101">
        <f t="shared" si="13"/>
        <v>0</v>
      </c>
      <c r="AJ101" s="11">
        <f>SUM(AH$5:AH101)/SUM(AI$5:AI101)</f>
        <v>0.8666666666666667</v>
      </c>
    </row>
    <row r="102" spans="1:36" x14ac:dyDescent="0.35">
      <c r="A102" t="s">
        <v>306</v>
      </c>
      <c r="B102">
        <v>4</v>
      </c>
      <c r="C102" t="s">
        <v>7</v>
      </c>
      <c r="D102" t="s">
        <v>8</v>
      </c>
      <c r="E102" t="s">
        <v>9</v>
      </c>
      <c r="G102" t="s">
        <v>10</v>
      </c>
      <c r="I102" t="s">
        <v>107</v>
      </c>
      <c r="K102" t="s">
        <v>308</v>
      </c>
      <c r="M102" t="s">
        <v>309</v>
      </c>
      <c r="O102">
        <v>1</v>
      </c>
      <c r="P102" s="9" t="s">
        <v>615</v>
      </c>
      <c r="Q102">
        <v>99.6</v>
      </c>
      <c r="R102">
        <v>3</v>
      </c>
      <c r="S102">
        <v>4</v>
      </c>
      <c r="T102">
        <v>0</v>
      </c>
      <c r="U102" s="11">
        <f t="shared" si="9"/>
        <v>1.1488640606600225E-4</v>
      </c>
      <c r="V102" s="11">
        <f t="shared" si="10"/>
        <v>0</v>
      </c>
      <c r="X102" s="11">
        <f t="shared" si="14"/>
        <v>1.1488640606600225E-4</v>
      </c>
      <c r="Y102" s="12">
        <f t="shared" si="15"/>
        <v>0.99781715828474626</v>
      </c>
      <c r="AA102" s="25" t="str">
        <f>IF(P102="*","-",IFERROR(VLOOKUP(P102,'AE-W1'!$P$4:$T$126,4,FALSE),"-"))</f>
        <v>-</v>
      </c>
      <c r="AB102" s="25" t="str">
        <f>IF(P102="*","-",IFERROR(VLOOKUP(P102,'AE-W2'!$P$4:$T$107,4,FALSE),"-"))</f>
        <v>-</v>
      </c>
      <c r="AC102" s="25">
        <f>IF(P102="*","-",IFERROR(VLOOKUP(P102,'All MECSM samples'!$P$4:$AD$454,15,FALSE),"-"))</f>
        <v>107</v>
      </c>
      <c r="AD102" s="25"/>
      <c r="AE102">
        <v>8</v>
      </c>
      <c r="AF102">
        <v>2</v>
      </c>
      <c r="AH102">
        <f t="shared" si="12"/>
        <v>0</v>
      </c>
      <c r="AI102">
        <f t="shared" si="13"/>
        <v>0</v>
      </c>
      <c r="AJ102" s="11">
        <f>SUM(AH$5:AH102)/SUM(AI$5:AI102)</f>
        <v>0.8666666666666667</v>
      </c>
    </row>
    <row r="103" spans="1:36" x14ac:dyDescent="0.35">
      <c r="A103" t="s">
        <v>336</v>
      </c>
      <c r="B103">
        <v>4</v>
      </c>
      <c r="C103" t="s">
        <v>7</v>
      </c>
      <c r="D103" t="s">
        <v>8</v>
      </c>
      <c r="E103" t="s">
        <v>32</v>
      </c>
      <c r="G103" t="s">
        <v>445</v>
      </c>
      <c r="I103" t="s">
        <v>446</v>
      </c>
      <c r="O103">
        <v>0.5</v>
      </c>
      <c r="P103" s="9" t="s">
        <v>33</v>
      </c>
      <c r="Q103">
        <v>88.9</v>
      </c>
      <c r="R103">
        <v>1</v>
      </c>
      <c r="S103">
        <v>4</v>
      </c>
      <c r="T103">
        <v>0</v>
      </c>
      <c r="U103" s="11">
        <f t="shared" si="9"/>
        <v>1.1488640606600225E-4</v>
      </c>
      <c r="V103" s="11">
        <f t="shared" si="10"/>
        <v>0</v>
      </c>
      <c r="X103" s="11">
        <f t="shared" si="14"/>
        <v>1.1488640606600225E-4</v>
      </c>
      <c r="Y103" s="12">
        <f t="shared" si="15"/>
        <v>0.99793204469081231</v>
      </c>
      <c r="AA103" s="25">
        <f>IF(P103="*","-",IFERROR(VLOOKUP(P103,'AE-W1'!$P$4:$T$126,4,FALSE),"-"))</f>
        <v>9</v>
      </c>
      <c r="AB103" s="25">
        <f>IF(P103="*","-",IFERROR(VLOOKUP(P103,'AE-W2'!$P$4:$T$107,4,FALSE),"-"))</f>
        <v>5845</v>
      </c>
      <c r="AC103" s="25">
        <f>IF(P103="*","-",IFERROR(VLOOKUP(P103,'All MECSM samples'!$P$4:$AD$454,15,FALSE),"-"))</f>
        <v>5880</v>
      </c>
      <c r="AD103" s="25"/>
      <c r="AE103">
        <v>0</v>
      </c>
      <c r="AF103">
        <v>0</v>
      </c>
      <c r="AH103">
        <f t="shared" si="12"/>
        <v>0</v>
      </c>
      <c r="AI103">
        <f t="shared" si="13"/>
        <v>0</v>
      </c>
      <c r="AJ103" s="11">
        <f>SUM(AH$5:AH103)/SUM(AI$5:AI103)</f>
        <v>0.8666666666666667</v>
      </c>
    </row>
    <row r="104" spans="1:36" x14ac:dyDescent="0.35">
      <c r="A104" t="s">
        <v>301</v>
      </c>
      <c r="B104">
        <v>4</v>
      </c>
      <c r="C104" t="s">
        <v>7</v>
      </c>
      <c r="D104" t="s">
        <v>8</v>
      </c>
      <c r="E104" t="s">
        <v>32</v>
      </c>
      <c r="G104" t="s">
        <v>35</v>
      </c>
      <c r="I104" t="s">
        <v>36</v>
      </c>
      <c r="K104" t="s">
        <v>37</v>
      </c>
      <c r="M104" t="s">
        <v>201</v>
      </c>
      <c r="O104">
        <v>0.54</v>
      </c>
      <c r="P104" s="9" t="s">
        <v>202</v>
      </c>
      <c r="Q104">
        <v>86.2</v>
      </c>
      <c r="R104">
        <v>1</v>
      </c>
      <c r="S104">
        <v>4</v>
      </c>
      <c r="T104">
        <v>0</v>
      </c>
      <c r="U104" s="11">
        <f t="shared" si="9"/>
        <v>1.1488640606600225E-4</v>
      </c>
      <c r="V104" s="11">
        <f t="shared" si="10"/>
        <v>0</v>
      </c>
      <c r="X104" s="11">
        <f t="shared" si="14"/>
        <v>1.1488640606600225E-4</v>
      </c>
      <c r="Y104" s="12">
        <f t="shared" si="15"/>
        <v>0.99804693109687836</v>
      </c>
      <c r="AA104" s="25">
        <f>IF(P104="*","-",IFERROR(VLOOKUP(P104,'AE-W1'!$P$4:$T$126,4,FALSE),"-"))</f>
        <v>175</v>
      </c>
      <c r="AB104" s="25" t="str">
        <f>IF(P104="*","-",IFERROR(VLOOKUP(P104,'AE-W2'!$P$4:$T$107,4,FALSE),"-"))</f>
        <v>-</v>
      </c>
      <c r="AC104" s="25">
        <f>IF(P104="*","-",IFERROR(VLOOKUP(P104,'All MECSM samples'!$P$4:$AD$454,15,FALSE),"-"))</f>
        <v>611</v>
      </c>
      <c r="AD104" s="25"/>
      <c r="AE104">
        <v>8</v>
      </c>
      <c r="AF104">
        <v>1112</v>
      </c>
      <c r="AH104">
        <f t="shared" si="12"/>
        <v>0</v>
      </c>
      <c r="AI104">
        <f t="shared" si="13"/>
        <v>0</v>
      </c>
      <c r="AJ104" s="11">
        <f>SUM(AH$5:AH104)/SUM(AI$5:AI104)</f>
        <v>0.8666666666666667</v>
      </c>
    </row>
    <row r="105" spans="1:36" x14ac:dyDescent="0.35">
      <c r="A105" t="s">
        <v>277</v>
      </c>
      <c r="B105">
        <v>4</v>
      </c>
      <c r="C105" t="s">
        <v>7</v>
      </c>
      <c r="D105" t="s">
        <v>8</v>
      </c>
      <c r="E105" t="s">
        <v>46</v>
      </c>
      <c r="G105" t="s">
        <v>47</v>
      </c>
      <c r="I105" t="s">
        <v>61</v>
      </c>
      <c r="K105" t="s">
        <v>190</v>
      </c>
      <c r="M105" t="s">
        <v>273</v>
      </c>
      <c r="O105">
        <v>0.9</v>
      </c>
      <c r="P105" s="9" t="s">
        <v>543</v>
      </c>
      <c r="Q105">
        <v>95.7</v>
      </c>
      <c r="R105">
        <v>3</v>
      </c>
      <c r="S105">
        <v>4</v>
      </c>
      <c r="T105">
        <v>0</v>
      </c>
      <c r="U105" s="11">
        <f t="shared" si="9"/>
        <v>1.1488640606600225E-4</v>
      </c>
      <c r="V105" s="11">
        <f t="shared" si="10"/>
        <v>0</v>
      </c>
      <c r="X105" s="11">
        <f t="shared" si="14"/>
        <v>1.1488640606600225E-4</v>
      </c>
      <c r="Y105" s="12">
        <f t="shared" si="15"/>
        <v>0.99816181750294442</v>
      </c>
      <c r="AA105" s="25" t="str">
        <f>IF(P105="*","-",IFERROR(VLOOKUP(P105,'AE-W1'!$P$4:$T$126,4,FALSE),"-"))</f>
        <v>-</v>
      </c>
      <c r="AB105" s="25" t="str">
        <f>IF(P105="*","-",IFERROR(VLOOKUP(P105,'AE-W2'!$P$4:$T$107,4,FALSE),"-"))</f>
        <v>-</v>
      </c>
      <c r="AC105" s="25">
        <f>IF(P105="*","-",IFERROR(VLOOKUP(P105,'All MECSM samples'!$P$4:$AD$454,15,FALSE),"-"))</f>
        <v>4</v>
      </c>
      <c r="AD105" s="25"/>
      <c r="AE105">
        <v>100</v>
      </c>
      <c r="AF105">
        <v>102</v>
      </c>
      <c r="AH105">
        <f t="shared" si="12"/>
        <v>0</v>
      </c>
      <c r="AI105">
        <f t="shared" si="13"/>
        <v>1</v>
      </c>
      <c r="AJ105" s="11">
        <f>SUM(AH$5:AH105)/SUM(AI$5:AI105)</f>
        <v>0.85245901639344257</v>
      </c>
    </row>
    <row r="106" spans="1:36" x14ac:dyDescent="0.35">
      <c r="A106" t="s">
        <v>427</v>
      </c>
      <c r="B106">
        <v>4</v>
      </c>
      <c r="C106" t="s">
        <v>7</v>
      </c>
      <c r="D106" t="s">
        <v>8</v>
      </c>
      <c r="E106" t="s">
        <v>9</v>
      </c>
      <c r="G106" t="s">
        <v>172</v>
      </c>
      <c r="I106" t="s">
        <v>347</v>
      </c>
      <c r="O106">
        <v>0.56000000000000005</v>
      </c>
      <c r="P106" s="9" t="s">
        <v>348</v>
      </c>
      <c r="Q106">
        <v>92.9</v>
      </c>
      <c r="R106">
        <v>2</v>
      </c>
      <c r="S106">
        <v>4</v>
      </c>
      <c r="T106">
        <v>0</v>
      </c>
      <c r="U106" s="11">
        <f t="shared" si="9"/>
        <v>1.1488640606600225E-4</v>
      </c>
      <c r="V106" s="11">
        <f t="shared" si="10"/>
        <v>0</v>
      </c>
      <c r="X106" s="11">
        <f t="shared" si="14"/>
        <v>1.1488640606600225E-4</v>
      </c>
      <c r="Y106" s="12">
        <f t="shared" si="15"/>
        <v>0.99827670390901047</v>
      </c>
      <c r="AA106" s="25">
        <f>IF(P106="*","-",IFERROR(VLOOKUP(P106,'AE-W1'!$P$4:$T$126,4,FALSE),"-"))</f>
        <v>14</v>
      </c>
      <c r="AB106" s="25">
        <f>IF(P106="*","-",IFERROR(VLOOKUP(P106,'AE-W2'!$P$4:$T$107,4,FALSE),"-"))</f>
        <v>5</v>
      </c>
      <c r="AC106" s="25">
        <f>IF(P106="*","-",IFERROR(VLOOKUP(P106,'All MECSM samples'!$P$4:$AD$454,15,FALSE),"-"))</f>
        <v>5401</v>
      </c>
      <c r="AD106" s="25"/>
      <c r="AE106">
        <v>0</v>
      </c>
      <c r="AF106">
        <v>0</v>
      </c>
      <c r="AH106">
        <f t="shared" si="12"/>
        <v>0</v>
      </c>
      <c r="AI106">
        <f t="shared" si="13"/>
        <v>0</v>
      </c>
      <c r="AJ106" s="11">
        <f>SUM(AH$5:AH106)/SUM(AI$5:AI106)</f>
        <v>0.85245901639344257</v>
      </c>
    </row>
    <row r="107" spans="1:36" x14ac:dyDescent="0.35">
      <c r="A107" t="s">
        <v>400</v>
      </c>
      <c r="B107">
        <v>4</v>
      </c>
      <c r="C107" t="s">
        <v>7</v>
      </c>
      <c r="D107" t="s">
        <v>8</v>
      </c>
      <c r="E107" t="s">
        <v>46</v>
      </c>
      <c r="G107" t="s">
        <v>47</v>
      </c>
      <c r="I107" t="s">
        <v>61</v>
      </c>
      <c r="K107" t="s">
        <v>190</v>
      </c>
      <c r="M107" t="s">
        <v>484</v>
      </c>
      <c r="O107">
        <v>0.64</v>
      </c>
      <c r="P107" s="9" t="s">
        <v>485</v>
      </c>
      <c r="Q107">
        <v>91.7</v>
      </c>
      <c r="R107">
        <v>1</v>
      </c>
      <c r="S107">
        <v>4</v>
      </c>
      <c r="T107">
        <v>0</v>
      </c>
      <c r="U107" s="11">
        <f t="shared" si="9"/>
        <v>1.1488640606600225E-4</v>
      </c>
      <c r="V107" s="11">
        <f t="shared" si="10"/>
        <v>0</v>
      </c>
      <c r="X107" s="11">
        <f t="shared" si="14"/>
        <v>1.1488640606600225E-4</v>
      </c>
      <c r="Y107" s="12">
        <f t="shared" si="15"/>
        <v>0.99839159031507652</v>
      </c>
      <c r="AA107" s="25" t="str">
        <f>IF(P107="*","-",IFERROR(VLOOKUP(P107,'AE-W1'!$P$4:$T$126,4,FALSE),"-"))</f>
        <v>-</v>
      </c>
      <c r="AB107" s="25" t="str">
        <f>IF(P107="*","-",IFERROR(VLOOKUP(P107,'AE-W2'!$P$4:$T$107,4,FALSE),"-"))</f>
        <v>-</v>
      </c>
      <c r="AC107" s="25">
        <f>IF(P107="*","-",IFERROR(VLOOKUP(P107,'All MECSM samples'!$P$4:$AD$454,15,FALSE),"-"))</f>
        <v>24</v>
      </c>
      <c r="AD107" s="25"/>
      <c r="AE107">
        <v>50</v>
      </c>
      <c r="AF107">
        <v>1</v>
      </c>
      <c r="AH107">
        <f t="shared" si="12"/>
        <v>0</v>
      </c>
      <c r="AI107">
        <f t="shared" si="13"/>
        <v>0</v>
      </c>
      <c r="AJ107" s="11">
        <f>SUM(AH$5:AH107)/SUM(AI$5:AI107)</f>
        <v>0.85245901639344257</v>
      </c>
    </row>
    <row r="108" spans="1:36" x14ac:dyDescent="0.35">
      <c r="A108" t="s">
        <v>369</v>
      </c>
      <c r="B108">
        <v>4</v>
      </c>
      <c r="C108" t="s">
        <v>7</v>
      </c>
      <c r="D108" t="s">
        <v>8</v>
      </c>
      <c r="E108" t="s">
        <v>32</v>
      </c>
      <c r="G108" t="s">
        <v>35</v>
      </c>
      <c r="I108" t="s">
        <v>36</v>
      </c>
      <c r="K108" t="s">
        <v>37</v>
      </c>
      <c r="M108" t="s">
        <v>231</v>
      </c>
      <c r="O108">
        <v>0.95</v>
      </c>
      <c r="P108" s="9" t="s">
        <v>312</v>
      </c>
      <c r="Q108">
        <v>97.2</v>
      </c>
      <c r="R108">
        <v>1</v>
      </c>
      <c r="S108">
        <v>4</v>
      </c>
      <c r="T108">
        <v>0</v>
      </c>
      <c r="U108" s="11">
        <f t="shared" si="9"/>
        <v>1.1488640606600225E-4</v>
      </c>
      <c r="V108" s="11">
        <f t="shared" si="10"/>
        <v>0</v>
      </c>
      <c r="X108" s="11">
        <f t="shared" si="14"/>
        <v>1.1488640606600225E-4</v>
      </c>
      <c r="Y108" s="12">
        <f t="shared" si="15"/>
        <v>0.99850647672114257</v>
      </c>
      <c r="AA108" s="25">
        <f>IF(P108="*","-",IFERROR(VLOOKUP(P108,'AE-W1'!$P$4:$T$126,4,FALSE),"-"))</f>
        <v>29</v>
      </c>
      <c r="AB108" s="25" t="str">
        <f>IF(P108="*","-",IFERROR(VLOOKUP(P108,'AE-W2'!$P$4:$T$107,4,FALSE),"-"))</f>
        <v>-</v>
      </c>
      <c r="AC108" s="25">
        <f>IF(P108="*","-",IFERROR(VLOOKUP(P108,'All MECSM samples'!$P$4:$AD$454,15,FALSE),"-"))</f>
        <v>1018</v>
      </c>
      <c r="AD108" s="25"/>
      <c r="AE108">
        <v>0</v>
      </c>
      <c r="AF108">
        <v>0</v>
      </c>
      <c r="AH108">
        <f t="shared" si="12"/>
        <v>0</v>
      </c>
      <c r="AI108">
        <f t="shared" si="13"/>
        <v>0</v>
      </c>
      <c r="AJ108" s="11">
        <f>SUM(AH$5:AH108)/SUM(AI$5:AI108)</f>
        <v>0.85245901639344257</v>
      </c>
    </row>
    <row r="109" spans="1:36" x14ac:dyDescent="0.35">
      <c r="A109" t="s">
        <v>295</v>
      </c>
      <c r="B109">
        <v>4</v>
      </c>
      <c r="C109" t="s">
        <v>7</v>
      </c>
      <c r="D109" t="s">
        <v>8</v>
      </c>
      <c r="E109" t="s">
        <v>46</v>
      </c>
      <c r="G109" t="s">
        <v>47</v>
      </c>
      <c r="I109" t="s">
        <v>61</v>
      </c>
      <c r="K109" t="s">
        <v>157</v>
      </c>
      <c r="M109" t="s">
        <v>440</v>
      </c>
      <c r="O109">
        <v>0.61</v>
      </c>
      <c r="P109" s="9" t="s">
        <v>441</v>
      </c>
      <c r="Q109">
        <v>96.8</v>
      </c>
      <c r="R109">
        <v>1</v>
      </c>
      <c r="S109">
        <v>4</v>
      </c>
      <c r="T109">
        <v>0</v>
      </c>
      <c r="U109" s="11">
        <f t="shared" si="9"/>
        <v>1.1488640606600225E-4</v>
      </c>
      <c r="V109" s="11">
        <f t="shared" si="10"/>
        <v>0</v>
      </c>
      <c r="X109" s="11">
        <f t="shared" si="14"/>
        <v>1.1488640606600225E-4</v>
      </c>
      <c r="Y109" s="12">
        <f t="shared" si="15"/>
        <v>0.99862136312720862</v>
      </c>
      <c r="AA109" s="25">
        <f>IF(P109="*","-",IFERROR(VLOOKUP(P109,'AE-W1'!$P$4:$T$126,4,FALSE),"-"))</f>
        <v>4</v>
      </c>
      <c r="AB109" s="25">
        <f>IF(P109="*","-",IFERROR(VLOOKUP(P109,'AE-W2'!$P$4:$T$107,4,FALSE),"-"))</f>
        <v>2</v>
      </c>
      <c r="AC109" s="25">
        <f>IF(P109="*","-",IFERROR(VLOOKUP(P109,'All MECSM samples'!$P$4:$AD$454,15,FALSE),"-"))</f>
        <v>767</v>
      </c>
      <c r="AD109" s="25"/>
      <c r="AE109">
        <v>7</v>
      </c>
      <c r="AF109">
        <v>40</v>
      </c>
      <c r="AH109">
        <f t="shared" si="12"/>
        <v>0</v>
      </c>
      <c r="AI109">
        <f t="shared" si="13"/>
        <v>0</v>
      </c>
      <c r="AJ109" s="11">
        <f>SUM(AH$5:AH109)/SUM(AI$5:AI109)</f>
        <v>0.85245901639344257</v>
      </c>
    </row>
    <row r="110" spans="1:36" x14ac:dyDescent="0.35">
      <c r="A110" t="s">
        <v>355</v>
      </c>
      <c r="B110">
        <v>4</v>
      </c>
      <c r="C110" t="s">
        <v>7</v>
      </c>
      <c r="D110" t="s">
        <v>8</v>
      </c>
      <c r="E110" t="s">
        <v>32</v>
      </c>
      <c r="O110">
        <v>0.99</v>
      </c>
      <c r="P110" s="9" t="s">
        <v>314</v>
      </c>
      <c r="Q110">
        <v>87</v>
      </c>
      <c r="R110">
        <v>1</v>
      </c>
      <c r="S110">
        <v>4</v>
      </c>
      <c r="T110">
        <v>0</v>
      </c>
      <c r="U110" s="11">
        <f t="shared" si="9"/>
        <v>1.1488640606600225E-4</v>
      </c>
      <c r="V110" s="11">
        <f t="shared" si="10"/>
        <v>0</v>
      </c>
      <c r="X110" s="11">
        <f t="shared" si="14"/>
        <v>1.1488640606600225E-4</v>
      </c>
      <c r="Y110" s="12">
        <f t="shared" si="15"/>
        <v>0.99873624953327467</v>
      </c>
      <c r="AA110" s="25">
        <f>IF(P110="*","-",IFERROR(VLOOKUP(P110,'AE-W1'!$P$4:$T$126,4,FALSE),"-"))</f>
        <v>13</v>
      </c>
      <c r="AB110" s="25">
        <f>IF(P110="*","-",IFERROR(VLOOKUP(P110,'AE-W2'!$P$4:$T$107,4,FALSE),"-"))</f>
        <v>18</v>
      </c>
      <c r="AC110" s="25">
        <f>IF(P110="*","-",IFERROR(VLOOKUP(P110,'All MECSM samples'!$P$4:$AD$454,15,FALSE),"-"))</f>
        <v>4137</v>
      </c>
      <c r="AD110" s="25"/>
      <c r="AE110">
        <v>21</v>
      </c>
      <c r="AF110">
        <v>11</v>
      </c>
      <c r="AH110">
        <f t="shared" si="12"/>
        <v>0</v>
      </c>
      <c r="AI110">
        <f t="shared" si="13"/>
        <v>0</v>
      </c>
      <c r="AJ110" s="11">
        <f>SUM(AH$5:AH110)/SUM(AI$5:AI110)</f>
        <v>0.85245901639344257</v>
      </c>
    </row>
    <row r="111" spans="1:36" x14ac:dyDescent="0.35">
      <c r="A111" t="s">
        <v>428</v>
      </c>
      <c r="B111">
        <v>4</v>
      </c>
      <c r="C111" t="s">
        <v>7</v>
      </c>
      <c r="D111" t="s">
        <v>8</v>
      </c>
      <c r="E111" t="s">
        <v>46</v>
      </c>
      <c r="G111" t="s">
        <v>47</v>
      </c>
      <c r="I111" t="s">
        <v>61</v>
      </c>
      <c r="K111" t="s">
        <v>157</v>
      </c>
      <c r="M111" t="s">
        <v>616</v>
      </c>
      <c r="O111">
        <v>0.61</v>
      </c>
      <c r="P111" s="9" t="s">
        <v>158</v>
      </c>
      <c r="Q111">
        <v>95.6</v>
      </c>
      <c r="R111">
        <v>1</v>
      </c>
      <c r="S111">
        <v>4</v>
      </c>
      <c r="T111">
        <v>0</v>
      </c>
      <c r="U111" s="11">
        <f t="shared" si="9"/>
        <v>1.1488640606600225E-4</v>
      </c>
      <c r="V111" s="11">
        <f t="shared" si="10"/>
        <v>0</v>
      </c>
      <c r="X111" s="11">
        <f t="shared" si="14"/>
        <v>1.1488640606600225E-4</v>
      </c>
      <c r="Y111" s="12">
        <f t="shared" si="15"/>
        <v>0.99885113593934072</v>
      </c>
      <c r="AA111" s="25">
        <f>IF(P111="*","-",IFERROR(VLOOKUP(P111,'AE-W1'!$P$4:$T$126,4,FALSE),"-"))</f>
        <v>230</v>
      </c>
      <c r="AB111" s="25" t="str">
        <f>IF(P111="*","-",IFERROR(VLOOKUP(P111,'AE-W2'!$P$4:$T$107,4,FALSE),"-"))</f>
        <v>-</v>
      </c>
      <c r="AC111" s="25">
        <f>IF(P111="*","-",IFERROR(VLOOKUP(P111,'All MECSM samples'!$P$4:$AD$454,15,FALSE),"-"))</f>
        <v>231</v>
      </c>
      <c r="AD111" s="25"/>
      <c r="AE111">
        <v>14</v>
      </c>
      <c r="AF111">
        <v>899</v>
      </c>
      <c r="AH111">
        <f t="shared" si="12"/>
        <v>0</v>
      </c>
      <c r="AI111">
        <f t="shared" si="13"/>
        <v>0</v>
      </c>
      <c r="AJ111" s="11">
        <f>SUM(AH$5:AH111)/SUM(AI$5:AI111)</f>
        <v>0.85245901639344257</v>
      </c>
    </row>
    <row r="112" spans="1:36" x14ac:dyDescent="0.35">
      <c r="A112" t="s">
        <v>346</v>
      </c>
      <c r="B112">
        <v>3</v>
      </c>
      <c r="C112" t="s">
        <v>7</v>
      </c>
      <c r="D112" t="s">
        <v>8</v>
      </c>
      <c r="E112" t="s">
        <v>46</v>
      </c>
      <c r="G112" t="s">
        <v>47</v>
      </c>
      <c r="I112" t="s">
        <v>61</v>
      </c>
      <c r="K112" t="s">
        <v>561</v>
      </c>
      <c r="M112" t="s">
        <v>562</v>
      </c>
      <c r="O112">
        <v>1</v>
      </c>
      <c r="P112" s="9" t="s">
        <v>563</v>
      </c>
      <c r="Q112">
        <v>100</v>
      </c>
      <c r="R112">
        <v>1</v>
      </c>
      <c r="S112">
        <v>3</v>
      </c>
      <c r="T112">
        <v>0</v>
      </c>
      <c r="U112" s="11">
        <f t="shared" si="9"/>
        <v>8.6164804549501684E-5</v>
      </c>
      <c r="V112" s="11">
        <f t="shared" si="10"/>
        <v>0</v>
      </c>
      <c r="X112" s="11">
        <f t="shared" si="14"/>
        <v>8.6164804549501684E-5</v>
      </c>
      <c r="Y112" s="12">
        <f t="shared" si="15"/>
        <v>0.9989373007438902</v>
      </c>
      <c r="AA112" s="25" t="str">
        <f>IF(P112="*","-",IFERROR(VLOOKUP(P112,'AE-W1'!$P$4:$T$126,4,FALSE),"-"))</f>
        <v>-</v>
      </c>
      <c r="AB112" s="25" t="str">
        <f>IF(P112="*","-",IFERROR(VLOOKUP(P112,'AE-W2'!$P$4:$T$107,4,FALSE),"-"))</f>
        <v>-</v>
      </c>
      <c r="AC112" s="25">
        <f>IF(P112="*","-",IFERROR(VLOOKUP(P112,'All MECSM samples'!$P$4:$AD$454,15,FALSE),"-"))</f>
        <v>9</v>
      </c>
      <c r="AD112" s="25"/>
      <c r="AE112">
        <v>81</v>
      </c>
      <c r="AF112">
        <v>149</v>
      </c>
      <c r="AH112">
        <f t="shared" si="12"/>
        <v>0</v>
      </c>
      <c r="AI112">
        <f t="shared" si="13"/>
        <v>0</v>
      </c>
      <c r="AJ112" s="11">
        <f>SUM(AH$5:AH112)/SUM(AI$5:AI112)</f>
        <v>0.85245901639344257</v>
      </c>
    </row>
    <row r="113" spans="1:36" x14ac:dyDescent="0.35">
      <c r="A113" t="s">
        <v>233</v>
      </c>
      <c r="B113">
        <v>3</v>
      </c>
      <c r="C113" t="s">
        <v>7</v>
      </c>
      <c r="D113" t="s">
        <v>8</v>
      </c>
      <c r="E113" t="s">
        <v>32</v>
      </c>
      <c r="G113" t="s">
        <v>35</v>
      </c>
      <c r="I113" t="s">
        <v>36</v>
      </c>
      <c r="K113" t="s">
        <v>37</v>
      </c>
      <c r="M113" t="s">
        <v>480</v>
      </c>
      <c r="O113">
        <v>0.5</v>
      </c>
      <c r="P113" s="9" t="s">
        <v>401</v>
      </c>
      <c r="Q113">
        <v>90.5</v>
      </c>
      <c r="R113">
        <v>1</v>
      </c>
      <c r="S113">
        <v>3</v>
      </c>
      <c r="T113">
        <v>0</v>
      </c>
      <c r="U113" s="11">
        <f t="shared" si="9"/>
        <v>8.6164804549501684E-5</v>
      </c>
      <c r="V113" s="11">
        <f t="shared" si="10"/>
        <v>0</v>
      </c>
      <c r="X113" s="11">
        <f t="shared" si="14"/>
        <v>8.6164804549501684E-5</v>
      </c>
      <c r="Y113" s="12">
        <f t="shared" si="15"/>
        <v>0.99902346554843968</v>
      </c>
      <c r="AA113" s="25">
        <f>IF(P113="*","-",IFERROR(VLOOKUP(P113,'AE-W1'!$P$4:$T$126,4,FALSE),"-"))</f>
        <v>5</v>
      </c>
      <c r="AB113" s="25">
        <f>IF(P113="*","-",IFERROR(VLOOKUP(P113,'AE-W2'!$P$4:$T$107,4,FALSE),"-"))</f>
        <v>6</v>
      </c>
      <c r="AC113" s="25">
        <f>IF(P113="*","-",IFERROR(VLOOKUP(P113,'All MECSM samples'!$P$4:$AD$454,15,FALSE),"-"))</f>
        <v>6</v>
      </c>
      <c r="AD113" s="25"/>
      <c r="AE113">
        <v>2</v>
      </c>
      <c r="AF113">
        <v>54</v>
      </c>
      <c r="AH113">
        <f t="shared" si="12"/>
        <v>0</v>
      </c>
      <c r="AI113">
        <f t="shared" si="13"/>
        <v>0</v>
      </c>
      <c r="AJ113" s="11">
        <f>SUM(AH$5:AH113)/SUM(AI$5:AI113)</f>
        <v>0.85245901639344257</v>
      </c>
    </row>
    <row r="114" spans="1:36" x14ac:dyDescent="0.35">
      <c r="A114" t="s">
        <v>300</v>
      </c>
      <c r="B114">
        <v>3</v>
      </c>
      <c r="C114" t="s">
        <v>7</v>
      </c>
      <c r="D114" t="s">
        <v>8</v>
      </c>
      <c r="E114" t="s">
        <v>9</v>
      </c>
      <c r="G114" t="s">
        <v>138</v>
      </c>
      <c r="I114" t="s">
        <v>410</v>
      </c>
      <c r="K114" t="s">
        <v>411</v>
      </c>
      <c r="O114">
        <v>1</v>
      </c>
      <c r="P114" s="9" t="s">
        <v>412</v>
      </c>
      <c r="Q114">
        <v>99.2</v>
      </c>
      <c r="R114">
        <v>7</v>
      </c>
      <c r="S114">
        <v>3</v>
      </c>
      <c r="T114">
        <v>0</v>
      </c>
      <c r="U114" s="11">
        <f t="shared" si="9"/>
        <v>8.6164804549501684E-5</v>
      </c>
      <c r="V114" s="11">
        <f t="shared" si="10"/>
        <v>0</v>
      </c>
      <c r="X114" s="11">
        <f t="shared" si="14"/>
        <v>8.6164804549501684E-5</v>
      </c>
      <c r="Y114" s="12">
        <f t="shared" si="15"/>
        <v>0.99910963035298916</v>
      </c>
      <c r="AA114" s="25">
        <f>IF(P114="*","-",IFERROR(VLOOKUP(P114,'AE-W1'!$P$4:$T$126,4,FALSE),"-"))</f>
        <v>5</v>
      </c>
      <c r="AB114" s="25">
        <f>IF(P114="*","-",IFERROR(VLOOKUP(P114,'AE-W2'!$P$4:$T$107,4,FALSE),"-"))</f>
        <v>4</v>
      </c>
      <c r="AC114" s="25">
        <f>IF(P114="*","-",IFERROR(VLOOKUP(P114,'All MECSM samples'!$P$4:$AD$454,15,FALSE),"-"))</f>
        <v>1524</v>
      </c>
      <c r="AD114" s="25"/>
      <c r="AE114">
        <v>32</v>
      </c>
      <c r="AF114">
        <v>1</v>
      </c>
      <c r="AH114">
        <f t="shared" si="12"/>
        <v>0</v>
      </c>
      <c r="AI114">
        <f t="shared" si="13"/>
        <v>0</v>
      </c>
      <c r="AJ114" s="11">
        <f>SUM(AH$5:AH114)/SUM(AI$5:AI114)</f>
        <v>0.85245901639344257</v>
      </c>
    </row>
    <row r="115" spans="1:36" x14ac:dyDescent="0.35">
      <c r="A115" t="s">
        <v>287</v>
      </c>
      <c r="B115">
        <v>3</v>
      </c>
      <c r="C115" t="s">
        <v>7</v>
      </c>
      <c r="D115" t="s">
        <v>8</v>
      </c>
      <c r="E115" t="s">
        <v>32</v>
      </c>
      <c r="G115" t="s">
        <v>35</v>
      </c>
      <c r="I115" t="s">
        <v>36</v>
      </c>
      <c r="K115" t="s">
        <v>37</v>
      </c>
      <c r="O115">
        <v>0.97</v>
      </c>
      <c r="P115" s="9" t="s">
        <v>401</v>
      </c>
      <c r="Q115">
        <v>93.7</v>
      </c>
      <c r="R115">
        <v>1</v>
      </c>
      <c r="S115">
        <v>3</v>
      </c>
      <c r="T115">
        <v>0</v>
      </c>
      <c r="U115" s="11">
        <f t="shared" si="9"/>
        <v>8.6164804549501684E-5</v>
      </c>
      <c r="V115" s="11">
        <f t="shared" si="10"/>
        <v>0</v>
      </c>
      <c r="X115" s="11">
        <f t="shared" si="14"/>
        <v>8.6164804549501684E-5</v>
      </c>
      <c r="Y115" s="12">
        <f t="shared" si="15"/>
        <v>0.99919579515753865</v>
      </c>
      <c r="AA115" s="25">
        <f>IF(P115="*","-",IFERROR(VLOOKUP(P115,'AE-W1'!$P$4:$T$126,4,FALSE),"-"))</f>
        <v>5</v>
      </c>
      <c r="AB115" s="25">
        <f>IF(P115="*","-",IFERROR(VLOOKUP(P115,'AE-W2'!$P$4:$T$107,4,FALSE),"-"))</f>
        <v>6</v>
      </c>
      <c r="AC115" s="25">
        <f>IF(P115="*","-",IFERROR(VLOOKUP(P115,'All MECSM samples'!$P$4:$AD$454,15,FALSE),"-"))</f>
        <v>6</v>
      </c>
      <c r="AD115" s="25"/>
      <c r="AE115">
        <v>3</v>
      </c>
      <c r="AF115">
        <v>41</v>
      </c>
      <c r="AH115">
        <f t="shared" si="12"/>
        <v>0</v>
      </c>
      <c r="AI115">
        <f t="shared" si="13"/>
        <v>0</v>
      </c>
      <c r="AJ115" s="11">
        <f>SUM(AH$5:AH115)/SUM(AI$5:AI115)</f>
        <v>0.85245901639344257</v>
      </c>
    </row>
    <row r="116" spans="1:36" x14ac:dyDescent="0.35">
      <c r="A116" t="s">
        <v>289</v>
      </c>
      <c r="B116">
        <v>3</v>
      </c>
      <c r="C116" t="s">
        <v>7</v>
      </c>
      <c r="D116" t="s">
        <v>8</v>
      </c>
      <c r="E116" t="s">
        <v>32</v>
      </c>
      <c r="G116" t="s">
        <v>35</v>
      </c>
      <c r="I116" t="s">
        <v>36</v>
      </c>
      <c r="K116" t="s">
        <v>37</v>
      </c>
      <c r="O116">
        <v>0.85</v>
      </c>
      <c r="P116" s="9" t="s">
        <v>401</v>
      </c>
      <c r="Q116">
        <v>89.7</v>
      </c>
      <c r="R116">
        <v>1</v>
      </c>
      <c r="S116">
        <v>3</v>
      </c>
      <c r="T116">
        <v>0</v>
      </c>
      <c r="U116" s="11">
        <f t="shared" si="9"/>
        <v>8.6164804549501684E-5</v>
      </c>
      <c r="V116" s="11">
        <f t="shared" si="10"/>
        <v>0</v>
      </c>
      <c r="X116" s="11">
        <f t="shared" si="14"/>
        <v>8.6164804549501684E-5</v>
      </c>
      <c r="Y116" s="12">
        <f t="shared" si="15"/>
        <v>0.99928195996208813</v>
      </c>
      <c r="AA116" s="25">
        <f>IF(P116="*","-",IFERROR(VLOOKUP(P116,'AE-W1'!$P$4:$T$126,4,FALSE),"-"))</f>
        <v>5</v>
      </c>
      <c r="AB116" s="25">
        <f>IF(P116="*","-",IFERROR(VLOOKUP(P116,'AE-W2'!$P$4:$T$107,4,FALSE),"-"))</f>
        <v>6</v>
      </c>
      <c r="AC116" s="25">
        <f>IF(P116="*","-",IFERROR(VLOOKUP(P116,'All MECSM samples'!$P$4:$AD$454,15,FALSE),"-"))</f>
        <v>6</v>
      </c>
      <c r="AD116" s="25"/>
      <c r="AE116">
        <v>0</v>
      </c>
      <c r="AF116">
        <v>0</v>
      </c>
      <c r="AH116">
        <f t="shared" si="12"/>
        <v>0</v>
      </c>
      <c r="AI116">
        <f t="shared" si="13"/>
        <v>0</v>
      </c>
      <c r="AJ116" s="11">
        <f>SUM(AH$5:AH116)/SUM(AI$5:AI116)</f>
        <v>0.85245901639344257</v>
      </c>
    </row>
    <row r="117" spans="1:36" x14ac:dyDescent="0.35">
      <c r="A117" t="s">
        <v>323</v>
      </c>
      <c r="B117">
        <v>3</v>
      </c>
      <c r="C117" t="s">
        <v>7</v>
      </c>
      <c r="D117" t="s">
        <v>8</v>
      </c>
      <c r="E117" t="s">
        <v>120</v>
      </c>
      <c r="G117" t="s">
        <v>121</v>
      </c>
      <c r="I117" t="s">
        <v>122</v>
      </c>
      <c r="K117" t="s">
        <v>123</v>
      </c>
      <c r="M117" t="s">
        <v>124</v>
      </c>
      <c r="O117">
        <v>1</v>
      </c>
      <c r="P117" s="9" t="s">
        <v>125</v>
      </c>
      <c r="Q117">
        <v>99.6</v>
      </c>
      <c r="R117">
        <v>1</v>
      </c>
      <c r="S117">
        <v>3</v>
      </c>
      <c r="T117">
        <v>0</v>
      </c>
      <c r="U117" s="11">
        <f t="shared" si="9"/>
        <v>8.6164804549501684E-5</v>
      </c>
      <c r="V117" s="11">
        <f t="shared" si="10"/>
        <v>0</v>
      </c>
      <c r="X117" s="11">
        <f t="shared" si="14"/>
        <v>8.6164804549501684E-5</v>
      </c>
      <c r="Y117" s="12">
        <f t="shared" si="15"/>
        <v>0.99936812476663761</v>
      </c>
      <c r="AA117" s="25">
        <f>IF(P117="*","-",IFERROR(VLOOKUP(P117,'AE-W1'!$P$4:$T$126,4,FALSE),"-"))</f>
        <v>796</v>
      </c>
      <c r="AB117" s="25">
        <f>IF(P117="*","-",IFERROR(VLOOKUP(P117,'AE-W2'!$P$4:$T$107,4,FALSE),"-"))</f>
        <v>4</v>
      </c>
      <c r="AC117" s="25">
        <f>IF(P117="*","-",IFERROR(VLOOKUP(P117,'All MECSM samples'!$P$4:$AD$454,15,FALSE),"-"))</f>
        <v>799</v>
      </c>
      <c r="AD117" s="25"/>
      <c r="AE117">
        <v>22</v>
      </c>
      <c r="AF117">
        <v>32</v>
      </c>
      <c r="AH117">
        <f t="shared" si="12"/>
        <v>0</v>
      </c>
      <c r="AI117">
        <f t="shared" si="13"/>
        <v>0</v>
      </c>
      <c r="AJ117" s="11">
        <f>SUM(AH$5:AH117)/SUM(AI$5:AI117)</f>
        <v>0.85245901639344257</v>
      </c>
    </row>
    <row r="118" spans="1:36" x14ac:dyDescent="0.35">
      <c r="A118" t="s">
        <v>329</v>
      </c>
      <c r="B118">
        <v>2</v>
      </c>
      <c r="C118" t="s">
        <v>7</v>
      </c>
      <c r="D118" t="s">
        <v>8</v>
      </c>
      <c r="E118" t="s">
        <v>46</v>
      </c>
      <c r="G118" t="s">
        <v>47</v>
      </c>
      <c r="I118" t="s">
        <v>61</v>
      </c>
      <c r="K118" t="s">
        <v>157</v>
      </c>
      <c r="M118" t="s">
        <v>502</v>
      </c>
      <c r="O118">
        <v>1</v>
      </c>
      <c r="P118" s="9" t="s">
        <v>503</v>
      </c>
      <c r="Q118">
        <v>99.6</v>
      </c>
      <c r="R118">
        <v>1</v>
      </c>
      <c r="S118">
        <v>2</v>
      </c>
      <c r="T118">
        <v>0</v>
      </c>
      <c r="U118" s="11">
        <f t="shared" si="9"/>
        <v>5.7443203033001123E-5</v>
      </c>
      <c r="V118" s="11">
        <f t="shared" si="10"/>
        <v>0</v>
      </c>
      <c r="X118" s="11">
        <f t="shared" si="14"/>
        <v>5.7443203033001123E-5</v>
      </c>
      <c r="Y118" s="12">
        <f t="shared" si="15"/>
        <v>0.99942556796967064</v>
      </c>
      <c r="AA118" s="25" t="str">
        <f>IF(P118="*","-",IFERROR(VLOOKUP(P118,'AE-W1'!$P$4:$T$126,4,FALSE),"-"))</f>
        <v>-</v>
      </c>
      <c r="AB118" s="25" t="str">
        <f>IF(P118="*","-",IFERROR(VLOOKUP(P118,'AE-W2'!$P$4:$T$107,4,FALSE),"-"))</f>
        <v>-</v>
      </c>
      <c r="AC118" s="25">
        <f>IF(P118="*","-",IFERROR(VLOOKUP(P118,'All MECSM samples'!$P$4:$AD$454,15,FALSE),"-"))</f>
        <v>473</v>
      </c>
      <c r="AD118" s="25"/>
      <c r="AE118">
        <v>17</v>
      </c>
      <c r="AF118">
        <v>745</v>
      </c>
      <c r="AH118">
        <f t="shared" si="12"/>
        <v>0</v>
      </c>
      <c r="AI118">
        <f t="shared" si="13"/>
        <v>0</v>
      </c>
      <c r="AJ118" s="11">
        <f>SUM(AH$5:AH118)/SUM(AI$5:AI118)</f>
        <v>0.85245901639344257</v>
      </c>
    </row>
    <row r="119" spans="1:36" x14ac:dyDescent="0.35">
      <c r="A119" t="s">
        <v>241</v>
      </c>
      <c r="B119">
        <v>2</v>
      </c>
      <c r="C119" t="s">
        <v>7</v>
      </c>
      <c r="D119" t="s">
        <v>8</v>
      </c>
      <c r="E119" t="s">
        <v>9</v>
      </c>
      <c r="G119" t="s">
        <v>243</v>
      </c>
      <c r="I119" t="s">
        <v>594</v>
      </c>
      <c r="K119" t="s">
        <v>595</v>
      </c>
      <c r="M119" t="s">
        <v>596</v>
      </c>
      <c r="O119">
        <v>0.51</v>
      </c>
      <c r="P119" s="9" t="s">
        <v>597</v>
      </c>
      <c r="Q119">
        <v>98.8</v>
      </c>
      <c r="R119">
        <v>3</v>
      </c>
      <c r="S119">
        <v>2</v>
      </c>
      <c r="T119">
        <v>0</v>
      </c>
      <c r="U119" s="11">
        <f t="shared" si="9"/>
        <v>5.7443203033001123E-5</v>
      </c>
      <c r="V119" s="11">
        <f t="shared" si="10"/>
        <v>0</v>
      </c>
      <c r="X119" s="11">
        <f t="shared" si="14"/>
        <v>5.7443203033001123E-5</v>
      </c>
      <c r="Y119" s="12">
        <f t="shared" si="15"/>
        <v>0.99948301117270366</v>
      </c>
      <c r="AA119" s="25" t="str">
        <f>IF(P119="*","-",IFERROR(VLOOKUP(P119,'AE-W1'!$P$4:$T$126,4,FALSE),"-"))</f>
        <v>-</v>
      </c>
      <c r="AB119" s="25" t="str">
        <f>IF(P119="*","-",IFERROR(VLOOKUP(P119,'AE-W2'!$P$4:$T$107,4,FALSE),"-"))</f>
        <v>-</v>
      </c>
      <c r="AC119" s="25">
        <f>IF(P119="*","-",IFERROR(VLOOKUP(P119,'All MECSM samples'!$P$4:$AD$454,15,FALSE),"-"))</f>
        <v>2</v>
      </c>
      <c r="AD119" s="25"/>
      <c r="AE119">
        <v>16</v>
      </c>
      <c r="AF119">
        <v>1</v>
      </c>
      <c r="AH119">
        <f t="shared" si="12"/>
        <v>0</v>
      </c>
      <c r="AI119">
        <f t="shared" si="13"/>
        <v>0</v>
      </c>
      <c r="AJ119" s="11">
        <f>SUM(AH$5:AH119)/SUM(AI$5:AI119)</f>
        <v>0.85245901639344257</v>
      </c>
    </row>
    <row r="120" spans="1:36" x14ac:dyDescent="0.35">
      <c r="A120" t="s">
        <v>344</v>
      </c>
      <c r="B120">
        <v>2</v>
      </c>
      <c r="C120" t="s">
        <v>7</v>
      </c>
      <c r="D120" t="s">
        <v>8</v>
      </c>
      <c r="E120" t="s">
        <v>32</v>
      </c>
      <c r="G120" t="s">
        <v>35</v>
      </c>
      <c r="I120" t="s">
        <v>36</v>
      </c>
      <c r="K120" t="s">
        <v>37</v>
      </c>
      <c r="O120">
        <v>0.98</v>
      </c>
      <c r="P120" s="9" t="s">
        <v>401</v>
      </c>
      <c r="Q120">
        <v>96.4</v>
      </c>
      <c r="R120">
        <v>1</v>
      </c>
      <c r="S120">
        <v>2</v>
      </c>
      <c r="T120">
        <v>0</v>
      </c>
      <c r="U120" s="11">
        <f t="shared" si="9"/>
        <v>5.7443203033001123E-5</v>
      </c>
      <c r="V120" s="11">
        <f t="shared" si="10"/>
        <v>0</v>
      </c>
      <c r="X120" s="11">
        <f t="shared" si="14"/>
        <v>5.7443203033001123E-5</v>
      </c>
      <c r="Y120" s="12">
        <f t="shared" si="15"/>
        <v>0.99954045437573669</v>
      </c>
      <c r="AA120" s="25">
        <f>IF(P120="*","-",IFERROR(VLOOKUP(P120,'AE-W1'!$P$4:$T$126,4,FALSE),"-"))</f>
        <v>5</v>
      </c>
      <c r="AB120" s="25">
        <f>IF(P120="*","-",IFERROR(VLOOKUP(P120,'AE-W2'!$P$4:$T$107,4,FALSE),"-"))</f>
        <v>6</v>
      </c>
      <c r="AC120" s="25">
        <f>IF(P120="*","-",IFERROR(VLOOKUP(P120,'All MECSM samples'!$P$4:$AD$454,15,FALSE),"-"))</f>
        <v>6</v>
      </c>
      <c r="AD120" s="25"/>
      <c r="AE120">
        <v>0</v>
      </c>
      <c r="AF120">
        <v>0</v>
      </c>
      <c r="AH120">
        <f t="shared" si="12"/>
        <v>0</v>
      </c>
      <c r="AI120">
        <f t="shared" si="13"/>
        <v>0</v>
      </c>
      <c r="AJ120" s="11">
        <f>SUM(AH$5:AH120)/SUM(AI$5:AI120)</f>
        <v>0.85245901639344257</v>
      </c>
    </row>
    <row r="121" spans="1:36" x14ac:dyDescent="0.35">
      <c r="A121" t="s">
        <v>363</v>
      </c>
      <c r="B121">
        <v>2</v>
      </c>
      <c r="C121" t="s">
        <v>7</v>
      </c>
      <c r="D121" t="s">
        <v>8</v>
      </c>
      <c r="E121" t="s">
        <v>46</v>
      </c>
      <c r="O121">
        <v>0.59</v>
      </c>
      <c r="P121" s="9" t="s">
        <v>98</v>
      </c>
      <c r="Q121">
        <v>0</v>
      </c>
      <c r="R121">
        <v>1</v>
      </c>
      <c r="S121">
        <v>2</v>
      </c>
      <c r="T121">
        <v>0</v>
      </c>
      <c r="U121" s="11">
        <f t="shared" si="9"/>
        <v>5.7443203033001123E-5</v>
      </c>
      <c r="V121" s="11">
        <f t="shared" si="10"/>
        <v>0</v>
      </c>
      <c r="X121" s="11">
        <f t="shared" si="14"/>
        <v>5.7443203033001123E-5</v>
      </c>
      <c r="Y121" s="12">
        <f t="shared" si="15"/>
        <v>0.99959789757876971</v>
      </c>
      <c r="AA121" s="25" t="str">
        <f>IF(P121="*","-",IFERROR(VLOOKUP(P121,'AE-W1'!$P$4:$T$126,4,FALSE),"-"))</f>
        <v>-</v>
      </c>
      <c r="AB121" s="25" t="str">
        <f>IF(P121="*","-",IFERROR(VLOOKUP(P121,'AE-W2'!$P$4:$T$107,4,FALSE),"-"))</f>
        <v>-</v>
      </c>
      <c r="AC121" s="25" t="str">
        <f>IF(P121="*","-",IFERROR(VLOOKUP(P121,'All MECSM samples'!$P$4:$AD$454,15,FALSE),"-"))</f>
        <v>-</v>
      </c>
      <c r="AD121" s="25"/>
      <c r="AE121">
        <v>0</v>
      </c>
      <c r="AF121">
        <v>0</v>
      </c>
      <c r="AH121">
        <f t="shared" si="12"/>
        <v>0</v>
      </c>
      <c r="AI121">
        <f t="shared" si="13"/>
        <v>0</v>
      </c>
      <c r="AJ121" s="11">
        <f>SUM(AH$5:AH121)/SUM(AI$5:AI121)</f>
        <v>0.85245901639344257</v>
      </c>
    </row>
    <row r="122" spans="1:36" x14ac:dyDescent="0.35">
      <c r="A122" t="s">
        <v>325</v>
      </c>
      <c r="B122">
        <v>2</v>
      </c>
      <c r="C122" t="s">
        <v>7</v>
      </c>
      <c r="D122" t="s">
        <v>8</v>
      </c>
      <c r="E122" t="s">
        <v>9</v>
      </c>
      <c r="G122" t="s">
        <v>172</v>
      </c>
      <c r="I122" t="s">
        <v>173</v>
      </c>
      <c r="K122" t="s">
        <v>590</v>
      </c>
      <c r="M122" t="s">
        <v>591</v>
      </c>
      <c r="O122">
        <v>1</v>
      </c>
      <c r="P122" s="9" t="s">
        <v>592</v>
      </c>
      <c r="Q122">
        <v>100</v>
      </c>
      <c r="R122">
        <v>1</v>
      </c>
      <c r="S122">
        <v>2</v>
      </c>
      <c r="T122">
        <v>0</v>
      </c>
      <c r="U122" s="11">
        <f t="shared" si="9"/>
        <v>5.7443203033001123E-5</v>
      </c>
      <c r="V122" s="11">
        <f t="shared" si="10"/>
        <v>0</v>
      </c>
      <c r="X122" s="11">
        <f t="shared" si="14"/>
        <v>5.7443203033001123E-5</v>
      </c>
      <c r="Y122" s="12">
        <f t="shared" si="15"/>
        <v>0.99965534078180274</v>
      </c>
      <c r="AA122" s="25" t="str">
        <f>IF(P122="*","-",IFERROR(VLOOKUP(P122,'AE-W1'!$P$4:$T$126,4,FALSE),"-"))</f>
        <v>-</v>
      </c>
      <c r="AB122" s="25" t="str">
        <f>IF(P122="*","-",IFERROR(VLOOKUP(P122,'AE-W2'!$P$4:$T$107,4,FALSE),"-"))</f>
        <v>-</v>
      </c>
      <c r="AC122" s="25">
        <f>IF(P122="*","-",IFERROR(VLOOKUP(P122,'All MECSM samples'!$P$4:$AD$454,15,FALSE),"-"))</f>
        <v>2</v>
      </c>
      <c r="AD122" s="25"/>
      <c r="AE122">
        <v>86</v>
      </c>
      <c r="AF122">
        <v>1</v>
      </c>
      <c r="AH122">
        <f t="shared" si="12"/>
        <v>0</v>
      </c>
      <c r="AI122">
        <f t="shared" si="13"/>
        <v>0</v>
      </c>
      <c r="AJ122" s="11">
        <f>SUM(AH$5:AH122)/SUM(AI$5:AI122)</f>
        <v>0.85245901639344257</v>
      </c>
    </row>
    <row r="123" spans="1:36" x14ac:dyDescent="0.35">
      <c r="A123" t="s">
        <v>333</v>
      </c>
      <c r="B123">
        <v>2</v>
      </c>
      <c r="C123" t="s">
        <v>7</v>
      </c>
      <c r="D123" t="s">
        <v>8</v>
      </c>
      <c r="E123" t="s">
        <v>32</v>
      </c>
      <c r="G123" t="s">
        <v>35</v>
      </c>
      <c r="I123" t="s">
        <v>36</v>
      </c>
      <c r="K123" t="s">
        <v>37</v>
      </c>
      <c r="O123">
        <v>0.97</v>
      </c>
      <c r="P123" s="9" t="s">
        <v>401</v>
      </c>
      <c r="Q123">
        <v>93.7</v>
      </c>
      <c r="R123">
        <v>1</v>
      </c>
      <c r="S123">
        <v>2</v>
      </c>
      <c r="T123">
        <v>0</v>
      </c>
      <c r="U123" s="11">
        <f t="shared" si="9"/>
        <v>5.7443203033001123E-5</v>
      </c>
      <c r="V123" s="11">
        <f t="shared" si="10"/>
        <v>0</v>
      </c>
      <c r="X123" s="11">
        <f t="shared" si="14"/>
        <v>5.7443203033001123E-5</v>
      </c>
      <c r="Y123" s="12">
        <f t="shared" si="15"/>
        <v>0.99971278398483576</v>
      </c>
      <c r="AA123" s="25">
        <f>IF(P123="*","-",IFERROR(VLOOKUP(P123,'AE-W1'!$P$4:$T$126,4,FALSE),"-"))</f>
        <v>5</v>
      </c>
      <c r="AB123" s="25">
        <f>IF(P123="*","-",IFERROR(VLOOKUP(P123,'AE-W2'!$P$4:$T$107,4,FALSE),"-"))</f>
        <v>6</v>
      </c>
      <c r="AC123" s="25">
        <f>IF(P123="*","-",IFERROR(VLOOKUP(P123,'All MECSM samples'!$P$4:$AD$454,15,FALSE),"-"))</f>
        <v>6</v>
      </c>
      <c r="AD123" s="25"/>
      <c r="AE123">
        <v>3</v>
      </c>
      <c r="AF123">
        <v>46</v>
      </c>
      <c r="AH123">
        <f t="shared" si="12"/>
        <v>0</v>
      </c>
      <c r="AI123">
        <f t="shared" si="13"/>
        <v>0</v>
      </c>
      <c r="AJ123" s="11">
        <f>SUM(AH$5:AH123)/SUM(AI$5:AI123)</f>
        <v>0.85245901639344257</v>
      </c>
    </row>
    <row r="124" spans="1:36" x14ac:dyDescent="0.35">
      <c r="A124" t="s">
        <v>420</v>
      </c>
      <c r="B124">
        <v>2</v>
      </c>
      <c r="C124" t="s">
        <v>7</v>
      </c>
      <c r="D124" t="s">
        <v>8</v>
      </c>
      <c r="E124" t="s">
        <v>32</v>
      </c>
      <c r="G124" t="s">
        <v>35</v>
      </c>
      <c r="I124" t="s">
        <v>36</v>
      </c>
      <c r="K124" t="s">
        <v>37</v>
      </c>
      <c r="M124" t="s">
        <v>480</v>
      </c>
      <c r="O124">
        <v>0.51</v>
      </c>
      <c r="P124" s="9" t="s">
        <v>401</v>
      </c>
      <c r="Q124">
        <v>94.8</v>
      </c>
      <c r="R124">
        <v>1</v>
      </c>
      <c r="S124">
        <v>2</v>
      </c>
      <c r="T124">
        <v>0</v>
      </c>
      <c r="U124" s="11">
        <f t="shared" si="9"/>
        <v>5.7443203033001123E-5</v>
      </c>
      <c r="V124" s="11">
        <f t="shared" si="10"/>
        <v>0</v>
      </c>
      <c r="X124" s="11">
        <f t="shared" si="14"/>
        <v>5.7443203033001123E-5</v>
      </c>
      <c r="Y124" s="12">
        <f t="shared" si="15"/>
        <v>0.99977022718786879</v>
      </c>
      <c r="AA124" s="25">
        <f>IF(P124="*","-",IFERROR(VLOOKUP(P124,'AE-W1'!$P$4:$T$126,4,FALSE),"-"))</f>
        <v>5</v>
      </c>
      <c r="AB124" s="25">
        <f>IF(P124="*","-",IFERROR(VLOOKUP(P124,'AE-W2'!$P$4:$T$107,4,FALSE),"-"))</f>
        <v>6</v>
      </c>
      <c r="AC124" s="25">
        <f>IF(P124="*","-",IFERROR(VLOOKUP(P124,'All MECSM samples'!$P$4:$AD$454,15,FALSE),"-"))</f>
        <v>6</v>
      </c>
      <c r="AD124" s="25"/>
      <c r="AE124">
        <v>3</v>
      </c>
      <c r="AF124">
        <v>46</v>
      </c>
      <c r="AH124">
        <f t="shared" si="12"/>
        <v>0</v>
      </c>
      <c r="AI124">
        <f t="shared" si="13"/>
        <v>0</v>
      </c>
      <c r="AJ124" s="11">
        <f>SUM(AH$5:AH124)/SUM(AI$5:AI124)</f>
        <v>0.85245901639344257</v>
      </c>
    </row>
    <row r="125" spans="1:36" x14ac:dyDescent="0.35">
      <c r="A125" t="s">
        <v>322</v>
      </c>
      <c r="B125">
        <v>2</v>
      </c>
      <c r="C125" t="s">
        <v>7</v>
      </c>
      <c r="D125" t="s">
        <v>8</v>
      </c>
      <c r="E125" t="s">
        <v>46</v>
      </c>
      <c r="G125" t="s">
        <v>47</v>
      </c>
      <c r="I125" t="s">
        <v>61</v>
      </c>
      <c r="K125" t="s">
        <v>84</v>
      </c>
      <c r="M125" t="s">
        <v>475</v>
      </c>
      <c r="O125">
        <v>0.87</v>
      </c>
      <c r="P125" s="9" t="s">
        <v>476</v>
      </c>
      <c r="Q125">
        <v>98.8</v>
      </c>
      <c r="R125">
        <v>1</v>
      </c>
      <c r="S125">
        <v>2</v>
      </c>
      <c r="T125">
        <v>0</v>
      </c>
      <c r="U125" s="11">
        <f t="shared" si="9"/>
        <v>5.7443203033001123E-5</v>
      </c>
      <c r="V125" s="11">
        <f t="shared" si="10"/>
        <v>0</v>
      </c>
      <c r="X125" s="11">
        <f t="shared" si="14"/>
        <v>5.7443203033001123E-5</v>
      </c>
      <c r="Y125" s="12">
        <f t="shared" si="15"/>
        <v>0.99982767039090181</v>
      </c>
      <c r="AA125" s="25" t="str">
        <f>IF(P125="*","-",IFERROR(VLOOKUP(P125,'AE-W1'!$P$4:$T$126,4,FALSE),"-"))</f>
        <v>-</v>
      </c>
      <c r="AB125" s="25" t="str">
        <f>IF(P125="*","-",IFERROR(VLOOKUP(P125,'AE-W2'!$P$4:$T$107,4,FALSE),"-"))</f>
        <v>-</v>
      </c>
      <c r="AC125" s="25">
        <f>IF(P125="*","-",IFERROR(VLOOKUP(P125,'All MECSM samples'!$P$4:$AD$454,15,FALSE),"-"))</f>
        <v>259</v>
      </c>
      <c r="AD125" s="25"/>
      <c r="AE125">
        <v>47</v>
      </c>
      <c r="AF125">
        <v>690</v>
      </c>
      <c r="AH125">
        <f t="shared" si="12"/>
        <v>0</v>
      </c>
      <c r="AI125">
        <f t="shared" si="13"/>
        <v>0</v>
      </c>
      <c r="AJ125" s="11">
        <f>SUM(AH$5:AH125)/SUM(AI$5:AI125)</f>
        <v>0.85245901639344257</v>
      </c>
    </row>
    <row r="126" spans="1:36" x14ac:dyDescent="0.35">
      <c r="A126" t="s">
        <v>338</v>
      </c>
      <c r="B126">
        <v>2</v>
      </c>
      <c r="C126" t="s">
        <v>7</v>
      </c>
      <c r="D126" t="s">
        <v>8</v>
      </c>
      <c r="E126" t="s">
        <v>32</v>
      </c>
      <c r="G126" t="s">
        <v>35</v>
      </c>
      <c r="I126" t="s">
        <v>36</v>
      </c>
      <c r="K126" t="s">
        <v>37</v>
      </c>
      <c r="O126">
        <v>0.84</v>
      </c>
      <c r="P126" s="9" t="s">
        <v>401</v>
      </c>
      <c r="Q126">
        <v>89.3</v>
      </c>
      <c r="R126">
        <v>1</v>
      </c>
      <c r="S126">
        <v>2</v>
      </c>
      <c r="T126">
        <v>0</v>
      </c>
      <c r="U126" s="11">
        <f t="shared" si="9"/>
        <v>5.7443203033001123E-5</v>
      </c>
      <c r="V126" s="11">
        <f t="shared" si="10"/>
        <v>0</v>
      </c>
      <c r="X126" s="11">
        <f t="shared" si="14"/>
        <v>5.7443203033001123E-5</v>
      </c>
      <c r="Y126" s="12">
        <f t="shared" si="15"/>
        <v>0.99988511359393484</v>
      </c>
      <c r="AA126" s="25">
        <f>IF(P126="*","-",IFERROR(VLOOKUP(P126,'AE-W1'!$P$4:$T$126,4,FALSE),"-"))</f>
        <v>5</v>
      </c>
      <c r="AB126" s="25">
        <f>IF(P126="*","-",IFERROR(VLOOKUP(P126,'AE-W2'!$P$4:$T$107,4,FALSE),"-"))</f>
        <v>6</v>
      </c>
      <c r="AC126" s="25">
        <f>IF(P126="*","-",IFERROR(VLOOKUP(P126,'All MECSM samples'!$P$4:$AD$454,15,FALSE),"-"))</f>
        <v>6</v>
      </c>
      <c r="AD126" s="25"/>
      <c r="AE126">
        <v>0</v>
      </c>
      <c r="AF126">
        <v>0</v>
      </c>
      <c r="AH126">
        <f t="shared" si="12"/>
        <v>0</v>
      </c>
      <c r="AI126">
        <f t="shared" si="13"/>
        <v>0</v>
      </c>
      <c r="AJ126" s="11">
        <f>SUM(AH$5:AH126)/SUM(AI$5:AI126)</f>
        <v>0.85245901639344257</v>
      </c>
    </row>
    <row r="127" spans="1:36" x14ac:dyDescent="0.35">
      <c r="A127" t="s">
        <v>359</v>
      </c>
      <c r="B127">
        <v>2</v>
      </c>
      <c r="C127" t="s">
        <v>7</v>
      </c>
      <c r="D127" t="s">
        <v>8</v>
      </c>
      <c r="E127" t="s">
        <v>9</v>
      </c>
      <c r="G127" t="s">
        <v>10</v>
      </c>
      <c r="I127" t="s">
        <v>131</v>
      </c>
      <c r="K127" t="s">
        <v>150</v>
      </c>
      <c r="M127" t="s">
        <v>278</v>
      </c>
      <c r="O127">
        <v>0.75</v>
      </c>
      <c r="P127" s="9" t="s">
        <v>152</v>
      </c>
      <c r="Q127">
        <v>95.3</v>
      </c>
      <c r="R127">
        <v>1</v>
      </c>
      <c r="S127">
        <v>2</v>
      </c>
      <c r="T127">
        <v>0</v>
      </c>
      <c r="U127" s="11">
        <f t="shared" si="9"/>
        <v>5.7443203033001123E-5</v>
      </c>
      <c r="V127" s="11">
        <f t="shared" si="10"/>
        <v>0</v>
      </c>
      <c r="X127" s="11">
        <f t="shared" si="14"/>
        <v>5.7443203033001123E-5</v>
      </c>
      <c r="Y127" s="12">
        <f t="shared" si="15"/>
        <v>0.99994255679696786</v>
      </c>
      <c r="AA127" s="25">
        <f>IF(P127="*","-",IFERROR(VLOOKUP(P127,'AE-W1'!$P$4:$T$126,4,FALSE),"-"))</f>
        <v>92</v>
      </c>
      <c r="AB127" s="25">
        <f>IF(P127="*","-",IFERROR(VLOOKUP(P127,'AE-W2'!$P$4:$T$107,4,FALSE),"-"))</f>
        <v>220</v>
      </c>
      <c r="AC127" s="25">
        <f>IF(P127="*","-",IFERROR(VLOOKUP(P127,'All MECSM samples'!$P$4:$AD$454,15,FALSE),"-"))</f>
        <v>577</v>
      </c>
      <c r="AD127" s="25"/>
      <c r="AE127">
        <v>17</v>
      </c>
      <c r="AF127">
        <v>20</v>
      </c>
      <c r="AH127">
        <f t="shared" si="12"/>
        <v>0</v>
      </c>
      <c r="AI127">
        <f t="shared" si="13"/>
        <v>0</v>
      </c>
      <c r="AJ127" s="11">
        <f>SUM(AH$5:AH127)/SUM(AI$5:AI127)</f>
        <v>0.85245901639344257</v>
      </c>
    </row>
    <row r="128" spans="1:36" x14ac:dyDescent="0.35">
      <c r="A128" t="s">
        <v>386</v>
      </c>
      <c r="B128">
        <v>2</v>
      </c>
      <c r="C128" t="s">
        <v>7</v>
      </c>
      <c r="D128" t="s">
        <v>8</v>
      </c>
      <c r="E128" t="s">
        <v>32</v>
      </c>
      <c r="G128" t="s">
        <v>35</v>
      </c>
      <c r="I128" t="s">
        <v>36</v>
      </c>
      <c r="K128" t="s">
        <v>37</v>
      </c>
      <c r="M128" t="s">
        <v>425</v>
      </c>
      <c r="O128">
        <v>0.99</v>
      </c>
      <c r="P128" s="9" t="s">
        <v>426</v>
      </c>
      <c r="Q128">
        <v>93.3</v>
      </c>
      <c r="R128">
        <v>1</v>
      </c>
      <c r="S128">
        <v>2</v>
      </c>
      <c r="T128">
        <v>0</v>
      </c>
      <c r="U128" s="11">
        <f t="shared" si="9"/>
        <v>5.7443203033001123E-5</v>
      </c>
      <c r="V128" s="11">
        <f t="shared" si="10"/>
        <v>0</v>
      </c>
      <c r="X128" s="11">
        <f>S128/S$1</f>
        <v>5.7443203033001123E-5</v>
      </c>
      <c r="Y128" s="12">
        <f>Y127+X128</f>
        <v>1.0000000000000009</v>
      </c>
      <c r="AA128" s="25" t="str">
        <f>IF(P128="*","-",IFERROR(VLOOKUP(P128,'AE-W1'!$P$4:$T$126,4,FALSE),"-"))</f>
        <v>-</v>
      </c>
      <c r="AB128" s="25">
        <f>IF(P128="*","-",IFERROR(VLOOKUP(P128,'AE-W2'!$P$4:$T$107,4,FALSE),"-"))</f>
        <v>9</v>
      </c>
      <c r="AC128" s="25">
        <f>IF(P128="*","-",IFERROR(VLOOKUP(P128,'All MECSM samples'!$P$4:$AD$454,15,FALSE),"-"))</f>
        <v>9</v>
      </c>
      <c r="AD128" s="25"/>
      <c r="AE128">
        <v>2</v>
      </c>
      <c r="AF128">
        <v>54</v>
      </c>
      <c r="AH128">
        <f t="shared" si="12"/>
        <v>0</v>
      </c>
      <c r="AI128">
        <f t="shared" si="13"/>
        <v>0</v>
      </c>
      <c r="AJ128" s="11">
        <f>SUM(AH$5:AH128)/SUM(AI$5:AI128)</f>
        <v>0.85245901639344257</v>
      </c>
    </row>
  </sheetData>
  <sortState ref="A4:T129">
    <sortCondition descending="1" ref="S4:S129"/>
  </sortState>
  <conditionalFormatting sqref="S4:S128">
    <cfRule type="expression" dxfId="5" priority="49" stopIfTrue="1">
      <formula>$S4=0</formula>
    </cfRule>
    <cfRule type="expression" dxfId="4" priority="50" stopIfTrue="1">
      <formula>$AE4=0</formula>
    </cfRule>
    <cfRule type="expression" dxfId="3" priority="51">
      <formula>$AE4&lt;100</formula>
    </cfRule>
  </conditionalFormatting>
  <conditionalFormatting sqref="U4:V128">
    <cfRule type="colorScale" priority="5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22"/>
  <sheetViews>
    <sheetView tabSelected="1" workbookViewId="0">
      <selection activeCell="S47" sqref="S47"/>
    </sheetView>
  </sheetViews>
  <sheetFormatPr defaultRowHeight="14.5" x14ac:dyDescent="0.35"/>
  <cols>
    <col min="3" max="3" width="4.453125" customWidth="1"/>
    <col min="4" max="4" width="45.81640625" customWidth="1"/>
    <col min="6" max="6" width="36.81640625" customWidth="1"/>
    <col min="14" max="14" width="5.453125" customWidth="1"/>
    <col min="15" max="15" width="55" customWidth="1"/>
    <col min="16" max="16" width="9.08984375" style="9" customWidth="1"/>
    <col min="17" max="17" width="16.81640625" customWidth="1"/>
    <col min="18" max="18" width="7.81640625" customWidth="1"/>
    <col min="19" max="19" width="5.1796875" customWidth="1"/>
    <col min="20" max="20" width="7.36328125" customWidth="1"/>
    <col min="21" max="21" width="5.1796875" customWidth="1"/>
    <col min="22" max="22" width="7.90625" customWidth="1"/>
    <col min="23" max="23" width="4.6328125" customWidth="1"/>
  </cols>
  <sheetData>
    <row r="1" spans="1:23" x14ac:dyDescent="0.35">
      <c r="A1" s="67" t="s">
        <v>1526</v>
      </c>
      <c r="B1" s="68"/>
      <c r="C1" s="68"/>
      <c r="D1" s="68" t="s">
        <v>2159</v>
      </c>
      <c r="E1" s="69" t="s">
        <v>2160</v>
      </c>
      <c r="F1" s="70" t="s">
        <v>2161</v>
      </c>
      <c r="G1" s="71"/>
      <c r="H1" s="72" t="s">
        <v>2162</v>
      </c>
      <c r="I1" s="69"/>
      <c r="J1" s="73" t="s">
        <v>2160</v>
      </c>
      <c r="K1" s="71"/>
      <c r="L1" s="74" t="s">
        <v>1524</v>
      </c>
      <c r="M1" s="75"/>
      <c r="N1" s="75"/>
      <c r="O1" s="70"/>
      <c r="P1" s="76"/>
    </row>
    <row r="2" spans="1:23" x14ac:dyDescent="0.35">
      <c r="A2" s="63" t="s">
        <v>0</v>
      </c>
      <c r="B2" s="63" t="s">
        <v>1</v>
      </c>
      <c r="C2" s="63"/>
      <c r="D2" s="63" t="s">
        <v>1960</v>
      </c>
      <c r="E2" s="77" t="s">
        <v>1961</v>
      </c>
      <c r="F2" s="78" t="s">
        <v>1962</v>
      </c>
      <c r="H2" s="77"/>
      <c r="I2" s="77"/>
      <c r="J2" s="77"/>
      <c r="L2" s="78" t="s">
        <v>0</v>
      </c>
      <c r="M2" s="78" t="s">
        <v>1</v>
      </c>
      <c r="N2" s="78"/>
      <c r="O2" s="78" t="s">
        <v>3</v>
      </c>
      <c r="R2" s="79" t="s">
        <v>1963</v>
      </c>
      <c r="S2" s="80"/>
      <c r="T2" s="79" t="s">
        <v>1964</v>
      </c>
      <c r="U2" s="80"/>
      <c r="V2" s="79" t="s">
        <v>1965</v>
      </c>
      <c r="W2" s="80"/>
    </row>
    <row r="3" spans="1:23" x14ac:dyDescent="0.35">
      <c r="A3" s="63" t="s">
        <v>6</v>
      </c>
      <c r="B3" s="63">
        <v>13563</v>
      </c>
      <c r="C3" s="63" t="str">
        <f>A3&amp;";size="&amp;B3&amp;";"</f>
        <v>OTU_1;size=13563;</v>
      </c>
      <c r="D3" s="63" t="s">
        <v>14</v>
      </c>
      <c r="E3" s="77">
        <f>VLOOKUP(C3,$H$3:$J$41,3,FALSE)</f>
        <v>100</v>
      </c>
      <c r="F3" s="78" t="str">
        <f>IFERROR(VLOOKUP(VLOOKUP(C3,$H$3:$I$41,2,FALSE),$N$3:$O$122,2,FALSE),"Not present in amplicons")</f>
        <v>Desulfuromonas_acetexigens_(T)_(U23140)</v>
      </c>
      <c r="G3" t="s">
        <v>1630</v>
      </c>
      <c r="H3" s="77" t="s">
        <v>1736</v>
      </c>
      <c r="I3" s="77" t="s">
        <v>1737</v>
      </c>
      <c r="J3" s="77">
        <v>100</v>
      </c>
      <c r="L3" s="78" t="s">
        <v>6</v>
      </c>
      <c r="M3" s="78">
        <v>27333</v>
      </c>
      <c r="N3" s="78" t="str">
        <f>L3&amp;";size="&amp;M3&amp;";"</f>
        <v>OTU_1;size=27333;</v>
      </c>
      <c r="O3" s="78" t="s">
        <v>14</v>
      </c>
      <c r="Q3" s="102" t="s">
        <v>1956</v>
      </c>
      <c r="R3" s="27">
        <f>COUNTA($A$3:$A$41)</f>
        <v>39</v>
      </c>
      <c r="S3" s="29"/>
      <c r="T3" s="27">
        <f>COUNTA('K-A W2'!D3:D32)</f>
        <v>30</v>
      </c>
      <c r="U3" s="29"/>
      <c r="V3" s="27">
        <f>COUNTA('K-A W3'!E3:E59)</f>
        <v>57</v>
      </c>
      <c r="W3" s="29"/>
    </row>
    <row r="4" spans="1:23" x14ac:dyDescent="0.35">
      <c r="A4" s="63" t="s">
        <v>15</v>
      </c>
      <c r="B4" s="63">
        <v>2733</v>
      </c>
      <c r="C4" s="63" t="str">
        <f t="shared" ref="C4:C41" si="0">A4&amp;";size="&amp;B4&amp;";"</f>
        <v>OTU_2;size=2733;</v>
      </c>
      <c r="D4" s="63" t="s">
        <v>54</v>
      </c>
      <c r="E4" s="77">
        <f t="shared" ref="E4:E41" si="1">VLOOKUP(C4,$H$3:$J$105,3,FALSE)</f>
        <v>100</v>
      </c>
      <c r="F4" s="78" t="str">
        <f t="shared" ref="F4:F41" si="2">IFERROR(VLOOKUP(VLOOKUP(C4,$H$3:$I$41,2,FALSE),$N$3:$O$122,2,FALSE),"Not present in amplicons")</f>
        <v>Methanosarcina_siciliae_type_strain:_DSM3028_(FR733698)</v>
      </c>
      <c r="G4" t="s">
        <v>1630</v>
      </c>
      <c r="H4" s="77" t="s">
        <v>1738</v>
      </c>
      <c r="I4" s="77" t="s">
        <v>1739</v>
      </c>
      <c r="J4" s="77">
        <v>100</v>
      </c>
      <c r="L4" s="78" t="s">
        <v>15</v>
      </c>
      <c r="M4" s="78">
        <v>3312</v>
      </c>
      <c r="N4" s="78" t="str">
        <f t="shared" ref="N4:N67" si="3">L4&amp;";size="&amp;M4&amp;";"</f>
        <v>OTU_2;size=3312;</v>
      </c>
      <c r="O4" s="78" t="s">
        <v>59</v>
      </c>
      <c r="Q4" s="103" t="s">
        <v>1957</v>
      </c>
      <c r="R4" s="2">
        <f>COUNTIF($E$3:$E$41,"=100")</f>
        <v>36</v>
      </c>
      <c r="S4" s="81">
        <f>R4/R$3</f>
        <v>0.92307692307692313</v>
      </c>
      <c r="T4" s="2">
        <f>COUNTIF('K-A W2'!E3:E32,"=100")</f>
        <v>28</v>
      </c>
      <c r="U4" s="81">
        <f>T4/T$3</f>
        <v>0.93333333333333335</v>
      </c>
      <c r="V4" s="2">
        <f>COUNTIF('K-A W3'!E3:E59,"=100")</f>
        <v>47</v>
      </c>
      <c r="W4" s="81">
        <f>V4/V$3</f>
        <v>0.82456140350877194</v>
      </c>
    </row>
    <row r="5" spans="1:23" x14ac:dyDescent="0.35">
      <c r="A5" s="63" t="s">
        <v>17</v>
      </c>
      <c r="B5" s="63">
        <v>508</v>
      </c>
      <c r="C5" s="63" t="str">
        <f t="shared" si="0"/>
        <v>OTU_3;size=508;</v>
      </c>
      <c r="D5" s="63" t="s">
        <v>82</v>
      </c>
      <c r="E5" s="77">
        <f t="shared" si="1"/>
        <v>100</v>
      </c>
      <c r="F5" s="78" t="str">
        <f t="shared" si="2"/>
        <v>Sulfurospirillum_alkalitolerans_HTRB-L1_(GQ863490)</v>
      </c>
      <c r="G5" t="s">
        <v>1630</v>
      </c>
      <c r="H5" s="77" t="s">
        <v>1740</v>
      </c>
      <c r="I5" s="77" t="s">
        <v>1741</v>
      </c>
      <c r="J5" s="77">
        <v>100</v>
      </c>
      <c r="L5" s="78" t="s">
        <v>17</v>
      </c>
      <c r="M5" s="78">
        <v>2340</v>
      </c>
      <c r="N5" s="78" t="str">
        <f t="shared" si="3"/>
        <v>OTU_3;size=2340;</v>
      </c>
      <c r="O5" s="78" t="s">
        <v>82</v>
      </c>
      <c r="Q5" s="103" t="s">
        <v>2163</v>
      </c>
      <c r="R5" s="2">
        <f>COUNTIF($E$3:$E$41,"&gt;=97")-R4</f>
        <v>1</v>
      </c>
      <c r="S5" s="81">
        <f>R5/R$3</f>
        <v>2.564102564102564E-2</v>
      </c>
      <c r="T5" s="2">
        <f>COUNTIF('K-A W2'!E3:E32,"&gt;=97")-T4</f>
        <v>2</v>
      </c>
      <c r="U5" s="81">
        <f>T5/T$3</f>
        <v>6.6666666666666666E-2</v>
      </c>
      <c r="V5" s="2">
        <f>COUNTIF('K-A W3'!E3:E59,"&gt;=97")-V4</f>
        <v>4</v>
      </c>
      <c r="W5" s="81">
        <f>V5/V$3</f>
        <v>7.0175438596491224E-2</v>
      </c>
    </row>
    <row r="6" spans="1:23" x14ac:dyDescent="0.35">
      <c r="A6" s="63" t="s">
        <v>23</v>
      </c>
      <c r="B6" s="63">
        <v>476</v>
      </c>
      <c r="C6" s="63" t="str">
        <f t="shared" si="0"/>
        <v>OTU_4;size=476;</v>
      </c>
      <c r="D6" s="63" t="s">
        <v>59</v>
      </c>
      <c r="E6" s="77">
        <f t="shared" si="1"/>
        <v>100</v>
      </c>
      <c r="F6" s="78" t="str">
        <f t="shared" si="2"/>
        <v>Methanocalculus_pumilus_(T)_MHT-1_(AB008853)</v>
      </c>
      <c r="G6" t="s">
        <v>1630</v>
      </c>
      <c r="H6" s="77" t="s">
        <v>1742</v>
      </c>
      <c r="I6" s="77" t="s">
        <v>1743</v>
      </c>
      <c r="J6" s="77">
        <v>100</v>
      </c>
      <c r="L6" s="78" t="s">
        <v>34</v>
      </c>
      <c r="M6" s="78">
        <v>1270</v>
      </c>
      <c r="N6" s="78" t="str">
        <f t="shared" si="3"/>
        <v>OTU_5;size=1270;</v>
      </c>
      <c r="O6" s="78" t="s">
        <v>38</v>
      </c>
      <c r="Q6" s="103" t="s">
        <v>2164</v>
      </c>
      <c r="R6" s="2">
        <f>COUNTIF($E$3:$E$41,"&gt;=95")-R4-R5</f>
        <v>1</v>
      </c>
      <c r="S6" s="81">
        <f>R6/R$3</f>
        <v>2.564102564102564E-2</v>
      </c>
      <c r="T6" s="2">
        <f>COUNTIF('K-A W2'!E3:E32,"&gt;=95")-T4-T5</f>
        <v>0</v>
      </c>
      <c r="U6" s="81">
        <f>T6/T$3</f>
        <v>0</v>
      </c>
      <c r="V6" s="2">
        <f>COUNTIF('K-A W3'!E3:E59,"&gt;=95")-V4-V5</f>
        <v>4</v>
      </c>
      <c r="W6" s="81">
        <f>V6/V$3</f>
        <v>7.0175438596491224E-2</v>
      </c>
    </row>
    <row r="7" spans="1:23" x14ac:dyDescent="0.35">
      <c r="A7" s="63" t="s">
        <v>34</v>
      </c>
      <c r="B7" s="63">
        <v>304</v>
      </c>
      <c r="C7" s="63" t="str">
        <f t="shared" si="0"/>
        <v>OTU_5;size=304;</v>
      </c>
      <c r="D7" s="63" t="s">
        <v>96</v>
      </c>
      <c r="E7" s="77">
        <f t="shared" si="1"/>
        <v>100</v>
      </c>
      <c r="F7" s="78" t="str">
        <f t="shared" si="2"/>
        <v>Acetobacterium_malicum_(T)_DSM_4132_(X96957)</v>
      </c>
      <c r="G7" t="s">
        <v>1630</v>
      </c>
      <c r="H7" s="77" t="s">
        <v>1744</v>
      </c>
      <c r="I7" s="77" t="s">
        <v>1745</v>
      </c>
      <c r="J7" s="77">
        <v>100</v>
      </c>
      <c r="L7" s="78" t="s">
        <v>23</v>
      </c>
      <c r="M7" s="78">
        <v>1238</v>
      </c>
      <c r="N7" s="78" t="str">
        <f t="shared" si="3"/>
        <v>OTU_4;size=1238;</v>
      </c>
      <c r="O7" s="78" t="s">
        <v>54</v>
      </c>
      <c r="Q7" s="104" t="s">
        <v>2165</v>
      </c>
      <c r="R7" s="5">
        <f>COUNTIF($E$3:$E$41,"-")</f>
        <v>1</v>
      </c>
      <c r="S7" s="82">
        <f>R7/R$3</f>
        <v>2.564102564102564E-2</v>
      </c>
      <c r="T7" s="5">
        <f>COUNTIF('K-A W2'!E3:E32,"-")</f>
        <v>0</v>
      </c>
      <c r="U7" s="82">
        <f>T7/T$3</f>
        <v>0</v>
      </c>
      <c r="V7" s="5">
        <f>COUNTIF('K-A W3'!E3:E59,"-")</f>
        <v>2</v>
      </c>
      <c r="W7" s="82">
        <f>V7/V$3</f>
        <v>3.5087719298245612E-2</v>
      </c>
    </row>
    <row r="8" spans="1:23" x14ac:dyDescent="0.35">
      <c r="A8" s="63" t="s">
        <v>51</v>
      </c>
      <c r="B8" s="63">
        <v>262</v>
      </c>
      <c r="C8" s="63" t="str">
        <f t="shared" si="0"/>
        <v>OTU_6;size=262;</v>
      </c>
      <c r="D8" s="63" t="s">
        <v>38</v>
      </c>
      <c r="E8" s="77">
        <f t="shared" si="1"/>
        <v>100</v>
      </c>
      <c r="F8" s="78" t="str">
        <f t="shared" si="2"/>
        <v>Parabacteroides_distasonis_(T)_JCM_5825_(AB238922)</v>
      </c>
      <c r="G8" t="s">
        <v>1630</v>
      </c>
      <c r="H8" s="77" t="s">
        <v>1746</v>
      </c>
      <c r="I8" s="77" t="s">
        <v>1747</v>
      </c>
      <c r="J8" s="77">
        <v>100</v>
      </c>
      <c r="L8" s="78" t="s">
        <v>51</v>
      </c>
      <c r="M8" s="78">
        <v>1059</v>
      </c>
      <c r="N8" s="78" t="str">
        <f t="shared" si="3"/>
        <v>OTU_6;size=1059;</v>
      </c>
      <c r="O8" s="78" t="s">
        <v>92</v>
      </c>
    </row>
    <row r="9" spans="1:23" x14ac:dyDescent="0.35">
      <c r="A9" s="63" t="s">
        <v>39</v>
      </c>
      <c r="B9" s="63">
        <v>254</v>
      </c>
      <c r="C9" s="63" t="str">
        <f t="shared" si="0"/>
        <v>OTU_7;size=254;</v>
      </c>
      <c r="D9" s="63" t="s">
        <v>125</v>
      </c>
      <c r="E9" s="77">
        <f t="shared" si="1"/>
        <v>100</v>
      </c>
      <c r="F9" s="78" t="str">
        <f t="shared" si="2"/>
        <v>Ornatilinea_apprima_P3M-1_(JQ292916)</v>
      </c>
      <c r="G9" t="s">
        <v>1630</v>
      </c>
      <c r="H9" s="77" t="s">
        <v>1748</v>
      </c>
      <c r="I9" s="77" t="s">
        <v>1749</v>
      </c>
      <c r="J9" s="77">
        <v>100</v>
      </c>
      <c r="L9" s="78" t="s">
        <v>31</v>
      </c>
      <c r="M9" s="78">
        <v>1032</v>
      </c>
      <c r="N9" s="78" t="str">
        <f t="shared" si="3"/>
        <v>OTU_8;size=1032;</v>
      </c>
      <c r="O9" s="78" t="s">
        <v>44</v>
      </c>
    </row>
    <row r="10" spans="1:23" x14ac:dyDescent="0.35">
      <c r="A10" s="63" t="s">
        <v>63</v>
      </c>
      <c r="B10" s="63">
        <v>192</v>
      </c>
      <c r="C10" s="63" t="str">
        <f t="shared" si="0"/>
        <v>OTU_9;size=192;</v>
      </c>
      <c r="D10" s="63" t="s">
        <v>44</v>
      </c>
      <c r="E10" s="77">
        <f t="shared" si="1"/>
        <v>100</v>
      </c>
      <c r="F10" s="78" t="str">
        <f t="shared" si="2"/>
        <v>Methanosaeta_harundinacea_(T)_8Ac_(AY817738)</v>
      </c>
      <c r="G10" t="s">
        <v>1630</v>
      </c>
      <c r="H10" s="77" t="s">
        <v>1750</v>
      </c>
      <c r="I10" s="77" t="s">
        <v>1751</v>
      </c>
      <c r="J10" s="77">
        <v>100</v>
      </c>
      <c r="L10" s="78" t="s">
        <v>39</v>
      </c>
      <c r="M10" s="78">
        <v>929</v>
      </c>
      <c r="N10" s="78" t="str">
        <f t="shared" si="3"/>
        <v>OTU_7;size=929;</v>
      </c>
      <c r="O10" s="78" t="s">
        <v>96</v>
      </c>
    </row>
    <row r="11" spans="1:23" x14ac:dyDescent="0.35">
      <c r="A11" s="63" t="s">
        <v>31</v>
      </c>
      <c r="B11" s="63">
        <v>135</v>
      </c>
      <c r="C11" s="63" t="str">
        <f t="shared" si="0"/>
        <v>OTU_8;size=135;</v>
      </c>
      <c r="D11" s="63" t="s">
        <v>206</v>
      </c>
      <c r="E11" s="77">
        <f t="shared" si="1"/>
        <v>100</v>
      </c>
      <c r="F11" s="78" t="str">
        <f t="shared" si="2"/>
        <v>Methanospirillum_hungatei_strain_JF-1_(NR_074177.1)</v>
      </c>
      <c r="G11" t="s">
        <v>1630</v>
      </c>
      <c r="H11" s="77" t="s">
        <v>1752</v>
      </c>
      <c r="I11" s="77" t="s">
        <v>1753</v>
      </c>
      <c r="J11" s="77">
        <v>100</v>
      </c>
      <c r="L11" s="78" t="s">
        <v>63</v>
      </c>
      <c r="M11" s="78">
        <v>796</v>
      </c>
      <c r="N11" s="78" t="str">
        <f t="shared" si="3"/>
        <v>OTU_9;size=796;</v>
      </c>
      <c r="O11" s="78" t="s">
        <v>125</v>
      </c>
    </row>
    <row r="12" spans="1:23" x14ac:dyDescent="0.35">
      <c r="A12" s="63" t="s">
        <v>49</v>
      </c>
      <c r="B12" s="63">
        <v>125</v>
      </c>
      <c r="C12" s="63" t="str">
        <f t="shared" si="0"/>
        <v>OTU_10;size=125;</v>
      </c>
      <c r="D12" s="63" t="s">
        <v>92</v>
      </c>
      <c r="E12" s="77">
        <f t="shared" si="1"/>
        <v>100</v>
      </c>
      <c r="F12" s="78" t="str">
        <f t="shared" si="2"/>
        <v>Porphyromonas_pogonae_strain_MI_10-1288_(NR_136443.1)</v>
      </c>
      <c r="G12" t="s">
        <v>1630</v>
      </c>
      <c r="H12" s="77" t="s">
        <v>1754</v>
      </c>
      <c r="I12" s="77" t="s">
        <v>1755</v>
      </c>
      <c r="J12" s="77">
        <v>100</v>
      </c>
      <c r="L12" s="78" t="s">
        <v>49</v>
      </c>
      <c r="M12" s="78">
        <v>304</v>
      </c>
      <c r="N12" s="78" t="str">
        <f t="shared" si="3"/>
        <v>OTU_10;size=304;</v>
      </c>
      <c r="O12" s="78" t="s">
        <v>154</v>
      </c>
    </row>
    <row r="13" spans="1:23" x14ac:dyDescent="0.35">
      <c r="A13" s="63" t="s">
        <v>45</v>
      </c>
      <c r="B13" s="63">
        <v>110</v>
      </c>
      <c r="C13" s="63" t="str">
        <f t="shared" si="0"/>
        <v>OTU_11;size=110;</v>
      </c>
      <c r="D13" s="63" t="s">
        <v>158</v>
      </c>
      <c r="E13" s="77">
        <f t="shared" si="1"/>
        <v>100</v>
      </c>
      <c r="F13" s="78" t="str">
        <f t="shared" si="2"/>
        <v>Dethiosulfatibacter_aminovorans_(T)_C/G2_(=_JCM_13356,_=_NBRC_101112,_=_DSM_17477)_(AB218661)</v>
      </c>
      <c r="G13" t="s">
        <v>1630</v>
      </c>
      <c r="H13" s="77" t="s">
        <v>1756</v>
      </c>
      <c r="I13" s="77" t="s">
        <v>1757</v>
      </c>
      <c r="J13" s="77">
        <v>100</v>
      </c>
      <c r="L13" s="78" t="s">
        <v>77</v>
      </c>
      <c r="M13" s="78">
        <v>230</v>
      </c>
      <c r="N13" s="78" t="str">
        <f t="shared" si="3"/>
        <v>OTU_12;size=230;</v>
      </c>
      <c r="O13" s="78" t="s">
        <v>158</v>
      </c>
    </row>
    <row r="14" spans="1:23" x14ac:dyDescent="0.35">
      <c r="A14" s="63" t="s">
        <v>77</v>
      </c>
      <c r="B14" s="63">
        <v>98</v>
      </c>
      <c r="C14" s="63" t="str">
        <f t="shared" si="0"/>
        <v>OTU_12;size=98;</v>
      </c>
      <c r="D14" s="63" t="s">
        <v>154</v>
      </c>
      <c r="E14" s="77">
        <f t="shared" si="1"/>
        <v>100</v>
      </c>
      <c r="F14" s="78" t="str">
        <f t="shared" si="2"/>
        <v>Thiohalocapsa_marina_(T)_type_strain:_JA142_(AM491592)</v>
      </c>
      <c r="G14" t="s">
        <v>1630</v>
      </c>
      <c r="H14" s="77" t="s">
        <v>1758</v>
      </c>
      <c r="I14" s="77" t="s">
        <v>1759</v>
      </c>
      <c r="J14" s="77">
        <v>100</v>
      </c>
      <c r="L14" s="78" t="s">
        <v>68</v>
      </c>
      <c r="M14" s="78">
        <v>219</v>
      </c>
      <c r="N14" s="78" t="str">
        <f t="shared" si="3"/>
        <v>OTU_13;size=219;</v>
      </c>
      <c r="O14" s="78" t="s">
        <v>134</v>
      </c>
    </row>
    <row r="15" spans="1:23" x14ac:dyDescent="0.35">
      <c r="A15" s="63" t="s">
        <v>68</v>
      </c>
      <c r="B15" s="63">
        <v>82</v>
      </c>
      <c r="C15" s="63" t="str">
        <f t="shared" si="0"/>
        <v>OTU_13;size=82;</v>
      </c>
      <c r="D15" s="63" t="s">
        <v>170</v>
      </c>
      <c r="E15" s="77">
        <f t="shared" si="1"/>
        <v>100</v>
      </c>
      <c r="F15" s="78" t="str">
        <f t="shared" si="2"/>
        <v>Aminiphilus_circumscriptus_(T)_ILE-2_(AY642589)</v>
      </c>
      <c r="G15" t="s">
        <v>1630</v>
      </c>
      <c r="H15" s="77" t="s">
        <v>1760</v>
      </c>
      <c r="I15" s="77" t="s">
        <v>1761</v>
      </c>
      <c r="J15" s="77">
        <v>100</v>
      </c>
      <c r="L15" s="78" t="s">
        <v>45</v>
      </c>
      <c r="M15" s="78">
        <v>205</v>
      </c>
      <c r="N15" s="78" t="str">
        <f t="shared" si="3"/>
        <v>OTU_11;size=205;</v>
      </c>
      <c r="O15" s="78" t="s">
        <v>170</v>
      </c>
    </row>
    <row r="16" spans="1:23" x14ac:dyDescent="0.35">
      <c r="A16" s="63" t="s">
        <v>55</v>
      </c>
      <c r="B16" s="63">
        <v>70</v>
      </c>
      <c r="C16" s="63" t="str">
        <f t="shared" si="0"/>
        <v>OTU_14;size=70;</v>
      </c>
      <c r="D16" s="63" t="s">
        <v>1631</v>
      </c>
      <c r="E16" s="77">
        <f t="shared" si="1"/>
        <v>100</v>
      </c>
      <c r="F16" s="78" t="str">
        <f t="shared" si="2"/>
        <v>-</v>
      </c>
      <c r="G16" t="s">
        <v>1630</v>
      </c>
      <c r="H16" s="77" t="s">
        <v>1762</v>
      </c>
      <c r="I16" s="77" t="s">
        <v>1763</v>
      </c>
      <c r="J16" s="77">
        <v>100</v>
      </c>
      <c r="L16" s="78" t="s">
        <v>60</v>
      </c>
      <c r="M16" s="78">
        <v>175</v>
      </c>
      <c r="N16" s="78" t="str">
        <f t="shared" si="3"/>
        <v>OTU_15;size=175;</v>
      </c>
      <c r="O16" s="78" t="s">
        <v>202</v>
      </c>
    </row>
    <row r="17" spans="1:15" x14ac:dyDescent="0.35">
      <c r="A17" s="63" t="s">
        <v>72</v>
      </c>
      <c r="B17" s="63">
        <v>66</v>
      </c>
      <c r="C17" s="63" t="str">
        <f t="shared" si="0"/>
        <v>OTU_16;size=66;</v>
      </c>
      <c r="D17" s="63" t="s">
        <v>199</v>
      </c>
      <c r="E17" s="77">
        <f t="shared" si="1"/>
        <v>100</v>
      </c>
      <c r="F17" s="78" t="str">
        <f t="shared" si="2"/>
        <v>Aminivibrio_pyruvatiphilus_4F6E_(AB623229)</v>
      </c>
      <c r="G17" t="s">
        <v>1630</v>
      </c>
      <c r="H17" s="77" t="s">
        <v>1764</v>
      </c>
      <c r="I17" s="77" t="s">
        <v>1765</v>
      </c>
      <c r="J17" s="77">
        <v>100</v>
      </c>
      <c r="L17" s="78" t="s">
        <v>55</v>
      </c>
      <c r="M17" s="78">
        <v>169</v>
      </c>
      <c r="N17" s="78" t="str">
        <f t="shared" si="3"/>
        <v>OTU_14;size=169;</v>
      </c>
      <c r="O17" s="78" t="s">
        <v>192</v>
      </c>
    </row>
    <row r="18" spans="1:15" x14ac:dyDescent="0.35">
      <c r="A18" s="63" t="s">
        <v>60</v>
      </c>
      <c r="B18" s="63">
        <v>65</v>
      </c>
      <c r="C18" s="63" t="str">
        <f t="shared" si="0"/>
        <v>OTU_15;size=65;</v>
      </c>
      <c r="D18" s="63" t="s">
        <v>134</v>
      </c>
      <c r="E18" s="77">
        <f t="shared" si="1"/>
        <v>100</v>
      </c>
      <c r="F18" s="78" t="str">
        <f t="shared" si="2"/>
        <v>Syntrophobacter_sulfatireducens_(T)_TB8106_(AY651787)</v>
      </c>
      <c r="G18" t="s">
        <v>1630</v>
      </c>
      <c r="H18" s="77" t="s">
        <v>1766</v>
      </c>
      <c r="I18" s="77" t="s">
        <v>1767</v>
      </c>
      <c r="J18" s="77">
        <v>100</v>
      </c>
      <c r="L18" s="78" t="s">
        <v>72</v>
      </c>
      <c r="M18" s="78">
        <v>161</v>
      </c>
      <c r="N18" s="78" t="str">
        <f t="shared" si="3"/>
        <v>OTU_16;size=161;</v>
      </c>
      <c r="O18" s="78" t="s">
        <v>1631</v>
      </c>
    </row>
    <row r="19" spans="1:15" x14ac:dyDescent="0.35">
      <c r="A19" s="63" t="s">
        <v>97</v>
      </c>
      <c r="B19" s="63">
        <v>50</v>
      </c>
      <c r="C19" s="63" t="str">
        <f t="shared" si="0"/>
        <v>OTU_17;size=50;</v>
      </c>
      <c r="D19" s="63" t="s">
        <v>217</v>
      </c>
      <c r="E19" s="77">
        <f t="shared" si="1"/>
        <v>100</v>
      </c>
      <c r="F19" s="78" t="str">
        <f t="shared" si="2"/>
        <v>Marivirga_sericea_(T)_IFO_15983_(AB078081)</v>
      </c>
      <c r="G19" t="s">
        <v>1630</v>
      </c>
      <c r="H19" s="77" t="s">
        <v>1768</v>
      </c>
      <c r="I19" s="77" t="s">
        <v>1769</v>
      </c>
      <c r="J19" s="77">
        <v>100</v>
      </c>
      <c r="L19" s="78" t="s">
        <v>97</v>
      </c>
      <c r="M19" s="78">
        <v>128</v>
      </c>
      <c r="N19" s="78" t="str">
        <f t="shared" si="3"/>
        <v>OTU_17;size=128;</v>
      </c>
      <c r="O19" s="78" t="s">
        <v>199</v>
      </c>
    </row>
    <row r="20" spans="1:15" x14ac:dyDescent="0.35">
      <c r="A20" s="63" t="s">
        <v>74</v>
      </c>
      <c r="B20" s="63">
        <v>47</v>
      </c>
      <c r="C20" s="63" t="str">
        <f t="shared" si="0"/>
        <v>OTU_18;size=47;</v>
      </c>
      <c r="D20" s="63" t="s">
        <v>192</v>
      </c>
      <c r="E20" s="77">
        <f t="shared" si="1"/>
        <v>100</v>
      </c>
      <c r="F20" s="78" t="str">
        <f t="shared" si="2"/>
        <v>Ruminococcaceae_bacterium_ZWB_4_(HG003571)</v>
      </c>
      <c r="G20" t="s">
        <v>1630</v>
      </c>
      <c r="H20" s="77" t="s">
        <v>1770</v>
      </c>
      <c r="I20" s="77" t="s">
        <v>1771</v>
      </c>
      <c r="J20" s="77">
        <v>100</v>
      </c>
      <c r="L20" s="78" t="s">
        <v>74</v>
      </c>
      <c r="M20" s="78">
        <v>125</v>
      </c>
      <c r="N20" s="78" t="str">
        <f t="shared" si="3"/>
        <v>OTU_18;size=125;</v>
      </c>
      <c r="O20" s="78" t="s">
        <v>217</v>
      </c>
    </row>
    <row r="21" spans="1:15" x14ac:dyDescent="0.35">
      <c r="A21" s="63" t="s">
        <v>135</v>
      </c>
      <c r="B21" s="63">
        <v>42</v>
      </c>
      <c r="C21" s="63" t="str">
        <f t="shared" si="0"/>
        <v>OTU_19;size=42;</v>
      </c>
      <c r="D21" s="63" t="s">
        <v>202</v>
      </c>
      <c r="E21" s="77">
        <f t="shared" si="1"/>
        <v>100</v>
      </c>
      <c r="F21" s="78" t="str">
        <f t="shared" si="2"/>
        <v>Olivibacter_sitiensis_(T)_AW-6_(DQ421387)</v>
      </c>
      <c r="G21" t="s">
        <v>1630</v>
      </c>
      <c r="H21" s="77" t="s">
        <v>1772</v>
      </c>
      <c r="I21" s="77" t="s">
        <v>1773</v>
      </c>
      <c r="J21" s="77">
        <v>100</v>
      </c>
      <c r="L21" s="78" t="s">
        <v>135</v>
      </c>
      <c r="M21" s="78">
        <v>109</v>
      </c>
      <c r="N21" s="78" t="str">
        <f t="shared" si="3"/>
        <v>OTU_19;size=109;</v>
      </c>
      <c r="O21" s="78" t="s">
        <v>125</v>
      </c>
    </row>
    <row r="22" spans="1:15" x14ac:dyDescent="0.35">
      <c r="A22" s="63" t="s">
        <v>99</v>
      </c>
      <c r="B22" s="63">
        <v>37</v>
      </c>
      <c r="C22" s="63" t="str">
        <f t="shared" si="0"/>
        <v>OTU_20;size=37;</v>
      </c>
      <c r="D22" s="63" t="s">
        <v>285</v>
      </c>
      <c r="E22" s="77">
        <f t="shared" si="1"/>
        <v>100</v>
      </c>
      <c r="F22" s="78" t="str">
        <f t="shared" si="2"/>
        <v>Crocinitomix_catalasitica_(T)_IFO_15977_(AB078042)</v>
      </c>
      <c r="G22" t="s">
        <v>1630</v>
      </c>
      <c r="H22" s="77" t="s">
        <v>1774</v>
      </c>
      <c r="I22" s="77" t="s">
        <v>1775</v>
      </c>
      <c r="J22" s="77">
        <v>100</v>
      </c>
      <c r="L22" s="78" t="s">
        <v>99</v>
      </c>
      <c r="M22" s="78">
        <v>108</v>
      </c>
      <c r="N22" s="78" t="str">
        <f t="shared" si="3"/>
        <v>OTU_20;size=108;</v>
      </c>
      <c r="O22" s="78" t="s">
        <v>129</v>
      </c>
    </row>
    <row r="23" spans="1:15" x14ac:dyDescent="0.35">
      <c r="A23" s="63" t="s">
        <v>106</v>
      </c>
      <c r="B23" s="63">
        <v>35</v>
      </c>
      <c r="C23" s="63" t="str">
        <f t="shared" si="0"/>
        <v>OTU_21;size=35;</v>
      </c>
      <c r="D23" s="63" t="s">
        <v>1631</v>
      </c>
      <c r="E23" s="77">
        <f t="shared" si="1"/>
        <v>100</v>
      </c>
      <c r="F23" s="78" t="str">
        <f t="shared" si="2"/>
        <v>-</v>
      </c>
      <c r="G23" t="s">
        <v>1630</v>
      </c>
      <c r="H23" s="77" t="s">
        <v>1776</v>
      </c>
      <c r="I23" s="77" t="s">
        <v>1777</v>
      </c>
      <c r="J23" s="77">
        <v>100</v>
      </c>
      <c r="L23" s="78" t="s">
        <v>106</v>
      </c>
      <c r="M23" s="78">
        <v>104</v>
      </c>
      <c r="N23" s="78" t="str">
        <f t="shared" si="3"/>
        <v>OTU_21;size=104;</v>
      </c>
      <c r="O23" s="78" t="s">
        <v>232</v>
      </c>
    </row>
    <row r="24" spans="1:15" x14ac:dyDescent="0.35">
      <c r="A24" s="63" t="s">
        <v>91</v>
      </c>
      <c r="B24" s="63">
        <v>34</v>
      </c>
      <c r="C24" s="63" t="str">
        <f t="shared" si="0"/>
        <v>OTU_23;size=34;</v>
      </c>
      <c r="D24" s="63" t="s">
        <v>125</v>
      </c>
      <c r="E24" s="77">
        <f t="shared" si="1"/>
        <v>100</v>
      </c>
      <c r="F24" s="78" t="str">
        <f t="shared" si="2"/>
        <v>Ornatilinea_apprima_P3M-1_(JQ292916)</v>
      </c>
      <c r="G24" t="s">
        <v>1630</v>
      </c>
      <c r="H24" s="77" t="s">
        <v>1778</v>
      </c>
      <c r="I24" s="77" t="s">
        <v>1779</v>
      </c>
      <c r="J24" s="77">
        <v>100</v>
      </c>
      <c r="L24" s="78" t="s">
        <v>83</v>
      </c>
      <c r="M24" s="78">
        <v>92</v>
      </c>
      <c r="N24" s="78" t="str">
        <f t="shared" si="3"/>
        <v>OTU_22;size=92;</v>
      </c>
      <c r="O24" s="78" t="s">
        <v>152</v>
      </c>
    </row>
    <row r="25" spans="1:15" x14ac:dyDescent="0.35">
      <c r="A25" s="63" t="s">
        <v>83</v>
      </c>
      <c r="B25" s="63">
        <v>34</v>
      </c>
      <c r="C25" s="63" t="str">
        <f t="shared" si="0"/>
        <v>OTU_22;size=34;</v>
      </c>
      <c r="D25" s="63" t="s">
        <v>152</v>
      </c>
      <c r="E25" s="77">
        <f t="shared" si="1"/>
        <v>100</v>
      </c>
      <c r="F25" s="78" t="str">
        <f t="shared" si="2"/>
        <v>Smithella_propionica_(T)_LYP_(AF126282)</v>
      </c>
      <c r="G25" t="s">
        <v>1630</v>
      </c>
      <c r="H25" s="77" t="s">
        <v>1780</v>
      </c>
      <c r="I25" s="77" t="s">
        <v>1781</v>
      </c>
      <c r="J25" s="77">
        <v>100</v>
      </c>
      <c r="L25" s="78" t="s">
        <v>126</v>
      </c>
      <c r="M25" s="78">
        <v>71</v>
      </c>
      <c r="N25" s="78" t="str">
        <f t="shared" si="3"/>
        <v>OTU_24;size=71;</v>
      </c>
      <c r="O25" s="78" t="s">
        <v>247</v>
      </c>
    </row>
    <row r="26" spans="1:15" x14ac:dyDescent="0.35">
      <c r="A26" s="63" t="s">
        <v>126</v>
      </c>
      <c r="B26" s="63">
        <v>31</v>
      </c>
      <c r="C26" s="63" t="str">
        <f t="shared" si="0"/>
        <v>OTU_24;size=31;</v>
      </c>
      <c r="D26" s="63" t="s">
        <v>152</v>
      </c>
      <c r="E26" s="77">
        <f t="shared" si="1"/>
        <v>100</v>
      </c>
      <c r="F26" s="78" t="str">
        <f t="shared" si="2"/>
        <v>Smithella_propionica_(T)_LYP_(AF126282)</v>
      </c>
      <c r="G26" t="s">
        <v>1630</v>
      </c>
      <c r="H26" s="77" t="s">
        <v>1782</v>
      </c>
      <c r="I26" s="77" t="s">
        <v>1783</v>
      </c>
      <c r="J26" s="77">
        <v>100</v>
      </c>
      <c r="L26" s="78" t="s">
        <v>91</v>
      </c>
      <c r="M26" s="78">
        <v>67</v>
      </c>
      <c r="N26" s="78" t="str">
        <f t="shared" si="3"/>
        <v>OTU_23;size=67;</v>
      </c>
      <c r="O26" s="78" t="s">
        <v>206</v>
      </c>
    </row>
    <row r="27" spans="1:15" x14ac:dyDescent="0.35">
      <c r="A27" s="63" t="s">
        <v>145</v>
      </c>
      <c r="B27" s="63">
        <v>30</v>
      </c>
      <c r="C27" s="63" t="str">
        <f t="shared" si="0"/>
        <v>OTU_25;size=30;</v>
      </c>
      <c r="D27" s="63" t="s">
        <v>302</v>
      </c>
      <c r="E27" s="77">
        <f t="shared" si="1"/>
        <v>100</v>
      </c>
      <c r="F27" s="78" t="str">
        <f t="shared" si="2"/>
        <v>Clostridium_putrificum_(T)_DSM_1734_(X73442)</v>
      </c>
      <c r="G27" t="s">
        <v>1630</v>
      </c>
      <c r="H27" s="77" t="s">
        <v>1784</v>
      </c>
      <c r="I27" s="77" t="s">
        <v>1785</v>
      </c>
      <c r="J27" s="77">
        <v>100</v>
      </c>
      <c r="L27" s="78" t="s">
        <v>465</v>
      </c>
      <c r="M27" s="78">
        <v>60</v>
      </c>
      <c r="N27" s="78" t="str">
        <f t="shared" si="3"/>
        <v>OTU_101;size=60;</v>
      </c>
      <c r="O27" s="78" t="s">
        <v>199</v>
      </c>
    </row>
    <row r="28" spans="1:15" x14ac:dyDescent="0.35">
      <c r="A28" s="63" t="s">
        <v>87</v>
      </c>
      <c r="B28" s="63">
        <v>28</v>
      </c>
      <c r="C28" s="63" t="str">
        <f t="shared" si="0"/>
        <v>OTU_28;size=28;</v>
      </c>
      <c r="D28" s="63" t="s">
        <v>232</v>
      </c>
      <c r="E28" s="77">
        <f t="shared" si="1"/>
        <v>100</v>
      </c>
      <c r="F28" s="78" t="str">
        <f t="shared" si="2"/>
        <v>Petrimonas_sulfuriphila_(T)_BN3_(AY570690)</v>
      </c>
      <c r="G28" t="s">
        <v>1630</v>
      </c>
      <c r="H28" s="77" t="s">
        <v>1786</v>
      </c>
      <c r="I28" s="77" t="s">
        <v>1787</v>
      </c>
      <c r="J28" s="77">
        <v>100</v>
      </c>
      <c r="L28" s="78" t="s">
        <v>89</v>
      </c>
      <c r="M28" s="78">
        <v>59</v>
      </c>
      <c r="N28" s="78" t="str">
        <f t="shared" si="3"/>
        <v>OTU_26;size=59;</v>
      </c>
      <c r="O28" s="78" t="s">
        <v>152</v>
      </c>
    </row>
    <row r="29" spans="1:15" x14ac:dyDescent="0.35">
      <c r="A29" s="63" t="s">
        <v>89</v>
      </c>
      <c r="B29" s="63">
        <v>24</v>
      </c>
      <c r="C29" s="63" t="str">
        <f t="shared" si="0"/>
        <v>OTU_26;size=24;</v>
      </c>
      <c r="D29" s="63" t="s">
        <v>152</v>
      </c>
      <c r="E29" s="77">
        <f t="shared" si="1"/>
        <v>100</v>
      </c>
      <c r="F29" s="78" t="str">
        <f t="shared" si="2"/>
        <v>Smithella_propionica_(T)_LYP_(AF126282)</v>
      </c>
      <c r="G29" t="s">
        <v>1630</v>
      </c>
      <c r="H29" s="77" t="s">
        <v>1788</v>
      </c>
      <c r="I29" s="77" t="s">
        <v>1808</v>
      </c>
      <c r="J29" s="77">
        <v>100</v>
      </c>
      <c r="L29" s="78" t="s">
        <v>153</v>
      </c>
      <c r="M29" s="78">
        <v>54</v>
      </c>
      <c r="N29" s="78" t="str">
        <f t="shared" si="3"/>
        <v>OTU_30;size=54;</v>
      </c>
      <c r="O29" s="78" t="s">
        <v>152</v>
      </c>
    </row>
    <row r="30" spans="1:15" x14ac:dyDescent="0.35">
      <c r="A30" s="63" t="s">
        <v>93</v>
      </c>
      <c r="B30" s="63">
        <v>23</v>
      </c>
      <c r="C30" s="63" t="str">
        <f t="shared" si="0"/>
        <v>OTU_27;size=23;</v>
      </c>
      <c r="D30" s="63" t="s">
        <v>129</v>
      </c>
      <c r="E30" s="77">
        <f t="shared" si="1"/>
        <v>100</v>
      </c>
      <c r="F30" s="78" t="str">
        <f t="shared" si="2"/>
        <v>Desulfovibrio_alkalitolerans_(T)_RT2_(AY649785)</v>
      </c>
      <c r="G30" t="s">
        <v>1630</v>
      </c>
      <c r="H30" s="77" t="s">
        <v>1789</v>
      </c>
      <c r="I30" s="77" t="s">
        <v>1631</v>
      </c>
      <c r="J30" s="77" t="s">
        <v>1631</v>
      </c>
      <c r="L30" s="78" t="s">
        <v>87</v>
      </c>
      <c r="M30" s="78">
        <v>53</v>
      </c>
      <c r="N30" s="78" t="str">
        <f t="shared" si="3"/>
        <v>OTU_28;size=53;</v>
      </c>
      <c r="O30" s="78" t="s">
        <v>212</v>
      </c>
    </row>
    <row r="31" spans="1:15" x14ac:dyDescent="0.35">
      <c r="A31" s="63" t="s">
        <v>294</v>
      </c>
      <c r="B31" s="63">
        <v>21</v>
      </c>
      <c r="C31" s="63" t="str">
        <f t="shared" si="0"/>
        <v>OTU_29;size=21;</v>
      </c>
      <c r="D31" s="63" t="s">
        <v>212</v>
      </c>
      <c r="E31" s="77">
        <f t="shared" si="1"/>
        <v>100</v>
      </c>
      <c r="F31" s="78" t="str">
        <f t="shared" si="2"/>
        <v>Syntrophomonas_bryantii_type_strain:_DSM_3014_(HE654006)</v>
      </c>
      <c r="G31" t="s">
        <v>1630</v>
      </c>
      <c r="H31" s="77" t="s">
        <v>1790</v>
      </c>
      <c r="I31" s="77" t="s">
        <v>1791</v>
      </c>
      <c r="J31" s="77">
        <v>100</v>
      </c>
      <c r="L31" s="78" t="s">
        <v>145</v>
      </c>
      <c r="M31" s="78">
        <v>53</v>
      </c>
      <c r="N31" s="78" t="str">
        <f t="shared" si="3"/>
        <v>OTU_25;size=53;</v>
      </c>
      <c r="O31" s="78" t="s">
        <v>144</v>
      </c>
    </row>
    <row r="32" spans="1:15" x14ac:dyDescent="0.35">
      <c r="A32" s="63" t="s">
        <v>153</v>
      </c>
      <c r="B32" s="63">
        <v>20</v>
      </c>
      <c r="C32" s="63" t="str">
        <f t="shared" si="0"/>
        <v>OTU_30;size=20;</v>
      </c>
      <c r="D32" s="83" t="s">
        <v>358</v>
      </c>
      <c r="E32" s="77" t="str">
        <f t="shared" si="1"/>
        <v>-</v>
      </c>
      <c r="F32" s="84" t="str">
        <f t="shared" ref="F32" si="4">IFERROR(VLOOKUP(VLOOKUP(C32,$H$3:$I$59,2,FALSE),$N$3:$O$124,2,FALSE),"Not present in amplicons")</f>
        <v>Not present in amplicons</v>
      </c>
      <c r="G32" t="s">
        <v>1630</v>
      </c>
      <c r="H32" s="77" t="s">
        <v>1792</v>
      </c>
      <c r="I32" s="77" t="s">
        <v>1502</v>
      </c>
      <c r="J32" s="77">
        <v>98.4</v>
      </c>
      <c r="L32" s="78" t="s">
        <v>93</v>
      </c>
      <c r="M32" s="78">
        <v>51</v>
      </c>
      <c r="N32" s="78" t="str">
        <f t="shared" si="3"/>
        <v>OTU_27;size=51;</v>
      </c>
      <c r="O32" s="78" t="s">
        <v>263</v>
      </c>
    </row>
    <row r="33" spans="1:15" x14ac:dyDescent="0.35">
      <c r="A33" s="63" t="s">
        <v>602</v>
      </c>
      <c r="B33" s="63">
        <v>18</v>
      </c>
      <c r="C33" s="63" t="str">
        <f t="shared" si="0"/>
        <v>OTU_31;size=18;</v>
      </c>
      <c r="D33" s="63" t="s">
        <v>247</v>
      </c>
      <c r="E33" s="77">
        <f t="shared" si="1"/>
        <v>100</v>
      </c>
      <c r="F33" s="78" t="str">
        <f t="shared" si="2"/>
        <v>Azoarcus_olearius_DQS-4_(EF158388)</v>
      </c>
      <c r="G33" t="s">
        <v>1630</v>
      </c>
      <c r="H33" s="77" t="s">
        <v>1793</v>
      </c>
      <c r="I33" s="77" t="s">
        <v>1794</v>
      </c>
      <c r="J33" s="77">
        <v>100</v>
      </c>
      <c r="L33" s="78" t="s">
        <v>294</v>
      </c>
      <c r="M33" s="78">
        <v>43</v>
      </c>
      <c r="N33" s="78" t="str">
        <f t="shared" si="3"/>
        <v>OTU_29;size=43;</v>
      </c>
      <c r="O33" s="78" t="s">
        <v>1631</v>
      </c>
    </row>
    <row r="34" spans="1:15" x14ac:dyDescent="0.35">
      <c r="A34" s="63" t="s">
        <v>111</v>
      </c>
      <c r="B34" s="63">
        <v>17</v>
      </c>
      <c r="C34" s="63" t="str">
        <f t="shared" si="0"/>
        <v>OTU_32;size=17;</v>
      </c>
      <c r="D34" s="63" t="s">
        <v>144</v>
      </c>
      <c r="E34" s="77">
        <f t="shared" si="1"/>
        <v>100</v>
      </c>
      <c r="F34" s="78" t="str">
        <f t="shared" si="2"/>
        <v>Sunxiuqinia_faeciviva_(T)_JAM-BA0302_(AB362263)</v>
      </c>
      <c r="G34" t="s">
        <v>1630</v>
      </c>
      <c r="H34" s="77" t="s">
        <v>1795</v>
      </c>
      <c r="I34" s="77" t="s">
        <v>1796</v>
      </c>
      <c r="J34" s="77">
        <v>100</v>
      </c>
      <c r="L34" s="78" t="s">
        <v>602</v>
      </c>
      <c r="M34" s="78">
        <v>38</v>
      </c>
      <c r="N34" s="78" t="str">
        <f t="shared" si="3"/>
        <v>OTU_31;size=38;</v>
      </c>
      <c r="O34" s="78" t="s">
        <v>285</v>
      </c>
    </row>
    <row r="35" spans="1:15" x14ac:dyDescent="0.35">
      <c r="A35" s="63" t="s">
        <v>130</v>
      </c>
      <c r="B35" s="63">
        <v>15</v>
      </c>
      <c r="C35" s="63" t="str">
        <f t="shared" si="0"/>
        <v>OTU_33;size=15;</v>
      </c>
      <c r="D35" s="63" t="s">
        <v>274</v>
      </c>
      <c r="E35" s="77">
        <f t="shared" si="1"/>
        <v>98.4</v>
      </c>
      <c r="F35" s="78" t="str">
        <f t="shared" si="2"/>
        <v>Clostridium_thermosuccinogenes_(T)_DSM_5807_(Y18180)</v>
      </c>
      <c r="G35" t="s">
        <v>1630</v>
      </c>
      <c r="H35" s="77" t="s">
        <v>1797</v>
      </c>
      <c r="I35" s="77" t="s">
        <v>1798</v>
      </c>
      <c r="J35" s="77">
        <v>100</v>
      </c>
      <c r="L35" s="78" t="s">
        <v>149</v>
      </c>
      <c r="M35" s="78">
        <v>32</v>
      </c>
      <c r="N35" s="78" t="str">
        <f t="shared" si="3"/>
        <v>OTU_45;size=32;</v>
      </c>
      <c r="O35" s="78" t="s">
        <v>90</v>
      </c>
    </row>
    <row r="36" spans="1:15" x14ac:dyDescent="0.35">
      <c r="A36" s="63" t="s">
        <v>272</v>
      </c>
      <c r="B36" s="63">
        <v>14</v>
      </c>
      <c r="C36" s="63" t="str">
        <f t="shared" si="0"/>
        <v>OTU_34;size=14;</v>
      </c>
      <c r="D36" s="63" t="s">
        <v>229</v>
      </c>
      <c r="E36" s="77">
        <f t="shared" si="1"/>
        <v>100</v>
      </c>
      <c r="F36" s="78" t="str">
        <f t="shared" si="2"/>
        <v>Syntrophorhabdus_aromaticivorans_(T)_UI_(AB212873)</v>
      </c>
      <c r="G36" t="s">
        <v>1630</v>
      </c>
      <c r="H36" s="77" t="s">
        <v>1799</v>
      </c>
      <c r="I36" s="77" t="s">
        <v>1800</v>
      </c>
      <c r="J36" s="77">
        <v>100</v>
      </c>
      <c r="L36" s="78" t="s">
        <v>128</v>
      </c>
      <c r="M36" s="78">
        <v>30</v>
      </c>
      <c r="N36" s="78" t="str">
        <f t="shared" si="3"/>
        <v>OTU_37;size=30;</v>
      </c>
      <c r="O36" s="78" t="s">
        <v>326</v>
      </c>
    </row>
    <row r="37" spans="1:15" x14ac:dyDescent="0.35">
      <c r="A37" s="63" t="s">
        <v>113</v>
      </c>
      <c r="B37" s="63">
        <v>11</v>
      </c>
      <c r="C37" s="63" t="str">
        <f t="shared" si="0"/>
        <v>OTU_35;size=11;</v>
      </c>
      <c r="D37" s="63" t="s">
        <v>625</v>
      </c>
      <c r="E37" s="77">
        <f t="shared" si="1"/>
        <v>100</v>
      </c>
      <c r="F37" s="78" t="str">
        <f t="shared" si="2"/>
        <v>Pedomicrobium_manganicum_(T)_ATCC_33121_(GU269549)</v>
      </c>
      <c r="G37" t="s">
        <v>1630</v>
      </c>
      <c r="H37" s="77" t="s">
        <v>1801</v>
      </c>
      <c r="I37" s="77" t="s">
        <v>1802</v>
      </c>
      <c r="J37" s="77">
        <v>100</v>
      </c>
      <c r="L37" s="78" t="s">
        <v>111</v>
      </c>
      <c r="M37" s="78">
        <v>29</v>
      </c>
      <c r="N37" s="78" t="str">
        <f t="shared" si="3"/>
        <v>OTU_32;size=29;</v>
      </c>
      <c r="O37" s="78" t="s">
        <v>312</v>
      </c>
    </row>
    <row r="38" spans="1:15" x14ac:dyDescent="0.35">
      <c r="A38" s="63" t="s">
        <v>193</v>
      </c>
      <c r="B38" s="63">
        <v>10</v>
      </c>
      <c r="C38" s="63" t="str">
        <f t="shared" si="0"/>
        <v>OTU_36;size=10;</v>
      </c>
      <c r="D38" s="63" t="s">
        <v>110</v>
      </c>
      <c r="E38" s="77">
        <f t="shared" si="1"/>
        <v>100</v>
      </c>
      <c r="F38" s="78" t="str">
        <f t="shared" si="2"/>
        <v>Desulfovibrio_oxamicus_(T)_DSM_1925_(DQ122124)</v>
      </c>
      <c r="G38" t="s">
        <v>1630</v>
      </c>
      <c r="H38" s="77" t="s">
        <v>1803</v>
      </c>
      <c r="I38" s="77" t="s">
        <v>1517</v>
      </c>
      <c r="J38" s="77">
        <v>100</v>
      </c>
      <c r="L38" s="78" t="s">
        <v>203</v>
      </c>
      <c r="M38" s="78">
        <v>27</v>
      </c>
      <c r="N38" s="78" t="str">
        <f t="shared" si="3"/>
        <v>OTU_48;size=27;</v>
      </c>
      <c r="O38" s="78" t="s">
        <v>305</v>
      </c>
    </row>
    <row r="39" spans="1:15" x14ac:dyDescent="0.35">
      <c r="A39" s="63" t="s">
        <v>349</v>
      </c>
      <c r="B39" s="63">
        <v>8</v>
      </c>
      <c r="C39" s="63" t="str">
        <f t="shared" si="0"/>
        <v>OTU_38;size=8;</v>
      </c>
      <c r="D39" s="63" t="s">
        <v>310</v>
      </c>
      <c r="E39" s="77">
        <f t="shared" si="1"/>
        <v>100</v>
      </c>
      <c r="F39" s="78" t="str">
        <f t="shared" si="2"/>
        <v>Desulfomicrobium_salsuginis_strain_ADR21_(NR_132593.1)</v>
      </c>
      <c r="G39" t="s">
        <v>1630</v>
      </c>
      <c r="H39" s="77" t="s">
        <v>1804</v>
      </c>
      <c r="I39" s="77" t="s">
        <v>1523</v>
      </c>
      <c r="J39" s="77">
        <v>95.7</v>
      </c>
      <c r="L39" s="78" t="s">
        <v>209</v>
      </c>
      <c r="M39" s="78">
        <v>25</v>
      </c>
      <c r="N39" s="78" t="str">
        <f t="shared" si="3"/>
        <v>OTU_49;size=25;</v>
      </c>
      <c r="O39" s="78" t="s">
        <v>310</v>
      </c>
    </row>
    <row r="40" spans="1:15" x14ac:dyDescent="0.35">
      <c r="A40" s="63" t="s">
        <v>128</v>
      </c>
      <c r="B40" s="63">
        <v>8</v>
      </c>
      <c r="C40" s="63" t="str">
        <f t="shared" si="0"/>
        <v>OTU_37;size=8;</v>
      </c>
      <c r="D40" s="63" t="s">
        <v>90</v>
      </c>
      <c r="E40" s="77">
        <f t="shared" si="1"/>
        <v>100</v>
      </c>
      <c r="F40" s="78" t="str">
        <f t="shared" si="2"/>
        <v>Clostridium_hungatei_(T)_AD;_ATCC_700212_(AF020429)</v>
      </c>
      <c r="G40" t="s">
        <v>1630</v>
      </c>
      <c r="H40" s="77" t="s">
        <v>1805</v>
      </c>
      <c r="I40" s="77" t="s">
        <v>1644</v>
      </c>
      <c r="J40" s="77">
        <v>100</v>
      </c>
      <c r="L40" s="78" t="s">
        <v>193</v>
      </c>
      <c r="M40" s="78">
        <v>25</v>
      </c>
      <c r="N40" s="78" t="str">
        <f t="shared" si="3"/>
        <v>OTU_36;size=25;</v>
      </c>
      <c r="O40" s="78" t="s">
        <v>229</v>
      </c>
    </row>
    <row r="41" spans="1:15" x14ac:dyDescent="0.35">
      <c r="A41" s="63" t="s">
        <v>137</v>
      </c>
      <c r="B41" s="63">
        <v>3</v>
      </c>
      <c r="C41" s="63" t="str">
        <f t="shared" si="0"/>
        <v>OTU_39;size=3;</v>
      </c>
      <c r="D41" s="63" t="s">
        <v>1525</v>
      </c>
      <c r="E41" s="77">
        <f t="shared" si="1"/>
        <v>95.7</v>
      </c>
      <c r="F41" s="78" t="str">
        <f t="shared" si="2"/>
        <v>Clostridium_acetireducens_(T)_30A_(X79862)</v>
      </c>
      <c r="G41" t="s">
        <v>1630</v>
      </c>
      <c r="H41" s="77" t="s">
        <v>1806</v>
      </c>
      <c r="I41" s="77" t="s">
        <v>1807</v>
      </c>
      <c r="J41" s="77">
        <v>100</v>
      </c>
      <c r="L41" s="78" t="s">
        <v>171</v>
      </c>
      <c r="M41" s="78">
        <v>25</v>
      </c>
      <c r="N41" s="78" t="str">
        <f t="shared" si="3"/>
        <v>OTU_46;size=25;</v>
      </c>
      <c r="O41" s="78" t="s">
        <v>339</v>
      </c>
    </row>
    <row r="42" spans="1:15" x14ac:dyDescent="0.35">
      <c r="L42" s="78" t="s">
        <v>113</v>
      </c>
      <c r="M42" s="78">
        <v>24</v>
      </c>
      <c r="N42" s="78" t="str">
        <f t="shared" si="3"/>
        <v>OTU_35;size=24;</v>
      </c>
      <c r="O42" s="78" t="s">
        <v>16</v>
      </c>
    </row>
    <row r="43" spans="1:15" x14ac:dyDescent="0.35">
      <c r="L43" s="78" t="s">
        <v>272</v>
      </c>
      <c r="M43" s="78">
        <v>23</v>
      </c>
      <c r="N43" s="78" t="str">
        <f t="shared" si="3"/>
        <v>OTU_34;size=23;</v>
      </c>
      <c r="O43" s="78" t="s">
        <v>337</v>
      </c>
    </row>
    <row r="44" spans="1:15" x14ac:dyDescent="0.35">
      <c r="L44" s="78" t="s">
        <v>130</v>
      </c>
      <c r="M44" s="78">
        <v>23</v>
      </c>
      <c r="N44" s="78" t="str">
        <f t="shared" si="3"/>
        <v>OTU_33;size=23;</v>
      </c>
      <c r="O44" s="78" t="s">
        <v>302</v>
      </c>
    </row>
    <row r="45" spans="1:15" x14ac:dyDescent="0.35">
      <c r="L45" s="78" t="s">
        <v>181</v>
      </c>
      <c r="M45" s="78">
        <v>20</v>
      </c>
      <c r="N45" s="78" t="str">
        <f t="shared" si="3"/>
        <v>OTU_41;size=20;</v>
      </c>
      <c r="O45" s="78" t="s">
        <v>625</v>
      </c>
    </row>
    <row r="46" spans="1:15" x14ac:dyDescent="0.35">
      <c r="L46" s="78" t="s">
        <v>255</v>
      </c>
      <c r="M46" s="78">
        <v>19</v>
      </c>
      <c r="N46" s="78" t="str">
        <f t="shared" si="3"/>
        <v>OTU_51;size=19;</v>
      </c>
      <c r="O46" s="78" t="s">
        <v>110</v>
      </c>
    </row>
    <row r="47" spans="1:15" x14ac:dyDescent="0.35">
      <c r="L47" s="78" t="s">
        <v>230</v>
      </c>
      <c r="M47" s="78">
        <v>18</v>
      </c>
      <c r="N47" s="78" t="str">
        <f t="shared" si="3"/>
        <v>OTU_58;size=18;</v>
      </c>
      <c r="O47" s="78" t="s">
        <v>332</v>
      </c>
    </row>
    <row r="48" spans="1:15" x14ac:dyDescent="0.35">
      <c r="L48" s="78" t="s">
        <v>137</v>
      </c>
      <c r="M48" s="78">
        <v>18</v>
      </c>
      <c r="N48" s="78" t="str">
        <f t="shared" si="3"/>
        <v>OTU_39;size=18;</v>
      </c>
      <c r="O48" s="78" t="s">
        <v>321</v>
      </c>
    </row>
    <row r="49" spans="12:15" x14ac:dyDescent="0.35">
      <c r="L49" s="78" t="s">
        <v>142</v>
      </c>
      <c r="M49" s="78">
        <v>18</v>
      </c>
      <c r="N49" s="78" t="str">
        <f t="shared" si="3"/>
        <v>OTU_42;size=18;</v>
      </c>
      <c r="O49" s="78" t="s">
        <v>317</v>
      </c>
    </row>
    <row r="50" spans="12:15" x14ac:dyDescent="0.35">
      <c r="L50" s="78" t="s">
        <v>349</v>
      </c>
      <c r="M50" s="78">
        <v>17</v>
      </c>
      <c r="N50" s="78" t="str">
        <f t="shared" si="3"/>
        <v>OTU_38;size=17;</v>
      </c>
      <c r="O50" s="78" t="s">
        <v>136</v>
      </c>
    </row>
    <row r="51" spans="12:15" x14ac:dyDescent="0.35">
      <c r="L51" s="78" t="s">
        <v>223</v>
      </c>
      <c r="M51" s="78">
        <v>17</v>
      </c>
      <c r="N51" s="78" t="str">
        <f t="shared" si="3"/>
        <v>OTU_60;size=17;</v>
      </c>
      <c r="O51" s="78" t="s">
        <v>263</v>
      </c>
    </row>
    <row r="52" spans="12:15" x14ac:dyDescent="0.35">
      <c r="L52" s="78" t="s">
        <v>148</v>
      </c>
      <c r="M52" s="78">
        <v>16</v>
      </c>
      <c r="N52" s="78" t="str">
        <f t="shared" si="3"/>
        <v>OTU_47;size=16;</v>
      </c>
      <c r="O52" s="78" t="s">
        <v>373</v>
      </c>
    </row>
    <row r="53" spans="12:15" x14ac:dyDescent="0.35">
      <c r="L53" s="78" t="s">
        <v>197</v>
      </c>
      <c r="M53" s="78">
        <v>15</v>
      </c>
      <c r="N53" s="78" t="str">
        <f t="shared" si="3"/>
        <v>OTU_43;size=15;</v>
      </c>
      <c r="O53" s="78" t="s">
        <v>341</v>
      </c>
    </row>
    <row r="54" spans="12:15" x14ac:dyDescent="0.35">
      <c r="L54" s="78" t="s">
        <v>164</v>
      </c>
      <c r="M54" s="78">
        <v>15</v>
      </c>
      <c r="N54" s="78" t="str">
        <f t="shared" si="3"/>
        <v>OTU_44;size=15;</v>
      </c>
      <c r="O54" s="78" t="s">
        <v>163</v>
      </c>
    </row>
    <row r="55" spans="12:15" x14ac:dyDescent="0.35">
      <c r="L55" s="78" t="s">
        <v>177</v>
      </c>
      <c r="M55" s="78">
        <v>14</v>
      </c>
      <c r="N55" s="78" t="str">
        <f t="shared" si="3"/>
        <v>OTU_55;size=14;</v>
      </c>
      <c r="O55" s="78" t="s">
        <v>348</v>
      </c>
    </row>
    <row r="56" spans="12:15" x14ac:dyDescent="0.35">
      <c r="L56" s="78" t="s">
        <v>119</v>
      </c>
      <c r="M56" s="78">
        <v>14</v>
      </c>
      <c r="N56" s="78" t="str">
        <f t="shared" si="3"/>
        <v>OTU_40;size=14;</v>
      </c>
      <c r="O56" s="78" t="s">
        <v>392</v>
      </c>
    </row>
    <row r="57" spans="12:15" x14ac:dyDescent="0.35">
      <c r="L57" s="78" t="s">
        <v>156</v>
      </c>
      <c r="M57" s="78">
        <v>13</v>
      </c>
      <c r="N57" s="78" t="str">
        <f t="shared" si="3"/>
        <v>OTU_52;size=13;</v>
      </c>
      <c r="O57" s="78" t="s">
        <v>314</v>
      </c>
    </row>
    <row r="58" spans="12:15" x14ac:dyDescent="0.35">
      <c r="L58" s="78" t="s">
        <v>185</v>
      </c>
      <c r="M58" s="78">
        <v>13</v>
      </c>
      <c r="N58" s="78" t="str">
        <f t="shared" si="3"/>
        <v>OTU_57;size=13;</v>
      </c>
      <c r="O58" s="78" t="s">
        <v>22</v>
      </c>
    </row>
    <row r="59" spans="12:15" x14ac:dyDescent="0.35">
      <c r="L59" s="78" t="s">
        <v>234</v>
      </c>
      <c r="M59" s="78">
        <v>13</v>
      </c>
      <c r="N59" s="78" t="str">
        <f t="shared" si="3"/>
        <v>OTU_61;size=13;</v>
      </c>
      <c r="O59" s="78" t="s">
        <v>614</v>
      </c>
    </row>
    <row r="60" spans="12:15" x14ac:dyDescent="0.35">
      <c r="L60" s="78" t="s">
        <v>248</v>
      </c>
      <c r="M60" s="78">
        <v>12</v>
      </c>
      <c r="N60" s="78" t="str">
        <f t="shared" si="3"/>
        <v>OTU_78;size=12;</v>
      </c>
      <c r="O60" s="78" t="s">
        <v>86</v>
      </c>
    </row>
    <row r="61" spans="12:15" x14ac:dyDescent="0.35">
      <c r="L61" s="78" t="s">
        <v>200</v>
      </c>
      <c r="M61" s="78">
        <v>11</v>
      </c>
      <c r="N61" s="78" t="str">
        <f t="shared" si="3"/>
        <v>OTU_65;size=11;</v>
      </c>
      <c r="O61" s="78" t="s">
        <v>343</v>
      </c>
    </row>
    <row r="62" spans="12:15" x14ac:dyDescent="0.35">
      <c r="L62" s="78" t="s">
        <v>213</v>
      </c>
      <c r="M62" s="78">
        <v>11</v>
      </c>
      <c r="N62" s="78" t="str">
        <f t="shared" si="3"/>
        <v>OTU_63;size=11;</v>
      </c>
      <c r="O62" s="78" t="s">
        <v>360</v>
      </c>
    </row>
    <row r="63" spans="12:15" x14ac:dyDescent="0.35">
      <c r="L63" s="78" t="s">
        <v>216</v>
      </c>
      <c r="M63" s="78">
        <v>11</v>
      </c>
      <c r="N63" s="78" t="str">
        <f t="shared" si="3"/>
        <v>OTU_62;size=11;</v>
      </c>
      <c r="O63" s="78" t="s">
        <v>352</v>
      </c>
    </row>
    <row r="64" spans="12:15" x14ac:dyDescent="0.35">
      <c r="L64" s="78" t="s">
        <v>300</v>
      </c>
      <c r="M64" s="78">
        <v>11</v>
      </c>
      <c r="N64" s="78" t="str">
        <f t="shared" si="3"/>
        <v>OTU_92;size=11;</v>
      </c>
      <c r="O64" s="78" t="s">
        <v>328</v>
      </c>
    </row>
    <row r="65" spans="12:15" x14ac:dyDescent="0.35">
      <c r="L65" s="78" t="s">
        <v>159</v>
      </c>
      <c r="M65" s="78">
        <v>10</v>
      </c>
      <c r="N65" s="78" t="str">
        <f t="shared" si="3"/>
        <v>OTU_50;size=10;</v>
      </c>
      <c r="O65" s="78" t="s">
        <v>330</v>
      </c>
    </row>
    <row r="66" spans="12:15" x14ac:dyDescent="0.35">
      <c r="L66" s="78" t="s">
        <v>237</v>
      </c>
      <c r="M66" s="78">
        <v>10</v>
      </c>
      <c r="N66" s="78" t="str">
        <f t="shared" si="3"/>
        <v>OTU_53;size=10;</v>
      </c>
      <c r="O66" s="78" t="s">
        <v>283</v>
      </c>
    </row>
    <row r="67" spans="12:15" x14ac:dyDescent="0.35">
      <c r="L67" s="78" t="s">
        <v>188</v>
      </c>
      <c r="M67" s="78">
        <v>9</v>
      </c>
      <c r="N67" s="78" t="str">
        <f t="shared" si="3"/>
        <v>OTU_59;size=9;</v>
      </c>
      <c r="O67" s="78" t="s">
        <v>319</v>
      </c>
    </row>
    <row r="68" spans="12:15" x14ac:dyDescent="0.35">
      <c r="L68" s="78" t="s">
        <v>242</v>
      </c>
      <c r="M68" s="78">
        <v>9</v>
      </c>
      <c r="N68" s="78" t="str">
        <f t="shared" ref="N68:N122" si="5">L68&amp;";size="&amp;M68&amp;";"</f>
        <v>OTU_73;size=9;</v>
      </c>
      <c r="O68" s="78" t="s">
        <v>33</v>
      </c>
    </row>
    <row r="69" spans="12:15" x14ac:dyDescent="0.35">
      <c r="L69" s="78" t="s">
        <v>218</v>
      </c>
      <c r="M69" s="78">
        <v>9</v>
      </c>
      <c r="N69" s="78" t="str">
        <f t="shared" si="5"/>
        <v>OTU_66;size=9;</v>
      </c>
      <c r="O69" s="78" t="s">
        <v>152</v>
      </c>
    </row>
    <row r="70" spans="12:15" x14ac:dyDescent="0.35">
      <c r="L70" s="78" t="s">
        <v>307</v>
      </c>
      <c r="M70" s="78">
        <v>8</v>
      </c>
      <c r="N70" s="78" t="str">
        <f t="shared" si="5"/>
        <v>OTU_56;size=8;</v>
      </c>
      <c r="O70" s="78" t="s">
        <v>430</v>
      </c>
    </row>
    <row r="71" spans="12:15" x14ac:dyDescent="0.35">
      <c r="L71" s="78" t="s">
        <v>253</v>
      </c>
      <c r="M71" s="78">
        <v>8</v>
      </c>
      <c r="N71" s="78" t="str">
        <f t="shared" si="5"/>
        <v>OTU_76;size=8;</v>
      </c>
      <c r="O71" s="78" t="s">
        <v>354</v>
      </c>
    </row>
    <row r="72" spans="12:15" x14ac:dyDescent="0.35">
      <c r="L72" s="78" t="s">
        <v>189</v>
      </c>
      <c r="M72" s="78">
        <v>8</v>
      </c>
      <c r="N72" s="78" t="str">
        <f t="shared" si="5"/>
        <v>OTU_54;size=8;</v>
      </c>
      <c r="O72" s="78" t="s">
        <v>470</v>
      </c>
    </row>
    <row r="73" spans="12:15" x14ac:dyDescent="0.35">
      <c r="L73" s="78" t="s">
        <v>356</v>
      </c>
      <c r="M73" s="78">
        <v>7</v>
      </c>
      <c r="N73" s="78" t="str">
        <f t="shared" si="5"/>
        <v>OTU_94;size=7;</v>
      </c>
      <c r="O73" s="78" t="s">
        <v>449</v>
      </c>
    </row>
    <row r="74" spans="12:15" x14ac:dyDescent="0.35">
      <c r="L74" s="78" t="s">
        <v>225</v>
      </c>
      <c r="M74" s="78">
        <v>7</v>
      </c>
      <c r="N74" s="78" t="str">
        <f t="shared" si="5"/>
        <v>OTU_70;size=7;</v>
      </c>
      <c r="O74" s="78" t="s">
        <v>232</v>
      </c>
    </row>
    <row r="75" spans="12:15" x14ac:dyDescent="0.35">
      <c r="L75" s="78" t="s">
        <v>221</v>
      </c>
      <c r="M75" s="78">
        <v>7</v>
      </c>
      <c r="N75" s="78" t="str">
        <f t="shared" si="5"/>
        <v>OTU_69;size=7;</v>
      </c>
      <c r="O75" s="78" t="s">
        <v>464</v>
      </c>
    </row>
    <row r="76" spans="12:15" x14ac:dyDescent="0.35">
      <c r="L76" s="78" t="s">
        <v>214</v>
      </c>
      <c r="M76" s="78">
        <v>7</v>
      </c>
      <c r="N76" s="78" t="str">
        <f t="shared" si="5"/>
        <v>OTU_68;size=7;</v>
      </c>
      <c r="O76" s="78" t="s">
        <v>229</v>
      </c>
    </row>
    <row r="77" spans="12:15" x14ac:dyDescent="0.35">
      <c r="L77" s="78" t="s">
        <v>264</v>
      </c>
      <c r="M77" s="78">
        <v>6</v>
      </c>
      <c r="N77" s="78" t="str">
        <f t="shared" si="5"/>
        <v>OTU_77;size=6;</v>
      </c>
      <c r="O77" s="78" t="s">
        <v>507</v>
      </c>
    </row>
    <row r="78" spans="12:15" x14ac:dyDescent="0.35">
      <c r="L78" s="78" t="s">
        <v>286</v>
      </c>
      <c r="M78" s="78">
        <v>6</v>
      </c>
      <c r="N78" s="78" t="str">
        <f t="shared" si="5"/>
        <v>OTU_72;size=6;</v>
      </c>
      <c r="O78" s="78" t="s">
        <v>362</v>
      </c>
    </row>
    <row r="79" spans="12:15" x14ac:dyDescent="0.35">
      <c r="L79" s="78" t="s">
        <v>363</v>
      </c>
      <c r="M79" s="78">
        <v>6</v>
      </c>
      <c r="N79" s="78" t="str">
        <f t="shared" si="5"/>
        <v>OTU_111;size=6;</v>
      </c>
      <c r="O79" s="78" t="s">
        <v>176</v>
      </c>
    </row>
    <row r="80" spans="12:15" x14ac:dyDescent="0.35">
      <c r="L80" s="78" t="s">
        <v>275</v>
      </c>
      <c r="M80" s="78">
        <v>6</v>
      </c>
      <c r="N80" s="78" t="str">
        <f t="shared" si="5"/>
        <v>OTU_75;size=6;</v>
      </c>
      <c r="O80" s="78" t="s">
        <v>30</v>
      </c>
    </row>
    <row r="81" spans="12:15" x14ac:dyDescent="0.35">
      <c r="L81" s="78" t="s">
        <v>295</v>
      </c>
      <c r="M81" s="78">
        <v>6</v>
      </c>
      <c r="N81" s="78" t="str">
        <f t="shared" si="5"/>
        <v>OTU_82;size=6;</v>
      </c>
      <c r="O81" s="78" t="s">
        <v>505</v>
      </c>
    </row>
    <row r="82" spans="12:15" x14ac:dyDescent="0.35">
      <c r="L82" s="78" t="s">
        <v>323</v>
      </c>
      <c r="M82" s="78">
        <v>6</v>
      </c>
      <c r="N82" s="78" t="str">
        <f t="shared" si="5"/>
        <v>OTU_91;size=6;</v>
      </c>
      <c r="O82" s="78" t="s">
        <v>71</v>
      </c>
    </row>
    <row r="83" spans="12:15" x14ac:dyDescent="0.35">
      <c r="L83" s="78" t="s">
        <v>282</v>
      </c>
      <c r="M83" s="78">
        <v>6</v>
      </c>
      <c r="N83" s="78" t="str">
        <f t="shared" si="5"/>
        <v>OTU_87;size=6;</v>
      </c>
      <c r="O83" s="78" t="s">
        <v>384</v>
      </c>
    </row>
    <row r="84" spans="12:15" x14ac:dyDescent="0.35">
      <c r="L84" s="78" t="s">
        <v>233</v>
      </c>
      <c r="M84" s="78">
        <v>6</v>
      </c>
      <c r="N84" s="78" t="str">
        <f t="shared" si="5"/>
        <v>OTU_85;size=6;</v>
      </c>
      <c r="O84" s="78" t="s">
        <v>141</v>
      </c>
    </row>
    <row r="85" spans="12:15" x14ac:dyDescent="0.35">
      <c r="L85" s="78" t="s">
        <v>267</v>
      </c>
      <c r="M85" s="78">
        <v>6</v>
      </c>
      <c r="N85" s="78" t="str">
        <f t="shared" si="5"/>
        <v>OTU_67;size=6;</v>
      </c>
      <c r="O85" s="78" t="s">
        <v>607</v>
      </c>
    </row>
    <row r="86" spans="12:15" x14ac:dyDescent="0.35">
      <c r="L86" s="78" t="s">
        <v>271</v>
      </c>
      <c r="M86" s="78">
        <v>5</v>
      </c>
      <c r="N86" s="78" t="str">
        <f t="shared" si="5"/>
        <v>OTU_86;size=5;</v>
      </c>
      <c r="O86" s="78" t="s">
        <v>48</v>
      </c>
    </row>
    <row r="87" spans="12:15" x14ac:dyDescent="0.35">
      <c r="L87" s="78" t="s">
        <v>280</v>
      </c>
      <c r="M87" s="78">
        <v>5</v>
      </c>
      <c r="N87" s="78" t="str">
        <f t="shared" si="5"/>
        <v>OTU_84;size=5;</v>
      </c>
      <c r="O87" s="78" t="s">
        <v>379</v>
      </c>
    </row>
    <row r="88" spans="12:15" x14ac:dyDescent="0.35">
      <c r="L88" s="78" t="s">
        <v>226</v>
      </c>
      <c r="M88" s="78">
        <v>5</v>
      </c>
      <c r="N88" s="78" t="str">
        <f t="shared" si="5"/>
        <v>OTU_71;size=5;</v>
      </c>
      <c r="O88" s="78" t="s">
        <v>92</v>
      </c>
    </row>
    <row r="89" spans="12:15" x14ac:dyDescent="0.35">
      <c r="L89" s="78" t="s">
        <v>257</v>
      </c>
      <c r="M89" s="78">
        <v>5</v>
      </c>
      <c r="N89" s="78" t="str">
        <f t="shared" si="5"/>
        <v>OTU_79;size=5;</v>
      </c>
      <c r="O89" s="78" t="s">
        <v>401</v>
      </c>
    </row>
    <row r="90" spans="12:15" x14ac:dyDescent="0.35">
      <c r="L90" s="78" t="s">
        <v>603</v>
      </c>
      <c r="M90" s="78">
        <v>5</v>
      </c>
      <c r="N90" s="78" t="str">
        <f t="shared" si="5"/>
        <v>OTU_64;size=5;</v>
      </c>
      <c r="O90" s="78" t="s">
        <v>401</v>
      </c>
    </row>
    <row r="91" spans="12:15" x14ac:dyDescent="0.35">
      <c r="L91" s="78" t="s">
        <v>284</v>
      </c>
      <c r="M91" s="78">
        <v>5</v>
      </c>
      <c r="N91" s="78" t="str">
        <f t="shared" si="5"/>
        <v>OTU_74;size=5;</v>
      </c>
      <c r="O91" s="78" t="s">
        <v>381</v>
      </c>
    </row>
    <row r="92" spans="12:15" x14ac:dyDescent="0.35">
      <c r="L92" s="78" t="s">
        <v>301</v>
      </c>
      <c r="M92" s="78">
        <v>5</v>
      </c>
      <c r="N92" s="78" t="str">
        <f t="shared" si="5"/>
        <v>OTU_93;size=5;</v>
      </c>
      <c r="O92" s="78" t="s">
        <v>112</v>
      </c>
    </row>
    <row r="93" spans="12:15" x14ac:dyDescent="0.35">
      <c r="L93" s="78" t="s">
        <v>369</v>
      </c>
      <c r="M93" s="78">
        <v>5</v>
      </c>
      <c r="N93" s="78" t="str">
        <f t="shared" si="5"/>
        <v>OTU_114;size=5;</v>
      </c>
      <c r="O93" s="78" t="s">
        <v>412</v>
      </c>
    </row>
    <row r="94" spans="12:15" x14ac:dyDescent="0.35">
      <c r="L94" s="78" t="s">
        <v>311</v>
      </c>
      <c r="M94" s="78">
        <v>5</v>
      </c>
      <c r="N94" s="78" t="str">
        <f t="shared" si="5"/>
        <v>OTU_98;size=5;</v>
      </c>
      <c r="O94" s="78" t="s">
        <v>90</v>
      </c>
    </row>
    <row r="95" spans="12:15" x14ac:dyDescent="0.35">
      <c r="L95" s="78" t="s">
        <v>289</v>
      </c>
      <c r="M95" s="78">
        <v>5</v>
      </c>
      <c r="N95" s="78" t="str">
        <f t="shared" si="5"/>
        <v>OTU_88;size=5;</v>
      </c>
      <c r="O95" s="78" t="s">
        <v>509</v>
      </c>
    </row>
    <row r="96" spans="12:15" x14ac:dyDescent="0.35">
      <c r="L96" s="78" t="s">
        <v>327</v>
      </c>
      <c r="M96" s="78">
        <v>5</v>
      </c>
      <c r="N96" s="78" t="str">
        <f t="shared" si="5"/>
        <v>OTU_102;size=5;</v>
      </c>
      <c r="O96" s="78" t="s">
        <v>144</v>
      </c>
    </row>
    <row r="97" spans="12:15" x14ac:dyDescent="0.35">
      <c r="L97" s="78" t="s">
        <v>336</v>
      </c>
      <c r="M97" s="78">
        <v>4</v>
      </c>
      <c r="N97" s="78" t="str">
        <f t="shared" si="5"/>
        <v>OTU_99;size=4;</v>
      </c>
      <c r="O97" s="78" t="s">
        <v>487</v>
      </c>
    </row>
    <row r="98" spans="12:15" x14ac:dyDescent="0.35">
      <c r="L98" s="78" t="s">
        <v>266</v>
      </c>
      <c r="M98" s="78">
        <v>4</v>
      </c>
      <c r="N98" s="78" t="str">
        <f t="shared" si="5"/>
        <v>OTU_80;size=4;</v>
      </c>
      <c r="O98" s="78" t="s">
        <v>251</v>
      </c>
    </row>
    <row r="99" spans="12:15" x14ac:dyDescent="0.35">
      <c r="L99" s="78" t="s">
        <v>287</v>
      </c>
      <c r="M99" s="78">
        <v>4</v>
      </c>
      <c r="N99" s="78" t="str">
        <f t="shared" si="5"/>
        <v>OTU_83;size=4;</v>
      </c>
      <c r="O99" s="78" t="s">
        <v>494</v>
      </c>
    </row>
    <row r="100" spans="12:15" x14ac:dyDescent="0.35">
      <c r="L100" s="78" t="s">
        <v>306</v>
      </c>
      <c r="M100" s="78">
        <v>4</v>
      </c>
      <c r="N100" s="78" t="str">
        <f t="shared" si="5"/>
        <v>OTU_89;size=4;</v>
      </c>
      <c r="O100" s="78" t="s">
        <v>192</v>
      </c>
    </row>
    <row r="101" spans="12:15" x14ac:dyDescent="0.35">
      <c r="L101" s="78" t="s">
        <v>333</v>
      </c>
      <c r="M101" s="78">
        <v>4</v>
      </c>
      <c r="N101" s="78" t="str">
        <f t="shared" si="5"/>
        <v>OTU_104;size=4;</v>
      </c>
      <c r="O101" s="78" t="s">
        <v>536</v>
      </c>
    </row>
    <row r="102" spans="12:15" x14ac:dyDescent="0.35">
      <c r="L102" s="78" t="s">
        <v>329</v>
      </c>
      <c r="M102" s="78">
        <v>4</v>
      </c>
      <c r="N102" s="78" t="str">
        <f t="shared" si="5"/>
        <v>OTU_103;size=4;</v>
      </c>
      <c r="O102" s="78" t="s">
        <v>127</v>
      </c>
    </row>
    <row r="103" spans="12:15" x14ac:dyDescent="0.35">
      <c r="L103" s="78" t="s">
        <v>346</v>
      </c>
      <c r="M103" s="78">
        <v>4</v>
      </c>
      <c r="N103" s="78" t="str">
        <f t="shared" si="5"/>
        <v>OTU_117;size=4;</v>
      </c>
      <c r="O103" s="78" t="s">
        <v>184</v>
      </c>
    </row>
    <row r="104" spans="12:15" x14ac:dyDescent="0.35">
      <c r="L104" s="78" t="s">
        <v>386</v>
      </c>
      <c r="M104" s="78">
        <v>4</v>
      </c>
      <c r="N104" s="78" t="str">
        <f t="shared" si="5"/>
        <v>OTU_116;size=4;</v>
      </c>
      <c r="O104" s="78" t="s">
        <v>441</v>
      </c>
    </row>
    <row r="105" spans="12:15" x14ac:dyDescent="0.35">
      <c r="L105" s="78" t="s">
        <v>353</v>
      </c>
      <c r="M105" s="78">
        <v>3</v>
      </c>
      <c r="N105" s="78" t="str">
        <f t="shared" si="5"/>
        <v>OTU_108;size=3;</v>
      </c>
      <c r="O105" s="78" t="s">
        <v>1631</v>
      </c>
    </row>
    <row r="106" spans="12:15" x14ac:dyDescent="0.35">
      <c r="L106" s="78" t="s">
        <v>344</v>
      </c>
      <c r="M106" s="78">
        <v>3</v>
      </c>
      <c r="N106" s="78" t="str">
        <f t="shared" si="5"/>
        <v>OTU_107;size=3;</v>
      </c>
      <c r="O106" s="78" t="s">
        <v>511</v>
      </c>
    </row>
    <row r="107" spans="12:15" x14ac:dyDescent="0.35">
      <c r="L107" s="78" t="s">
        <v>241</v>
      </c>
      <c r="M107" s="78">
        <v>3</v>
      </c>
      <c r="N107" s="78" t="str">
        <f t="shared" si="5"/>
        <v>OTU_105;size=3;</v>
      </c>
      <c r="O107" s="78" t="s">
        <v>50</v>
      </c>
    </row>
    <row r="108" spans="12:15" x14ac:dyDescent="0.35">
      <c r="L108" s="78" t="s">
        <v>320</v>
      </c>
      <c r="M108" s="78">
        <v>3</v>
      </c>
      <c r="N108" s="78" t="str">
        <f t="shared" si="5"/>
        <v>OTU_100;size=3;</v>
      </c>
      <c r="O108" s="78" t="s">
        <v>525</v>
      </c>
    </row>
    <row r="109" spans="12:15" x14ac:dyDescent="0.35">
      <c r="L109" s="78" t="s">
        <v>265</v>
      </c>
      <c r="M109" s="78">
        <v>3</v>
      </c>
      <c r="N109" s="78" t="str">
        <f t="shared" si="5"/>
        <v>OTU_81;size=3;</v>
      </c>
      <c r="O109" s="78" t="s">
        <v>608</v>
      </c>
    </row>
    <row r="110" spans="12:15" x14ac:dyDescent="0.35">
      <c r="L110" s="78" t="s">
        <v>277</v>
      </c>
      <c r="M110" s="78">
        <v>3</v>
      </c>
      <c r="N110" s="78" t="str">
        <f t="shared" si="5"/>
        <v>OTU_90;size=3;</v>
      </c>
      <c r="O110" s="78" t="s">
        <v>1631</v>
      </c>
    </row>
    <row r="111" spans="12:15" x14ac:dyDescent="0.35">
      <c r="L111" s="78" t="s">
        <v>338</v>
      </c>
      <c r="M111" s="78">
        <v>3</v>
      </c>
      <c r="N111" s="78" t="str">
        <f t="shared" si="5"/>
        <v>OTU_119;size=3;</v>
      </c>
      <c r="O111" s="78" t="s">
        <v>558</v>
      </c>
    </row>
    <row r="112" spans="12:15" x14ac:dyDescent="0.35">
      <c r="L112" s="78" t="s">
        <v>350</v>
      </c>
      <c r="M112" s="78">
        <v>3</v>
      </c>
      <c r="N112" s="78" t="str">
        <f t="shared" si="5"/>
        <v>OTU_109;size=3;</v>
      </c>
      <c r="O112" s="78" t="s">
        <v>558</v>
      </c>
    </row>
    <row r="113" spans="12:15" x14ac:dyDescent="0.35">
      <c r="L113" s="78" t="s">
        <v>325</v>
      </c>
      <c r="M113" s="78">
        <v>3</v>
      </c>
      <c r="N113" s="78" t="str">
        <f t="shared" si="5"/>
        <v>OTU_110;size=3;</v>
      </c>
      <c r="O113" s="78" t="s">
        <v>551</v>
      </c>
    </row>
    <row r="114" spans="12:15" x14ac:dyDescent="0.35">
      <c r="L114" s="78" t="s">
        <v>313</v>
      </c>
      <c r="M114" s="78">
        <v>2</v>
      </c>
      <c r="N114" s="78" t="str">
        <f t="shared" si="5"/>
        <v>OTU_96;size=2;</v>
      </c>
      <c r="O114" s="78" t="s">
        <v>574</v>
      </c>
    </row>
    <row r="115" spans="12:15" x14ac:dyDescent="0.35">
      <c r="L115" s="78" t="s">
        <v>315</v>
      </c>
      <c r="M115" s="78">
        <v>2</v>
      </c>
      <c r="N115" s="78" t="str">
        <f t="shared" si="5"/>
        <v>OTU_97;size=2;</v>
      </c>
      <c r="O115" s="78" t="s">
        <v>224</v>
      </c>
    </row>
    <row r="116" spans="12:15" x14ac:dyDescent="0.35">
      <c r="L116" s="78" t="s">
        <v>400</v>
      </c>
      <c r="M116" s="78">
        <v>2</v>
      </c>
      <c r="N116" s="78" t="str">
        <f t="shared" si="5"/>
        <v>OTU_112;size=2;</v>
      </c>
      <c r="O116" s="78" t="s">
        <v>576</v>
      </c>
    </row>
    <row r="117" spans="12:15" x14ac:dyDescent="0.35">
      <c r="L117" s="78" t="s">
        <v>359</v>
      </c>
      <c r="M117" s="78">
        <v>2</v>
      </c>
      <c r="N117" s="78" t="str">
        <f t="shared" si="5"/>
        <v>OTU_120;size=2;</v>
      </c>
      <c r="O117" s="78" t="s">
        <v>401</v>
      </c>
    </row>
    <row r="118" spans="12:15" x14ac:dyDescent="0.35">
      <c r="L118" s="78" t="s">
        <v>340</v>
      </c>
      <c r="M118" s="78">
        <v>2</v>
      </c>
      <c r="N118" s="78" t="str">
        <f t="shared" si="5"/>
        <v>OTU_106;size=2;</v>
      </c>
      <c r="O118" s="78" t="s">
        <v>548</v>
      </c>
    </row>
    <row r="119" spans="12:15" x14ac:dyDescent="0.35">
      <c r="L119" s="78" t="s">
        <v>303</v>
      </c>
      <c r="M119" s="78">
        <v>2</v>
      </c>
      <c r="N119" s="78" t="str">
        <f t="shared" si="5"/>
        <v>OTU_113;size=2;</v>
      </c>
      <c r="O119" s="78" t="s">
        <v>588</v>
      </c>
    </row>
    <row r="120" spans="12:15" x14ac:dyDescent="0.35">
      <c r="L120" s="78" t="s">
        <v>355</v>
      </c>
      <c r="M120" s="78">
        <v>2</v>
      </c>
      <c r="N120" s="78" t="str">
        <f t="shared" si="5"/>
        <v>OTU_115;size=2;</v>
      </c>
      <c r="O120" s="78" t="s">
        <v>16</v>
      </c>
    </row>
    <row r="121" spans="12:15" x14ac:dyDescent="0.35">
      <c r="L121" s="78" t="s">
        <v>428</v>
      </c>
      <c r="M121" s="78">
        <v>2</v>
      </c>
      <c r="N121" s="78" t="str">
        <f t="shared" si="5"/>
        <v>OTU_118;size=2;</v>
      </c>
      <c r="O121" s="78" t="s">
        <v>585</v>
      </c>
    </row>
    <row r="122" spans="12:15" x14ac:dyDescent="0.35">
      <c r="L122" s="78" t="s">
        <v>318</v>
      </c>
      <c r="M122" s="78">
        <v>2</v>
      </c>
      <c r="N122" s="78" t="str">
        <f t="shared" si="5"/>
        <v>OTU_95;size=2;</v>
      </c>
      <c r="O122" s="78" t="s">
        <v>152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05"/>
  <sheetViews>
    <sheetView workbookViewId="0">
      <selection activeCell="F50" sqref="F50"/>
    </sheetView>
  </sheetViews>
  <sheetFormatPr defaultRowHeight="14.5" x14ac:dyDescent="0.35"/>
  <cols>
    <col min="3" max="3" width="3" customWidth="1"/>
    <col min="4" max="4" width="54.81640625" customWidth="1"/>
    <col min="6" max="6" width="36" customWidth="1"/>
    <col min="15" max="15" width="51.81640625" customWidth="1"/>
  </cols>
  <sheetData>
    <row r="1" spans="1:15" x14ac:dyDescent="0.35">
      <c r="A1" s="67" t="s">
        <v>1526</v>
      </c>
      <c r="B1" s="68"/>
      <c r="C1" s="68"/>
      <c r="D1" s="85" t="s">
        <v>2159</v>
      </c>
      <c r="E1" s="86" t="s">
        <v>2160</v>
      </c>
      <c r="F1" s="70" t="s">
        <v>2161</v>
      </c>
      <c r="G1" s="71"/>
      <c r="H1" s="72" t="s">
        <v>2162</v>
      </c>
      <c r="I1" s="69"/>
      <c r="J1" s="73" t="s">
        <v>2160</v>
      </c>
      <c r="K1" s="71"/>
      <c r="L1" s="74" t="s">
        <v>1524</v>
      </c>
      <c r="M1" s="75"/>
      <c r="N1" s="75"/>
      <c r="O1" s="70"/>
    </row>
    <row r="2" spans="1:15" x14ac:dyDescent="0.35">
      <c r="A2" s="87" t="s">
        <v>0</v>
      </c>
      <c r="B2" s="88" t="s">
        <v>1</v>
      </c>
      <c r="C2" s="88"/>
      <c r="D2" s="89" t="s">
        <v>3</v>
      </c>
      <c r="E2" s="96"/>
      <c r="F2" s="99"/>
      <c r="H2" s="77"/>
      <c r="I2" s="77"/>
      <c r="J2" s="77"/>
      <c r="L2" s="78" t="s">
        <v>0</v>
      </c>
      <c r="M2" s="78" t="s">
        <v>1</v>
      </c>
      <c r="N2" s="78"/>
      <c r="O2" s="78" t="s">
        <v>3</v>
      </c>
    </row>
    <row r="3" spans="1:15" x14ac:dyDescent="0.35">
      <c r="A3" s="90" t="s">
        <v>6</v>
      </c>
      <c r="B3" s="91">
        <v>7816</v>
      </c>
      <c r="C3" s="91" t="str">
        <f>A3&amp;";size="&amp;B3&amp;";"</f>
        <v>OTU_1;size=7816;</v>
      </c>
      <c r="D3" s="92" t="s">
        <v>16</v>
      </c>
      <c r="E3" s="97">
        <f>VLOOKUP(C3,$H$3:$J$32,3,FALSE)</f>
        <v>100</v>
      </c>
      <c r="F3" s="100" t="str">
        <f>IFERROR(VLOOKUP(VLOOKUP(C3,$H$3:$I$41,2,FALSE),$N$3:$O$122,2,FALSE),"Not present in amplicons")</f>
        <v>Thermodesulfovibrio_aggregans_(T)_TGE-P1_(AB021302)</v>
      </c>
      <c r="G3" t="s">
        <v>1630</v>
      </c>
      <c r="H3" s="77" t="s">
        <v>1809</v>
      </c>
      <c r="I3" s="77" t="s">
        <v>1810</v>
      </c>
      <c r="J3" s="77">
        <v>100</v>
      </c>
      <c r="L3" s="78" t="s">
        <v>6</v>
      </c>
      <c r="M3" s="78">
        <v>17120</v>
      </c>
      <c r="N3" s="78" t="str">
        <f>L3&amp;";size="&amp;M3&amp;";"</f>
        <v>OTU_1;size=17120;</v>
      </c>
      <c r="O3" s="78" t="s">
        <v>16</v>
      </c>
    </row>
    <row r="4" spans="1:15" x14ac:dyDescent="0.35">
      <c r="A4" s="90" t="s">
        <v>15</v>
      </c>
      <c r="B4" s="91">
        <v>1220</v>
      </c>
      <c r="C4" s="91" t="str">
        <f t="shared" ref="C4:C32" si="0">A4&amp;";size="&amp;B4&amp;";"</f>
        <v>OTU_2;size=1220;</v>
      </c>
      <c r="D4" s="92" t="s">
        <v>33</v>
      </c>
      <c r="E4" s="97">
        <f t="shared" ref="E4:E32" si="1">VLOOKUP(C4,$H$3:$J$32,3,FALSE)</f>
        <v>100</v>
      </c>
      <c r="F4" s="100" t="str">
        <f t="shared" ref="F4:F32" si="2">IFERROR(VLOOKUP(VLOOKUP(C4,$H$3:$I$41,2,FALSE),$N$3:$O$122,2,FALSE),"Not present in amplicons")</f>
        <v>Cytophaga_fermentans_(T)_ATCC_19072_(M58766)</v>
      </c>
      <c r="G4" t="s">
        <v>1630</v>
      </c>
      <c r="H4" s="77" t="s">
        <v>1811</v>
      </c>
      <c r="I4" s="77" t="s">
        <v>1812</v>
      </c>
      <c r="J4" s="77">
        <v>100</v>
      </c>
      <c r="L4" s="78" t="s">
        <v>15</v>
      </c>
      <c r="M4" s="78">
        <v>5845</v>
      </c>
      <c r="N4" s="78" t="str">
        <f t="shared" ref="N4:N67" si="3">L4&amp;";size="&amp;M4&amp;";"</f>
        <v>OTU_2;size=5845;</v>
      </c>
      <c r="O4" s="78" t="s">
        <v>33</v>
      </c>
    </row>
    <row r="5" spans="1:15" x14ac:dyDescent="0.35">
      <c r="A5" s="90" t="s">
        <v>17</v>
      </c>
      <c r="B5" s="91">
        <v>1169</v>
      </c>
      <c r="C5" s="91" t="str">
        <f t="shared" si="0"/>
        <v>OTU_3;size=1169;</v>
      </c>
      <c r="D5" s="92" t="s">
        <v>62</v>
      </c>
      <c r="E5" s="97">
        <f t="shared" si="1"/>
        <v>100</v>
      </c>
      <c r="F5" s="100" t="str">
        <f t="shared" si="2"/>
        <v>Desulfotomaculum_acetoxidans_(T)_DSM_771_(Y11566)</v>
      </c>
      <c r="G5" t="s">
        <v>1630</v>
      </c>
      <c r="H5" s="77" t="s">
        <v>1813</v>
      </c>
      <c r="I5" s="77" t="s">
        <v>1814</v>
      </c>
      <c r="J5" s="77">
        <v>100</v>
      </c>
      <c r="L5" s="78" t="s">
        <v>17</v>
      </c>
      <c r="M5" s="78">
        <v>4057</v>
      </c>
      <c r="N5" s="78" t="str">
        <f t="shared" si="3"/>
        <v>OTU_3;size=4057;</v>
      </c>
      <c r="O5" s="78" t="s">
        <v>50</v>
      </c>
    </row>
    <row r="6" spans="1:15" x14ac:dyDescent="0.35">
      <c r="A6" s="90" t="s">
        <v>23</v>
      </c>
      <c r="B6" s="91">
        <v>847</v>
      </c>
      <c r="C6" s="91" t="str">
        <f t="shared" si="0"/>
        <v>OTU_4;size=847;</v>
      </c>
      <c r="D6" s="92" t="s">
        <v>127</v>
      </c>
      <c r="E6" s="97">
        <f t="shared" si="1"/>
        <v>100</v>
      </c>
      <c r="F6" s="100" t="str">
        <f t="shared" si="2"/>
        <v>Moorella_humiferrea_(T)_64_FGQ_(GQ872425)</v>
      </c>
      <c r="G6" t="s">
        <v>1630</v>
      </c>
      <c r="H6" s="77" t="s">
        <v>1815</v>
      </c>
      <c r="I6" s="77" t="s">
        <v>1816</v>
      </c>
      <c r="J6" s="77">
        <v>100</v>
      </c>
      <c r="L6" s="78" t="s">
        <v>23</v>
      </c>
      <c r="M6" s="78">
        <v>3104</v>
      </c>
      <c r="N6" s="78" t="str">
        <f t="shared" si="3"/>
        <v>OTU_4;size=3104;</v>
      </c>
      <c r="O6" s="78" t="s">
        <v>73</v>
      </c>
    </row>
    <row r="7" spans="1:15" x14ac:dyDescent="0.35">
      <c r="A7" s="90" t="s">
        <v>34</v>
      </c>
      <c r="B7" s="91">
        <v>771</v>
      </c>
      <c r="C7" s="91" t="str">
        <f t="shared" si="0"/>
        <v>OTU_5;size=771;</v>
      </c>
      <c r="D7" s="92" t="s">
        <v>50</v>
      </c>
      <c r="E7" s="97">
        <f t="shared" si="1"/>
        <v>100</v>
      </c>
      <c r="F7" s="100" t="str">
        <f t="shared" si="2"/>
        <v>candidate_division_OP1_clone_OPB14_(AF027045)</v>
      </c>
      <c r="G7" t="s">
        <v>1630</v>
      </c>
      <c r="H7" s="77" t="s">
        <v>1817</v>
      </c>
      <c r="I7" s="77" t="s">
        <v>1818</v>
      </c>
      <c r="J7" s="77">
        <v>100</v>
      </c>
      <c r="L7" s="78" t="s">
        <v>34</v>
      </c>
      <c r="M7" s="78">
        <v>2871</v>
      </c>
      <c r="N7" s="78" t="str">
        <f t="shared" si="3"/>
        <v>OTU_5;size=2871;</v>
      </c>
      <c r="O7" s="78" t="s">
        <v>71</v>
      </c>
    </row>
    <row r="8" spans="1:15" x14ac:dyDescent="0.35">
      <c r="A8" s="90" t="s">
        <v>51</v>
      </c>
      <c r="B8" s="91">
        <v>556</v>
      </c>
      <c r="C8" s="91" t="str">
        <f t="shared" si="0"/>
        <v>OTU_6;size=556;</v>
      </c>
      <c r="D8" s="92" t="s">
        <v>1631</v>
      </c>
      <c r="E8" s="97">
        <f t="shared" si="1"/>
        <v>100</v>
      </c>
      <c r="F8" s="100" t="str">
        <f t="shared" si="2"/>
        <v>-</v>
      </c>
      <c r="G8" t="s">
        <v>1630</v>
      </c>
      <c r="H8" s="77" t="s">
        <v>1819</v>
      </c>
      <c r="I8" s="77" t="s">
        <v>1820</v>
      </c>
      <c r="J8" s="77">
        <v>100</v>
      </c>
      <c r="L8" s="78" t="s">
        <v>51</v>
      </c>
      <c r="M8" s="78">
        <v>2685</v>
      </c>
      <c r="N8" s="78" t="str">
        <f t="shared" si="3"/>
        <v>OTU_6;size=2685;</v>
      </c>
      <c r="O8" s="78" t="s">
        <v>76</v>
      </c>
    </row>
    <row r="9" spans="1:15" x14ac:dyDescent="0.35">
      <c r="A9" s="90" t="s">
        <v>39</v>
      </c>
      <c r="B9" s="91">
        <v>506</v>
      </c>
      <c r="C9" s="91" t="str">
        <f t="shared" si="0"/>
        <v>OTU_7;size=506;</v>
      </c>
      <c r="D9" s="92" t="s">
        <v>71</v>
      </c>
      <c r="E9" s="97">
        <f t="shared" si="1"/>
        <v>100</v>
      </c>
      <c r="F9" s="100" t="str">
        <f t="shared" si="2"/>
        <v>Syntrophaceticus_schinkii_(T)_Sp3_(EU386162)</v>
      </c>
      <c r="G9" t="s">
        <v>1630</v>
      </c>
      <c r="H9" s="77" t="s">
        <v>1821</v>
      </c>
      <c r="I9" s="77" t="s">
        <v>1822</v>
      </c>
      <c r="J9" s="77">
        <v>100</v>
      </c>
      <c r="L9" s="78" t="s">
        <v>39</v>
      </c>
      <c r="M9" s="78">
        <v>2463</v>
      </c>
      <c r="N9" s="78" t="str">
        <f t="shared" si="3"/>
        <v>OTU_7;size=2463;</v>
      </c>
      <c r="O9" s="78" t="s">
        <v>62</v>
      </c>
    </row>
    <row r="10" spans="1:15" x14ac:dyDescent="0.35">
      <c r="A10" s="90" t="s">
        <v>31</v>
      </c>
      <c r="B10" s="91">
        <v>419</v>
      </c>
      <c r="C10" s="91" t="str">
        <f t="shared" si="0"/>
        <v>OTU_8;size=419;</v>
      </c>
      <c r="D10" s="92" t="s">
        <v>16</v>
      </c>
      <c r="E10" s="97">
        <f t="shared" si="1"/>
        <v>100</v>
      </c>
      <c r="F10" s="100" t="str">
        <f t="shared" si="2"/>
        <v>Thermodesulfovibrio_aggregans_(T)_TGE-P1_(AB021302)</v>
      </c>
      <c r="G10" t="s">
        <v>1630</v>
      </c>
      <c r="H10" s="77" t="s">
        <v>1823</v>
      </c>
      <c r="I10" s="77" t="s">
        <v>1824</v>
      </c>
      <c r="J10" s="77">
        <v>100</v>
      </c>
      <c r="L10" s="78" t="s">
        <v>63</v>
      </c>
      <c r="M10" s="78">
        <v>1171</v>
      </c>
      <c r="N10" s="78" t="str">
        <f t="shared" si="3"/>
        <v>OTU_9;size=1171;</v>
      </c>
      <c r="O10" s="78" t="s">
        <v>22</v>
      </c>
    </row>
    <row r="11" spans="1:15" x14ac:dyDescent="0.35">
      <c r="A11" s="90" t="s">
        <v>63</v>
      </c>
      <c r="B11" s="91">
        <v>408</v>
      </c>
      <c r="C11" s="91" t="str">
        <f t="shared" si="0"/>
        <v>OTU_9;size=408;</v>
      </c>
      <c r="D11" s="92" t="s">
        <v>105</v>
      </c>
      <c r="E11" s="97">
        <f t="shared" si="1"/>
        <v>100</v>
      </c>
      <c r="F11" s="100" t="str">
        <f t="shared" si="2"/>
        <v>Ignavibacterium_album_(T)_Mat9-16_(AB478415)</v>
      </c>
      <c r="G11" t="s">
        <v>1630</v>
      </c>
      <c r="H11" s="77" t="s">
        <v>1825</v>
      </c>
      <c r="I11" s="77" t="s">
        <v>1826</v>
      </c>
      <c r="J11" s="77">
        <v>100</v>
      </c>
      <c r="L11" s="78" t="s">
        <v>45</v>
      </c>
      <c r="M11" s="78">
        <v>1161</v>
      </c>
      <c r="N11" s="78" t="str">
        <f t="shared" si="3"/>
        <v>OTU_11;size=1161;</v>
      </c>
      <c r="O11" s="78" t="s">
        <v>88</v>
      </c>
    </row>
    <row r="12" spans="1:15" x14ac:dyDescent="0.35">
      <c r="A12" s="90" t="s">
        <v>49</v>
      </c>
      <c r="B12" s="91">
        <v>326</v>
      </c>
      <c r="C12" s="91" t="str">
        <f t="shared" si="0"/>
        <v>OTU_10;size=326;</v>
      </c>
      <c r="D12" s="92" t="s">
        <v>76</v>
      </c>
      <c r="E12" s="97">
        <f t="shared" si="1"/>
        <v>100</v>
      </c>
      <c r="F12" s="100" t="str">
        <f t="shared" si="2"/>
        <v>Methanothermobacter_thermoflexus_(T)_IDZ,_VKM_B-1963,_DSM_7268_(X99047)</v>
      </c>
      <c r="G12" t="s">
        <v>1630</v>
      </c>
      <c r="H12" s="77" t="s">
        <v>1827</v>
      </c>
      <c r="I12" s="77" t="s">
        <v>1828</v>
      </c>
      <c r="J12" s="77">
        <v>100</v>
      </c>
      <c r="L12" s="78" t="s">
        <v>31</v>
      </c>
      <c r="M12" s="78">
        <v>1089</v>
      </c>
      <c r="N12" s="78" t="str">
        <f t="shared" si="3"/>
        <v>OTU_8;size=1089;</v>
      </c>
      <c r="O12" s="78" t="s">
        <v>105</v>
      </c>
    </row>
    <row r="13" spans="1:15" x14ac:dyDescent="0.35">
      <c r="A13" s="90" t="s">
        <v>45</v>
      </c>
      <c r="B13" s="91">
        <v>305</v>
      </c>
      <c r="C13" s="91" t="str">
        <f t="shared" si="0"/>
        <v>OTU_11;size=305;</v>
      </c>
      <c r="D13" s="92" t="s">
        <v>22</v>
      </c>
      <c r="E13" s="97">
        <f t="shared" si="1"/>
        <v>100</v>
      </c>
      <c r="F13" s="100" t="str">
        <f t="shared" si="2"/>
        <v>Treponema_zuelzerae_(T)_type_strain:_DSM_1903;_2_(FR749929)</v>
      </c>
      <c r="G13" t="s">
        <v>1630</v>
      </c>
      <c r="H13" s="77" t="s">
        <v>1829</v>
      </c>
      <c r="I13" s="77" t="s">
        <v>1830</v>
      </c>
      <c r="J13" s="77">
        <v>100</v>
      </c>
      <c r="L13" s="78" t="s">
        <v>49</v>
      </c>
      <c r="M13" s="78">
        <v>955</v>
      </c>
      <c r="N13" s="78" t="str">
        <f t="shared" si="3"/>
        <v>OTU_10;size=955;</v>
      </c>
      <c r="O13" s="78" t="s">
        <v>1631</v>
      </c>
    </row>
    <row r="14" spans="1:15" x14ac:dyDescent="0.35">
      <c r="A14" s="90" t="s">
        <v>77</v>
      </c>
      <c r="B14" s="91">
        <v>271</v>
      </c>
      <c r="C14" s="91" t="str">
        <f t="shared" si="0"/>
        <v>OTU_12;size=271;</v>
      </c>
      <c r="D14" s="92" t="s">
        <v>73</v>
      </c>
      <c r="E14" s="97">
        <f t="shared" si="1"/>
        <v>100</v>
      </c>
      <c r="F14" s="100" t="str">
        <f t="shared" si="2"/>
        <v>Methanobacterium_aarhusense_(T)_H2-LR_(AY386124)</v>
      </c>
      <c r="G14" t="s">
        <v>1630</v>
      </c>
      <c r="H14" s="77" t="s">
        <v>1808</v>
      </c>
      <c r="I14" s="77" t="s">
        <v>1831</v>
      </c>
      <c r="J14" s="77">
        <v>98</v>
      </c>
      <c r="L14" s="78" t="s">
        <v>77</v>
      </c>
      <c r="M14" s="78">
        <v>722</v>
      </c>
      <c r="N14" s="78" t="str">
        <f t="shared" si="3"/>
        <v>OTU_12;size=722;</v>
      </c>
      <c r="O14" s="78" t="s">
        <v>16</v>
      </c>
    </row>
    <row r="15" spans="1:15" x14ac:dyDescent="0.35">
      <c r="A15" s="90" t="s">
        <v>68</v>
      </c>
      <c r="B15" s="91">
        <v>211</v>
      </c>
      <c r="C15" s="91" t="str">
        <f t="shared" si="0"/>
        <v>OTU_13;size=211;</v>
      </c>
      <c r="D15" s="92" t="s">
        <v>1631</v>
      </c>
      <c r="E15" s="97">
        <f t="shared" si="1"/>
        <v>100</v>
      </c>
      <c r="F15" s="100" t="str">
        <f t="shared" si="2"/>
        <v>-</v>
      </c>
      <c r="G15" t="s">
        <v>1630</v>
      </c>
      <c r="H15" s="77" t="s">
        <v>1832</v>
      </c>
      <c r="I15" s="77" t="s">
        <v>1833</v>
      </c>
      <c r="J15" s="77">
        <v>100</v>
      </c>
      <c r="L15" s="78" t="s">
        <v>68</v>
      </c>
      <c r="M15" s="78">
        <v>269</v>
      </c>
      <c r="N15" s="78" t="str">
        <f t="shared" si="3"/>
        <v>OTU_13;size=269;</v>
      </c>
      <c r="O15" s="78" t="s">
        <v>1631</v>
      </c>
    </row>
    <row r="16" spans="1:15" x14ac:dyDescent="0.35">
      <c r="A16" s="90" t="s">
        <v>99</v>
      </c>
      <c r="B16" s="91">
        <v>108</v>
      </c>
      <c r="C16" s="91" t="str">
        <f t="shared" si="0"/>
        <v>OTU_20;size=108;</v>
      </c>
      <c r="D16" s="92" t="s">
        <v>163</v>
      </c>
      <c r="E16" s="97">
        <f t="shared" si="1"/>
        <v>98</v>
      </c>
      <c r="F16" s="100" t="str">
        <f t="shared" si="2"/>
        <v>Dethiobacter_alkaliphilus_(T)_AHT_1_(EF422412)</v>
      </c>
      <c r="G16" t="s">
        <v>1630</v>
      </c>
      <c r="H16" s="77" t="s">
        <v>1834</v>
      </c>
      <c r="I16" s="77" t="s">
        <v>1835</v>
      </c>
      <c r="J16" s="77">
        <v>100</v>
      </c>
      <c r="L16" s="78" t="s">
        <v>55</v>
      </c>
      <c r="M16" s="78">
        <v>259</v>
      </c>
      <c r="N16" s="78" t="str">
        <f t="shared" si="3"/>
        <v>OTU_14;size=259;</v>
      </c>
      <c r="O16" s="78" t="s">
        <v>1631</v>
      </c>
    </row>
    <row r="17" spans="1:15" x14ac:dyDescent="0.35">
      <c r="A17" s="90" t="s">
        <v>55</v>
      </c>
      <c r="B17" s="91">
        <v>100</v>
      </c>
      <c r="C17" s="91" t="str">
        <f t="shared" si="0"/>
        <v>OTU_14;size=100;</v>
      </c>
      <c r="D17" s="92" t="s">
        <v>88</v>
      </c>
      <c r="E17" s="97">
        <f t="shared" si="1"/>
        <v>100</v>
      </c>
      <c r="F17" s="100" t="str">
        <f t="shared" si="2"/>
        <v>Methanobacterium_alcaliphilum_(T)_NBRC_105226_(AB496639)</v>
      </c>
      <c r="G17" t="s">
        <v>1630</v>
      </c>
      <c r="H17" s="77" t="s">
        <v>1836</v>
      </c>
      <c r="I17" s="77" t="s">
        <v>1837</v>
      </c>
      <c r="J17" s="77">
        <v>100</v>
      </c>
      <c r="L17" s="78" t="s">
        <v>60</v>
      </c>
      <c r="M17" s="78">
        <v>220</v>
      </c>
      <c r="N17" s="78" t="str">
        <f t="shared" si="3"/>
        <v>OTU_15;size=220;</v>
      </c>
      <c r="O17" s="78" t="s">
        <v>152</v>
      </c>
    </row>
    <row r="18" spans="1:15" x14ac:dyDescent="0.35">
      <c r="A18" s="90" t="s">
        <v>60</v>
      </c>
      <c r="B18" s="91">
        <v>100</v>
      </c>
      <c r="C18" s="91" t="str">
        <f t="shared" si="0"/>
        <v>OTU_15;size=100;</v>
      </c>
      <c r="D18" s="92" t="s">
        <v>1631</v>
      </c>
      <c r="E18" s="97">
        <f t="shared" si="1"/>
        <v>100</v>
      </c>
      <c r="F18" s="100" t="str">
        <f t="shared" si="2"/>
        <v>-</v>
      </c>
      <c r="G18" t="s">
        <v>1630</v>
      </c>
      <c r="H18" s="77" t="s">
        <v>1838</v>
      </c>
      <c r="I18" s="77" t="s">
        <v>1839</v>
      </c>
      <c r="J18" s="77">
        <v>100</v>
      </c>
      <c r="L18" s="78" t="s">
        <v>72</v>
      </c>
      <c r="M18" s="78">
        <v>188</v>
      </c>
      <c r="N18" s="78" t="str">
        <f t="shared" si="3"/>
        <v>OTU_16;size=188;</v>
      </c>
      <c r="O18" s="78" t="s">
        <v>184</v>
      </c>
    </row>
    <row r="19" spans="1:15" x14ac:dyDescent="0.35">
      <c r="A19" s="90" t="s">
        <v>72</v>
      </c>
      <c r="B19" s="91">
        <v>98</v>
      </c>
      <c r="C19" s="91" t="str">
        <f t="shared" si="0"/>
        <v>OTU_16;size=98;</v>
      </c>
      <c r="D19" s="92" t="s">
        <v>215</v>
      </c>
      <c r="E19" s="97">
        <f t="shared" si="1"/>
        <v>100</v>
      </c>
      <c r="F19" s="100" t="str">
        <f t="shared" si="2"/>
        <v>Thermodesulfovibrio_yellowstonii_(T)_YP87_(AB231858)</v>
      </c>
      <c r="G19" t="s">
        <v>1630</v>
      </c>
      <c r="H19" s="77" t="s">
        <v>1840</v>
      </c>
      <c r="I19" s="77" t="s">
        <v>1841</v>
      </c>
      <c r="J19" s="77">
        <v>100</v>
      </c>
      <c r="L19" s="78" t="s">
        <v>97</v>
      </c>
      <c r="M19" s="78">
        <v>135</v>
      </c>
      <c r="N19" s="78" t="str">
        <f t="shared" si="3"/>
        <v>OTU_17;size=135;</v>
      </c>
      <c r="O19" s="78" t="s">
        <v>609</v>
      </c>
    </row>
    <row r="20" spans="1:15" x14ac:dyDescent="0.35">
      <c r="A20" s="90" t="s">
        <v>97</v>
      </c>
      <c r="B20" s="91">
        <v>85</v>
      </c>
      <c r="C20" s="91" t="str">
        <f t="shared" si="0"/>
        <v>OTU_17;size=85;</v>
      </c>
      <c r="D20" s="92" t="s">
        <v>184</v>
      </c>
      <c r="E20" s="97">
        <f t="shared" si="1"/>
        <v>100</v>
      </c>
      <c r="F20" s="100" t="str">
        <f t="shared" si="2"/>
        <v>Pelotomaculum_propionicicum_(T)_MGP_(AB154390)</v>
      </c>
      <c r="G20" t="s">
        <v>1630</v>
      </c>
      <c r="H20" s="77" t="s">
        <v>1842</v>
      </c>
      <c r="I20" s="77" t="s">
        <v>1843</v>
      </c>
      <c r="J20" s="77">
        <v>100</v>
      </c>
      <c r="L20" s="78" t="s">
        <v>74</v>
      </c>
      <c r="M20" s="78">
        <v>132</v>
      </c>
      <c r="N20" s="78" t="str">
        <f t="shared" si="3"/>
        <v>OTU_18;size=132;</v>
      </c>
      <c r="O20" s="78" t="s">
        <v>14</v>
      </c>
    </row>
    <row r="21" spans="1:15" x14ac:dyDescent="0.35">
      <c r="A21" s="90" t="s">
        <v>74</v>
      </c>
      <c r="B21" s="91">
        <v>82</v>
      </c>
      <c r="C21" s="91" t="str">
        <f t="shared" si="0"/>
        <v>OTU_18;size=82;</v>
      </c>
      <c r="D21" s="92" t="s">
        <v>144</v>
      </c>
      <c r="E21" s="97">
        <f t="shared" si="1"/>
        <v>100</v>
      </c>
      <c r="F21" s="100" t="str">
        <f t="shared" si="2"/>
        <v>Sunxiuqinia_faeciviva_(T)_JAM-BA0302_(AB362263)</v>
      </c>
      <c r="G21" t="s">
        <v>1630</v>
      </c>
      <c r="H21" s="77" t="s">
        <v>1844</v>
      </c>
      <c r="I21" s="77" t="s">
        <v>1845</v>
      </c>
      <c r="J21" s="77">
        <v>100</v>
      </c>
      <c r="L21" s="78" t="s">
        <v>135</v>
      </c>
      <c r="M21" s="78">
        <v>129</v>
      </c>
      <c r="N21" s="78" t="str">
        <f t="shared" si="3"/>
        <v>OTU_19;size=129;</v>
      </c>
      <c r="O21" s="78" t="s">
        <v>127</v>
      </c>
    </row>
    <row r="22" spans="1:15" x14ac:dyDescent="0.35">
      <c r="A22" s="90" t="s">
        <v>135</v>
      </c>
      <c r="B22" s="91">
        <v>79</v>
      </c>
      <c r="C22" s="91" t="str">
        <f t="shared" si="0"/>
        <v>OTU_19;size=79;</v>
      </c>
      <c r="D22" s="92" t="s">
        <v>224</v>
      </c>
      <c r="E22" s="97">
        <f t="shared" si="1"/>
        <v>100</v>
      </c>
      <c r="F22" s="100" t="str">
        <f t="shared" si="2"/>
        <v>Thermanaerothrix_daxensis_strain_GNS-1_(NR_117865.1)</v>
      </c>
      <c r="G22" t="s">
        <v>1630</v>
      </c>
      <c r="H22" s="77" t="s">
        <v>1846</v>
      </c>
      <c r="I22" s="77" t="s">
        <v>1847</v>
      </c>
      <c r="J22" s="77">
        <v>100</v>
      </c>
      <c r="L22" s="78" t="s">
        <v>99</v>
      </c>
      <c r="M22" s="78">
        <v>112</v>
      </c>
      <c r="N22" s="78" t="str">
        <f t="shared" si="3"/>
        <v>OTU_20;size=112;</v>
      </c>
      <c r="O22" s="78" t="s">
        <v>144</v>
      </c>
    </row>
    <row r="23" spans="1:15" x14ac:dyDescent="0.35">
      <c r="A23" s="90" t="s">
        <v>106</v>
      </c>
      <c r="B23" s="91">
        <v>65</v>
      </c>
      <c r="C23" s="91" t="str">
        <f t="shared" si="0"/>
        <v>OTU_21;size=65;</v>
      </c>
      <c r="D23" s="92" t="s">
        <v>152</v>
      </c>
      <c r="E23" s="97">
        <f t="shared" si="1"/>
        <v>100</v>
      </c>
      <c r="F23" s="100" t="str">
        <f t="shared" si="2"/>
        <v>Smithella_propionica_(T)_LYP_(AF126282)</v>
      </c>
      <c r="G23" t="s">
        <v>1630</v>
      </c>
      <c r="H23" s="77" t="s">
        <v>1848</v>
      </c>
      <c r="I23" s="77" t="s">
        <v>1849</v>
      </c>
      <c r="J23" s="77">
        <v>100</v>
      </c>
      <c r="L23" s="78" t="s">
        <v>106</v>
      </c>
      <c r="M23" s="78">
        <v>107</v>
      </c>
      <c r="N23" s="78" t="str">
        <f t="shared" si="3"/>
        <v>OTU_21;size=107;</v>
      </c>
      <c r="O23" s="78" t="s">
        <v>215</v>
      </c>
    </row>
    <row r="24" spans="1:15" x14ac:dyDescent="0.35">
      <c r="A24" s="90" t="s">
        <v>83</v>
      </c>
      <c r="B24" s="91">
        <v>60</v>
      </c>
      <c r="C24" s="91" t="str">
        <f t="shared" si="0"/>
        <v>OTU_22;size=60;</v>
      </c>
      <c r="D24" s="92" t="s">
        <v>609</v>
      </c>
      <c r="E24" s="97">
        <f t="shared" si="1"/>
        <v>100</v>
      </c>
      <c r="F24" s="100" t="str">
        <f t="shared" si="2"/>
        <v>Caldicoprobacter_oshimai_(T)_JW/HY-331_(AB450762)</v>
      </c>
      <c r="G24" t="s">
        <v>1630</v>
      </c>
      <c r="H24" s="77" t="s">
        <v>1850</v>
      </c>
      <c r="I24" s="77" t="s">
        <v>1851</v>
      </c>
      <c r="J24" s="77">
        <v>100</v>
      </c>
      <c r="L24" s="78" t="s">
        <v>126</v>
      </c>
      <c r="M24" s="78">
        <v>102</v>
      </c>
      <c r="N24" s="78" t="str">
        <f t="shared" si="3"/>
        <v>OTU_24;size=102;</v>
      </c>
      <c r="O24" s="78" t="s">
        <v>163</v>
      </c>
    </row>
    <row r="25" spans="1:15" x14ac:dyDescent="0.35">
      <c r="A25" s="90" t="s">
        <v>91</v>
      </c>
      <c r="B25" s="91">
        <v>48</v>
      </c>
      <c r="C25" s="91" t="str">
        <f t="shared" si="0"/>
        <v>OTU_23;size=48;</v>
      </c>
      <c r="D25" s="92" t="s">
        <v>220</v>
      </c>
      <c r="E25" s="97">
        <f t="shared" si="1"/>
        <v>100</v>
      </c>
      <c r="F25" s="100" t="str">
        <f t="shared" si="2"/>
        <v>Bellilinea_caldifistulae_(T)_GOMI-1_(AB243672)</v>
      </c>
      <c r="G25" t="s">
        <v>1630</v>
      </c>
      <c r="H25" s="77" t="s">
        <v>1852</v>
      </c>
      <c r="I25" s="77" t="s">
        <v>1853</v>
      </c>
      <c r="J25" s="77">
        <v>100</v>
      </c>
      <c r="L25" s="78" t="s">
        <v>83</v>
      </c>
      <c r="M25" s="78">
        <v>93</v>
      </c>
      <c r="N25" s="78" t="str">
        <f t="shared" si="3"/>
        <v>OTU_22;size=93;</v>
      </c>
      <c r="O25" s="78" t="s">
        <v>220</v>
      </c>
    </row>
    <row r="26" spans="1:15" x14ac:dyDescent="0.35">
      <c r="A26" s="90" t="s">
        <v>126</v>
      </c>
      <c r="B26" s="91">
        <v>37</v>
      </c>
      <c r="C26" s="91" t="str">
        <f t="shared" si="0"/>
        <v>OTU_24;size=37;</v>
      </c>
      <c r="D26" s="92" t="s">
        <v>276</v>
      </c>
      <c r="E26" s="97">
        <f t="shared" si="1"/>
        <v>100</v>
      </c>
      <c r="F26" s="100" t="str">
        <f t="shared" si="2"/>
        <v>Leptolinea_tardivitalis_(T)_YMTK-2_(AB109438)</v>
      </c>
      <c r="G26" t="s">
        <v>1630</v>
      </c>
      <c r="H26" s="77" t="s">
        <v>1854</v>
      </c>
      <c r="I26" s="77" t="s">
        <v>1855</v>
      </c>
      <c r="J26" s="77">
        <v>100</v>
      </c>
      <c r="L26" s="78" t="s">
        <v>91</v>
      </c>
      <c r="M26" s="78">
        <v>70</v>
      </c>
      <c r="N26" s="78" t="str">
        <f t="shared" si="3"/>
        <v>OTU_23;size=70;</v>
      </c>
      <c r="O26" s="78" t="s">
        <v>224</v>
      </c>
    </row>
    <row r="27" spans="1:15" x14ac:dyDescent="0.35">
      <c r="A27" s="90" t="s">
        <v>145</v>
      </c>
      <c r="B27" s="91">
        <v>36</v>
      </c>
      <c r="C27" s="91" t="str">
        <f t="shared" si="0"/>
        <v>OTU_25;size=36;</v>
      </c>
      <c r="D27" s="92" t="s">
        <v>256</v>
      </c>
      <c r="E27" s="97">
        <f t="shared" si="1"/>
        <v>100</v>
      </c>
      <c r="F27" s="100" t="str">
        <f t="shared" si="2"/>
        <v>uncultured_bacterium_KF-JG30-18_(AJ295656)</v>
      </c>
      <c r="G27" t="s">
        <v>1630</v>
      </c>
      <c r="H27" s="77" t="s">
        <v>1856</v>
      </c>
      <c r="I27" s="77" t="s">
        <v>1857</v>
      </c>
      <c r="J27" s="77">
        <v>100</v>
      </c>
      <c r="L27" s="78" t="s">
        <v>89</v>
      </c>
      <c r="M27" s="78">
        <v>58</v>
      </c>
      <c r="N27" s="78" t="str">
        <f t="shared" si="3"/>
        <v>OTU_26;size=58;</v>
      </c>
      <c r="O27" s="78" t="s">
        <v>163</v>
      </c>
    </row>
    <row r="28" spans="1:15" x14ac:dyDescent="0.35">
      <c r="A28" s="90" t="s">
        <v>89</v>
      </c>
      <c r="B28" s="91">
        <v>35</v>
      </c>
      <c r="C28" s="91" t="str">
        <f t="shared" si="0"/>
        <v>OTU_26;size=35;</v>
      </c>
      <c r="D28" s="92" t="s">
        <v>254</v>
      </c>
      <c r="E28" s="97">
        <f t="shared" si="1"/>
        <v>100</v>
      </c>
      <c r="F28" s="100" t="str">
        <f t="shared" si="2"/>
        <v>Desulfotomaculum_kuznetsovii_strain_17_(NR_115129.1)</v>
      </c>
      <c r="G28" t="s">
        <v>1630</v>
      </c>
      <c r="H28" s="77" t="s">
        <v>1858</v>
      </c>
      <c r="I28" s="77" t="s">
        <v>1859</v>
      </c>
      <c r="J28" s="77">
        <v>100</v>
      </c>
      <c r="L28" s="78" t="s">
        <v>87</v>
      </c>
      <c r="M28" s="78">
        <v>52</v>
      </c>
      <c r="N28" s="78" t="str">
        <f t="shared" si="3"/>
        <v>OTU_28;size=52;</v>
      </c>
      <c r="O28" s="78" t="s">
        <v>229</v>
      </c>
    </row>
    <row r="29" spans="1:15" x14ac:dyDescent="0.35">
      <c r="A29" s="90" t="s">
        <v>93</v>
      </c>
      <c r="B29" s="91">
        <v>29</v>
      </c>
      <c r="C29" s="91" t="str">
        <f t="shared" si="0"/>
        <v>OTU_27;size=29;</v>
      </c>
      <c r="D29" s="92" t="s">
        <v>163</v>
      </c>
      <c r="E29" s="97">
        <f t="shared" si="1"/>
        <v>100</v>
      </c>
      <c r="F29" s="100" t="str">
        <f t="shared" si="2"/>
        <v>Dethiobacter_alkaliphilus_(T)_AHT_1_(EF422412)</v>
      </c>
      <c r="G29" t="s">
        <v>1630</v>
      </c>
      <c r="H29" s="77" t="s">
        <v>1790</v>
      </c>
      <c r="I29" s="77" t="s">
        <v>1860</v>
      </c>
      <c r="J29" s="77">
        <v>99.6</v>
      </c>
      <c r="L29" s="78" t="s">
        <v>145</v>
      </c>
      <c r="M29" s="78">
        <v>50</v>
      </c>
      <c r="N29" s="78" t="str">
        <f t="shared" si="3"/>
        <v>OTU_25;size=50;</v>
      </c>
      <c r="O29" s="78" t="s">
        <v>254</v>
      </c>
    </row>
    <row r="30" spans="1:15" x14ac:dyDescent="0.35">
      <c r="A30" s="90" t="s">
        <v>87</v>
      </c>
      <c r="B30" s="91">
        <v>21</v>
      </c>
      <c r="C30" s="91" t="str">
        <f t="shared" si="0"/>
        <v>OTU_28;size=21;</v>
      </c>
      <c r="D30" s="92" t="s">
        <v>293</v>
      </c>
      <c r="E30" s="97">
        <f t="shared" si="1"/>
        <v>100</v>
      </c>
      <c r="F30" s="100" t="str">
        <f t="shared" si="2"/>
        <v>Acidobacteria_bacterium_P105_(KJ461654)</v>
      </c>
      <c r="G30" t="s">
        <v>1630</v>
      </c>
      <c r="H30" s="77" t="s">
        <v>1861</v>
      </c>
      <c r="I30" s="77" t="s">
        <v>1862</v>
      </c>
      <c r="J30" s="77">
        <v>100</v>
      </c>
      <c r="L30" s="78" t="s">
        <v>294</v>
      </c>
      <c r="M30" s="78">
        <v>44</v>
      </c>
      <c r="N30" s="78" t="str">
        <f t="shared" si="3"/>
        <v>OTU_29;size=44;</v>
      </c>
      <c r="O30" s="78" t="s">
        <v>256</v>
      </c>
    </row>
    <row r="31" spans="1:15" x14ac:dyDescent="0.35">
      <c r="A31" s="90" t="s">
        <v>294</v>
      </c>
      <c r="B31" s="91">
        <v>21</v>
      </c>
      <c r="C31" s="91" t="str">
        <f t="shared" si="0"/>
        <v>OTU_29;size=21;</v>
      </c>
      <c r="D31" s="92" t="s">
        <v>328</v>
      </c>
      <c r="E31" s="97">
        <f t="shared" si="1"/>
        <v>99.6</v>
      </c>
      <c r="F31" s="100" t="str">
        <f t="shared" si="2"/>
        <v>Olegusella_massiliensis_strain_KHD7_(NR_146815.1)</v>
      </c>
      <c r="G31" t="s">
        <v>1630</v>
      </c>
      <c r="H31" s="77" t="s">
        <v>1863</v>
      </c>
      <c r="I31" s="77" t="s">
        <v>1864</v>
      </c>
      <c r="J31" s="77">
        <v>100</v>
      </c>
      <c r="L31" s="78" t="s">
        <v>93</v>
      </c>
      <c r="M31" s="78">
        <v>41</v>
      </c>
      <c r="N31" s="78" t="str">
        <f t="shared" si="3"/>
        <v>OTU_27;size=41;</v>
      </c>
      <c r="O31" s="78" t="s">
        <v>82</v>
      </c>
    </row>
    <row r="32" spans="1:15" x14ac:dyDescent="0.35">
      <c r="A32" s="93" t="s">
        <v>153</v>
      </c>
      <c r="B32" s="94">
        <v>19</v>
      </c>
      <c r="C32" s="94" t="str">
        <f t="shared" si="0"/>
        <v>OTU_30;size=19;</v>
      </c>
      <c r="D32" s="95" t="s">
        <v>229</v>
      </c>
      <c r="E32" s="98">
        <f t="shared" si="1"/>
        <v>100</v>
      </c>
      <c r="F32" s="101" t="str">
        <f t="shared" si="2"/>
        <v>Syntrophorhabdus_aromaticivorans_(T)_UI_(AB212873)</v>
      </c>
      <c r="G32" t="s">
        <v>1630</v>
      </c>
      <c r="H32" s="77" t="s">
        <v>1865</v>
      </c>
      <c r="I32" s="77" t="s">
        <v>1866</v>
      </c>
      <c r="J32" s="77">
        <v>100</v>
      </c>
      <c r="L32" s="78" t="s">
        <v>153</v>
      </c>
      <c r="M32" s="78">
        <v>31</v>
      </c>
      <c r="N32" s="78" t="str">
        <f t="shared" si="3"/>
        <v>OTU_30;size=31;</v>
      </c>
      <c r="O32" s="78" t="s">
        <v>293</v>
      </c>
    </row>
    <row r="33" spans="12:15" x14ac:dyDescent="0.35">
      <c r="L33" s="78" t="s">
        <v>602</v>
      </c>
      <c r="M33" s="78">
        <v>30</v>
      </c>
      <c r="N33" s="78" t="str">
        <f t="shared" si="3"/>
        <v>OTU_31;size=30;</v>
      </c>
      <c r="O33" s="78" t="s">
        <v>59</v>
      </c>
    </row>
    <row r="34" spans="12:15" x14ac:dyDescent="0.35">
      <c r="L34" s="78" t="s">
        <v>272</v>
      </c>
      <c r="M34" s="78">
        <v>29</v>
      </c>
      <c r="N34" s="78" t="str">
        <f t="shared" si="3"/>
        <v>OTU_34;size=29;</v>
      </c>
      <c r="O34" s="78" t="s">
        <v>30</v>
      </c>
    </row>
    <row r="35" spans="12:15" x14ac:dyDescent="0.35">
      <c r="L35" s="78" t="s">
        <v>130</v>
      </c>
      <c r="M35" s="78">
        <v>29</v>
      </c>
      <c r="N35" s="78" t="str">
        <f t="shared" si="3"/>
        <v>OTU_33;size=29;</v>
      </c>
      <c r="O35" s="78" t="s">
        <v>92</v>
      </c>
    </row>
    <row r="36" spans="12:15" x14ac:dyDescent="0.35">
      <c r="L36" s="78" t="s">
        <v>111</v>
      </c>
      <c r="M36" s="78">
        <v>29</v>
      </c>
      <c r="N36" s="78" t="str">
        <f t="shared" si="3"/>
        <v>OTU_32;size=29;</v>
      </c>
      <c r="O36" s="78" t="s">
        <v>276</v>
      </c>
    </row>
    <row r="37" spans="12:15" x14ac:dyDescent="0.35">
      <c r="L37" s="78" t="s">
        <v>164</v>
      </c>
      <c r="M37" s="78">
        <v>19</v>
      </c>
      <c r="N37" s="78" t="str">
        <f t="shared" si="3"/>
        <v>OTU_44;size=19;</v>
      </c>
      <c r="O37" s="78" t="s">
        <v>328</v>
      </c>
    </row>
    <row r="38" spans="12:15" x14ac:dyDescent="0.35">
      <c r="L38" s="78" t="s">
        <v>349</v>
      </c>
      <c r="M38" s="78">
        <v>18</v>
      </c>
      <c r="N38" s="78" t="str">
        <f t="shared" si="3"/>
        <v>OTU_38;size=18;</v>
      </c>
      <c r="O38" s="78" t="s">
        <v>283</v>
      </c>
    </row>
    <row r="39" spans="12:15" x14ac:dyDescent="0.35">
      <c r="L39" s="78" t="s">
        <v>113</v>
      </c>
      <c r="M39" s="78">
        <v>18</v>
      </c>
      <c r="N39" s="78" t="str">
        <f t="shared" si="3"/>
        <v>OTU_35;size=18;</v>
      </c>
      <c r="O39" s="78" t="s">
        <v>314</v>
      </c>
    </row>
    <row r="40" spans="12:15" x14ac:dyDescent="0.35">
      <c r="L40" s="78" t="s">
        <v>128</v>
      </c>
      <c r="M40" s="78">
        <v>17</v>
      </c>
      <c r="N40" s="78" t="str">
        <f t="shared" si="3"/>
        <v>OTU_37;size=17;</v>
      </c>
      <c r="O40" s="78" t="s">
        <v>134</v>
      </c>
    </row>
    <row r="41" spans="12:15" x14ac:dyDescent="0.35">
      <c r="L41" s="78" t="s">
        <v>137</v>
      </c>
      <c r="M41" s="78">
        <v>16</v>
      </c>
      <c r="N41" s="78" t="str">
        <f t="shared" si="3"/>
        <v>OTU_39;size=16;</v>
      </c>
      <c r="O41" s="78" t="s">
        <v>44</v>
      </c>
    </row>
    <row r="42" spans="12:15" x14ac:dyDescent="0.35">
      <c r="L42" s="78" t="s">
        <v>193</v>
      </c>
      <c r="M42" s="78">
        <v>16</v>
      </c>
      <c r="N42" s="78" t="str">
        <f t="shared" si="3"/>
        <v>OTU_36;size=16;</v>
      </c>
      <c r="O42" s="78" t="s">
        <v>96</v>
      </c>
    </row>
    <row r="43" spans="12:15" x14ac:dyDescent="0.35">
      <c r="L43" s="78" t="s">
        <v>142</v>
      </c>
      <c r="M43" s="78">
        <v>14</v>
      </c>
      <c r="N43" s="78" t="str">
        <f t="shared" si="3"/>
        <v>OTU_42;size=14;</v>
      </c>
      <c r="O43" s="78" t="s">
        <v>263</v>
      </c>
    </row>
    <row r="44" spans="12:15" x14ac:dyDescent="0.35">
      <c r="L44" s="78" t="s">
        <v>181</v>
      </c>
      <c r="M44" s="78">
        <v>14</v>
      </c>
      <c r="N44" s="78" t="str">
        <f t="shared" si="3"/>
        <v>OTU_41;size=14;</v>
      </c>
      <c r="O44" s="78" t="s">
        <v>163</v>
      </c>
    </row>
    <row r="45" spans="12:15" x14ac:dyDescent="0.35">
      <c r="L45" s="78" t="s">
        <v>149</v>
      </c>
      <c r="M45" s="78">
        <v>14</v>
      </c>
      <c r="N45" s="78" t="str">
        <f t="shared" si="3"/>
        <v>OTU_45;size=14;</v>
      </c>
      <c r="O45" s="78" t="s">
        <v>48</v>
      </c>
    </row>
    <row r="46" spans="12:15" x14ac:dyDescent="0.35">
      <c r="L46" s="78" t="s">
        <v>119</v>
      </c>
      <c r="M46" s="78">
        <v>13</v>
      </c>
      <c r="N46" s="78" t="str">
        <f t="shared" si="3"/>
        <v>OTU_40;size=13;</v>
      </c>
      <c r="O46" s="78" t="s">
        <v>368</v>
      </c>
    </row>
    <row r="47" spans="12:15" x14ac:dyDescent="0.35">
      <c r="L47" s="78" t="s">
        <v>209</v>
      </c>
      <c r="M47" s="78">
        <v>11</v>
      </c>
      <c r="N47" s="78" t="str">
        <f t="shared" si="3"/>
        <v>OTU_49;size=11;</v>
      </c>
      <c r="O47" s="78" t="s">
        <v>54</v>
      </c>
    </row>
    <row r="48" spans="12:15" x14ac:dyDescent="0.35">
      <c r="L48" s="78" t="s">
        <v>159</v>
      </c>
      <c r="M48" s="78">
        <v>10</v>
      </c>
      <c r="N48" s="78" t="str">
        <f t="shared" si="3"/>
        <v>OTU_50;size=10;</v>
      </c>
      <c r="O48" s="78" t="s">
        <v>330</v>
      </c>
    </row>
    <row r="49" spans="12:15" x14ac:dyDescent="0.35">
      <c r="L49" s="78" t="s">
        <v>213</v>
      </c>
      <c r="M49" s="78">
        <v>10</v>
      </c>
      <c r="N49" s="78" t="str">
        <f t="shared" si="3"/>
        <v>OTU_63;size=10;</v>
      </c>
      <c r="O49" s="78" t="s">
        <v>247</v>
      </c>
    </row>
    <row r="50" spans="12:15" x14ac:dyDescent="0.35">
      <c r="L50" s="78" t="s">
        <v>148</v>
      </c>
      <c r="M50" s="78">
        <v>10</v>
      </c>
      <c r="N50" s="78" t="str">
        <f t="shared" si="3"/>
        <v>OTU_47;size=10;</v>
      </c>
      <c r="O50" s="78" t="s">
        <v>319</v>
      </c>
    </row>
    <row r="51" spans="12:15" x14ac:dyDescent="0.35">
      <c r="L51" s="78" t="s">
        <v>271</v>
      </c>
      <c r="M51" s="78">
        <v>9</v>
      </c>
      <c r="N51" s="78" t="str">
        <f t="shared" si="3"/>
        <v>OTU_86;size=9;</v>
      </c>
      <c r="O51" s="78" t="s">
        <v>438</v>
      </c>
    </row>
    <row r="52" spans="12:15" x14ac:dyDescent="0.35">
      <c r="L52" s="78" t="s">
        <v>237</v>
      </c>
      <c r="M52" s="78">
        <v>9</v>
      </c>
      <c r="N52" s="78" t="str">
        <f t="shared" si="3"/>
        <v>OTU_53;size=9;</v>
      </c>
      <c r="O52" s="78" t="s">
        <v>343</v>
      </c>
    </row>
    <row r="53" spans="12:15" x14ac:dyDescent="0.35">
      <c r="L53" s="78" t="s">
        <v>177</v>
      </c>
      <c r="M53" s="78">
        <v>9</v>
      </c>
      <c r="N53" s="78" t="str">
        <f t="shared" si="3"/>
        <v>OTU_55;size=9;</v>
      </c>
      <c r="O53" s="78" t="s">
        <v>457</v>
      </c>
    </row>
    <row r="54" spans="12:15" x14ac:dyDescent="0.35">
      <c r="L54" s="78" t="s">
        <v>230</v>
      </c>
      <c r="M54" s="78">
        <v>9</v>
      </c>
      <c r="N54" s="78" t="str">
        <f t="shared" si="3"/>
        <v>OTU_58;size=9;</v>
      </c>
      <c r="O54" s="78" t="s">
        <v>360</v>
      </c>
    </row>
    <row r="55" spans="12:15" x14ac:dyDescent="0.35">
      <c r="L55" s="78" t="s">
        <v>203</v>
      </c>
      <c r="M55" s="78">
        <v>9</v>
      </c>
      <c r="N55" s="78" t="str">
        <f t="shared" si="3"/>
        <v>OTU_48;size=9;</v>
      </c>
      <c r="O55" s="78" t="s">
        <v>317</v>
      </c>
    </row>
    <row r="56" spans="12:15" x14ac:dyDescent="0.35">
      <c r="L56" s="78" t="s">
        <v>197</v>
      </c>
      <c r="M56" s="78">
        <v>9</v>
      </c>
      <c r="N56" s="78" t="str">
        <f t="shared" si="3"/>
        <v>OTU_43;size=9;</v>
      </c>
      <c r="O56" s="78" t="s">
        <v>38</v>
      </c>
    </row>
    <row r="57" spans="12:15" x14ac:dyDescent="0.35">
      <c r="L57" s="78" t="s">
        <v>171</v>
      </c>
      <c r="M57" s="78">
        <v>9</v>
      </c>
      <c r="N57" s="78" t="str">
        <f t="shared" si="3"/>
        <v>OTU_46;size=9;</v>
      </c>
      <c r="O57" s="78" t="s">
        <v>426</v>
      </c>
    </row>
    <row r="58" spans="12:15" x14ac:dyDescent="0.35">
      <c r="L58" s="78" t="s">
        <v>214</v>
      </c>
      <c r="M58" s="78">
        <v>8</v>
      </c>
      <c r="N58" s="78" t="str">
        <f t="shared" si="3"/>
        <v>OTU_68;size=8;</v>
      </c>
      <c r="O58" s="78" t="s">
        <v>408</v>
      </c>
    </row>
    <row r="59" spans="12:15" x14ac:dyDescent="0.35">
      <c r="L59" s="78" t="s">
        <v>234</v>
      </c>
      <c r="M59" s="78">
        <v>8</v>
      </c>
      <c r="N59" s="78" t="str">
        <f t="shared" si="3"/>
        <v>OTU_61;size=8;</v>
      </c>
      <c r="O59" s="78" t="s">
        <v>217</v>
      </c>
    </row>
    <row r="60" spans="12:15" x14ac:dyDescent="0.35">
      <c r="L60" s="78" t="s">
        <v>185</v>
      </c>
      <c r="M60" s="78">
        <v>7</v>
      </c>
      <c r="N60" s="78" t="str">
        <f t="shared" si="3"/>
        <v>OTU_57;size=7;</v>
      </c>
      <c r="O60" s="78" t="s">
        <v>414</v>
      </c>
    </row>
    <row r="61" spans="12:15" x14ac:dyDescent="0.35">
      <c r="L61" s="78" t="s">
        <v>188</v>
      </c>
      <c r="M61" s="78">
        <v>7</v>
      </c>
      <c r="N61" s="78" t="str">
        <f t="shared" si="3"/>
        <v>OTU_59;size=7;</v>
      </c>
      <c r="O61" s="78" t="s">
        <v>379</v>
      </c>
    </row>
    <row r="62" spans="12:15" x14ac:dyDescent="0.35">
      <c r="L62" s="78" t="s">
        <v>255</v>
      </c>
      <c r="M62" s="78">
        <v>7</v>
      </c>
      <c r="N62" s="78" t="str">
        <f t="shared" si="3"/>
        <v>OTU_51;size=7;</v>
      </c>
      <c r="O62" s="78" t="s">
        <v>67</v>
      </c>
    </row>
    <row r="63" spans="12:15" x14ac:dyDescent="0.35">
      <c r="L63" s="78" t="s">
        <v>253</v>
      </c>
      <c r="M63" s="78">
        <v>7</v>
      </c>
      <c r="N63" s="78" t="str">
        <f t="shared" si="3"/>
        <v>OTU_76;size=7;</v>
      </c>
      <c r="O63" s="78" t="s">
        <v>406</v>
      </c>
    </row>
    <row r="64" spans="12:15" x14ac:dyDescent="0.35">
      <c r="L64" s="78" t="s">
        <v>286</v>
      </c>
      <c r="M64" s="78">
        <v>6</v>
      </c>
      <c r="N64" s="78" t="str">
        <f t="shared" si="3"/>
        <v>OTU_72;size=6;</v>
      </c>
      <c r="O64" s="78" t="s">
        <v>144</v>
      </c>
    </row>
    <row r="65" spans="12:15" x14ac:dyDescent="0.35">
      <c r="L65" s="78" t="s">
        <v>225</v>
      </c>
      <c r="M65" s="78">
        <v>6</v>
      </c>
      <c r="N65" s="78" t="str">
        <f t="shared" si="3"/>
        <v>OTU_70;size=6;</v>
      </c>
      <c r="O65" s="78" t="s">
        <v>610</v>
      </c>
    </row>
    <row r="66" spans="12:15" x14ac:dyDescent="0.35">
      <c r="L66" s="78" t="s">
        <v>327</v>
      </c>
      <c r="M66" s="78">
        <v>6</v>
      </c>
      <c r="N66" s="78" t="str">
        <f t="shared" si="3"/>
        <v>OTU_102;size=6;</v>
      </c>
      <c r="O66" s="78" t="s">
        <v>381</v>
      </c>
    </row>
    <row r="67" spans="12:15" x14ac:dyDescent="0.35">
      <c r="L67" s="78" t="s">
        <v>267</v>
      </c>
      <c r="M67" s="78">
        <v>6</v>
      </c>
      <c r="N67" s="78" t="str">
        <f t="shared" si="3"/>
        <v>OTU_67;size=6;</v>
      </c>
      <c r="O67" s="78" t="s">
        <v>375</v>
      </c>
    </row>
    <row r="68" spans="12:15" x14ac:dyDescent="0.35">
      <c r="L68" s="78" t="s">
        <v>223</v>
      </c>
      <c r="M68" s="78">
        <v>6</v>
      </c>
      <c r="N68" s="78" t="str">
        <f t="shared" ref="N68:N105" si="4">L68&amp;";size="&amp;M68&amp;";"</f>
        <v>OTU_60;size=6;</v>
      </c>
      <c r="O68" s="78" t="s">
        <v>401</v>
      </c>
    </row>
    <row r="69" spans="12:15" x14ac:dyDescent="0.35">
      <c r="L69" s="78" t="s">
        <v>287</v>
      </c>
      <c r="M69" s="78">
        <v>5</v>
      </c>
      <c r="N69" s="78" t="str">
        <f t="shared" si="4"/>
        <v>OTU_83;size=5;</v>
      </c>
      <c r="O69" s="78" t="s">
        <v>521</v>
      </c>
    </row>
    <row r="70" spans="12:15" x14ac:dyDescent="0.35">
      <c r="L70" s="78" t="s">
        <v>221</v>
      </c>
      <c r="M70" s="78">
        <v>5</v>
      </c>
      <c r="N70" s="78" t="str">
        <f t="shared" si="4"/>
        <v>OTU_69;size=5;</v>
      </c>
      <c r="O70" s="78" t="s">
        <v>90</v>
      </c>
    </row>
    <row r="71" spans="12:15" x14ac:dyDescent="0.35">
      <c r="L71" s="78" t="s">
        <v>603</v>
      </c>
      <c r="M71" s="78">
        <v>5</v>
      </c>
      <c r="N71" s="78" t="str">
        <f t="shared" si="4"/>
        <v>OTU_64;size=5;</v>
      </c>
      <c r="O71" s="78" t="s">
        <v>1631</v>
      </c>
    </row>
    <row r="72" spans="12:15" x14ac:dyDescent="0.35">
      <c r="L72" s="78" t="s">
        <v>318</v>
      </c>
      <c r="M72" s="78">
        <v>5</v>
      </c>
      <c r="N72" s="78" t="str">
        <f t="shared" si="4"/>
        <v>OTU_95;size=5;</v>
      </c>
      <c r="O72" s="78" t="s">
        <v>341</v>
      </c>
    </row>
    <row r="73" spans="12:15" x14ac:dyDescent="0.35">
      <c r="L73" s="78" t="s">
        <v>189</v>
      </c>
      <c r="M73" s="78">
        <v>5</v>
      </c>
      <c r="N73" s="78" t="str">
        <f t="shared" si="4"/>
        <v>OTU_54;size=5;</v>
      </c>
      <c r="O73" s="78" t="s">
        <v>455</v>
      </c>
    </row>
    <row r="74" spans="12:15" x14ac:dyDescent="0.35">
      <c r="L74" s="78" t="s">
        <v>248</v>
      </c>
      <c r="M74" s="78">
        <v>5</v>
      </c>
      <c r="N74" s="78" t="str">
        <f t="shared" si="4"/>
        <v>OTU_78;size=5;</v>
      </c>
      <c r="O74" s="78" t="s">
        <v>141</v>
      </c>
    </row>
    <row r="75" spans="12:15" x14ac:dyDescent="0.35">
      <c r="L75" s="78" t="s">
        <v>282</v>
      </c>
      <c r="M75" s="78">
        <v>5</v>
      </c>
      <c r="N75" s="78" t="str">
        <f t="shared" si="4"/>
        <v>OTU_87;size=5;</v>
      </c>
      <c r="O75" s="78" t="s">
        <v>348</v>
      </c>
    </row>
    <row r="76" spans="12:15" x14ac:dyDescent="0.35">
      <c r="L76" s="78" t="s">
        <v>306</v>
      </c>
      <c r="M76" s="78">
        <v>5</v>
      </c>
      <c r="N76" s="78" t="str">
        <f t="shared" si="4"/>
        <v>OTU_89;size=5;</v>
      </c>
      <c r="O76" s="78" t="s">
        <v>384</v>
      </c>
    </row>
    <row r="77" spans="12:15" x14ac:dyDescent="0.35">
      <c r="L77" s="78" t="s">
        <v>356</v>
      </c>
      <c r="M77" s="78">
        <v>5</v>
      </c>
      <c r="N77" s="78" t="str">
        <f t="shared" si="4"/>
        <v>OTU_94;size=5;</v>
      </c>
      <c r="O77" s="78" t="s">
        <v>33</v>
      </c>
    </row>
    <row r="78" spans="12:15" x14ac:dyDescent="0.35">
      <c r="L78" s="78" t="s">
        <v>277</v>
      </c>
      <c r="M78" s="78">
        <v>5</v>
      </c>
      <c r="N78" s="78" t="str">
        <f t="shared" si="4"/>
        <v>OTU_90;size=5;</v>
      </c>
      <c r="O78" s="78" t="s">
        <v>613</v>
      </c>
    </row>
    <row r="79" spans="12:15" x14ac:dyDescent="0.35">
      <c r="L79" s="78" t="s">
        <v>218</v>
      </c>
      <c r="M79" s="78">
        <v>5</v>
      </c>
      <c r="N79" s="78" t="str">
        <f t="shared" si="4"/>
        <v>OTU_66;size=5;</v>
      </c>
      <c r="O79" s="78" t="s">
        <v>401</v>
      </c>
    </row>
    <row r="80" spans="12:15" x14ac:dyDescent="0.35">
      <c r="L80" s="78" t="s">
        <v>284</v>
      </c>
      <c r="M80" s="78">
        <v>4</v>
      </c>
      <c r="N80" s="78" t="str">
        <f t="shared" si="4"/>
        <v>OTU_74;size=4;</v>
      </c>
      <c r="O80" s="78" t="s">
        <v>354</v>
      </c>
    </row>
    <row r="81" spans="12:15" x14ac:dyDescent="0.35">
      <c r="L81" s="78" t="s">
        <v>257</v>
      </c>
      <c r="M81" s="78">
        <v>4</v>
      </c>
      <c r="N81" s="78" t="str">
        <f t="shared" si="4"/>
        <v>OTU_79;size=4;</v>
      </c>
      <c r="O81" s="78" t="s">
        <v>332</v>
      </c>
    </row>
    <row r="82" spans="12:15" x14ac:dyDescent="0.35">
      <c r="L82" s="78" t="s">
        <v>264</v>
      </c>
      <c r="M82" s="78">
        <v>4</v>
      </c>
      <c r="N82" s="78" t="str">
        <f t="shared" si="4"/>
        <v>OTU_77;size=4;</v>
      </c>
      <c r="O82" s="78" t="s">
        <v>412</v>
      </c>
    </row>
    <row r="83" spans="12:15" x14ac:dyDescent="0.35">
      <c r="L83" s="78" t="s">
        <v>216</v>
      </c>
      <c r="M83" s="78">
        <v>4</v>
      </c>
      <c r="N83" s="78" t="str">
        <f t="shared" si="4"/>
        <v>OTU_62;size=4;</v>
      </c>
      <c r="O83" s="78" t="s">
        <v>129</v>
      </c>
    </row>
    <row r="84" spans="12:15" x14ac:dyDescent="0.35">
      <c r="L84" s="78" t="s">
        <v>156</v>
      </c>
      <c r="M84" s="78">
        <v>4</v>
      </c>
      <c r="N84" s="78" t="str">
        <f t="shared" si="4"/>
        <v>OTU_52;size=4;</v>
      </c>
      <c r="O84" s="78" t="s">
        <v>401</v>
      </c>
    </row>
    <row r="85" spans="12:15" x14ac:dyDescent="0.35">
      <c r="L85" s="78" t="s">
        <v>307</v>
      </c>
      <c r="M85" s="78">
        <v>4</v>
      </c>
      <c r="N85" s="78" t="str">
        <f t="shared" si="4"/>
        <v>OTU_56;size=4;</v>
      </c>
      <c r="O85" s="78" t="s">
        <v>212</v>
      </c>
    </row>
    <row r="86" spans="12:15" x14ac:dyDescent="0.35">
      <c r="L86" s="78" t="s">
        <v>320</v>
      </c>
      <c r="M86" s="78">
        <v>4</v>
      </c>
      <c r="N86" s="78" t="str">
        <f t="shared" si="4"/>
        <v>OTU_100;size=4;</v>
      </c>
      <c r="O86" s="78" t="s">
        <v>354</v>
      </c>
    </row>
    <row r="87" spans="12:15" x14ac:dyDescent="0.35">
      <c r="L87" s="78" t="s">
        <v>242</v>
      </c>
      <c r="M87" s="78">
        <v>4</v>
      </c>
      <c r="N87" s="78" t="str">
        <f t="shared" si="4"/>
        <v>OTU_73;size=4;</v>
      </c>
      <c r="O87" s="78" t="s">
        <v>220</v>
      </c>
    </row>
    <row r="88" spans="12:15" x14ac:dyDescent="0.35">
      <c r="L88" s="78" t="s">
        <v>226</v>
      </c>
      <c r="M88" s="78">
        <v>4</v>
      </c>
      <c r="N88" s="78" t="str">
        <f t="shared" si="4"/>
        <v>OTU_71;size=4;</v>
      </c>
      <c r="O88" s="78" t="s">
        <v>1631</v>
      </c>
    </row>
    <row r="89" spans="12:15" x14ac:dyDescent="0.35">
      <c r="L89" s="78" t="s">
        <v>313</v>
      </c>
      <c r="M89" s="78">
        <v>4</v>
      </c>
      <c r="N89" s="78" t="str">
        <f t="shared" si="4"/>
        <v>OTU_96;size=4;</v>
      </c>
      <c r="O89" s="78" t="s">
        <v>224</v>
      </c>
    </row>
    <row r="90" spans="12:15" x14ac:dyDescent="0.35">
      <c r="L90" s="78" t="s">
        <v>301</v>
      </c>
      <c r="M90" s="78">
        <v>4</v>
      </c>
      <c r="N90" s="78" t="str">
        <f t="shared" si="4"/>
        <v>OTU_93;size=4;</v>
      </c>
      <c r="O90" s="78" t="s">
        <v>305</v>
      </c>
    </row>
    <row r="91" spans="12:15" x14ac:dyDescent="0.35">
      <c r="L91" s="78" t="s">
        <v>465</v>
      </c>
      <c r="M91" s="78">
        <v>4</v>
      </c>
      <c r="N91" s="78" t="str">
        <f t="shared" si="4"/>
        <v>OTU_101;size=4;</v>
      </c>
      <c r="O91" s="78" t="s">
        <v>302</v>
      </c>
    </row>
    <row r="92" spans="12:15" x14ac:dyDescent="0.35">
      <c r="L92" s="78" t="s">
        <v>233</v>
      </c>
      <c r="M92" s="78">
        <v>4</v>
      </c>
      <c r="N92" s="78" t="str">
        <f t="shared" si="4"/>
        <v>OTU_85;size=4;</v>
      </c>
      <c r="O92" s="78" t="s">
        <v>125</v>
      </c>
    </row>
    <row r="93" spans="12:15" x14ac:dyDescent="0.35">
      <c r="L93" s="78" t="s">
        <v>300</v>
      </c>
      <c r="M93" s="78">
        <v>3</v>
      </c>
      <c r="N93" s="78" t="str">
        <f t="shared" si="4"/>
        <v>OTU_92;size=3;</v>
      </c>
      <c r="O93" s="78" t="s">
        <v>1631</v>
      </c>
    </row>
    <row r="94" spans="12:15" x14ac:dyDescent="0.35">
      <c r="L94" s="78" t="s">
        <v>275</v>
      </c>
      <c r="M94" s="78">
        <v>3</v>
      </c>
      <c r="N94" s="78" t="str">
        <f t="shared" si="4"/>
        <v>OTU_75;size=3;</v>
      </c>
      <c r="O94" s="78" t="s">
        <v>540</v>
      </c>
    </row>
    <row r="95" spans="12:15" x14ac:dyDescent="0.35">
      <c r="L95" s="78" t="s">
        <v>311</v>
      </c>
      <c r="M95" s="78">
        <v>3</v>
      </c>
      <c r="N95" s="78" t="str">
        <f t="shared" si="4"/>
        <v>OTU_98;size=3;</v>
      </c>
      <c r="O95" s="78" t="s">
        <v>399</v>
      </c>
    </row>
    <row r="96" spans="12:15" x14ac:dyDescent="0.35">
      <c r="L96" s="78" t="s">
        <v>265</v>
      </c>
      <c r="M96" s="78">
        <v>3</v>
      </c>
      <c r="N96" s="78" t="str">
        <f t="shared" si="4"/>
        <v>OTU_81;size=3;</v>
      </c>
      <c r="O96" s="78" t="s">
        <v>401</v>
      </c>
    </row>
    <row r="97" spans="12:15" x14ac:dyDescent="0.35">
      <c r="L97" s="78" t="s">
        <v>323</v>
      </c>
      <c r="M97" s="78">
        <v>3</v>
      </c>
      <c r="N97" s="78" t="str">
        <f t="shared" si="4"/>
        <v>OTU_91;size=3;</v>
      </c>
      <c r="O97" s="78" t="s">
        <v>163</v>
      </c>
    </row>
    <row r="98" spans="12:15" x14ac:dyDescent="0.35">
      <c r="L98" s="78" t="s">
        <v>200</v>
      </c>
      <c r="M98" s="78">
        <v>3</v>
      </c>
      <c r="N98" s="78" t="str">
        <f t="shared" si="4"/>
        <v>OTU_65;size=3;</v>
      </c>
      <c r="O98" s="78" t="s">
        <v>460</v>
      </c>
    </row>
    <row r="99" spans="12:15" x14ac:dyDescent="0.35">
      <c r="L99" s="78" t="s">
        <v>315</v>
      </c>
      <c r="M99" s="78">
        <v>3</v>
      </c>
      <c r="N99" s="78" t="str">
        <f t="shared" si="4"/>
        <v>OTU_97;size=3;</v>
      </c>
      <c r="O99" s="78" t="s">
        <v>529</v>
      </c>
    </row>
    <row r="100" spans="12:15" x14ac:dyDescent="0.35">
      <c r="L100" s="78" t="s">
        <v>329</v>
      </c>
      <c r="M100" s="78">
        <v>2</v>
      </c>
      <c r="N100" s="78" t="str">
        <f t="shared" si="4"/>
        <v>OTU_103;size=2;</v>
      </c>
      <c r="O100" s="78" t="s">
        <v>152</v>
      </c>
    </row>
    <row r="101" spans="12:15" x14ac:dyDescent="0.35">
      <c r="L101" s="78" t="s">
        <v>280</v>
      </c>
      <c r="M101" s="78">
        <v>2</v>
      </c>
      <c r="N101" s="78" t="str">
        <f t="shared" si="4"/>
        <v>OTU_84;size=2;</v>
      </c>
      <c r="O101" s="78" t="s">
        <v>580</v>
      </c>
    </row>
    <row r="102" spans="12:15" x14ac:dyDescent="0.35">
      <c r="L102" s="78" t="s">
        <v>295</v>
      </c>
      <c r="M102" s="78">
        <v>2</v>
      </c>
      <c r="N102" s="78" t="str">
        <f t="shared" si="4"/>
        <v>OTU_82;size=2;</v>
      </c>
      <c r="O102" s="78" t="s">
        <v>441</v>
      </c>
    </row>
    <row r="103" spans="12:15" x14ac:dyDescent="0.35">
      <c r="L103" s="78" t="s">
        <v>266</v>
      </c>
      <c r="M103" s="78">
        <v>2</v>
      </c>
      <c r="N103" s="78" t="str">
        <f t="shared" si="4"/>
        <v>OTU_80;size=2;</v>
      </c>
      <c r="O103" s="78" t="s">
        <v>548</v>
      </c>
    </row>
    <row r="104" spans="12:15" x14ac:dyDescent="0.35">
      <c r="L104" s="78" t="s">
        <v>289</v>
      </c>
      <c r="M104" s="78">
        <v>2</v>
      </c>
      <c r="N104" s="78" t="str">
        <f t="shared" si="4"/>
        <v>OTU_88;size=2;</v>
      </c>
      <c r="O104" s="78" t="s">
        <v>578</v>
      </c>
    </row>
    <row r="105" spans="12:15" x14ac:dyDescent="0.35">
      <c r="L105" s="78" t="s">
        <v>336</v>
      </c>
      <c r="M105" s="78">
        <v>2</v>
      </c>
      <c r="N105" s="78" t="str">
        <f t="shared" si="4"/>
        <v>OTU_99;size=2;</v>
      </c>
      <c r="O105" s="78" t="s">
        <v>487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24"/>
  <sheetViews>
    <sheetView workbookViewId="0">
      <selection activeCell="D3" sqref="D3:F15"/>
    </sheetView>
  </sheetViews>
  <sheetFormatPr defaultRowHeight="14.5" x14ac:dyDescent="0.35"/>
  <cols>
    <col min="3" max="3" width="4.81640625" customWidth="1"/>
    <col min="4" max="4" width="59.1796875" customWidth="1"/>
    <col min="6" max="6" width="41.54296875" customWidth="1"/>
    <col min="8" max="8" width="9.453125" customWidth="1"/>
    <col min="15" max="15" width="60.81640625" customWidth="1"/>
  </cols>
  <sheetData>
    <row r="1" spans="1:15" x14ac:dyDescent="0.35">
      <c r="A1" s="67" t="s">
        <v>1526</v>
      </c>
      <c r="B1" s="68"/>
      <c r="C1" s="68"/>
      <c r="D1" s="68" t="s">
        <v>2159</v>
      </c>
      <c r="E1" s="69" t="s">
        <v>2160</v>
      </c>
      <c r="F1" s="70" t="s">
        <v>2161</v>
      </c>
      <c r="G1" s="71"/>
      <c r="H1" s="72" t="s">
        <v>2162</v>
      </c>
      <c r="I1" s="69"/>
      <c r="J1" s="73" t="s">
        <v>2160</v>
      </c>
      <c r="K1" s="71"/>
      <c r="L1" s="74" t="s">
        <v>1524</v>
      </c>
      <c r="M1" s="75"/>
      <c r="N1" s="75"/>
      <c r="O1" s="70"/>
    </row>
    <row r="2" spans="1:15" x14ac:dyDescent="0.35">
      <c r="A2" s="63" t="s">
        <v>0</v>
      </c>
      <c r="B2" s="63" t="s">
        <v>1</v>
      </c>
      <c r="C2" s="63"/>
      <c r="D2" s="63" t="s">
        <v>3</v>
      </c>
      <c r="E2" s="77"/>
      <c r="F2" s="78"/>
      <c r="H2" s="77"/>
      <c r="I2" s="77"/>
      <c r="J2" s="77"/>
      <c r="L2" s="78" t="s">
        <v>0</v>
      </c>
      <c r="M2" s="78" t="s">
        <v>1</v>
      </c>
      <c r="N2" s="78"/>
      <c r="O2" s="78" t="s">
        <v>3</v>
      </c>
    </row>
    <row r="3" spans="1:15" x14ac:dyDescent="0.35">
      <c r="A3" s="63" t="s">
        <v>17</v>
      </c>
      <c r="B3" s="63">
        <v>3953</v>
      </c>
      <c r="C3" s="63" t="str">
        <f>A3&amp;";size="&amp;B3&amp;";"</f>
        <v>OTU_3;size=3953;</v>
      </c>
      <c r="D3" s="63" t="s">
        <v>67</v>
      </c>
      <c r="E3" s="77">
        <f>VLOOKUP(C3,$H$3:$J$59,3,FALSE)</f>
        <v>100</v>
      </c>
      <c r="F3" s="78" t="str">
        <f>IFERROR(VLOOKUP(VLOOKUP(C3,$H$3:$I$59,2,FALSE),$N$3:$O$124,2,FALSE),"Not present in amplicons")</f>
        <v>Lysinibacillus_sp._LAM612_(KF443809)</v>
      </c>
      <c r="G3" t="s">
        <v>1630</v>
      </c>
      <c r="H3" s="77" t="s">
        <v>1867</v>
      </c>
      <c r="I3" s="77" t="s">
        <v>1868</v>
      </c>
      <c r="J3" s="77">
        <v>100</v>
      </c>
      <c r="L3" s="78" t="s">
        <v>6</v>
      </c>
      <c r="M3" s="78">
        <v>7736</v>
      </c>
      <c r="N3" s="78" t="str">
        <f>L3&amp;";size="&amp;M3&amp;";"</f>
        <v>OTU_1;size=7736;</v>
      </c>
      <c r="O3" s="78" t="s">
        <v>30</v>
      </c>
    </row>
    <row r="4" spans="1:15" x14ac:dyDescent="0.35">
      <c r="A4" s="63" t="s">
        <v>6</v>
      </c>
      <c r="B4" s="63">
        <v>3069</v>
      </c>
      <c r="C4" s="63" t="str">
        <f t="shared" ref="C4:C59" si="0">A4&amp;";size="&amp;B4&amp;";"</f>
        <v>OTU_1;size=3069;</v>
      </c>
      <c r="D4" s="63" t="s">
        <v>22</v>
      </c>
      <c r="E4" s="77">
        <f t="shared" ref="E4:E59" si="1">VLOOKUP(C4,$H$3:$J$59,3,FALSE)</f>
        <v>100</v>
      </c>
      <c r="F4" s="78" t="str">
        <f t="shared" ref="F4:F59" si="2">IFERROR(VLOOKUP(VLOOKUP(C4,$H$3:$I$59,2,FALSE),$N$3:$O$124,2,FALSE),"Not present in amplicons")</f>
        <v>Treponema_zuelzerae_(T)_type_strain:_DSM_1903;_2_(FR749929)</v>
      </c>
      <c r="G4" t="s">
        <v>1630</v>
      </c>
      <c r="H4" s="77" t="s">
        <v>1869</v>
      </c>
      <c r="I4" s="77" t="s">
        <v>1870</v>
      </c>
      <c r="J4" s="77">
        <v>100</v>
      </c>
      <c r="L4" s="78" t="s">
        <v>15</v>
      </c>
      <c r="M4" s="78">
        <v>5956</v>
      </c>
      <c r="N4" s="78" t="str">
        <f t="shared" ref="N4:N67" si="3">L4&amp;";size="&amp;M4&amp;";"</f>
        <v>OTU_2;size=5956;</v>
      </c>
      <c r="O4" s="78" t="s">
        <v>22</v>
      </c>
    </row>
    <row r="5" spans="1:15" x14ac:dyDescent="0.35">
      <c r="A5" s="63" t="s">
        <v>15</v>
      </c>
      <c r="B5" s="63">
        <v>2485</v>
      </c>
      <c r="C5" s="63" t="str">
        <f t="shared" si="0"/>
        <v>OTU_2;size=2485;</v>
      </c>
      <c r="D5" s="63" t="s">
        <v>30</v>
      </c>
      <c r="E5" s="77">
        <f t="shared" si="1"/>
        <v>100</v>
      </c>
      <c r="F5" s="78" t="str">
        <f t="shared" si="2"/>
        <v>Methanobacterium_subterraneum_(T)_A8p,_DSM_11074_(X99044)</v>
      </c>
      <c r="G5" t="s">
        <v>1630</v>
      </c>
      <c r="H5" s="77" t="s">
        <v>1871</v>
      </c>
      <c r="I5" s="77" t="s">
        <v>1872</v>
      </c>
      <c r="J5" s="77">
        <v>100</v>
      </c>
      <c r="L5" s="78" t="s">
        <v>17</v>
      </c>
      <c r="M5" s="78">
        <v>3332</v>
      </c>
      <c r="N5" s="78" t="str">
        <f t="shared" si="3"/>
        <v>OTU_3;size=3332;</v>
      </c>
      <c r="O5" s="78" t="s">
        <v>44</v>
      </c>
    </row>
    <row r="6" spans="1:15" x14ac:dyDescent="0.35">
      <c r="A6" s="63" t="s">
        <v>23</v>
      </c>
      <c r="B6" s="63">
        <v>2216</v>
      </c>
      <c r="C6" s="63" t="str">
        <f t="shared" si="0"/>
        <v>OTU_4;size=2216;</v>
      </c>
      <c r="D6" s="63" t="s">
        <v>48</v>
      </c>
      <c r="E6" s="77">
        <f t="shared" si="1"/>
        <v>100</v>
      </c>
      <c r="F6" s="78" t="str">
        <f t="shared" si="2"/>
        <v>Thermacetogenium_phaeum_(T)_PB_(AB020336)</v>
      </c>
      <c r="G6" t="s">
        <v>1630</v>
      </c>
      <c r="H6" s="77" t="s">
        <v>1873</v>
      </c>
      <c r="I6" s="77" t="s">
        <v>1874</v>
      </c>
      <c r="J6" s="77">
        <v>100</v>
      </c>
      <c r="L6" s="78" t="s">
        <v>34</v>
      </c>
      <c r="M6" s="78">
        <v>3285</v>
      </c>
      <c r="N6" s="78" t="str">
        <f t="shared" si="3"/>
        <v>OTU_5;size=3285;</v>
      </c>
      <c r="O6" s="78" t="s">
        <v>48</v>
      </c>
    </row>
    <row r="7" spans="1:15" x14ac:dyDescent="0.35">
      <c r="A7" s="63" t="s">
        <v>34</v>
      </c>
      <c r="B7" s="63">
        <v>1942</v>
      </c>
      <c r="C7" s="63" t="str">
        <f t="shared" si="0"/>
        <v>OTU_5;size=1942;</v>
      </c>
      <c r="D7" s="63" t="s">
        <v>44</v>
      </c>
      <c r="E7" s="77">
        <f t="shared" si="1"/>
        <v>100</v>
      </c>
      <c r="F7" s="78" t="str">
        <f t="shared" si="2"/>
        <v>Methanosaeta_harundinacea_(T)_8Ac_(AY817738)</v>
      </c>
      <c r="G7" t="s">
        <v>1630</v>
      </c>
      <c r="H7" s="77" t="s">
        <v>1875</v>
      </c>
      <c r="I7" s="77" t="s">
        <v>1876</v>
      </c>
      <c r="J7" s="77">
        <v>100</v>
      </c>
      <c r="L7" s="78" t="s">
        <v>23</v>
      </c>
      <c r="M7" s="78">
        <v>3116</v>
      </c>
      <c r="N7" s="78" t="str">
        <f t="shared" si="3"/>
        <v>OTU_4;size=3116;</v>
      </c>
      <c r="O7" s="78" t="s">
        <v>38</v>
      </c>
    </row>
    <row r="8" spans="1:15" x14ac:dyDescent="0.35">
      <c r="A8" s="63" t="s">
        <v>51</v>
      </c>
      <c r="B8" s="63">
        <v>1550</v>
      </c>
      <c r="C8" s="63" t="str">
        <f t="shared" si="0"/>
        <v>OTU_6;size=1550;</v>
      </c>
      <c r="D8" s="63" t="s">
        <v>38</v>
      </c>
      <c r="E8" s="77">
        <f t="shared" si="1"/>
        <v>100</v>
      </c>
      <c r="F8" s="78" t="str">
        <f t="shared" si="2"/>
        <v>Parabacteroides_distasonis_(T)_JCM_5825_(AB238922)</v>
      </c>
      <c r="G8" t="s">
        <v>1630</v>
      </c>
      <c r="H8" s="77" t="s">
        <v>1877</v>
      </c>
      <c r="I8" s="77" t="s">
        <v>1878</v>
      </c>
      <c r="J8" s="77">
        <v>100</v>
      </c>
      <c r="L8" s="78" t="s">
        <v>51</v>
      </c>
      <c r="M8" s="78">
        <v>1554</v>
      </c>
      <c r="N8" s="78" t="str">
        <f t="shared" si="3"/>
        <v>OTU_6;size=1554;</v>
      </c>
      <c r="O8" s="78" t="s">
        <v>14</v>
      </c>
    </row>
    <row r="9" spans="1:15" x14ac:dyDescent="0.35">
      <c r="A9" s="63" t="s">
        <v>39</v>
      </c>
      <c r="B9" s="63">
        <v>1066</v>
      </c>
      <c r="C9" s="63" t="str">
        <f t="shared" si="0"/>
        <v>OTU_7;size=1066;</v>
      </c>
      <c r="D9" s="63" t="s">
        <v>112</v>
      </c>
      <c r="E9" s="77">
        <f t="shared" si="1"/>
        <v>100</v>
      </c>
      <c r="F9" s="78" t="str">
        <f t="shared" si="2"/>
        <v>Pontibacter_sp._JC215_A10_(HG008901)</v>
      </c>
      <c r="G9" t="s">
        <v>1630</v>
      </c>
      <c r="H9" s="77" t="s">
        <v>1879</v>
      </c>
      <c r="I9" s="77" t="s">
        <v>1880</v>
      </c>
      <c r="J9" s="77">
        <v>100</v>
      </c>
      <c r="L9" s="78" t="s">
        <v>39</v>
      </c>
      <c r="M9" s="78">
        <v>1293</v>
      </c>
      <c r="N9" s="78" t="str">
        <f t="shared" si="3"/>
        <v>OTU_7;size=1293;</v>
      </c>
      <c r="O9" s="78" t="s">
        <v>86</v>
      </c>
    </row>
    <row r="10" spans="1:15" x14ac:dyDescent="0.35">
      <c r="A10" s="63" t="s">
        <v>31</v>
      </c>
      <c r="B10" s="63">
        <v>1015</v>
      </c>
      <c r="C10" s="63" t="str">
        <f t="shared" si="0"/>
        <v>OTU_8;size=1015;</v>
      </c>
      <c r="D10" s="63" t="s">
        <v>14</v>
      </c>
      <c r="E10" s="77">
        <f t="shared" si="1"/>
        <v>100</v>
      </c>
      <c r="F10" s="78" t="str">
        <f t="shared" si="2"/>
        <v>Desulfuromonas_acetexigens_(T)_(U23140)</v>
      </c>
      <c r="G10" t="s">
        <v>1630</v>
      </c>
      <c r="H10" s="77" t="s">
        <v>1881</v>
      </c>
      <c r="I10" s="77" t="s">
        <v>1882</v>
      </c>
      <c r="J10" s="77">
        <v>100</v>
      </c>
      <c r="L10" s="78" t="s">
        <v>31</v>
      </c>
      <c r="M10" s="78">
        <v>1124</v>
      </c>
      <c r="N10" s="78" t="str">
        <f t="shared" si="3"/>
        <v>OTU_8;size=1124;</v>
      </c>
      <c r="O10" s="78" t="s">
        <v>90</v>
      </c>
    </row>
    <row r="11" spans="1:15" x14ac:dyDescent="0.35">
      <c r="A11" s="63" t="s">
        <v>63</v>
      </c>
      <c r="B11" s="63">
        <v>942</v>
      </c>
      <c r="C11" s="63" t="str">
        <f t="shared" si="0"/>
        <v>OTU_9;size=942;</v>
      </c>
      <c r="D11" s="63" t="s">
        <v>90</v>
      </c>
      <c r="E11" s="77">
        <f t="shared" si="1"/>
        <v>100</v>
      </c>
      <c r="F11" s="78" t="str">
        <f t="shared" si="2"/>
        <v>Clostridium_hungatei_(T)_AD;_ATCC_700212_(AF020429)</v>
      </c>
      <c r="G11" t="s">
        <v>1630</v>
      </c>
      <c r="H11" s="77" t="s">
        <v>1883</v>
      </c>
      <c r="I11" s="77" t="s">
        <v>1884</v>
      </c>
      <c r="J11" s="77">
        <v>100</v>
      </c>
      <c r="L11" s="78" t="s">
        <v>63</v>
      </c>
      <c r="M11" s="78">
        <v>931</v>
      </c>
      <c r="N11" s="78" t="str">
        <f t="shared" si="3"/>
        <v>OTU_9;size=931;</v>
      </c>
      <c r="O11" s="78" t="s">
        <v>112</v>
      </c>
    </row>
    <row r="12" spans="1:15" x14ac:dyDescent="0.35">
      <c r="A12" s="63" t="s">
        <v>49</v>
      </c>
      <c r="B12" s="63">
        <v>754</v>
      </c>
      <c r="C12" s="63" t="str">
        <f t="shared" si="0"/>
        <v>OTU_10;size=754;</v>
      </c>
      <c r="D12" s="63" t="s">
        <v>86</v>
      </c>
      <c r="E12" s="77">
        <f t="shared" si="1"/>
        <v>100</v>
      </c>
      <c r="F12" s="78" t="str">
        <f t="shared" si="2"/>
        <v>Natronincola_peptidivorans_(T)_Z-7031_(EF382661)</v>
      </c>
      <c r="G12" t="s">
        <v>1630</v>
      </c>
      <c r="H12" s="77" t="s">
        <v>1885</v>
      </c>
      <c r="I12" s="77" t="s">
        <v>1886</v>
      </c>
      <c r="J12" s="77">
        <v>100</v>
      </c>
      <c r="L12" s="78" t="s">
        <v>49</v>
      </c>
      <c r="M12" s="78">
        <v>860</v>
      </c>
      <c r="N12" s="78" t="str">
        <f t="shared" si="3"/>
        <v>OTU_10;size=860;</v>
      </c>
      <c r="O12" s="78" t="s">
        <v>110</v>
      </c>
    </row>
    <row r="13" spans="1:15" x14ac:dyDescent="0.35">
      <c r="A13" s="63" t="s">
        <v>45</v>
      </c>
      <c r="B13" s="63">
        <v>624</v>
      </c>
      <c r="C13" s="63" t="str">
        <f t="shared" si="0"/>
        <v>OTU_11;size=624;</v>
      </c>
      <c r="D13" s="63" t="s">
        <v>110</v>
      </c>
      <c r="E13" s="77">
        <f t="shared" si="1"/>
        <v>100</v>
      </c>
      <c r="F13" s="78" t="str">
        <f t="shared" si="2"/>
        <v>Desulfovibrio_oxamicus_(T)_DSM_1925_(DQ122124)</v>
      </c>
      <c r="G13" t="s">
        <v>1630</v>
      </c>
      <c r="H13" s="77" t="s">
        <v>1887</v>
      </c>
      <c r="I13" s="77" t="s">
        <v>1888</v>
      </c>
      <c r="J13" s="77">
        <v>100</v>
      </c>
      <c r="L13" s="78" t="s">
        <v>45</v>
      </c>
      <c r="M13" s="78">
        <v>586</v>
      </c>
      <c r="N13" s="78" t="str">
        <f t="shared" si="3"/>
        <v>OTU_11;size=586;</v>
      </c>
      <c r="O13" s="78" t="s">
        <v>88</v>
      </c>
    </row>
    <row r="14" spans="1:15" x14ac:dyDescent="0.35">
      <c r="A14" s="63" t="s">
        <v>77</v>
      </c>
      <c r="B14" s="63">
        <v>334</v>
      </c>
      <c r="C14" s="63" t="str">
        <f t="shared" si="0"/>
        <v>OTU_12;size=334;</v>
      </c>
      <c r="D14" s="63" t="s">
        <v>136</v>
      </c>
      <c r="E14" s="77">
        <f t="shared" si="1"/>
        <v>100</v>
      </c>
      <c r="F14" s="78" t="str">
        <f t="shared" si="2"/>
        <v>Caldicoprobacter_guelmensis_(T)_D2C22_(JQ707908)</v>
      </c>
      <c r="G14" t="s">
        <v>1630</v>
      </c>
      <c r="H14" s="77" t="s">
        <v>1889</v>
      </c>
      <c r="I14" s="77" t="s">
        <v>1783</v>
      </c>
      <c r="J14" s="77">
        <v>100</v>
      </c>
      <c r="L14" s="78" t="s">
        <v>60</v>
      </c>
      <c r="M14" s="78">
        <v>533</v>
      </c>
      <c r="N14" s="78" t="str">
        <f t="shared" si="3"/>
        <v>OTU_15;size=533;</v>
      </c>
      <c r="O14" s="78" t="s">
        <v>67</v>
      </c>
    </row>
    <row r="15" spans="1:15" x14ac:dyDescent="0.35">
      <c r="A15" s="63" t="s">
        <v>68</v>
      </c>
      <c r="B15" s="63">
        <v>298</v>
      </c>
      <c r="C15" s="63" t="str">
        <f t="shared" si="0"/>
        <v>OTU_13;size=298;</v>
      </c>
      <c r="D15" s="63" t="s">
        <v>141</v>
      </c>
      <c r="E15" s="77">
        <f t="shared" si="1"/>
        <v>100</v>
      </c>
      <c r="F15" s="78" t="str">
        <f t="shared" si="2"/>
        <v>Magnetospira_thiophila_(T)_MMS-1_(EU861390)</v>
      </c>
      <c r="G15" t="s">
        <v>1630</v>
      </c>
      <c r="H15" s="77" t="s">
        <v>1890</v>
      </c>
      <c r="I15" s="77" t="s">
        <v>1504</v>
      </c>
      <c r="J15" s="77">
        <v>98.8</v>
      </c>
      <c r="L15" s="78" t="s">
        <v>68</v>
      </c>
      <c r="M15" s="78">
        <v>477</v>
      </c>
      <c r="N15" s="78" t="str">
        <f t="shared" si="3"/>
        <v>OTU_13;size=477;</v>
      </c>
      <c r="O15" s="78" t="s">
        <v>136</v>
      </c>
    </row>
    <row r="16" spans="1:15" x14ac:dyDescent="0.35">
      <c r="A16" s="63" t="s">
        <v>99</v>
      </c>
      <c r="B16" s="63">
        <v>290</v>
      </c>
      <c r="C16" s="63" t="str">
        <f t="shared" si="0"/>
        <v>OTU_20;size=290;</v>
      </c>
      <c r="D16" s="63" t="s">
        <v>1498</v>
      </c>
      <c r="E16" s="77">
        <f t="shared" si="1"/>
        <v>98.8</v>
      </c>
      <c r="F16" s="78" t="str">
        <f t="shared" si="2"/>
        <v>Sporomusa_ovata_strain_DSM_2662_(NR_117659.1)</v>
      </c>
      <c r="G16" t="s">
        <v>1630</v>
      </c>
      <c r="H16" s="77" t="s">
        <v>1891</v>
      </c>
      <c r="I16" s="77" t="s">
        <v>1892</v>
      </c>
      <c r="J16" s="77">
        <v>100</v>
      </c>
      <c r="L16" s="78" t="s">
        <v>77</v>
      </c>
      <c r="M16" s="78">
        <v>429</v>
      </c>
      <c r="N16" s="78" t="str">
        <f t="shared" si="3"/>
        <v>OTU_12;size=429;</v>
      </c>
      <c r="O16" s="78" t="s">
        <v>129</v>
      </c>
    </row>
    <row r="17" spans="1:15" x14ac:dyDescent="0.35">
      <c r="A17" s="63" t="s">
        <v>55</v>
      </c>
      <c r="B17" s="63">
        <v>222</v>
      </c>
      <c r="C17" s="63" t="str">
        <f t="shared" si="0"/>
        <v>OTU_14;size=222;</v>
      </c>
      <c r="D17" s="63" t="s">
        <v>54</v>
      </c>
      <c r="E17" s="77">
        <f t="shared" si="1"/>
        <v>100</v>
      </c>
      <c r="F17" s="78" t="str">
        <f t="shared" si="2"/>
        <v>Methanosarcina_siciliae_type_strain:_DSM3028_(FR733698)</v>
      </c>
      <c r="G17" t="s">
        <v>1630</v>
      </c>
      <c r="H17" s="77" t="s">
        <v>1893</v>
      </c>
      <c r="I17" s="77" t="s">
        <v>1953</v>
      </c>
      <c r="J17" s="77">
        <v>100</v>
      </c>
      <c r="L17" s="78" t="s">
        <v>55</v>
      </c>
      <c r="M17" s="78">
        <v>389</v>
      </c>
      <c r="N17" s="78" t="str">
        <f t="shared" si="3"/>
        <v>OTU_14;size=389;</v>
      </c>
      <c r="O17" s="78" t="s">
        <v>92</v>
      </c>
    </row>
    <row r="18" spans="1:15" x14ac:dyDescent="0.35">
      <c r="A18" s="63" t="s">
        <v>60</v>
      </c>
      <c r="B18" s="63">
        <v>200</v>
      </c>
      <c r="C18" s="63" t="str">
        <f t="shared" si="0"/>
        <v>OTU_15;size=200;</v>
      </c>
      <c r="D18" s="63" t="s">
        <v>129</v>
      </c>
      <c r="E18" s="77">
        <f t="shared" si="1"/>
        <v>100</v>
      </c>
      <c r="F18" s="78" t="str">
        <f t="shared" si="2"/>
        <v>Desulfovibrio_alkalitolerans_(T)_RT2_(AY649785)</v>
      </c>
      <c r="G18" t="s">
        <v>1630</v>
      </c>
      <c r="H18" s="77" t="s">
        <v>1894</v>
      </c>
      <c r="I18" s="77" t="s">
        <v>1895</v>
      </c>
      <c r="J18" s="77">
        <v>100</v>
      </c>
      <c r="L18" s="78" t="s">
        <v>135</v>
      </c>
      <c r="M18" s="78">
        <v>309</v>
      </c>
      <c r="N18" s="78" t="str">
        <f t="shared" si="3"/>
        <v>OTU_19;size=309;</v>
      </c>
      <c r="O18" s="78" t="s">
        <v>147</v>
      </c>
    </row>
    <row r="19" spans="1:15" x14ac:dyDescent="0.35">
      <c r="A19" s="63" t="s">
        <v>72</v>
      </c>
      <c r="B19" s="63">
        <v>188</v>
      </c>
      <c r="C19" s="63" t="str">
        <f t="shared" si="0"/>
        <v>OTU_16;size=188;</v>
      </c>
      <c r="D19" s="63" t="s">
        <v>144</v>
      </c>
      <c r="E19" s="77">
        <f t="shared" si="1"/>
        <v>100</v>
      </c>
      <c r="F19" s="78" t="str">
        <f t="shared" si="2"/>
        <v>Sunxiuqinia_faeciviva_(T)_JAM-BA0302_(AB362263)</v>
      </c>
      <c r="G19" t="s">
        <v>1630</v>
      </c>
      <c r="H19" s="77" t="s">
        <v>1896</v>
      </c>
      <c r="I19" s="77" t="s">
        <v>1897</v>
      </c>
      <c r="J19" s="77">
        <v>100</v>
      </c>
      <c r="L19" s="78" t="s">
        <v>72</v>
      </c>
      <c r="M19" s="78">
        <v>290</v>
      </c>
      <c r="N19" s="78" t="str">
        <f t="shared" si="3"/>
        <v>OTU_16;size=290;</v>
      </c>
      <c r="O19" s="78" t="s">
        <v>141</v>
      </c>
    </row>
    <row r="20" spans="1:15" x14ac:dyDescent="0.35">
      <c r="A20" s="63" t="s">
        <v>97</v>
      </c>
      <c r="B20" s="63">
        <v>178</v>
      </c>
      <c r="C20" s="63" t="str">
        <f t="shared" si="0"/>
        <v>OTU_17;size=178;</v>
      </c>
      <c r="D20" s="63" t="s">
        <v>196</v>
      </c>
      <c r="E20" s="77">
        <f t="shared" si="1"/>
        <v>100</v>
      </c>
      <c r="F20" s="78" t="str">
        <f t="shared" si="2"/>
        <v>Dielma_fastidiosa_strain_JC13_(NR_125593.1)</v>
      </c>
      <c r="G20" t="s">
        <v>1630</v>
      </c>
      <c r="H20" s="77" t="s">
        <v>1898</v>
      </c>
      <c r="I20" s="77" t="s">
        <v>1899</v>
      </c>
      <c r="J20" s="77">
        <v>100</v>
      </c>
      <c r="L20" s="78" t="s">
        <v>97</v>
      </c>
      <c r="M20" s="78">
        <v>254</v>
      </c>
      <c r="N20" s="78" t="str">
        <f t="shared" si="3"/>
        <v>OTU_17;size=254;</v>
      </c>
      <c r="O20" s="78" t="s">
        <v>134</v>
      </c>
    </row>
    <row r="21" spans="1:15" x14ac:dyDescent="0.35">
      <c r="A21" s="63" t="s">
        <v>74</v>
      </c>
      <c r="B21" s="63">
        <v>173</v>
      </c>
      <c r="C21" s="63" t="str">
        <f t="shared" si="0"/>
        <v>OTU_18;size=173;</v>
      </c>
      <c r="D21" s="63" t="s">
        <v>88</v>
      </c>
      <c r="E21" s="77">
        <f t="shared" si="1"/>
        <v>100</v>
      </c>
      <c r="F21" s="78" t="str">
        <f t="shared" si="2"/>
        <v>Methanobacterium_alcaliphilum_(T)_NBRC_105226_(AB496639)</v>
      </c>
      <c r="G21" t="s">
        <v>1630</v>
      </c>
      <c r="H21" s="77" t="s">
        <v>1841</v>
      </c>
      <c r="I21" s="77" t="s">
        <v>1900</v>
      </c>
      <c r="J21" s="77">
        <v>100</v>
      </c>
      <c r="L21" s="78" t="s">
        <v>74</v>
      </c>
      <c r="M21" s="78">
        <v>181</v>
      </c>
      <c r="N21" s="78" t="str">
        <f t="shared" si="3"/>
        <v>OTU_18;size=181;</v>
      </c>
      <c r="O21" s="78" t="s">
        <v>187</v>
      </c>
    </row>
    <row r="22" spans="1:15" x14ac:dyDescent="0.35">
      <c r="A22" s="63" t="s">
        <v>135</v>
      </c>
      <c r="B22" s="63">
        <v>155</v>
      </c>
      <c r="C22" s="63" t="str">
        <f t="shared" si="0"/>
        <v>OTU_19;size=155;</v>
      </c>
      <c r="D22" s="63" t="s">
        <v>96</v>
      </c>
      <c r="E22" s="77">
        <f t="shared" si="1"/>
        <v>100</v>
      </c>
      <c r="F22" s="78" t="str">
        <f t="shared" si="2"/>
        <v>Acetobacterium_malicum_(T)_DSM_4132_(X96957)</v>
      </c>
      <c r="G22" t="s">
        <v>1630</v>
      </c>
      <c r="H22" s="77" t="s">
        <v>1901</v>
      </c>
      <c r="I22" s="77" t="s">
        <v>1902</v>
      </c>
      <c r="J22" s="77">
        <v>100</v>
      </c>
      <c r="L22" s="78" t="s">
        <v>106</v>
      </c>
      <c r="M22" s="78">
        <v>153</v>
      </c>
      <c r="N22" s="78" t="str">
        <f t="shared" si="3"/>
        <v>OTU_21;size=153;</v>
      </c>
      <c r="O22" s="78" t="s">
        <v>96</v>
      </c>
    </row>
    <row r="23" spans="1:15" x14ac:dyDescent="0.35">
      <c r="A23" s="63" t="s">
        <v>106</v>
      </c>
      <c r="B23" s="63">
        <v>139</v>
      </c>
      <c r="C23" s="63" t="str">
        <f t="shared" si="0"/>
        <v>OTU_21;size=139;</v>
      </c>
      <c r="D23" s="63" t="s">
        <v>134</v>
      </c>
      <c r="E23" s="77">
        <f t="shared" si="1"/>
        <v>100</v>
      </c>
      <c r="F23" s="78" t="str">
        <f t="shared" si="2"/>
        <v>Syntrophobacter_sulfatireducens_(T)_TB8106_(AY651787)</v>
      </c>
      <c r="G23" t="s">
        <v>1630</v>
      </c>
      <c r="H23" s="77" t="s">
        <v>1903</v>
      </c>
      <c r="I23" s="77" t="s">
        <v>1904</v>
      </c>
      <c r="J23" s="77">
        <v>100</v>
      </c>
      <c r="L23" s="78" t="s">
        <v>99</v>
      </c>
      <c r="M23" s="78">
        <v>146</v>
      </c>
      <c r="N23" s="78" t="str">
        <f t="shared" si="3"/>
        <v>OTU_20;size=146;</v>
      </c>
      <c r="O23" s="78" t="s">
        <v>180</v>
      </c>
    </row>
    <row r="24" spans="1:15" x14ac:dyDescent="0.35">
      <c r="A24" s="63" t="s">
        <v>83</v>
      </c>
      <c r="B24" s="63">
        <v>129</v>
      </c>
      <c r="C24" s="63" t="str">
        <f t="shared" si="0"/>
        <v>OTU_22;size=129;</v>
      </c>
      <c r="D24" s="63" t="s">
        <v>92</v>
      </c>
      <c r="E24" s="77">
        <f t="shared" si="1"/>
        <v>100</v>
      </c>
      <c r="F24" s="78" t="str">
        <f t="shared" si="2"/>
        <v>Porphyromonas_pogonae_strain_MI_10-1288_(NR_136443.1)</v>
      </c>
      <c r="G24" t="s">
        <v>1630</v>
      </c>
      <c r="H24" s="77" t="s">
        <v>1905</v>
      </c>
      <c r="I24" s="77" t="s">
        <v>1906</v>
      </c>
      <c r="J24" s="77">
        <v>100</v>
      </c>
      <c r="L24" s="78" t="s">
        <v>83</v>
      </c>
      <c r="M24" s="78">
        <v>138</v>
      </c>
      <c r="N24" s="78" t="str">
        <f t="shared" si="3"/>
        <v>OTU_22;size=138;</v>
      </c>
      <c r="O24" s="78" t="s">
        <v>176</v>
      </c>
    </row>
    <row r="25" spans="1:15" x14ac:dyDescent="0.35">
      <c r="A25" s="63" t="s">
        <v>91</v>
      </c>
      <c r="B25" s="63">
        <v>126</v>
      </c>
      <c r="C25" s="63" t="str">
        <f t="shared" si="0"/>
        <v>OTU_23;size=126;</v>
      </c>
      <c r="D25" s="63" t="s">
        <v>176</v>
      </c>
      <c r="E25" s="77">
        <f t="shared" si="1"/>
        <v>100</v>
      </c>
      <c r="F25" s="78" t="str">
        <f t="shared" si="2"/>
        <v>Pseudomonas_songnenensis_strain_NEAU-ST5-5_(NR_148295.1)</v>
      </c>
      <c r="G25" t="s">
        <v>1630</v>
      </c>
      <c r="H25" s="77" t="s">
        <v>1907</v>
      </c>
      <c r="I25" s="77" t="s">
        <v>1908</v>
      </c>
      <c r="J25" s="77">
        <v>100</v>
      </c>
      <c r="L25" s="78" t="s">
        <v>93</v>
      </c>
      <c r="M25" s="78">
        <v>128</v>
      </c>
      <c r="N25" s="78" t="str">
        <f t="shared" si="3"/>
        <v>OTU_27;size=128;</v>
      </c>
      <c r="O25" s="78" t="s">
        <v>163</v>
      </c>
    </row>
    <row r="26" spans="1:15" x14ac:dyDescent="0.35">
      <c r="A26" s="63" t="s">
        <v>126</v>
      </c>
      <c r="B26" s="63">
        <v>118</v>
      </c>
      <c r="C26" s="63" t="str">
        <f t="shared" si="0"/>
        <v>OTU_24;size=118;</v>
      </c>
      <c r="D26" s="63" t="s">
        <v>180</v>
      </c>
      <c r="E26" s="77">
        <f t="shared" si="1"/>
        <v>100</v>
      </c>
      <c r="F26" s="78" t="str">
        <f t="shared" si="2"/>
        <v>Desulfitobacterium_metallireducens_(T)_853-15A_(AF297871)</v>
      </c>
      <c r="G26" t="s">
        <v>1630</v>
      </c>
      <c r="H26" s="77" t="s">
        <v>1909</v>
      </c>
      <c r="I26" s="77" t="s">
        <v>1910</v>
      </c>
      <c r="J26" s="77">
        <v>100</v>
      </c>
      <c r="L26" s="78" t="s">
        <v>91</v>
      </c>
      <c r="M26" s="78">
        <v>119</v>
      </c>
      <c r="N26" s="78" t="str">
        <f t="shared" si="3"/>
        <v>OTU_23;size=119;</v>
      </c>
      <c r="O26" s="78" t="s">
        <v>144</v>
      </c>
    </row>
    <row r="27" spans="1:15" x14ac:dyDescent="0.35">
      <c r="A27" s="63" t="s">
        <v>89</v>
      </c>
      <c r="B27" s="63">
        <v>103</v>
      </c>
      <c r="C27" s="63" t="str">
        <f t="shared" si="0"/>
        <v>OTU_26;size=103;</v>
      </c>
      <c r="D27" s="63" t="s">
        <v>163</v>
      </c>
      <c r="E27" s="77">
        <f t="shared" si="1"/>
        <v>100</v>
      </c>
      <c r="F27" s="78" t="str">
        <f t="shared" si="2"/>
        <v>Dethiobacter_alkaliphilus_(T)_AHT_1_(EF422412)</v>
      </c>
      <c r="G27" t="s">
        <v>1630</v>
      </c>
      <c r="H27" s="77" t="s">
        <v>1911</v>
      </c>
      <c r="I27" s="77" t="s">
        <v>1912</v>
      </c>
      <c r="J27" s="77">
        <v>100</v>
      </c>
      <c r="L27" s="78" t="s">
        <v>145</v>
      </c>
      <c r="M27" s="78">
        <v>108</v>
      </c>
      <c r="N27" s="78" t="str">
        <f t="shared" si="3"/>
        <v>OTU_25;size=108;</v>
      </c>
      <c r="O27" s="78" t="s">
        <v>152</v>
      </c>
    </row>
    <row r="28" spans="1:15" x14ac:dyDescent="0.35">
      <c r="A28" s="63" t="s">
        <v>145</v>
      </c>
      <c r="B28" s="63">
        <v>98</v>
      </c>
      <c r="C28" s="63" t="str">
        <f t="shared" si="0"/>
        <v>OTU_25;size=98;</v>
      </c>
      <c r="D28" s="63" t="s">
        <v>187</v>
      </c>
      <c r="E28" s="77">
        <f t="shared" si="1"/>
        <v>100</v>
      </c>
      <c r="F28" s="78" t="str">
        <f t="shared" si="2"/>
        <v>Desulfitibacter_alkalitolerans_(T)_sk.kt5_(AY538171)</v>
      </c>
      <c r="G28" t="s">
        <v>1630</v>
      </c>
      <c r="H28" s="77" t="s">
        <v>1913</v>
      </c>
      <c r="I28" s="77" t="s">
        <v>1914</v>
      </c>
      <c r="J28" s="77">
        <v>100</v>
      </c>
      <c r="L28" s="78" t="s">
        <v>126</v>
      </c>
      <c r="M28" s="78">
        <v>106</v>
      </c>
      <c r="N28" s="78" t="str">
        <f t="shared" si="3"/>
        <v>OTU_24;size=106;</v>
      </c>
      <c r="O28" s="78" t="s">
        <v>222</v>
      </c>
    </row>
    <row r="29" spans="1:15" x14ac:dyDescent="0.35">
      <c r="A29" s="63" t="s">
        <v>93</v>
      </c>
      <c r="B29" s="63">
        <v>69</v>
      </c>
      <c r="C29" s="63" t="str">
        <f t="shared" si="0"/>
        <v>OTU_27;size=69;</v>
      </c>
      <c r="D29" s="63" t="s">
        <v>212</v>
      </c>
      <c r="E29" s="77">
        <f t="shared" si="1"/>
        <v>100</v>
      </c>
      <c r="F29" s="78" t="str">
        <f t="shared" si="2"/>
        <v>Syntrophomonas_bryantii_type_strain:_DSM_3014_(HE654006)</v>
      </c>
      <c r="G29" t="s">
        <v>1630</v>
      </c>
      <c r="H29" s="77" t="s">
        <v>1915</v>
      </c>
      <c r="I29" s="77" t="s">
        <v>1916</v>
      </c>
      <c r="J29" s="77">
        <v>99.2</v>
      </c>
      <c r="L29" s="78" t="s">
        <v>89</v>
      </c>
      <c r="M29" s="78">
        <v>82</v>
      </c>
      <c r="N29" s="78" t="str">
        <f t="shared" si="3"/>
        <v>OTU_26;size=82;</v>
      </c>
      <c r="O29" s="78" t="s">
        <v>229</v>
      </c>
    </row>
    <row r="30" spans="1:15" x14ac:dyDescent="0.35">
      <c r="A30" s="63" t="s">
        <v>272</v>
      </c>
      <c r="B30" s="63">
        <v>65</v>
      </c>
      <c r="C30" s="63" t="str">
        <f t="shared" si="0"/>
        <v>OTU_34;size=65;</v>
      </c>
      <c r="D30" s="63" t="s">
        <v>220</v>
      </c>
      <c r="E30" s="77">
        <f t="shared" si="1"/>
        <v>100</v>
      </c>
      <c r="F30" s="78" t="str">
        <f t="shared" si="2"/>
        <v>Bellilinea_caldifistulae_(T)_GOMI-1_(AB243672)</v>
      </c>
      <c r="G30" t="s">
        <v>1630</v>
      </c>
      <c r="H30" s="77" t="s">
        <v>1917</v>
      </c>
      <c r="I30" s="77" t="s">
        <v>1918</v>
      </c>
      <c r="J30" s="77">
        <v>100</v>
      </c>
      <c r="L30" s="78" t="s">
        <v>87</v>
      </c>
      <c r="M30" s="78">
        <v>61</v>
      </c>
      <c r="N30" s="78" t="str">
        <f t="shared" si="3"/>
        <v>OTU_28;size=61;</v>
      </c>
      <c r="O30" s="78" t="s">
        <v>236</v>
      </c>
    </row>
    <row r="31" spans="1:15" x14ac:dyDescent="0.35">
      <c r="A31" s="63" t="s">
        <v>87</v>
      </c>
      <c r="B31" s="63">
        <v>65</v>
      </c>
      <c r="C31" s="63" t="str">
        <f t="shared" si="0"/>
        <v>OTU_28;size=65;</v>
      </c>
      <c r="D31" s="63" t="s">
        <v>229</v>
      </c>
      <c r="E31" s="77">
        <f t="shared" si="1"/>
        <v>99.2</v>
      </c>
      <c r="F31" s="78" t="str">
        <f t="shared" si="2"/>
        <v>Syntrophorhabdus_aromaticivorans_(T)_UI_(AB212873)</v>
      </c>
      <c r="G31" t="s">
        <v>1630</v>
      </c>
      <c r="H31" s="77" t="s">
        <v>1919</v>
      </c>
      <c r="I31" s="77" t="s">
        <v>1920</v>
      </c>
      <c r="J31" s="77">
        <v>100</v>
      </c>
      <c r="L31" s="78" t="s">
        <v>111</v>
      </c>
      <c r="M31" s="78">
        <v>61</v>
      </c>
      <c r="N31" s="78" t="str">
        <f t="shared" si="3"/>
        <v>OTU_32;size=61;</v>
      </c>
      <c r="O31" s="78" t="s">
        <v>251</v>
      </c>
    </row>
    <row r="32" spans="1:15" x14ac:dyDescent="0.35">
      <c r="A32" s="63" t="s">
        <v>294</v>
      </c>
      <c r="B32" s="63">
        <v>63</v>
      </c>
      <c r="C32" s="63" t="str">
        <f t="shared" si="0"/>
        <v>OTU_29;size=63;</v>
      </c>
      <c r="D32" s="63" t="s">
        <v>240</v>
      </c>
      <c r="E32" s="77">
        <f t="shared" si="1"/>
        <v>100</v>
      </c>
      <c r="F32" s="78" t="str">
        <f t="shared" si="2"/>
        <v>Clostridium_luticellarii_strain_FW431_(NR_145907.1)</v>
      </c>
      <c r="G32" t="s">
        <v>1630</v>
      </c>
      <c r="H32" s="77" t="s">
        <v>1921</v>
      </c>
      <c r="I32" s="77" t="s">
        <v>1922</v>
      </c>
      <c r="J32" s="77">
        <v>100</v>
      </c>
      <c r="L32" s="78" t="s">
        <v>294</v>
      </c>
      <c r="M32" s="78">
        <v>61</v>
      </c>
      <c r="N32" s="78" t="str">
        <f t="shared" si="3"/>
        <v>OTU_29;size=61;</v>
      </c>
      <c r="O32" s="78" t="s">
        <v>212</v>
      </c>
    </row>
    <row r="33" spans="1:15" x14ac:dyDescent="0.35">
      <c r="A33" s="63" t="s">
        <v>153</v>
      </c>
      <c r="B33" s="63">
        <v>57</v>
      </c>
      <c r="C33" s="63" t="str">
        <f t="shared" si="0"/>
        <v>OTU_30;size=57;</v>
      </c>
      <c r="D33" s="63" t="s">
        <v>222</v>
      </c>
      <c r="E33" s="77">
        <f t="shared" si="1"/>
        <v>100</v>
      </c>
      <c r="F33" s="78" t="str">
        <f t="shared" si="2"/>
        <v>Clostridium_thermocellum_(T)_ATCC_27405_(CP000568)</v>
      </c>
      <c r="G33" t="s">
        <v>1630</v>
      </c>
      <c r="H33" s="77" t="s">
        <v>1923</v>
      </c>
      <c r="I33" s="77" t="s">
        <v>1924</v>
      </c>
      <c r="J33" s="77">
        <v>100</v>
      </c>
      <c r="L33" s="78" t="s">
        <v>130</v>
      </c>
      <c r="M33" s="78">
        <v>58</v>
      </c>
      <c r="N33" s="78" t="str">
        <f t="shared" si="3"/>
        <v>OTU_33;size=58;</v>
      </c>
      <c r="O33" s="78" t="s">
        <v>220</v>
      </c>
    </row>
    <row r="34" spans="1:15" x14ac:dyDescent="0.35">
      <c r="A34" s="63" t="s">
        <v>602</v>
      </c>
      <c r="B34" s="63">
        <v>53</v>
      </c>
      <c r="C34" s="63" t="str">
        <f t="shared" si="0"/>
        <v>OTU_31;size=53;</v>
      </c>
      <c r="D34" s="63" t="s">
        <v>236</v>
      </c>
      <c r="E34" s="77">
        <f t="shared" si="1"/>
        <v>100</v>
      </c>
      <c r="F34" s="78" t="str">
        <f t="shared" si="2"/>
        <v>Spirochaeta_smaragdinae_(T)_SEBR_4228;_DSM_11293_(U80597)</v>
      </c>
      <c r="G34" t="s">
        <v>1630</v>
      </c>
      <c r="H34" s="77" t="s">
        <v>1925</v>
      </c>
      <c r="I34" s="77" t="s">
        <v>1638</v>
      </c>
      <c r="J34" s="77">
        <v>100</v>
      </c>
      <c r="L34" s="78" t="s">
        <v>153</v>
      </c>
      <c r="M34" s="78">
        <v>54</v>
      </c>
      <c r="N34" s="78" t="str">
        <f t="shared" si="3"/>
        <v>OTU_30;size=54;</v>
      </c>
      <c r="O34" s="78" t="s">
        <v>54</v>
      </c>
    </row>
    <row r="35" spans="1:15" x14ac:dyDescent="0.35">
      <c r="A35" s="63" t="s">
        <v>128</v>
      </c>
      <c r="B35" s="63">
        <v>50</v>
      </c>
      <c r="C35" s="63" t="str">
        <f t="shared" si="0"/>
        <v>OTU_37;size=50;</v>
      </c>
      <c r="D35" s="63" t="s">
        <v>152</v>
      </c>
      <c r="E35" s="77">
        <f t="shared" si="1"/>
        <v>100</v>
      </c>
      <c r="F35" s="78" t="str">
        <f t="shared" si="2"/>
        <v>Smithella_propionica_(T)_LYP_(AF126282)</v>
      </c>
      <c r="G35" t="s">
        <v>1630</v>
      </c>
      <c r="H35" s="77" t="s">
        <v>1926</v>
      </c>
      <c r="I35" s="77" t="s">
        <v>1927</v>
      </c>
      <c r="J35" s="77">
        <v>100</v>
      </c>
      <c r="L35" s="78" t="s">
        <v>602</v>
      </c>
      <c r="M35" s="78">
        <v>53</v>
      </c>
      <c r="N35" s="78" t="str">
        <f t="shared" si="3"/>
        <v>OTU_31;size=53;</v>
      </c>
      <c r="O35" s="78" t="s">
        <v>240</v>
      </c>
    </row>
    <row r="36" spans="1:15" x14ac:dyDescent="0.35">
      <c r="A36" s="63" t="s">
        <v>130</v>
      </c>
      <c r="B36" s="63">
        <v>43</v>
      </c>
      <c r="C36" s="63" t="str">
        <f t="shared" si="0"/>
        <v>OTU_33;size=43;</v>
      </c>
      <c r="D36" s="63" t="s">
        <v>270</v>
      </c>
      <c r="E36" s="77">
        <f t="shared" si="1"/>
        <v>100</v>
      </c>
      <c r="F36" s="78" t="str">
        <f t="shared" si="2"/>
        <v>Tepidanaerobacter_syntrophicus_(T)_JL_(AB106353)</v>
      </c>
      <c r="G36" t="s">
        <v>1630</v>
      </c>
      <c r="H36" s="77" t="s">
        <v>1918</v>
      </c>
      <c r="I36" s="77" t="s">
        <v>1928</v>
      </c>
      <c r="J36" s="77">
        <v>100</v>
      </c>
      <c r="L36" s="78" t="s">
        <v>272</v>
      </c>
      <c r="M36" s="78">
        <v>46</v>
      </c>
      <c r="N36" s="78" t="str">
        <f t="shared" si="3"/>
        <v>OTU_34;size=46;</v>
      </c>
      <c r="O36" s="78" t="s">
        <v>192</v>
      </c>
    </row>
    <row r="37" spans="1:15" x14ac:dyDescent="0.35">
      <c r="A37" s="63" t="s">
        <v>111</v>
      </c>
      <c r="B37" s="63">
        <v>40</v>
      </c>
      <c r="C37" s="63" t="str">
        <f t="shared" si="0"/>
        <v>OTU_32;size=40;</v>
      </c>
      <c r="D37" s="63" t="s">
        <v>1631</v>
      </c>
      <c r="E37" s="77">
        <f t="shared" si="1"/>
        <v>100</v>
      </c>
      <c r="F37" s="78" t="str">
        <f t="shared" si="2"/>
        <v>-</v>
      </c>
      <c r="G37" t="s">
        <v>1630</v>
      </c>
      <c r="H37" s="77" t="s">
        <v>1499</v>
      </c>
      <c r="I37" s="77" t="s">
        <v>1929</v>
      </c>
      <c r="J37" s="77">
        <v>100</v>
      </c>
      <c r="L37" s="78" t="s">
        <v>193</v>
      </c>
      <c r="M37" s="78">
        <v>39</v>
      </c>
      <c r="N37" s="78" t="str">
        <f t="shared" si="3"/>
        <v>OTU_36;size=39;</v>
      </c>
      <c r="O37" s="78" t="s">
        <v>288</v>
      </c>
    </row>
    <row r="38" spans="1:15" x14ac:dyDescent="0.35">
      <c r="A38" s="63" t="s">
        <v>113</v>
      </c>
      <c r="B38" s="63">
        <v>38</v>
      </c>
      <c r="C38" s="63" t="str">
        <f t="shared" si="0"/>
        <v>OTU_35;size=38;</v>
      </c>
      <c r="D38" s="63" t="s">
        <v>251</v>
      </c>
      <c r="E38" s="77">
        <f t="shared" si="1"/>
        <v>100</v>
      </c>
      <c r="F38" s="78" t="str">
        <f t="shared" si="2"/>
        <v>Geoalkalibacter_ferrihydriticus_(T)_Z-0531_(DQ309326)</v>
      </c>
      <c r="G38" t="s">
        <v>1630</v>
      </c>
      <c r="H38" s="77" t="s">
        <v>1904</v>
      </c>
      <c r="I38" s="77" t="s">
        <v>1631</v>
      </c>
      <c r="J38" s="77" t="s">
        <v>1631</v>
      </c>
      <c r="L38" s="78" t="s">
        <v>128</v>
      </c>
      <c r="M38" s="78">
        <v>33</v>
      </c>
      <c r="N38" s="78" t="str">
        <f t="shared" si="3"/>
        <v>OTU_37;size=33;</v>
      </c>
      <c r="O38" s="78" t="s">
        <v>610</v>
      </c>
    </row>
    <row r="39" spans="1:15" x14ac:dyDescent="0.35">
      <c r="A39" s="63" t="s">
        <v>193</v>
      </c>
      <c r="B39" s="63">
        <v>33</v>
      </c>
      <c r="C39" s="63" t="str">
        <f t="shared" si="0"/>
        <v>OTU_36;size=33;</v>
      </c>
      <c r="D39" s="63" t="s">
        <v>229</v>
      </c>
      <c r="E39" s="77">
        <f t="shared" si="1"/>
        <v>100</v>
      </c>
      <c r="F39" s="78" t="str">
        <f t="shared" si="2"/>
        <v>Syntrophorhabdus_aromaticivorans_(T)_UI_(AB212873)</v>
      </c>
      <c r="G39" t="s">
        <v>1630</v>
      </c>
      <c r="H39" s="77" t="s">
        <v>1641</v>
      </c>
      <c r="I39" s="77" t="s">
        <v>1930</v>
      </c>
      <c r="J39" s="77">
        <v>100</v>
      </c>
      <c r="L39" s="78" t="s">
        <v>113</v>
      </c>
      <c r="M39" s="78">
        <v>33</v>
      </c>
      <c r="N39" s="78" t="str">
        <f t="shared" si="3"/>
        <v>OTU_35;size=33;</v>
      </c>
      <c r="O39" s="78" t="s">
        <v>283</v>
      </c>
    </row>
    <row r="40" spans="1:15" x14ac:dyDescent="0.35">
      <c r="A40" s="63" t="s">
        <v>349</v>
      </c>
      <c r="B40" s="63">
        <v>33</v>
      </c>
      <c r="C40" s="63" t="str">
        <f t="shared" si="0"/>
        <v>OTU_38;size=33;</v>
      </c>
      <c r="D40" s="63" t="s">
        <v>324</v>
      </c>
      <c r="E40" s="77">
        <f t="shared" si="1"/>
        <v>100</v>
      </c>
      <c r="F40" s="78" t="str">
        <f t="shared" si="2"/>
        <v>Longilinea_arvoryzae_(T)_KOME-1_(AB243673)</v>
      </c>
      <c r="G40" t="s">
        <v>1630</v>
      </c>
      <c r="H40" s="77" t="s">
        <v>1931</v>
      </c>
      <c r="I40" s="77" t="s">
        <v>1932</v>
      </c>
      <c r="J40" s="77">
        <v>100</v>
      </c>
      <c r="L40" s="78" t="s">
        <v>197</v>
      </c>
      <c r="M40" s="78">
        <v>32</v>
      </c>
      <c r="N40" s="78" t="str">
        <f t="shared" si="3"/>
        <v>OTU_43;size=32;</v>
      </c>
      <c r="O40" s="78" t="s">
        <v>270</v>
      </c>
    </row>
    <row r="41" spans="1:15" x14ac:dyDescent="0.35">
      <c r="A41" s="63" t="s">
        <v>137</v>
      </c>
      <c r="B41" s="63">
        <v>32</v>
      </c>
      <c r="C41" s="63" t="str">
        <f t="shared" si="0"/>
        <v>OTU_39;size=32;</v>
      </c>
      <c r="D41" s="83" t="s">
        <v>299</v>
      </c>
      <c r="E41" s="77" t="str">
        <f t="shared" si="1"/>
        <v>-</v>
      </c>
      <c r="F41" s="84" t="str">
        <f t="shared" si="2"/>
        <v>Not present in amplicons</v>
      </c>
      <c r="G41" t="s">
        <v>1630</v>
      </c>
      <c r="H41" s="77" t="s">
        <v>1933</v>
      </c>
      <c r="I41" s="77" t="s">
        <v>1934</v>
      </c>
      <c r="J41" s="77">
        <v>100</v>
      </c>
      <c r="L41" s="78" t="s">
        <v>137</v>
      </c>
      <c r="M41" s="78">
        <v>32</v>
      </c>
      <c r="N41" s="78" t="str">
        <f t="shared" si="3"/>
        <v>OTU_39;size=32;</v>
      </c>
      <c r="O41" s="78" t="s">
        <v>196</v>
      </c>
    </row>
    <row r="42" spans="1:15" x14ac:dyDescent="0.35">
      <c r="A42" s="63" t="s">
        <v>119</v>
      </c>
      <c r="B42" s="63">
        <v>27</v>
      </c>
      <c r="C42" s="63" t="str">
        <f t="shared" si="0"/>
        <v>OTU_40;size=27;</v>
      </c>
      <c r="D42" s="63" t="s">
        <v>281</v>
      </c>
      <c r="E42" s="77">
        <f t="shared" si="1"/>
        <v>100</v>
      </c>
      <c r="F42" s="78" t="str">
        <f t="shared" si="2"/>
        <v>Veillonella_magna_(T)_lac18_(EU096495)</v>
      </c>
      <c r="G42" t="s">
        <v>1630</v>
      </c>
      <c r="H42" s="77" t="s">
        <v>1632</v>
      </c>
      <c r="I42" s="77" t="s">
        <v>1522</v>
      </c>
      <c r="J42" s="77">
        <v>100</v>
      </c>
      <c r="L42" s="78" t="s">
        <v>349</v>
      </c>
      <c r="M42" s="78">
        <v>31</v>
      </c>
      <c r="N42" s="78" t="str">
        <f t="shared" si="3"/>
        <v>OTU_38;size=31;</v>
      </c>
      <c r="O42" s="78" t="s">
        <v>82</v>
      </c>
    </row>
    <row r="43" spans="1:15" x14ac:dyDescent="0.35">
      <c r="A43" s="63" t="s">
        <v>142</v>
      </c>
      <c r="B43" s="63">
        <v>24</v>
      </c>
      <c r="C43" s="63" t="str">
        <f t="shared" si="0"/>
        <v>OTU_42;size=24;</v>
      </c>
      <c r="D43" s="63" t="s">
        <v>360</v>
      </c>
      <c r="E43" s="77">
        <f t="shared" si="1"/>
        <v>100</v>
      </c>
      <c r="F43" s="78" t="str">
        <f t="shared" si="2"/>
        <v>Syntrophomonas_zehnderi_(T)_OL-4_(DQ898277)</v>
      </c>
      <c r="G43" t="s">
        <v>1630</v>
      </c>
      <c r="H43" s="77" t="s">
        <v>1518</v>
      </c>
      <c r="I43" s="77" t="s">
        <v>1935</v>
      </c>
      <c r="J43" s="77">
        <v>100</v>
      </c>
      <c r="L43" s="78" t="s">
        <v>142</v>
      </c>
      <c r="M43" s="78">
        <v>29</v>
      </c>
      <c r="N43" s="78" t="str">
        <f t="shared" si="3"/>
        <v>OTU_42;size=29;</v>
      </c>
      <c r="O43" s="78" t="s">
        <v>59</v>
      </c>
    </row>
    <row r="44" spans="1:15" x14ac:dyDescent="0.35">
      <c r="A44" s="63" t="s">
        <v>181</v>
      </c>
      <c r="B44" s="63">
        <v>24</v>
      </c>
      <c r="C44" s="63" t="str">
        <f t="shared" si="0"/>
        <v>OTU_41;size=24;</v>
      </c>
      <c r="D44" s="63" t="s">
        <v>192</v>
      </c>
      <c r="E44" s="77">
        <f t="shared" si="1"/>
        <v>100</v>
      </c>
      <c r="F44" s="78" t="str">
        <f t="shared" si="2"/>
        <v>Ruminococcaceae_bacterium_ZWB_4_(HG003571)</v>
      </c>
      <c r="G44" t="s">
        <v>1630</v>
      </c>
      <c r="H44" s="77" t="s">
        <v>1936</v>
      </c>
      <c r="I44" s="77" t="s">
        <v>1937</v>
      </c>
      <c r="J44" s="77">
        <v>100</v>
      </c>
      <c r="L44" s="78" t="s">
        <v>181</v>
      </c>
      <c r="M44" s="78">
        <v>29</v>
      </c>
      <c r="N44" s="78" t="str">
        <f t="shared" si="3"/>
        <v>OTU_41;size=29;</v>
      </c>
      <c r="O44" s="78" t="s">
        <v>614</v>
      </c>
    </row>
    <row r="45" spans="1:15" x14ac:dyDescent="0.35">
      <c r="A45" s="63" t="s">
        <v>197</v>
      </c>
      <c r="B45" s="63">
        <v>21</v>
      </c>
      <c r="C45" s="63" t="str">
        <f t="shared" si="0"/>
        <v>OTU_43;size=21;</v>
      </c>
      <c r="D45" s="63" t="s">
        <v>787</v>
      </c>
      <c r="E45" s="77">
        <f t="shared" si="1"/>
        <v>100</v>
      </c>
      <c r="F45" s="78" t="str">
        <f t="shared" si="2"/>
        <v>Clostridium_thermopalmarium_(T)_(X72869)</v>
      </c>
      <c r="G45" t="s">
        <v>1630</v>
      </c>
      <c r="H45" s="77" t="s">
        <v>1519</v>
      </c>
      <c r="I45" s="77" t="s">
        <v>1938</v>
      </c>
      <c r="J45" s="77">
        <v>100</v>
      </c>
      <c r="L45" s="78" t="s">
        <v>119</v>
      </c>
      <c r="M45" s="78">
        <v>28</v>
      </c>
      <c r="N45" s="78" t="str">
        <f t="shared" si="3"/>
        <v>OTU_40;size=28;</v>
      </c>
      <c r="O45" s="78" t="s">
        <v>281</v>
      </c>
    </row>
    <row r="46" spans="1:15" x14ac:dyDescent="0.35">
      <c r="A46" s="63" t="s">
        <v>164</v>
      </c>
      <c r="B46" s="63">
        <v>19</v>
      </c>
      <c r="C46" s="63" t="str">
        <f t="shared" si="0"/>
        <v>OTU_44;size=19;</v>
      </c>
      <c r="D46" s="63" t="s">
        <v>468</v>
      </c>
      <c r="E46" s="77">
        <f t="shared" si="1"/>
        <v>100</v>
      </c>
      <c r="F46" s="78" t="str">
        <f t="shared" si="2"/>
        <v>Methanolinea_mesophila_TNR_(AB447467)</v>
      </c>
      <c r="G46" t="s">
        <v>1630</v>
      </c>
      <c r="H46" s="77" t="s">
        <v>1939</v>
      </c>
      <c r="I46" s="77" t="s">
        <v>1940</v>
      </c>
      <c r="J46" s="77">
        <v>100</v>
      </c>
      <c r="L46" s="78" t="s">
        <v>164</v>
      </c>
      <c r="M46" s="78">
        <v>25</v>
      </c>
      <c r="N46" s="78" t="str">
        <f t="shared" si="3"/>
        <v>OTU_44;size=25;</v>
      </c>
      <c r="O46" s="78" t="s">
        <v>229</v>
      </c>
    </row>
    <row r="47" spans="1:15" x14ac:dyDescent="0.35">
      <c r="A47" s="63" t="s">
        <v>149</v>
      </c>
      <c r="B47" s="63">
        <v>18</v>
      </c>
      <c r="C47" s="63" t="str">
        <f t="shared" si="0"/>
        <v>OTU_45;size=18;</v>
      </c>
      <c r="D47" s="63" t="s">
        <v>610</v>
      </c>
      <c r="E47" s="77">
        <f t="shared" si="1"/>
        <v>100</v>
      </c>
      <c r="F47" s="78" t="str">
        <f t="shared" si="2"/>
        <v>Thermoanaerobacter_pseudethanolicus_ATCC_33223_(CP000924)</v>
      </c>
      <c r="G47" t="s">
        <v>1630</v>
      </c>
      <c r="H47" s="77" t="s">
        <v>1860</v>
      </c>
      <c r="I47" s="77" t="s">
        <v>1521</v>
      </c>
      <c r="J47" s="77">
        <v>100</v>
      </c>
      <c r="L47" s="78" t="s">
        <v>148</v>
      </c>
      <c r="M47" s="78">
        <v>22</v>
      </c>
      <c r="N47" s="78" t="str">
        <f t="shared" si="3"/>
        <v>OTU_47;size=22;</v>
      </c>
      <c r="O47" s="78" t="s">
        <v>324</v>
      </c>
    </row>
    <row r="48" spans="1:15" x14ac:dyDescent="0.35">
      <c r="A48" s="63" t="s">
        <v>171</v>
      </c>
      <c r="B48" s="63">
        <v>16</v>
      </c>
      <c r="C48" s="63" t="str">
        <f t="shared" si="0"/>
        <v>OTU_46;size=16;</v>
      </c>
      <c r="D48" s="63" t="s">
        <v>370</v>
      </c>
      <c r="E48" s="77">
        <f t="shared" si="1"/>
        <v>100</v>
      </c>
      <c r="F48" s="78" t="str">
        <f t="shared" si="2"/>
        <v>Pelotomaculum_thermopropionicum_(T)_SI_(AB035723)</v>
      </c>
      <c r="G48" t="s">
        <v>1630</v>
      </c>
      <c r="H48" s="77" t="s">
        <v>1633</v>
      </c>
      <c r="I48" s="77" t="s">
        <v>1512</v>
      </c>
      <c r="J48" s="77">
        <v>100</v>
      </c>
      <c r="L48" s="78" t="s">
        <v>171</v>
      </c>
      <c r="M48" s="78">
        <v>17</v>
      </c>
      <c r="N48" s="78" t="str">
        <f t="shared" si="3"/>
        <v>OTU_46;size=17;</v>
      </c>
      <c r="O48" s="78" t="s">
        <v>787</v>
      </c>
    </row>
    <row r="49" spans="1:15" x14ac:dyDescent="0.35">
      <c r="A49" s="63" t="s">
        <v>148</v>
      </c>
      <c r="B49" s="63">
        <v>13</v>
      </c>
      <c r="C49" s="63" t="str">
        <f t="shared" si="0"/>
        <v>OTU_47;size=13;</v>
      </c>
      <c r="D49" s="63" t="s">
        <v>614</v>
      </c>
      <c r="E49" s="77">
        <f t="shared" si="1"/>
        <v>100</v>
      </c>
      <c r="F49" s="78" t="str">
        <f t="shared" si="2"/>
        <v>Clostridium_thermosuccinogenes_(T)_DSM_5807_(Y18180)</v>
      </c>
      <c r="G49" t="s">
        <v>1630</v>
      </c>
      <c r="H49" s="77" t="s">
        <v>1941</v>
      </c>
      <c r="I49" s="77" t="s">
        <v>1636</v>
      </c>
      <c r="J49" s="77">
        <v>96</v>
      </c>
      <c r="L49" s="78" t="s">
        <v>149</v>
      </c>
      <c r="M49" s="78">
        <v>17</v>
      </c>
      <c r="N49" s="78" t="str">
        <f t="shared" si="3"/>
        <v>OTU_45;size=17;</v>
      </c>
      <c r="O49" s="78" t="s">
        <v>335</v>
      </c>
    </row>
    <row r="50" spans="1:15" x14ac:dyDescent="0.35">
      <c r="A50" s="63" t="s">
        <v>203</v>
      </c>
      <c r="B50" s="63">
        <v>12</v>
      </c>
      <c r="C50" s="63" t="str">
        <f t="shared" si="0"/>
        <v>OTU_48;size=12;</v>
      </c>
      <c r="D50" s="63" t="s">
        <v>335</v>
      </c>
      <c r="E50" s="77">
        <f t="shared" si="1"/>
        <v>96</v>
      </c>
      <c r="F50" s="78" t="str">
        <f t="shared" si="2"/>
        <v>Vallitalea_pronyensis_FatNI3_(KC876639)</v>
      </c>
      <c r="G50" t="s">
        <v>1630</v>
      </c>
      <c r="H50" s="77" t="s">
        <v>1942</v>
      </c>
      <c r="I50" s="77" t="s">
        <v>1943</v>
      </c>
      <c r="J50" s="77">
        <v>100</v>
      </c>
      <c r="L50" s="78" t="s">
        <v>189</v>
      </c>
      <c r="M50" s="78">
        <v>16</v>
      </c>
      <c r="N50" s="78" t="str">
        <f t="shared" si="3"/>
        <v>OTU_54;size=16;</v>
      </c>
      <c r="O50" s="78" t="s">
        <v>370</v>
      </c>
    </row>
    <row r="51" spans="1:15" x14ac:dyDescent="0.35">
      <c r="A51" s="63" t="s">
        <v>255</v>
      </c>
      <c r="B51" s="63">
        <v>11</v>
      </c>
      <c r="C51" s="63" t="str">
        <f t="shared" si="0"/>
        <v>OTU_51;size=11;</v>
      </c>
      <c r="D51" s="63" t="s">
        <v>321</v>
      </c>
      <c r="E51" s="77">
        <f t="shared" si="1"/>
        <v>97.6</v>
      </c>
      <c r="F51" s="78" t="str">
        <f t="shared" si="2"/>
        <v>Gracilibacter_thermotolerans_(T)_JW/YJL-S1_(DQ117465)</v>
      </c>
      <c r="G51" t="s">
        <v>1630</v>
      </c>
      <c r="H51" s="77" t="s">
        <v>1944</v>
      </c>
      <c r="I51" s="77" t="s">
        <v>1501</v>
      </c>
      <c r="J51" s="77">
        <v>97.6</v>
      </c>
      <c r="L51" s="78" t="s">
        <v>255</v>
      </c>
      <c r="M51" s="78">
        <v>14</v>
      </c>
      <c r="N51" s="78" t="str">
        <f t="shared" si="3"/>
        <v>OTU_51;size=14;</v>
      </c>
      <c r="O51" s="78" t="s">
        <v>321</v>
      </c>
    </row>
    <row r="52" spans="1:15" x14ac:dyDescent="0.35">
      <c r="A52" s="63" t="s">
        <v>209</v>
      </c>
      <c r="B52" s="63">
        <v>11</v>
      </c>
      <c r="C52" s="63" t="str">
        <f t="shared" si="0"/>
        <v>OTU_49;size=11;</v>
      </c>
      <c r="D52" s="63" t="s">
        <v>288</v>
      </c>
      <c r="E52" s="77">
        <f t="shared" si="1"/>
        <v>100</v>
      </c>
      <c r="F52" s="78" t="str">
        <f t="shared" si="2"/>
        <v>Desulfotomaculum_varum_RH04-3_(GU126374)</v>
      </c>
      <c r="G52" t="s">
        <v>1630</v>
      </c>
      <c r="H52" s="77" t="s">
        <v>1945</v>
      </c>
      <c r="I52" s="77" t="s">
        <v>1500</v>
      </c>
      <c r="J52" s="77">
        <v>99.2</v>
      </c>
      <c r="L52" s="78" t="s">
        <v>159</v>
      </c>
      <c r="M52" s="78">
        <v>14</v>
      </c>
      <c r="N52" s="78" t="str">
        <f t="shared" si="3"/>
        <v>OTU_50;size=14;</v>
      </c>
      <c r="O52" s="78" t="s">
        <v>319</v>
      </c>
    </row>
    <row r="53" spans="1:15" x14ac:dyDescent="0.35">
      <c r="A53" s="63" t="s">
        <v>159</v>
      </c>
      <c r="B53" s="63">
        <v>9</v>
      </c>
      <c r="C53" s="63" t="str">
        <f t="shared" si="0"/>
        <v>OTU_50;size=9;</v>
      </c>
      <c r="D53" s="83" t="s">
        <v>321</v>
      </c>
      <c r="E53" s="77" t="str">
        <f t="shared" si="1"/>
        <v>-</v>
      </c>
      <c r="F53" s="84" t="str">
        <f t="shared" si="2"/>
        <v>Not present in amplicons</v>
      </c>
      <c r="G53" t="s">
        <v>1630</v>
      </c>
      <c r="H53" s="77" t="s">
        <v>1505</v>
      </c>
      <c r="I53" s="77" t="s">
        <v>1631</v>
      </c>
      <c r="J53" s="77" t="s">
        <v>1631</v>
      </c>
      <c r="L53" s="78" t="s">
        <v>203</v>
      </c>
      <c r="M53" s="78">
        <v>14</v>
      </c>
      <c r="N53" s="78" t="str">
        <f t="shared" si="3"/>
        <v>OTU_48;size=14;</v>
      </c>
      <c r="O53" s="78" t="s">
        <v>263</v>
      </c>
    </row>
    <row r="54" spans="1:15" x14ac:dyDescent="0.35">
      <c r="A54" s="63" t="s">
        <v>237</v>
      </c>
      <c r="B54" s="63">
        <v>7</v>
      </c>
      <c r="C54" s="63" t="str">
        <f t="shared" si="0"/>
        <v>OTU_53;size=7;</v>
      </c>
      <c r="D54" s="63" t="s">
        <v>335</v>
      </c>
      <c r="E54" s="77">
        <f t="shared" si="1"/>
        <v>99.2</v>
      </c>
      <c r="F54" s="78" t="str">
        <f t="shared" si="2"/>
        <v>Vallitalea_pronyensis_FatNI3_(KC876639)</v>
      </c>
      <c r="G54" t="s">
        <v>1630</v>
      </c>
      <c r="H54" s="77" t="s">
        <v>1639</v>
      </c>
      <c r="I54" s="77" t="s">
        <v>1946</v>
      </c>
      <c r="J54" s="77">
        <v>100</v>
      </c>
      <c r="L54" s="78" t="s">
        <v>177</v>
      </c>
      <c r="M54" s="78">
        <v>13</v>
      </c>
      <c r="N54" s="78" t="str">
        <f t="shared" si="3"/>
        <v>OTU_55;size=13;</v>
      </c>
      <c r="O54" s="78" t="s">
        <v>247</v>
      </c>
    </row>
    <row r="55" spans="1:15" x14ac:dyDescent="0.35">
      <c r="A55" s="63" t="s">
        <v>156</v>
      </c>
      <c r="B55" s="63">
        <v>7</v>
      </c>
      <c r="C55" s="63" t="str">
        <f t="shared" si="0"/>
        <v>OTU_52;size=7;</v>
      </c>
      <c r="D55" s="63" t="s">
        <v>30</v>
      </c>
      <c r="E55" s="77">
        <f t="shared" si="1"/>
        <v>96.9</v>
      </c>
      <c r="F55" s="78" t="str">
        <f t="shared" si="2"/>
        <v>Methanobacterium_subterraneum_(T)_A8p,_DSM_11074_(X99044)</v>
      </c>
      <c r="G55" t="s">
        <v>1630</v>
      </c>
      <c r="H55" s="77" t="s">
        <v>1947</v>
      </c>
      <c r="I55" s="77" t="s">
        <v>1948</v>
      </c>
      <c r="J55" s="77">
        <v>100</v>
      </c>
      <c r="L55" s="78" t="s">
        <v>213</v>
      </c>
      <c r="M55" s="78">
        <v>12</v>
      </c>
      <c r="N55" s="78" t="str">
        <f t="shared" si="3"/>
        <v>OTU_63;size=12;</v>
      </c>
      <c r="O55" s="78" t="s">
        <v>187</v>
      </c>
    </row>
    <row r="56" spans="1:15" x14ac:dyDescent="0.35">
      <c r="A56" s="63" t="s">
        <v>189</v>
      </c>
      <c r="B56" s="63">
        <v>6</v>
      </c>
      <c r="C56" s="63" t="str">
        <f t="shared" si="0"/>
        <v>OTU_54;size=6;</v>
      </c>
      <c r="D56" s="63" t="s">
        <v>187</v>
      </c>
      <c r="E56" s="77">
        <f t="shared" si="1"/>
        <v>100</v>
      </c>
      <c r="F56" s="78" t="str">
        <f t="shared" si="2"/>
        <v>Desulfitibacter_alkalitolerans_(T)_sk.kt5_(AY538171)</v>
      </c>
      <c r="G56" t="s">
        <v>1630</v>
      </c>
      <c r="H56" s="77" t="s">
        <v>1949</v>
      </c>
      <c r="I56" s="77" t="s">
        <v>1635</v>
      </c>
      <c r="J56" s="77">
        <v>100</v>
      </c>
      <c r="L56" s="78" t="s">
        <v>209</v>
      </c>
      <c r="M56" s="78">
        <v>12</v>
      </c>
      <c r="N56" s="78" t="str">
        <f t="shared" si="3"/>
        <v>OTU_49;size=12;</v>
      </c>
      <c r="O56" s="78" t="s">
        <v>163</v>
      </c>
    </row>
    <row r="57" spans="1:15" x14ac:dyDescent="0.35">
      <c r="A57" s="63" t="s">
        <v>177</v>
      </c>
      <c r="B57" s="63">
        <v>4</v>
      </c>
      <c r="C57" s="63" t="str">
        <f t="shared" si="0"/>
        <v>OTU_55;size=4;</v>
      </c>
      <c r="D57" s="63" t="s">
        <v>170</v>
      </c>
      <c r="E57" s="77">
        <f t="shared" si="1"/>
        <v>96</v>
      </c>
      <c r="F57" s="78" t="str">
        <f t="shared" si="2"/>
        <v>Aminiphilus_circumscriptus_(T)_ILE-2_(AY642589)</v>
      </c>
      <c r="G57" t="s">
        <v>1630</v>
      </c>
      <c r="H57" s="77" t="s">
        <v>1640</v>
      </c>
      <c r="I57" s="77" t="s">
        <v>1950</v>
      </c>
      <c r="J57" s="77">
        <v>96</v>
      </c>
      <c r="L57" s="78" t="s">
        <v>237</v>
      </c>
      <c r="M57" s="78">
        <v>11</v>
      </c>
      <c r="N57" s="78" t="str">
        <f t="shared" si="3"/>
        <v>OTU_53;size=11;</v>
      </c>
      <c r="O57" s="78" t="s">
        <v>1631</v>
      </c>
    </row>
    <row r="58" spans="1:15" x14ac:dyDescent="0.35">
      <c r="A58" s="63" t="s">
        <v>307</v>
      </c>
      <c r="B58" s="63">
        <v>3</v>
      </c>
      <c r="C58" s="63" t="str">
        <f t="shared" si="0"/>
        <v>OTU_56;size=3;</v>
      </c>
      <c r="D58" s="63" t="s">
        <v>362</v>
      </c>
      <c r="E58" s="77">
        <f t="shared" si="1"/>
        <v>100</v>
      </c>
      <c r="F58" s="78" t="str">
        <f t="shared" si="2"/>
        <v>Pelospora_glutarica_(T)_WoGl3_(AJ251214)</v>
      </c>
      <c r="G58" t="s">
        <v>1630</v>
      </c>
      <c r="H58" s="77" t="s">
        <v>1513</v>
      </c>
      <c r="I58" s="77" t="s">
        <v>1870</v>
      </c>
      <c r="J58" s="77">
        <v>96.9</v>
      </c>
      <c r="L58" s="78" t="s">
        <v>188</v>
      </c>
      <c r="M58" s="78">
        <v>11</v>
      </c>
      <c r="N58" s="78" t="str">
        <f t="shared" si="3"/>
        <v>OTU_59;size=11;</v>
      </c>
      <c r="O58" s="78" t="s">
        <v>628</v>
      </c>
    </row>
    <row r="59" spans="1:15" x14ac:dyDescent="0.35">
      <c r="A59" s="63" t="s">
        <v>185</v>
      </c>
      <c r="B59" s="63">
        <v>2</v>
      </c>
      <c r="C59" s="63" t="str">
        <f t="shared" si="0"/>
        <v>OTU_57;size=2;</v>
      </c>
      <c r="D59" s="63" t="s">
        <v>1515</v>
      </c>
      <c r="E59" s="77">
        <f t="shared" si="1"/>
        <v>96.4</v>
      </c>
      <c r="F59" s="78" t="str">
        <f t="shared" si="2"/>
        <v>[Clostridium]_caenicola_strain_EBR596_(NR_126170.1)</v>
      </c>
      <c r="G59" t="s">
        <v>1630</v>
      </c>
      <c r="H59" s="77" t="s">
        <v>1951</v>
      </c>
      <c r="I59" s="77" t="s">
        <v>1952</v>
      </c>
      <c r="J59" s="77">
        <v>96.4</v>
      </c>
      <c r="L59" s="78" t="s">
        <v>214</v>
      </c>
      <c r="M59" s="78">
        <v>11</v>
      </c>
      <c r="N59" s="78" t="str">
        <f t="shared" si="3"/>
        <v>OTU_68;size=11;</v>
      </c>
      <c r="O59" s="78" t="s">
        <v>362</v>
      </c>
    </row>
    <row r="60" spans="1:15" x14ac:dyDescent="0.35">
      <c r="L60" s="78" t="s">
        <v>156</v>
      </c>
      <c r="M60" s="78">
        <v>11</v>
      </c>
      <c r="N60" s="78" t="str">
        <f t="shared" si="3"/>
        <v>OTU_52;size=11;</v>
      </c>
      <c r="O60" s="78" t="s">
        <v>423</v>
      </c>
    </row>
    <row r="61" spans="1:15" x14ac:dyDescent="0.35">
      <c r="L61" s="78" t="s">
        <v>223</v>
      </c>
      <c r="M61" s="78">
        <v>10</v>
      </c>
      <c r="N61" s="78" t="str">
        <f t="shared" si="3"/>
        <v>OTU_60;size=10;</v>
      </c>
      <c r="O61" s="78" t="s">
        <v>419</v>
      </c>
    </row>
    <row r="62" spans="1:15" x14ac:dyDescent="0.35">
      <c r="L62" s="78" t="s">
        <v>185</v>
      </c>
      <c r="M62" s="78">
        <v>10</v>
      </c>
      <c r="N62" s="78" t="str">
        <f t="shared" si="3"/>
        <v>OTU_57;size=10;</v>
      </c>
      <c r="O62" s="78" t="s">
        <v>335</v>
      </c>
    </row>
    <row r="63" spans="1:15" x14ac:dyDescent="0.35">
      <c r="L63" s="78" t="s">
        <v>234</v>
      </c>
      <c r="M63" s="78">
        <v>10</v>
      </c>
      <c r="N63" s="78" t="str">
        <f t="shared" si="3"/>
        <v>OTU_61;size=10;</v>
      </c>
      <c r="O63" s="78" t="s">
        <v>16</v>
      </c>
    </row>
    <row r="64" spans="1:15" x14ac:dyDescent="0.35">
      <c r="L64" s="78" t="s">
        <v>230</v>
      </c>
      <c r="M64" s="78">
        <v>10</v>
      </c>
      <c r="N64" s="78" t="str">
        <f t="shared" si="3"/>
        <v>OTU_58;size=10;</v>
      </c>
      <c r="O64" s="78" t="s">
        <v>354</v>
      </c>
    </row>
    <row r="65" spans="12:15" x14ac:dyDescent="0.35">
      <c r="L65" s="78" t="s">
        <v>216</v>
      </c>
      <c r="M65" s="78">
        <v>9</v>
      </c>
      <c r="N65" s="78" t="str">
        <f t="shared" si="3"/>
        <v>OTU_62;size=9;</v>
      </c>
      <c r="O65" s="78" t="s">
        <v>321</v>
      </c>
    </row>
    <row r="66" spans="12:15" x14ac:dyDescent="0.35">
      <c r="L66" s="78" t="s">
        <v>329</v>
      </c>
      <c r="M66" s="78">
        <v>9</v>
      </c>
      <c r="N66" s="78" t="str">
        <f t="shared" si="3"/>
        <v>OTU_103;size=9;</v>
      </c>
      <c r="O66" s="78" t="s">
        <v>105</v>
      </c>
    </row>
    <row r="67" spans="12:15" x14ac:dyDescent="0.35">
      <c r="L67" s="78" t="s">
        <v>200</v>
      </c>
      <c r="M67" s="78">
        <v>8</v>
      </c>
      <c r="N67" s="78" t="str">
        <f t="shared" si="3"/>
        <v>OTU_65;size=8;</v>
      </c>
      <c r="O67" s="78" t="s">
        <v>352</v>
      </c>
    </row>
    <row r="68" spans="12:15" x14ac:dyDescent="0.35">
      <c r="L68" s="78" t="s">
        <v>221</v>
      </c>
      <c r="M68" s="78">
        <v>8</v>
      </c>
      <c r="N68" s="78" t="str">
        <f t="shared" ref="N68:N124" si="4">L68&amp;";size="&amp;M68&amp;";"</f>
        <v>OTU_69;size=8;</v>
      </c>
      <c r="O68" s="78" t="s">
        <v>125</v>
      </c>
    </row>
    <row r="69" spans="12:15" x14ac:dyDescent="0.35">
      <c r="L69" s="78" t="s">
        <v>267</v>
      </c>
      <c r="M69" s="78">
        <v>7</v>
      </c>
      <c r="N69" s="78" t="str">
        <f t="shared" si="4"/>
        <v>OTU_67;size=7;</v>
      </c>
      <c r="O69" s="78" t="s">
        <v>33</v>
      </c>
    </row>
    <row r="70" spans="12:15" x14ac:dyDescent="0.35">
      <c r="L70" s="78" t="s">
        <v>286</v>
      </c>
      <c r="M70" s="78">
        <v>7</v>
      </c>
      <c r="N70" s="78" t="str">
        <f t="shared" si="4"/>
        <v>OTU_72;size=7;</v>
      </c>
      <c r="O70" s="78" t="s">
        <v>399</v>
      </c>
    </row>
    <row r="71" spans="12:15" x14ac:dyDescent="0.35">
      <c r="L71" s="78" t="s">
        <v>320</v>
      </c>
      <c r="M71" s="78">
        <v>7</v>
      </c>
      <c r="N71" s="78" t="str">
        <f t="shared" si="4"/>
        <v>OTU_100;size=7;</v>
      </c>
      <c r="O71" s="78" t="s">
        <v>434</v>
      </c>
    </row>
    <row r="72" spans="12:15" x14ac:dyDescent="0.35">
      <c r="L72" s="78" t="s">
        <v>307</v>
      </c>
      <c r="M72" s="78">
        <v>7</v>
      </c>
      <c r="N72" s="78" t="str">
        <f t="shared" si="4"/>
        <v>OTU_56;size=7;</v>
      </c>
      <c r="O72" s="78" t="s">
        <v>478</v>
      </c>
    </row>
    <row r="73" spans="12:15" x14ac:dyDescent="0.35">
      <c r="L73" s="78" t="s">
        <v>282</v>
      </c>
      <c r="M73" s="78">
        <v>7</v>
      </c>
      <c r="N73" s="78" t="str">
        <f t="shared" si="4"/>
        <v>OTU_87;size=7;</v>
      </c>
      <c r="O73" s="78" t="s">
        <v>71</v>
      </c>
    </row>
    <row r="74" spans="12:15" x14ac:dyDescent="0.35">
      <c r="L74" s="78" t="s">
        <v>356</v>
      </c>
      <c r="M74" s="78">
        <v>7</v>
      </c>
      <c r="N74" s="78" t="str">
        <f t="shared" si="4"/>
        <v>OTU_94;size=7;</v>
      </c>
      <c r="O74" s="78" t="s">
        <v>305</v>
      </c>
    </row>
    <row r="75" spans="12:15" x14ac:dyDescent="0.35">
      <c r="L75" s="78" t="s">
        <v>257</v>
      </c>
      <c r="M75" s="78">
        <v>7</v>
      </c>
      <c r="N75" s="78" t="str">
        <f t="shared" si="4"/>
        <v>OTU_79;size=7;</v>
      </c>
      <c r="O75" s="78" t="s">
        <v>368</v>
      </c>
    </row>
    <row r="76" spans="12:15" x14ac:dyDescent="0.35">
      <c r="L76" s="78" t="s">
        <v>350</v>
      </c>
      <c r="M76" s="78">
        <v>7</v>
      </c>
      <c r="N76" s="78" t="str">
        <f t="shared" si="4"/>
        <v>OTU_109;size=7;</v>
      </c>
      <c r="O76" s="78" t="s">
        <v>330</v>
      </c>
    </row>
    <row r="77" spans="12:15" x14ac:dyDescent="0.35">
      <c r="L77" s="78" t="s">
        <v>248</v>
      </c>
      <c r="M77" s="78">
        <v>6</v>
      </c>
      <c r="N77" s="78" t="str">
        <f t="shared" si="4"/>
        <v>OTU_78;size=6;</v>
      </c>
      <c r="O77" s="78" t="s">
        <v>375</v>
      </c>
    </row>
    <row r="78" spans="12:15" x14ac:dyDescent="0.35">
      <c r="L78" s="78" t="s">
        <v>340</v>
      </c>
      <c r="M78" s="78">
        <v>6</v>
      </c>
      <c r="N78" s="78" t="str">
        <f t="shared" si="4"/>
        <v>OTU_106;size=6;</v>
      </c>
      <c r="O78" s="78" t="s">
        <v>460</v>
      </c>
    </row>
    <row r="79" spans="12:15" x14ac:dyDescent="0.35">
      <c r="L79" s="78" t="s">
        <v>603</v>
      </c>
      <c r="M79" s="78">
        <v>6</v>
      </c>
      <c r="N79" s="78" t="str">
        <f t="shared" si="4"/>
        <v>OTU_64;size=6;</v>
      </c>
      <c r="O79" s="78" t="s">
        <v>468</v>
      </c>
    </row>
    <row r="80" spans="12:15" x14ac:dyDescent="0.35">
      <c r="L80" s="78" t="s">
        <v>226</v>
      </c>
      <c r="M80" s="78">
        <v>6</v>
      </c>
      <c r="N80" s="78" t="str">
        <f t="shared" si="4"/>
        <v>OTU_71;size=6;</v>
      </c>
      <c r="O80" s="78" t="s">
        <v>62</v>
      </c>
    </row>
    <row r="81" spans="12:15" x14ac:dyDescent="0.35">
      <c r="L81" s="78" t="s">
        <v>218</v>
      </c>
      <c r="M81" s="78">
        <v>6</v>
      </c>
      <c r="N81" s="78" t="str">
        <f t="shared" si="4"/>
        <v>OTU_66;size=6;</v>
      </c>
      <c r="O81" s="78" t="s">
        <v>317</v>
      </c>
    </row>
    <row r="82" spans="12:15" x14ac:dyDescent="0.35">
      <c r="L82" s="78" t="s">
        <v>225</v>
      </c>
      <c r="M82" s="78">
        <v>6</v>
      </c>
      <c r="N82" s="78" t="str">
        <f t="shared" si="4"/>
        <v>OTU_70;size=6;</v>
      </c>
      <c r="O82" s="78" t="s">
        <v>220</v>
      </c>
    </row>
    <row r="83" spans="12:15" x14ac:dyDescent="0.35">
      <c r="L83" s="78" t="s">
        <v>284</v>
      </c>
      <c r="M83" s="78">
        <v>6</v>
      </c>
      <c r="N83" s="78" t="str">
        <f t="shared" si="4"/>
        <v>OTU_74;size=6;</v>
      </c>
      <c r="O83" s="78" t="s">
        <v>50</v>
      </c>
    </row>
    <row r="84" spans="12:15" x14ac:dyDescent="0.35">
      <c r="L84" s="78" t="s">
        <v>353</v>
      </c>
      <c r="M84" s="78">
        <v>5</v>
      </c>
      <c r="N84" s="78" t="str">
        <f t="shared" si="4"/>
        <v>OTU_108;size=5;</v>
      </c>
      <c r="O84" s="78" t="s">
        <v>401</v>
      </c>
    </row>
    <row r="85" spans="12:15" x14ac:dyDescent="0.35">
      <c r="L85" s="78" t="s">
        <v>275</v>
      </c>
      <c r="M85" s="78">
        <v>5</v>
      </c>
      <c r="N85" s="78" t="str">
        <f t="shared" si="4"/>
        <v>OTU_75;size=5;</v>
      </c>
      <c r="O85" s="78" t="s">
        <v>154</v>
      </c>
    </row>
    <row r="86" spans="12:15" x14ac:dyDescent="0.35">
      <c r="L86" s="78" t="s">
        <v>265</v>
      </c>
      <c r="M86" s="78">
        <v>5</v>
      </c>
      <c r="N86" s="78" t="str">
        <f t="shared" si="4"/>
        <v>OTU_81;size=5;</v>
      </c>
      <c r="O86" s="78" t="s">
        <v>92</v>
      </c>
    </row>
    <row r="87" spans="12:15" x14ac:dyDescent="0.35">
      <c r="L87" s="78" t="s">
        <v>465</v>
      </c>
      <c r="M87" s="78">
        <v>5</v>
      </c>
      <c r="N87" s="78" t="str">
        <f t="shared" si="4"/>
        <v>OTU_101;size=5;</v>
      </c>
      <c r="O87" s="78" t="s">
        <v>381</v>
      </c>
    </row>
    <row r="88" spans="12:15" x14ac:dyDescent="0.35">
      <c r="L88" s="78" t="s">
        <v>428</v>
      </c>
      <c r="M88" s="78">
        <v>5</v>
      </c>
      <c r="N88" s="78" t="str">
        <f t="shared" si="4"/>
        <v>OTU_118;size=5;</v>
      </c>
      <c r="O88" s="78" t="s">
        <v>328</v>
      </c>
    </row>
    <row r="89" spans="12:15" x14ac:dyDescent="0.35">
      <c r="L89" s="78" t="s">
        <v>242</v>
      </c>
      <c r="M89" s="78">
        <v>5</v>
      </c>
      <c r="N89" s="78" t="str">
        <f t="shared" si="4"/>
        <v>OTU_73;size=5;</v>
      </c>
      <c r="O89" s="78" t="s">
        <v>414</v>
      </c>
    </row>
    <row r="90" spans="12:15" x14ac:dyDescent="0.35">
      <c r="L90" s="78" t="s">
        <v>313</v>
      </c>
      <c r="M90" s="78">
        <v>5</v>
      </c>
      <c r="N90" s="78" t="str">
        <f t="shared" si="4"/>
        <v>OTU_96;size=5;</v>
      </c>
      <c r="O90" s="78" t="s">
        <v>328</v>
      </c>
    </row>
    <row r="91" spans="12:15" x14ac:dyDescent="0.35">
      <c r="L91" s="78" t="s">
        <v>323</v>
      </c>
      <c r="M91" s="78">
        <v>5</v>
      </c>
      <c r="N91" s="78" t="str">
        <f t="shared" si="4"/>
        <v>OTU_91;size=5;</v>
      </c>
      <c r="O91" s="78" t="s">
        <v>341</v>
      </c>
    </row>
    <row r="92" spans="12:15" x14ac:dyDescent="0.35">
      <c r="L92" s="78" t="s">
        <v>363</v>
      </c>
      <c r="M92" s="78">
        <v>5</v>
      </c>
      <c r="N92" s="78" t="str">
        <f t="shared" si="4"/>
        <v>OTU_111;size=5;</v>
      </c>
      <c r="O92" s="78" t="s">
        <v>399</v>
      </c>
    </row>
    <row r="93" spans="12:15" x14ac:dyDescent="0.35">
      <c r="L93" s="78" t="s">
        <v>386</v>
      </c>
      <c r="M93" s="78">
        <v>5</v>
      </c>
      <c r="N93" s="78" t="str">
        <f t="shared" si="4"/>
        <v>OTU_116;size=5;</v>
      </c>
      <c r="O93" s="78" t="s">
        <v>436</v>
      </c>
    </row>
    <row r="94" spans="12:15" x14ac:dyDescent="0.35">
      <c r="L94" s="78" t="s">
        <v>325</v>
      </c>
      <c r="M94" s="78">
        <v>4</v>
      </c>
      <c r="N94" s="78" t="str">
        <f t="shared" si="4"/>
        <v>OTU_110;size=4;</v>
      </c>
      <c r="O94" s="78" t="s">
        <v>33</v>
      </c>
    </row>
    <row r="95" spans="12:15" x14ac:dyDescent="0.35">
      <c r="L95" s="78" t="s">
        <v>277</v>
      </c>
      <c r="M95" s="78">
        <v>4</v>
      </c>
      <c r="N95" s="78" t="str">
        <f t="shared" si="4"/>
        <v>OTU_90;size=4;</v>
      </c>
      <c r="O95" s="78" t="s">
        <v>348</v>
      </c>
    </row>
    <row r="96" spans="12:15" x14ac:dyDescent="0.35">
      <c r="L96" s="78" t="s">
        <v>318</v>
      </c>
      <c r="M96" s="78">
        <v>4</v>
      </c>
      <c r="N96" s="78" t="str">
        <f t="shared" si="4"/>
        <v>OTU_95;size=4;</v>
      </c>
      <c r="O96" s="78" t="s">
        <v>202</v>
      </c>
    </row>
    <row r="97" spans="12:15" x14ac:dyDescent="0.35">
      <c r="L97" s="78" t="s">
        <v>359</v>
      </c>
      <c r="M97" s="78">
        <v>4</v>
      </c>
      <c r="N97" s="78" t="str">
        <f t="shared" si="4"/>
        <v>OTU_120;size=4;</v>
      </c>
      <c r="O97" s="78" t="s">
        <v>314</v>
      </c>
    </row>
    <row r="98" spans="12:15" x14ac:dyDescent="0.35">
      <c r="L98" s="78" t="s">
        <v>280</v>
      </c>
      <c r="M98" s="78">
        <v>4</v>
      </c>
      <c r="N98" s="78" t="str">
        <f t="shared" si="4"/>
        <v>OTU_84;size=4;</v>
      </c>
      <c r="O98" s="78" t="s">
        <v>441</v>
      </c>
    </row>
    <row r="99" spans="12:15" x14ac:dyDescent="0.35">
      <c r="L99" s="78" t="s">
        <v>427</v>
      </c>
      <c r="M99" s="78">
        <v>4</v>
      </c>
      <c r="N99" s="78" t="str">
        <f t="shared" si="4"/>
        <v>OTU_121;size=4;</v>
      </c>
      <c r="O99" s="78" t="s">
        <v>485</v>
      </c>
    </row>
    <row r="100" spans="12:15" x14ac:dyDescent="0.35">
      <c r="L100" s="78" t="s">
        <v>311</v>
      </c>
      <c r="M100" s="78">
        <v>4</v>
      </c>
      <c r="N100" s="78" t="str">
        <f t="shared" si="4"/>
        <v>OTU_98;size=4;</v>
      </c>
      <c r="O100" s="78" t="s">
        <v>384</v>
      </c>
    </row>
    <row r="101" spans="12:15" x14ac:dyDescent="0.35">
      <c r="L101" s="78" t="s">
        <v>322</v>
      </c>
      <c r="M101" s="78">
        <v>4</v>
      </c>
      <c r="N101" s="78" t="str">
        <f t="shared" si="4"/>
        <v>OTU_122;size=4;</v>
      </c>
      <c r="O101" s="78" t="s">
        <v>158</v>
      </c>
    </row>
    <row r="102" spans="12:15" x14ac:dyDescent="0.35">
      <c r="L102" s="78" t="s">
        <v>295</v>
      </c>
      <c r="M102" s="78">
        <v>4</v>
      </c>
      <c r="N102" s="78" t="str">
        <f t="shared" si="4"/>
        <v>OTU_82;size=4;</v>
      </c>
      <c r="O102" s="78" t="s">
        <v>615</v>
      </c>
    </row>
    <row r="103" spans="12:15" x14ac:dyDescent="0.35">
      <c r="L103" s="78" t="s">
        <v>241</v>
      </c>
      <c r="M103" s="78">
        <v>4</v>
      </c>
      <c r="N103" s="78" t="str">
        <f t="shared" si="4"/>
        <v>OTU_105;size=4;</v>
      </c>
      <c r="O103" s="78" t="s">
        <v>312</v>
      </c>
    </row>
    <row r="104" spans="12:15" x14ac:dyDescent="0.35">
      <c r="L104" s="78" t="s">
        <v>266</v>
      </c>
      <c r="M104" s="78">
        <v>4</v>
      </c>
      <c r="N104" s="78" t="str">
        <f t="shared" si="4"/>
        <v>OTU_80;size=4;</v>
      </c>
      <c r="O104" s="78" t="s">
        <v>516</v>
      </c>
    </row>
    <row r="105" spans="12:15" x14ac:dyDescent="0.35">
      <c r="L105" s="78" t="s">
        <v>264</v>
      </c>
      <c r="M105" s="78">
        <v>4</v>
      </c>
      <c r="N105" s="78" t="str">
        <f t="shared" si="4"/>
        <v>OTU_77;size=4;</v>
      </c>
      <c r="O105" s="78" t="s">
        <v>543</v>
      </c>
    </row>
    <row r="106" spans="12:15" x14ac:dyDescent="0.35">
      <c r="L106" s="78" t="s">
        <v>271</v>
      </c>
      <c r="M106" s="78">
        <v>3</v>
      </c>
      <c r="N106" s="78" t="str">
        <f t="shared" si="4"/>
        <v>OTU_86;size=3;</v>
      </c>
      <c r="O106" s="78" t="s">
        <v>401</v>
      </c>
    </row>
    <row r="107" spans="12:15" x14ac:dyDescent="0.35">
      <c r="L107" s="78" t="s">
        <v>287</v>
      </c>
      <c r="M107" s="78">
        <v>3</v>
      </c>
      <c r="N107" s="78" t="str">
        <f t="shared" si="4"/>
        <v>OTU_83;size=3;</v>
      </c>
      <c r="O107" s="78" t="s">
        <v>401</v>
      </c>
    </row>
    <row r="108" spans="12:15" x14ac:dyDescent="0.35">
      <c r="L108" s="78" t="s">
        <v>253</v>
      </c>
      <c r="M108" s="78">
        <v>3</v>
      </c>
      <c r="N108" s="78" t="str">
        <f t="shared" si="4"/>
        <v>OTU_76;size=3;</v>
      </c>
      <c r="O108" s="78" t="s">
        <v>170</v>
      </c>
    </row>
    <row r="109" spans="12:15" x14ac:dyDescent="0.35">
      <c r="L109" s="78" t="s">
        <v>327</v>
      </c>
      <c r="M109" s="78">
        <v>3</v>
      </c>
      <c r="N109" s="78" t="str">
        <f t="shared" si="4"/>
        <v>OTU_102;size=3;</v>
      </c>
      <c r="O109" s="78" t="s">
        <v>125</v>
      </c>
    </row>
    <row r="110" spans="12:15" x14ac:dyDescent="0.35">
      <c r="L110" s="78" t="s">
        <v>333</v>
      </c>
      <c r="M110" s="78">
        <v>3</v>
      </c>
      <c r="N110" s="78" t="str">
        <f t="shared" si="4"/>
        <v>OTU_104;size=3;</v>
      </c>
      <c r="O110" s="78" t="s">
        <v>412</v>
      </c>
    </row>
    <row r="111" spans="12:15" x14ac:dyDescent="0.35">
      <c r="L111" s="78" t="s">
        <v>369</v>
      </c>
      <c r="M111" s="78">
        <v>3</v>
      </c>
      <c r="N111" s="78" t="str">
        <f t="shared" si="4"/>
        <v>OTU_114;size=3;</v>
      </c>
      <c r="O111" s="78" t="s">
        <v>563</v>
      </c>
    </row>
    <row r="112" spans="12:15" x14ac:dyDescent="0.35">
      <c r="L112" s="78" t="s">
        <v>233</v>
      </c>
      <c r="M112" s="78">
        <v>3</v>
      </c>
      <c r="N112" s="78" t="str">
        <f t="shared" si="4"/>
        <v>OTU_85;size=3;</v>
      </c>
      <c r="O112" s="78" t="s">
        <v>401</v>
      </c>
    </row>
    <row r="113" spans="12:15" x14ac:dyDescent="0.35">
      <c r="L113" s="78" t="s">
        <v>344</v>
      </c>
      <c r="M113" s="78">
        <v>2</v>
      </c>
      <c r="N113" s="78" t="str">
        <f t="shared" si="4"/>
        <v>OTU_107;size=2;</v>
      </c>
      <c r="O113" s="78" t="s">
        <v>401</v>
      </c>
    </row>
    <row r="114" spans="12:15" x14ac:dyDescent="0.35">
      <c r="L114" s="78" t="s">
        <v>301</v>
      </c>
      <c r="M114" s="78">
        <v>2</v>
      </c>
      <c r="N114" s="78" t="str">
        <f t="shared" si="4"/>
        <v>OTU_93;size=2;</v>
      </c>
      <c r="O114" s="78" t="s">
        <v>597</v>
      </c>
    </row>
    <row r="115" spans="12:15" x14ac:dyDescent="0.35">
      <c r="L115" s="78" t="s">
        <v>303</v>
      </c>
      <c r="M115" s="78">
        <v>2</v>
      </c>
      <c r="N115" s="78" t="str">
        <f t="shared" si="4"/>
        <v>OTU_113;size=2;</v>
      </c>
      <c r="O115" s="78" t="s">
        <v>152</v>
      </c>
    </row>
    <row r="116" spans="12:15" x14ac:dyDescent="0.35">
      <c r="L116" s="78" t="s">
        <v>315</v>
      </c>
      <c r="M116" s="78">
        <v>2</v>
      </c>
      <c r="N116" s="78" t="str">
        <f t="shared" si="4"/>
        <v>OTU_97;size=2;</v>
      </c>
      <c r="O116" s="78" t="s">
        <v>401</v>
      </c>
    </row>
    <row r="117" spans="12:15" x14ac:dyDescent="0.35">
      <c r="L117" s="78" t="s">
        <v>338</v>
      </c>
      <c r="M117" s="78">
        <v>2</v>
      </c>
      <c r="N117" s="78" t="str">
        <f t="shared" si="4"/>
        <v>OTU_119;size=2;</v>
      </c>
      <c r="O117" s="78" t="s">
        <v>401</v>
      </c>
    </row>
    <row r="118" spans="12:15" x14ac:dyDescent="0.35">
      <c r="L118" s="78" t="s">
        <v>400</v>
      </c>
      <c r="M118" s="78">
        <v>2</v>
      </c>
      <c r="N118" s="78" t="str">
        <f t="shared" si="4"/>
        <v>OTU_112;size=2;</v>
      </c>
      <c r="O118" s="78" t="s">
        <v>426</v>
      </c>
    </row>
    <row r="119" spans="12:15" x14ac:dyDescent="0.35">
      <c r="L119" s="78" t="s">
        <v>336</v>
      </c>
      <c r="M119" s="78">
        <v>2</v>
      </c>
      <c r="N119" s="78" t="str">
        <f t="shared" si="4"/>
        <v>OTU_99;size=2;</v>
      </c>
      <c r="O119" s="78" t="s">
        <v>503</v>
      </c>
    </row>
    <row r="120" spans="12:15" x14ac:dyDescent="0.35">
      <c r="L120" s="78" t="s">
        <v>289</v>
      </c>
      <c r="M120" s="78">
        <v>2</v>
      </c>
      <c r="N120" s="78" t="str">
        <f t="shared" si="4"/>
        <v>OTU_88;size=2;</v>
      </c>
      <c r="O120" s="78" t="s">
        <v>476</v>
      </c>
    </row>
    <row r="121" spans="12:15" x14ac:dyDescent="0.35">
      <c r="L121" s="78" t="s">
        <v>346</v>
      </c>
      <c r="M121" s="78">
        <v>2</v>
      </c>
      <c r="N121" s="78" t="str">
        <f t="shared" si="4"/>
        <v>OTU_117;size=2;</v>
      </c>
      <c r="O121" s="78" t="s">
        <v>401</v>
      </c>
    </row>
    <row r="122" spans="12:15" x14ac:dyDescent="0.35">
      <c r="L122" s="78" t="s">
        <v>306</v>
      </c>
      <c r="M122" s="78">
        <v>2</v>
      </c>
      <c r="N122" s="78" t="str">
        <f t="shared" si="4"/>
        <v>OTU_89;size=2;</v>
      </c>
      <c r="O122" s="78" t="s">
        <v>592</v>
      </c>
    </row>
    <row r="123" spans="12:15" x14ac:dyDescent="0.35">
      <c r="L123" s="78" t="s">
        <v>300</v>
      </c>
      <c r="M123" s="78">
        <v>2</v>
      </c>
      <c r="N123" s="78" t="str">
        <f t="shared" si="4"/>
        <v>OTU_92;size=2;</v>
      </c>
      <c r="O123" s="78" t="s">
        <v>360</v>
      </c>
    </row>
    <row r="124" spans="12:15" x14ac:dyDescent="0.35">
      <c r="L124" s="78" t="s">
        <v>355</v>
      </c>
      <c r="M124" s="78">
        <v>2</v>
      </c>
      <c r="N124" s="78" t="str">
        <f t="shared" si="4"/>
        <v>OTU_115;size=2;</v>
      </c>
      <c r="O124" s="78" t="s">
        <v>1631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AD454"/>
  <sheetViews>
    <sheetView workbookViewId="0">
      <selection activeCell="K32" sqref="K32"/>
    </sheetView>
  </sheetViews>
  <sheetFormatPr defaultRowHeight="14.5" x14ac:dyDescent="0.35"/>
  <cols>
    <col min="14" max="14" width="7.453125" customWidth="1"/>
    <col min="15" max="15" width="5.81640625" customWidth="1"/>
    <col min="16" max="16" width="20.1796875" customWidth="1"/>
  </cols>
  <sheetData>
    <row r="1" spans="1:30" x14ac:dyDescent="0.35">
      <c r="A1" t="s">
        <v>2154</v>
      </c>
    </row>
    <row r="3" spans="1:30" x14ac:dyDescent="0.35">
      <c r="A3" t="s">
        <v>0</v>
      </c>
      <c r="B3" t="s">
        <v>1</v>
      </c>
      <c r="C3" t="s">
        <v>2</v>
      </c>
      <c r="P3" t="s">
        <v>3</v>
      </c>
      <c r="Q3" t="s">
        <v>4</v>
      </c>
      <c r="R3" t="s">
        <v>5</v>
      </c>
      <c r="S3" s="27" t="s">
        <v>1963</v>
      </c>
      <c r="T3" s="28" t="s">
        <v>1964</v>
      </c>
      <c r="U3" s="29" t="s">
        <v>1965</v>
      </c>
      <c r="V3" s="27" t="s">
        <v>2147</v>
      </c>
      <c r="W3" s="28" t="s">
        <v>2148</v>
      </c>
      <c r="X3" s="28" t="s">
        <v>2149</v>
      </c>
      <c r="Y3" s="28" t="s">
        <v>2150</v>
      </c>
      <c r="Z3" s="28" t="s">
        <v>2151</v>
      </c>
      <c r="AA3" s="28" t="s">
        <v>2152</v>
      </c>
      <c r="AB3" s="29" t="s">
        <v>2153</v>
      </c>
      <c r="AD3" t="s">
        <v>1467</v>
      </c>
    </row>
    <row r="4" spans="1:30" x14ac:dyDescent="0.35">
      <c r="A4" t="s">
        <v>6</v>
      </c>
      <c r="B4">
        <v>69592</v>
      </c>
      <c r="C4" t="s">
        <v>7</v>
      </c>
      <c r="D4" t="s">
        <v>8</v>
      </c>
      <c r="E4" t="s">
        <v>9</v>
      </c>
      <c r="G4" t="s">
        <v>10</v>
      </c>
      <c r="I4" t="s">
        <v>11</v>
      </c>
      <c r="K4" t="s">
        <v>12</v>
      </c>
      <c r="M4" t="s">
        <v>13</v>
      </c>
      <c r="O4">
        <v>0.91</v>
      </c>
      <c r="P4" t="s">
        <v>14</v>
      </c>
      <c r="Q4">
        <v>96.8</v>
      </c>
      <c r="R4">
        <v>1</v>
      </c>
      <c r="S4" s="30">
        <v>27497</v>
      </c>
      <c r="T4" s="31">
        <v>132</v>
      </c>
      <c r="U4" s="32">
        <v>1564</v>
      </c>
      <c r="V4" s="30">
        <v>2735</v>
      </c>
      <c r="W4" s="31">
        <v>504</v>
      </c>
      <c r="X4" s="31">
        <v>698</v>
      </c>
      <c r="Y4" s="31">
        <v>293</v>
      </c>
      <c r="Z4" s="31">
        <v>3721</v>
      </c>
      <c r="AA4" s="31">
        <v>18846</v>
      </c>
      <c r="AB4" s="32">
        <v>13602</v>
      </c>
      <c r="AD4">
        <f>MAX(S4:AB4)</f>
        <v>27497</v>
      </c>
    </row>
    <row r="5" spans="1:30" x14ac:dyDescent="0.35">
      <c r="A5" t="s">
        <v>15</v>
      </c>
      <c r="B5">
        <v>39207</v>
      </c>
      <c r="C5" t="s">
        <v>7</v>
      </c>
      <c r="D5" t="s">
        <v>24</v>
      </c>
      <c r="E5" t="s">
        <v>25</v>
      </c>
      <c r="G5" t="s">
        <v>40</v>
      </c>
      <c r="I5" t="s">
        <v>56</v>
      </c>
      <c r="K5" t="s">
        <v>57</v>
      </c>
      <c r="M5" t="s">
        <v>58</v>
      </c>
      <c r="O5">
        <v>1</v>
      </c>
      <c r="P5" t="s">
        <v>59</v>
      </c>
      <c r="Q5">
        <v>99.6</v>
      </c>
      <c r="R5">
        <v>1</v>
      </c>
      <c r="S5" s="2">
        <v>3350</v>
      </c>
      <c r="T5" s="3">
        <v>30</v>
      </c>
      <c r="U5" s="4">
        <v>30</v>
      </c>
      <c r="V5" s="2">
        <v>4037</v>
      </c>
      <c r="W5" s="3">
        <v>86</v>
      </c>
      <c r="X5" s="3">
        <v>6925</v>
      </c>
      <c r="Y5" s="3">
        <v>5540</v>
      </c>
      <c r="Z5" s="3">
        <v>2347</v>
      </c>
      <c r="AA5" s="3">
        <v>10512</v>
      </c>
      <c r="AB5" s="4">
        <v>6350</v>
      </c>
      <c r="AD5">
        <f t="shared" ref="AD5:AD68" si="0">MAX(S5:AB5)</f>
        <v>10512</v>
      </c>
    </row>
    <row r="6" spans="1:30" x14ac:dyDescent="0.35">
      <c r="A6" t="s">
        <v>17</v>
      </c>
      <c r="B6">
        <v>24845</v>
      </c>
      <c r="C6" t="s">
        <v>7</v>
      </c>
      <c r="D6" t="s">
        <v>24</v>
      </c>
      <c r="E6" t="s">
        <v>25</v>
      </c>
      <c r="G6" t="s">
        <v>26</v>
      </c>
      <c r="I6" t="s">
        <v>27</v>
      </c>
      <c r="K6" t="s">
        <v>28</v>
      </c>
      <c r="M6" t="s">
        <v>29</v>
      </c>
      <c r="O6">
        <v>1</v>
      </c>
      <c r="P6" t="s">
        <v>283</v>
      </c>
      <c r="Q6">
        <v>99.6</v>
      </c>
      <c r="R6">
        <v>1</v>
      </c>
      <c r="S6" s="2">
        <v>10</v>
      </c>
      <c r="T6" s="3">
        <v>18</v>
      </c>
      <c r="U6" s="4">
        <v>33</v>
      </c>
      <c r="V6" s="2">
        <v>1816</v>
      </c>
      <c r="W6" s="3">
        <v>22906</v>
      </c>
      <c r="X6" s="3">
        <v>9</v>
      </c>
      <c r="Y6" s="3">
        <v>5</v>
      </c>
      <c r="Z6" s="3">
        <v>16</v>
      </c>
      <c r="AA6" s="3">
        <v>24</v>
      </c>
      <c r="AB6" s="4">
        <v>8</v>
      </c>
      <c r="AD6">
        <f t="shared" si="0"/>
        <v>22906</v>
      </c>
    </row>
    <row r="7" spans="1:30" x14ac:dyDescent="0.35">
      <c r="A7" t="s">
        <v>23</v>
      </c>
      <c r="B7">
        <v>23245</v>
      </c>
      <c r="C7" t="s">
        <v>7</v>
      </c>
      <c r="D7" t="s">
        <v>8</v>
      </c>
      <c r="E7" t="s">
        <v>9</v>
      </c>
      <c r="G7" t="s">
        <v>78</v>
      </c>
      <c r="I7" t="s">
        <v>79</v>
      </c>
      <c r="K7" t="s">
        <v>80</v>
      </c>
      <c r="M7" t="s">
        <v>81</v>
      </c>
      <c r="O7">
        <v>0.62</v>
      </c>
      <c r="P7" t="s">
        <v>82</v>
      </c>
      <c r="Q7">
        <v>97.2</v>
      </c>
      <c r="R7">
        <v>1</v>
      </c>
      <c r="S7" s="2">
        <v>2355</v>
      </c>
      <c r="T7" s="3">
        <v>41</v>
      </c>
      <c r="U7" s="4">
        <v>32</v>
      </c>
      <c r="V7" s="2">
        <v>4025</v>
      </c>
      <c r="W7" s="3">
        <v>36</v>
      </c>
      <c r="X7" s="3">
        <v>14011</v>
      </c>
      <c r="Y7" s="3">
        <v>26</v>
      </c>
      <c r="Z7" s="3">
        <v>2260</v>
      </c>
      <c r="AA7" s="3">
        <v>160</v>
      </c>
      <c r="AB7" s="4">
        <v>299</v>
      </c>
      <c r="AD7">
        <f t="shared" si="0"/>
        <v>14011</v>
      </c>
    </row>
    <row r="8" spans="1:30" x14ac:dyDescent="0.35">
      <c r="A8" t="s">
        <v>34</v>
      </c>
      <c r="B8">
        <v>18383</v>
      </c>
      <c r="C8" t="s">
        <v>7</v>
      </c>
      <c r="D8" t="s">
        <v>24</v>
      </c>
      <c r="E8" t="s">
        <v>25</v>
      </c>
      <c r="G8" t="s">
        <v>40</v>
      </c>
      <c r="I8" t="s">
        <v>41</v>
      </c>
      <c r="K8" t="s">
        <v>42</v>
      </c>
      <c r="M8" t="s">
        <v>43</v>
      </c>
      <c r="O8">
        <v>1</v>
      </c>
      <c r="P8" t="s">
        <v>44</v>
      </c>
      <c r="Q8">
        <v>97.2</v>
      </c>
      <c r="R8">
        <v>1</v>
      </c>
      <c r="S8" s="2">
        <v>1045</v>
      </c>
      <c r="T8" s="3">
        <v>17</v>
      </c>
      <c r="U8" s="4">
        <v>3361</v>
      </c>
      <c r="V8" s="2">
        <v>29</v>
      </c>
      <c r="W8" s="3">
        <v>344</v>
      </c>
      <c r="X8" s="3">
        <v>18</v>
      </c>
      <c r="Y8" s="3">
        <v>1757</v>
      </c>
      <c r="Z8" s="3">
        <v>42</v>
      </c>
      <c r="AA8" s="3">
        <v>11703</v>
      </c>
      <c r="AB8" s="4">
        <v>67</v>
      </c>
      <c r="AD8">
        <f t="shared" si="0"/>
        <v>11703</v>
      </c>
    </row>
    <row r="9" spans="1:30" x14ac:dyDescent="0.35">
      <c r="A9" t="s">
        <v>51</v>
      </c>
      <c r="B9">
        <v>17436</v>
      </c>
      <c r="C9" t="s">
        <v>7</v>
      </c>
      <c r="D9" t="s">
        <v>8</v>
      </c>
      <c r="O9">
        <v>0.99</v>
      </c>
      <c r="P9" t="s">
        <v>16</v>
      </c>
      <c r="Q9">
        <v>87</v>
      </c>
      <c r="R9">
        <v>1</v>
      </c>
      <c r="S9" s="2">
        <v>24</v>
      </c>
      <c r="T9" s="3">
        <v>17201</v>
      </c>
      <c r="U9" s="4">
        <v>10</v>
      </c>
      <c r="V9" s="2">
        <v>39</v>
      </c>
      <c r="W9" s="3">
        <v>27</v>
      </c>
      <c r="X9" s="3">
        <v>56</v>
      </c>
      <c r="Y9" s="3">
        <v>24</v>
      </c>
      <c r="Z9" s="3">
        <v>28</v>
      </c>
      <c r="AA9" s="3">
        <v>14</v>
      </c>
      <c r="AB9" s="4">
        <v>13</v>
      </c>
      <c r="AD9">
        <f t="shared" si="0"/>
        <v>17201</v>
      </c>
    </row>
    <row r="10" spans="1:30" x14ac:dyDescent="0.35">
      <c r="A10" t="s">
        <v>39</v>
      </c>
      <c r="B10">
        <v>13200</v>
      </c>
      <c r="C10" t="s">
        <v>7</v>
      </c>
      <c r="D10" t="s">
        <v>8</v>
      </c>
      <c r="E10" t="s">
        <v>32</v>
      </c>
      <c r="G10" t="s">
        <v>35</v>
      </c>
      <c r="I10" t="s">
        <v>36</v>
      </c>
      <c r="O10">
        <v>0.61</v>
      </c>
      <c r="P10" t="s">
        <v>92</v>
      </c>
      <c r="Q10">
        <v>86.2</v>
      </c>
      <c r="R10">
        <v>2</v>
      </c>
      <c r="S10" s="2">
        <v>1065</v>
      </c>
      <c r="T10" s="3">
        <v>30</v>
      </c>
      <c r="U10" s="4">
        <v>394</v>
      </c>
      <c r="V10" s="2">
        <v>1206</v>
      </c>
      <c r="W10" s="3">
        <v>6717</v>
      </c>
      <c r="X10" s="3">
        <v>53</v>
      </c>
      <c r="Y10" s="3">
        <v>84</v>
      </c>
      <c r="Z10" s="3">
        <v>584</v>
      </c>
      <c r="AA10" s="3">
        <v>803</v>
      </c>
      <c r="AB10" s="4">
        <v>2264</v>
      </c>
      <c r="AD10">
        <f t="shared" si="0"/>
        <v>6717</v>
      </c>
    </row>
    <row r="11" spans="1:30" x14ac:dyDescent="0.35">
      <c r="A11" t="s">
        <v>31</v>
      </c>
      <c r="B11">
        <v>11880</v>
      </c>
      <c r="C11" t="s">
        <v>7</v>
      </c>
      <c r="D11" t="s">
        <v>8</v>
      </c>
      <c r="E11" t="s">
        <v>18</v>
      </c>
      <c r="G11" t="s">
        <v>19</v>
      </c>
      <c r="I11" t="s">
        <v>20</v>
      </c>
      <c r="K11" t="s">
        <v>21</v>
      </c>
      <c r="O11">
        <v>0.56999999999999995</v>
      </c>
      <c r="P11" t="s">
        <v>22</v>
      </c>
      <c r="Q11">
        <v>85.8</v>
      </c>
      <c r="R11">
        <v>1</v>
      </c>
      <c r="S11" s="2">
        <v>13</v>
      </c>
      <c r="T11" s="3">
        <v>1176</v>
      </c>
      <c r="U11" s="4">
        <v>5986</v>
      </c>
      <c r="V11" s="2">
        <v>122</v>
      </c>
      <c r="W11" s="3">
        <v>3399</v>
      </c>
      <c r="X11" s="3">
        <v>22</v>
      </c>
      <c r="Y11" s="3">
        <v>19</v>
      </c>
      <c r="Z11" s="3">
        <v>1095</v>
      </c>
      <c r="AA11" s="3">
        <v>22</v>
      </c>
      <c r="AB11" s="4">
        <v>26</v>
      </c>
      <c r="AD11">
        <f t="shared" si="0"/>
        <v>5986</v>
      </c>
    </row>
    <row r="12" spans="1:30" x14ac:dyDescent="0.35">
      <c r="A12" t="s">
        <v>49</v>
      </c>
      <c r="B12">
        <v>11657</v>
      </c>
      <c r="C12" t="s">
        <v>7</v>
      </c>
      <c r="D12" t="s">
        <v>8</v>
      </c>
      <c r="E12" t="s">
        <v>258</v>
      </c>
      <c r="G12" t="s">
        <v>258</v>
      </c>
      <c r="H12" t="s">
        <v>259</v>
      </c>
      <c r="I12" t="s">
        <v>260</v>
      </c>
      <c r="J12" t="s">
        <v>261</v>
      </c>
      <c r="K12" t="s">
        <v>262</v>
      </c>
      <c r="O12">
        <v>0.59</v>
      </c>
      <c r="P12" s="24" t="s">
        <v>263</v>
      </c>
      <c r="Q12">
        <v>88.5</v>
      </c>
      <c r="R12">
        <v>1</v>
      </c>
      <c r="S12" s="2">
        <v>52</v>
      </c>
      <c r="T12" s="3">
        <v>15</v>
      </c>
      <c r="U12" s="4">
        <v>14</v>
      </c>
      <c r="V12" s="2">
        <v>20</v>
      </c>
      <c r="W12" s="3">
        <v>186</v>
      </c>
      <c r="X12" s="3">
        <v>929</v>
      </c>
      <c r="Y12" s="3">
        <v>9732</v>
      </c>
      <c r="Z12" s="3">
        <v>644</v>
      </c>
      <c r="AA12" s="3">
        <v>28</v>
      </c>
      <c r="AB12" s="4">
        <v>37</v>
      </c>
      <c r="AD12">
        <f t="shared" si="0"/>
        <v>9732</v>
      </c>
    </row>
    <row r="13" spans="1:30" x14ac:dyDescent="0.35">
      <c r="A13" t="s">
        <v>63</v>
      </c>
      <c r="B13">
        <v>11382</v>
      </c>
      <c r="C13" t="s">
        <v>7</v>
      </c>
      <c r="D13" t="s">
        <v>24</v>
      </c>
      <c r="E13" t="s">
        <v>25</v>
      </c>
      <c r="G13" t="s">
        <v>26</v>
      </c>
      <c r="I13" t="s">
        <v>27</v>
      </c>
      <c r="K13" t="s">
        <v>28</v>
      </c>
      <c r="M13" t="s">
        <v>29</v>
      </c>
      <c r="O13">
        <v>1</v>
      </c>
      <c r="P13" t="s">
        <v>30</v>
      </c>
      <c r="Q13">
        <v>100</v>
      </c>
      <c r="R13">
        <v>1</v>
      </c>
      <c r="S13" s="2">
        <v>5</v>
      </c>
      <c r="T13" s="3">
        <v>29</v>
      </c>
      <c r="U13" s="4">
        <v>7783</v>
      </c>
      <c r="V13" s="2">
        <v>35</v>
      </c>
      <c r="W13" s="3">
        <v>2930</v>
      </c>
      <c r="X13" s="3">
        <v>5</v>
      </c>
      <c r="Y13" s="3">
        <v>6</v>
      </c>
      <c r="Z13" s="3">
        <v>567</v>
      </c>
      <c r="AA13" s="3">
        <v>14</v>
      </c>
      <c r="AB13" s="4">
        <v>8</v>
      </c>
      <c r="AD13">
        <f t="shared" si="0"/>
        <v>7783</v>
      </c>
    </row>
    <row r="14" spans="1:30" x14ac:dyDescent="0.35">
      <c r="A14" t="s">
        <v>45</v>
      </c>
      <c r="B14">
        <v>9955</v>
      </c>
      <c r="C14" t="s">
        <v>7</v>
      </c>
      <c r="D14" t="s">
        <v>8</v>
      </c>
      <c r="E14" t="s">
        <v>9</v>
      </c>
      <c r="G14" t="s">
        <v>243</v>
      </c>
      <c r="I14" t="s">
        <v>244</v>
      </c>
      <c r="K14" t="s">
        <v>245</v>
      </c>
      <c r="M14" t="s">
        <v>246</v>
      </c>
      <c r="O14">
        <v>0.98</v>
      </c>
      <c r="P14" t="s">
        <v>247</v>
      </c>
      <c r="Q14">
        <v>99.2</v>
      </c>
      <c r="R14">
        <v>1</v>
      </c>
      <c r="S14" s="2">
        <v>71</v>
      </c>
      <c r="T14" s="3">
        <v>10</v>
      </c>
      <c r="U14" s="4">
        <v>13</v>
      </c>
      <c r="V14" s="2">
        <v>7416</v>
      </c>
      <c r="W14" s="3">
        <v>2104</v>
      </c>
      <c r="X14" s="3">
        <v>100</v>
      </c>
      <c r="Y14" s="3">
        <v>17</v>
      </c>
      <c r="Z14" s="3">
        <v>142</v>
      </c>
      <c r="AA14" s="3">
        <v>68</v>
      </c>
      <c r="AB14" s="4">
        <v>14</v>
      </c>
      <c r="AD14">
        <f t="shared" si="0"/>
        <v>7416</v>
      </c>
    </row>
    <row r="15" spans="1:30" x14ac:dyDescent="0.35">
      <c r="A15" t="s">
        <v>68</v>
      </c>
      <c r="B15">
        <v>6376</v>
      </c>
      <c r="C15" t="s">
        <v>7</v>
      </c>
      <c r="D15" t="s">
        <v>24</v>
      </c>
      <c r="E15" t="s">
        <v>25</v>
      </c>
      <c r="G15" t="s">
        <v>40</v>
      </c>
      <c r="I15" t="s">
        <v>41</v>
      </c>
      <c r="K15" t="s">
        <v>52</v>
      </c>
      <c r="M15" t="s">
        <v>53</v>
      </c>
      <c r="O15">
        <v>1</v>
      </c>
      <c r="P15" t="s">
        <v>54</v>
      </c>
      <c r="Q15">
        <v>100</v>
      </c>
      <c r="R15">
        <v>7</v>
      </c>
      <c r="S15" s="2">
        <v>1250</v>
      </c>
      <c r="T15" s="3">
        <v>11</v>
      </c>
      <c r="U15" s="4">
        <v>54</v>
      </c>
      <c r="V15" s="2">
        <v>607</v>
      </c>
      <c r="W15" s="3">
        <v>2016</v>
      </c>
      <c r="X15" s="3">
        <v>35</v>
      </c>
      <c r="Y15" s="3">
        <v>28</v>
      </c>
      <c r="Z15" s="3">
        <v>274</v>
      </c>
      <c r="AA15" s="3">
        <v>16</v>
      </c>
      <c r="AB15" s="4">
        <v>2085</v>
      </c>
      <c r="AD15">
        <f t="shared" si="0"/>
        <v>2085</v>
      </c>
    </row>
    <row r="16" spans="1:30" x14ac:dyDescent="0.35">
      <c r="A16" t="s">
        <v>77</v>
      </c>
      <c r="B16">
        <v>6376</v>
      </c>
      <c r="C16" t="s">
        <v>7</v>
      </c>
      <c r="D16" t="s">
        <v>8</v>
      </c>
      <c r="E16" t="s">
        <v>32</v>
      </c>
      <c r="O16">
        <v>0.99</v>
      </c>
      <c r="P16" t="s">
        <v>33</v>
      </c>
      <c r="Q16">
        <v>87.7</v>
      </c>
      <c r="R16">
        <v>1</v>
      </c>
      <c r="S16" s="2">
        <v>9</v>
      </c>
      <c r="T16" s="3">
        <v>5880</v>
      </c>
      <c r="U16" s="4">
        <v>7</v>
      </c>
      <c r="V16" s="2">
        <v>11</v>
      </c>
      <c r="W16" s="3">
        <v>18</v>
      </c>
      <c r="X16" s="3">
        <v>393</v>
      </c>
      <c r="Y16" s="3">
        <v>21</v>
      </c>
      <c r="Z16" s="3">
        <v>15</v>
      </c>
      <c r="AA16" s="3">
        <v>9</v>
      </c>
      <c r="AB16" s="4">
        <v>13</v>
      </c>
      <c r="AD16">
        <f t="shared" si="0"/>
        <v>5880</v>
      </c>
    </row>
    <row r="17" spans="1:30" x14ac:dyDescent="0.35">
      <c r="A17" t="s">
        <v>55</v>
      </c>
      <c r="B17">
        <v>5744</v>
      </c>
      <c r="C17" t="s">
        <v>7</v>
      </c>
      <c r="D17" t="s">
        <v>8</v>
      </c>
      <c r="E17" t="s">
        <v>9</v>
      </c>
      <c r="G17" t="s">
        <v>172</v>
      </c>
      <c r="I17" t="s">
        <v>347</v>
      </c>
      <c r="O17">
        <v>0.56000000000000005</v>
      </c>
      <c r="P17" t="s">
        <v>348</v>
      </c>
      <c r="Q17">
        <v>92.9</v>
      </c>
      <c r="R17">
        <v>2</v>
      </c>
      <c r="S17" s="2">
        <v>14</v>
      </c>
      <c r="T17" s="3">
        <v>5</v>
      </c>
      <c r="U17" s="4">
        <v>4</v>
      </c>
      <c r="V17" s="2">
        <v>244</v>
      </c>
      <c r="W17" s="3">
        <v>10</v>
      </c>
      <c r="X17" s="3">
        <v>34</v>
      </c>
      <c r="Y17" s="3">
        <v>9</v>
      </c>
      <c r="Z17" s="3">
        <v>5401</v>
      </c>
      <c r="AA17" s="3">
        <v>14</v>
      </c>
      <c r="AB17" s="4">
        <v>9</v>
      </c>
      <c r="AD17">
        <f t="shared" si="0"/>
        <v>5401</v>
      </c>
    </row>
    <row r="18" spans="1:30" x14ac:dyDescent="0.35">
      <c r="A18" t="s">
        <v>97</v>
      </c>
      <c r="B18">
        <v>5425</v>
      </c>
      <c r="C18" t="s">
        <v>7</v>
      </c>
      <c r="D18" t="s">
        <v>8</v>
      </c>
      <c r="E18" t="s">
        <v>46</v>
      </c>
      <c r="G18" t="s">
        <v>47</v>
      </c>
      <c r="I18" t="s">
        <v>160</v>
      </c>
      <c r="K18" t="s">
        <v>161</v>
      </c>
      <c r="M18" t="s">
        <v>162</v>
      </c>
      <c r="O18">
        <v>0.57999999999999996</v>
      </c>
      <c r="P18" t="s">
        <v>163</v>
      </c>
      <c r="Q18">
        <v>89.7</v>
      </c>
      <c r="R18">
        <v>1</v>
      </c>
      <c r="S18" s="2">
        <v>15</v>
      </c>
      <c r="T18" s="3">
        <v>14</v>
      </c>
      <c r="U18" s="4">
        <v>12</v>
      </c>
      <c r="V18" s="2">
        <v>27</v>
      </c>
      <c r="W18" s="3">
        <v>18</v>
      </c>
      <c r="X18" s="3">
        <v>1308</v>
      </c>
      <c r="Y18" s="3">
        <v>3869</v>
      </c>
      <c r="Z18" s="3">
        <v>89</v>
      </c>
      <c r="AA18" s="3">
        <v>63</v>
      </c>
      <c r="AB18" s="4">
        <v>10</v>
      </c>
      <c r="AD18">
        <f t="shared" si="0"/>
        <v>3869</v>
      </c>
    </row>
    <row r="19" spans="1:30" x14ac:dyDescent="0.35">
      <c r="A19" t="s">
        <v>60</v>
      </c>
      <c r="B19">
        <v>5371</v>
      </c>
      <c r="C19" t="s">
        <v>7</v>
      </c>
      <c r="D19" t="s">
        <v>8</v>
      </c>
      <c r="E19" t="s">
        <v>32</v>
      </c>
      <c r="G19" t="s">
        <v>35</v>
      </c>
      <c r="I19" t="s">
        <v>36</v>
      </c>
      <c r="K19" t="s">
        <v>37</v>
      </c>
      <c r="O19">
        <v>0.66</v>
      </c>
      <c r="P19" t="s">
        <v>38</v>
      </c>
      <c r="Q19">
        <v>85.8</v>
      </c>
      <c r="R19">
        <v>1</v>
      </c>
      <c r="S19" s="2">
        <v>1277</v>
      </c>
      <c r="T19" s="3">
        <v>9</v>
      </c>
      <c r="U19" s="4">
        <v>3129</v>
      </c>
      <c r="V19" s="2">
        <v>42</v>
      </c>
      <c r="W19" s="3">
        <v>172</v>
      </c>
      <c r="X19" s="3">
        <v>681</v>
      </c>
      <c r="Y19" s="3">
        <v>9</v>
      </c>
      <c r="Z19" s="3">
        <v>39</v>
      </c>
      <c r="AA19" s="3">
        <v>6</v>
      </c>
      <c r="AB19" s="4">
        <v>7</v>
      </c>
      <c r="AD19">
        <f t="shared" si="0"/>
        <v>3129</v>
      </c>
    </row>
    <row r="20" spans="1:30" x14ac:dyDescent="0.35">
      <c r="A20" t="s">
        <v>74</v>
      </c>
      <c r="B20">
        <v>5269</v>
      </c>
      <c r="C20" t="s">
        <v>7</v>
      </c>
      <c r="D20" t="s">
        <v>8</v>
      </c>
      <c r="E20" t="s">
        <v>46</v>
      </c>
      <c r="G20" t="s">
        <v>47</v>
      </c>
      <c r="I20" t="s">
        <v>61</v>
      </c>
      <c r="K20" t="s">
        <v>190</v>
      </c>
      <c r="O20">
        <v>0.5</v>
      </c>
      <c r="P20" t="s">
        <v>319</v>
      </c>
      <c r="Q20">
        <v>89.3</v>
      </c>
      <c r="R20">
        <v>1</v>
      </c>
      <c r="S20" s="2">
        <v>9</v>
      </c>
      <c r="T20" s="3">
        <v>10</v>
      </c>
      <c r="U20" s="4">
        <v>14</v>
      </c>
      <c r="V20" s="2">
        <v>11</v>
      </c>
      <c r="W20" s="3">
        <v>14</v>
      </c>
      <c r="X20" s="3">
        <v>8</v>
      </c>
      <c r="Y20" s="3">
        <v>13</v>
      </c>
      <c r="Z20" s="3">
        <v>5160</v>
      </c>
      <c r="AA20" s="3">
        <v>20</v>
      </c>
      <c r="AB20" s="4">
        <v>10</v>
      </c>
      <c r="AD20">
        <f t="shared" si="0"/>
        <v>5160</v>
      </c>
    </row>
    <row r="21" spans="1:30" x14ac:dyDescent="0.35">
      <c r="A21" t="s">
        <v>72</v>
      </c>
      <c r="B21">
        <v>5260</v>
      </c>
      <c r="C21" t="s">
        <v>7</v>
      </c>
      <c r="D21" t="s">
        <v>8</v>
      </c>
      <c r="E21" t="s">
        <v>46</v>
      </c>
      <c r="G21" t="s">
        <v>47</v>
      </c>
      <c r="I21" t="s">
        <v>61</v>
      </c>
      <c r="K21" t="s">
        <v>94</v>
      </c>
      <c r="M21" t="s">
        <v>95</v>
      </c>
      <c r="O21">
        <v>1</v>
      </c>
      <c r="P21" t="s">
        <v>96</v>
      </c>
      <c r="Q21">
        <v>100</v>
      </c>
      <c r="R21">
        <v>3</v>
      </c>
      <c r="S21" s="2">
        <v>932</v>
      </c>
      <c r="T21" s="3">
        <v>17</v>
      </c>
      <c r="U21" s="4">
        <v>158</v>
      </c>
      <c r="V21" s="2">
        <v>13</v>
      </c>
      <c r="W21" s="3">
        <v>16</v>
      </c>
      <c r="X21" s="3">
        <v>15</v>
      </c>
      <c r="Y21" s="3">
        <v>15</v>
      </c>
      <c r="Z21" s="3">
        <v>27</v>
      </c>
      <c r="AA21" s="3">
        <v>1625</v>
      </c>
      <c r="AB21" s="4">
        <v>2442</v>
      </c>
      <c r="AD21">
        <f t="shared" si="0"/>
        <v>2442</v>
      </c>
    </row>
    <row r="22" spans="1:30" x14ac:dyDescent="0.35">
      <c r="A22" t="s">
        <v>135</v>
      </c>
      <c r="B22">
        <v>4980</v>
      </c>
      <c r="C22" t="s">
        <v>7</v>
      </c>
      <c r="D22" t="s">
        <v>8</v>
      </c>
      <c r="E22" t="s">
        <v>9</v>
      </c>
      <c r="G22" t="s">
        <v>172</v>
      </c>
      <c r="I22" t="s">
        <v>173</v>
      </c>
      <c r="K22" t="s">
        <v>174</v>
      </c>
      <c r="M22" t="s">
        <v>175</v>
      </c>
      <c r="O22">
        <v>0.88</v>
      </c>
      <c r="P22" t="s">
        <v>332</v>
      </c>
      <c r="Q22">
        <v>98.4</v>
      </c>
      <c r="R22">
        <v>1</v>
      </c>
      <c r="S22" s="2">
        <v>18</v>
      </c>
      <c r="T22" s="3">
        <v>4</v>
      </c>
      <c r="U22" s="4">
        <v>5</v>
      </c>
      <c r="V22" s="2">
        <v>4692</v>
      </c>
      <c r="W22" s="3">
        <v>15</v>
      </c>
      <c r="X22" s="3">
        <v>200</v>
      </c>
      <c r="Y22" s="3">
        <v>16</v>
      </c>
      <c r="Z22" s="3">
        <v>13</v>
      </c>
      <c r="AA22" s="3">
        <v>11</v>
      </c>
      <c r="AB22" s="4">
        <v>6</v>
      </c>
      <c r="AD22">
        <f t="shared" si="0"/>
        <v>4692</v>
      </c>
    </row>
    <row r="23" spans="1:30" x14ac:dyDescent="0.35">
      <c r="A23" t="s">
        <v>83</v>
      </c>
      <c r="B23">
        <v>4774</v>
      </c>
      <c r="C23" t="s">
        <v>7</v>
      </c>
      <c r="D23" t="s">
        <v>8</v>
      </c>
      <c r="E23" t="s">
        <v>100</v>
      </c>
      <c r="G23" t="s">
        <v>101</v>
      </c>
      <c r="I23" t="s">
        <v>102</v>
      </c>
      <c r="K23" t="s">
        <v>103</v>
      </c>
      <c r="M23" t="s">
        <v>104</v>
      </c>
      <c r="O23">
        <v>1</v>
      </c>
      <c r="P23" t="s">
        <v>105</v>
      </c>
      <c r="Q23">
        <v>99.6</v>
      </c>
      <c r="R23">
        <v>1</v>
      </c>
      <c r="S23" s="2">
        <v>2</v>
      </c>
      <c r="T23" s="3">
        <v>1070</v>
      </c>
      <c r="U23" s="4">
        <v>10</v>
      </c>
      <c r="V23" s="2">
        <v>3639</v>
      </c>
      <c r="W23" s="3">
        <v>7</v>
      </c>
      <c r="X23" s="3">
        <v>8</v>
      </c>
      <c r="Y23" s="3">
        <v>12</v>
      </c>
      <c r="Z23" s="3">
        <v>16</v>
      </c>
      <c r="AA23" s="3">
        <v>6</v>
      </c>
      <c r="AB23" s="4">
        <v>4</v>
      </c>
      <c r="AD23">
        <f t="shared" si="0"/>
        <v>3639</v>
      </c>
    </row>
    <row r="24" spans="1:30" x14ac:dyDescent="0.35">
      <c r="A24" t="s">
        <v>87</v>
      </c>
      <c r="B24">
        <v>4491</v>
      </c>
      <c r="C24" t="s">
        <v>7</v>
      </c>
      <c r="D24" t="s">
        <v>8</v>
      </c>
      <c r="E24" t="s">
        <v>32</v>
      </c>
      <c r="G24" t="s">
        <v>35</v>
      </c>
      <c r="I24" t="s">
        <v>36</v>
      </c>
      <c r="K24" t="s">
        <v>37</v>
      </c>
      <c r="M24" t="s">
        <v>304</v>
      </c>
      <c r="O24">
        <v>0.88</v>
      </c>
      <c r="P24" t="s">
        <v>305</v>
      </c>
      <c r="Q24">
        <v>98</v>
      </c>
      <c r="R24">
        <v>1</v>
      </c>
      <c r="S24" s="2">
        <v>27</v>
      </c>
      <c r="T24" s="3">
        <v>4</v>
      </c>
      <c r="U24" s="4">
        <v>7</v>
      </c>
      <c r="V24" s="2">
        <v>2600</v>
      </c>
      <c r="W24" s="3">
        <v>976</v>
      </c>
      <c r="X24" s="3">
        <v>71</v>
      </c>
      <c r="Y24" s="3">
        <v>72</v>
      </c>
      <c r="Z24" s="3">
        <v>631</v>
      </c>
      <c r="AA24" s="3">
        <v>23</v>
      </c>
      <c r="AB24" s="4">
        <v>80</v>
      </c>
      <c r="AD24">
        <f t="shared" si="0"/>
        <v>2600</v>
      </c>
    </row>
    <row r="25" spans="1:30" x14ac:dyDescent="0.35">
      <c r="A25" t="s">
        <v>99</v>
      </c>
      <c r="B25">
        <v>4272</v>
      </c>
      <c r="C25" t="s">
        <v>7</v>
      </c>
      <c r="D25" t="s">
        <v>8</v>
      </c>
      <c r="E25" t="s">
        <v>32</v>
      </c>
      <c r="O25">
        <v>0.99</v>
      </c>
      <c r="P25" t="s">
        <v>314</v>
      </c>
      <c r="Q25">
        <v>87</v>
      </c>
      <c r="R25">
        <v>1</v>
      </c>
      <c r="S25" s="2">
        <v>13</v>
      </c>
      <c r="T25" s="3">
        <v>18</v>
      </c>
      <c r="U25" s="4">
        <v>4</v>
      </c>
      <c r="V25" s="2">
        <v>13</v>
      </c>
      <c r="W25" s="3">
        <v>29</v>
      </c>
      <c r="X25" s="3">
        <v>40</v>
      </c>
      <c r="Y25" s="3">
        <v>4137</v>
      </c>
      <c r="Z25" s="3">
        <v>6</v>
      </c>
      <c r="AA25" s="3">
        <v>5</v>
      </c>
      <c r="AB25" s="4">
        <v>7</v>
      </c>
      <c r="AD25">
        <f t="shared" si="0"/>
        <v>4137</v>
      </c>
    </row>
    <row r="26" spans="1:30" x14ac:dyDescent="0.35">
      <c r="A26" t="s">
        <v>106</v>
      </c>
      <c r="B26">
        <v>4161</v>
      </c>
      <c r="C26" t="s">
        <v>7</v>
      </c>
      <c r="D26" t="s">
        <v>8</v>
      </c>
      <c r="O26">
        <v>1</v>
      </c>
      <c r="P26" t="s">
        <v>50</v>
      </c>
      <c r="Q26">
        <v>89.7</v>
      </c>
      <c r="R26">
        <v>1</v>
      </c>
      <c r="S26" s="2">
        <v>3</v>
      </c>
      <c r="T26" s="3">
        <v>4081</v>
      </c>
      <c r="U26" s="4">
        <v>6</v>
      </c>
      <c r="V26" s="2">
        <v>6</v>
      </c>
      <c r="W26" s="3">
        <v>21</v>
      </c>
      <c r="X26" s="3">
        <v>15</v>
      </c>
      <c r="Y26" s="3">
        <v>11</v>
      </c>
      <c r="Z26" s="3">
        <v>10</v>
      </c>
      <c r="AA26" s="3">
        <v>5</v>
      </c>
      <c r="AB26" s="4">
        <v>3</v>
      </c>
      <c r="AD26">
        <f t="shared" si="0"/>
        <v>4081</v>
      </c>
    </row>
    <row r="27" spans="1:30" x14ac:dyDescent="0.35">
      <c r="A27" t="s">
        <v>91</v>
      </c>
      <c r="B27">
        <v>3527</v>
      </c>
      <c r="C27" t="s">
        <v>7</v>
      </c>
      <c r="D27" t="s">
        <v>8</v>
      </c>
      <c r="E27" t="s">
        <v>9</v>
      </c>
      <c r="G27" t="s">
        <v>138</v>
      </c>
      <c r="I27" t="s">
        <v>345</v>
      </c>
      <c r="K27" t="s">
        <v>377</v>
      </c>
      <c r="M27" t="s">
        <v>378</v>
      </c>
      <c r="O27">
        <v>1</v>
      </c>
      <c r="P27" t="s">
        <v>379</v>
      </c>
      <c r="Q27">
        <v>100</v>
      </c>
      <c r="R27">
        <v>1</v>
      </c>
      <c r="S27" s="2">
        <v>5</v>
      </c>
      <c r="T27" s="3">
        <v>7</v>
      </c>
      <c r="U27" s="4">
        <v>4</v>
      </c>
      <c r="V27" s="2">
        <v>3448</v>
      </c>
      <c r="W27" s="3">
        <v>9</v>
      </c>
      <c r="X27" s="3">
        <v>6</v>
      </c>
      <c r="Y27" s="3">
        <v>1</v>
      </c>
      <c r="Z27" s="3">
        <v>31</v>
      </c>
      <c r="AA27" s="3">
        <v>13</v>
      </c>
      <c r="AB27" s="4">
        <v>3</v>
      </c>
      <c r="AD27">
        <f t="shared" si="0"/>
        <v>3448</v>
      </c>
    </row>
    <row r="28" spans="1:30" x14ac:dyDescent="0.35">
      <c r="A28" t="s">
        <v>89</v>
      </c>
      <c r="B28">
        <v>3494</v>
      </c>
      <c r="C28" t="s">
        <v>7</v>
      </c>
      <c r="D28" t="s">
        <v>8</v>
      </c>
      <c r="E28" t="s">
        <v>258</v>
      </c>
      <c r="G28" t="s">
        <v>258</v>
      </c>
      <c r="O28">
        <v>0.51</v>
      </c>
      <c r="P28" t="s">
        <v>328</v>
      </c>
      <c r="Q28">
        <v>90.1</v>
      </c>
      <c r="R28">
        <v>1</v>
      </c>
      <c r="S28" s="2">
        <v>18</v>
      </c>
      <c r="T28" s="3">
        <v>2</v>
      </c>
      <c r="U28" s="4">
        <v>5</v>
      </c>
      <c r="V28" s="2">
        <v>6</v>
      </c>
      <c r="W28" s="3">
        <v>6</v>
      </c>
      <c r="X28" s="3">
        <v>11</v>
      </c>
      <c r="Y28" s="3">
        <v>3418</v>
      </c>
      <c r="Z28" s="3">
        <v>18</v>
      </c>
      <c r="AA28" s="3">
        <v>5</v>
      </c>
      <c r="AB28" s="4">
        <v>5</v>
      </c>
      <c r="AD28">
        <f t="shared" si="0"/>
        <v>3418</v>
      </c>
    </row>
    <row r="29" spans="1:30" x14ac:dyDescent="0.35">
      <c r="A29" t="s">
        <v>349</v>
      </c>
      <c r="B29">
        <v>3476</v>
      </c>
      <c r="C29" t="s">
        <v>7</v>
      </c>
      <c r="D29" t="s">
        <v>8</v>
      </c>
      <c r="E29" t="s">
        <v>32</v>
      </c>
      <c r="O29">
        <v>0.99</v>
      </c>
      <c r="P29" t="s">
        <v>375</v>
      </c>
      <c r="Q29">
        <v>86.2</v>
      </c>
      <c r="R29">
        <v>2</v>
      </c>
      <c r="S29" s="2">
        <v>5</v>
      </c>
      <c r="T29" s="3">
        <v>6</v>
      </c>
      <c r="U29" s="4">
        <v>6</v>
      </c>
      <c r="V29" s="2">
        <v>79</v>
      </c>
      <c r="W29" s="3">
        <v>399</v>
      </c>
      <c r="X29" s="3">
        <v>880</v>
      </c>
      <c r="Y29" s="3">
        <v>4</v>
      </c>
      <c r="Z29" s="3">
        <v>2087</v>
      </c>
      <c r="AA29" s="3">
        <v>7</v>
      </c>
      <c r="AB29" s="4">
        <v>3</v>
      </c>
      <c r="AD29">
        <f t="shared" si="0"/>
        <v>2087</v>
      </c>
    </row>
    <row r="30" spans="1:30" x14ac:dyDescent="0.35">
      <c r="A30" t="s">
        <v>126</v>
      </c>
      <c r="B30">
        <v>3449</v>
      </c>
      <c r="C30" t="s">
        <v>7</v>
      </c>
      <c r="D30" t="s">
        <v>8</v>
      </c>
      <c r="E30" t="s">
        <v>46</v>
      </c>
      <c r="G30" t="s">
        <v>47</v>
      </c>
      <c r="O30">
        <v>0.57999999999999996</v>
      </c>
      <c r="P30" t="s">
        <v>48</v>
      </c>
      <c r="Q30">
        <v>87</v>
      </c>
      <c r="R30">
        <v>1</v>
      </c>
      <c r="S30" s="2">
        <v>5</v>
      </c>
      <c r="T30" s="3">
        <v>14</v>
      </c>
      <c r="U30" s="4">
        <v>3303</v>
      </c>
      <c r="V30" s="2">
        <v>47</v>
      </c>
      <c r="W30" s="3">
        <v>27</v>
      </c>
      <c r="X30" s="3">
        <v>9</v>
      </c>
      <c r="Y30" s="3">
        <v>14</v>
      </c>
      <c r="Z30" s="3">
        <v>16</v>
      </c>
      <c r="AA30" s="3">
        <v>6</v>
      </c>
      <c r="AB30" s="4">
        <v>8</v>
      </c>
      <c r="AD30">
        <f t="shared" si="0"/>
        <v>3303</v>
      </c>
    </row>
    <row r="31" spans="1:30" x14ac:dyDescent="0.35">
      <c r="A31" t="s">
        <v>145</v>
      </c>
      <c r="B31">
        <v>3360</v>
      </c>
      <c r="C31" t="s">
        <v>7</v>
      </c>
      <c r="D31" t="s">
        <v>8</v>
      </c>
      <c r="E31" t="s">
        <v>46</v>
      </c>
      <c r="O31">
        <v>0.96</v>
      </c>
      <c r="P31" t="s">
        <v>330</v>
      </c>
      <c r="Q31">
        <v>90.9</v>
      </c>
      <c r="R31">
        <v>1</v>
      </c>
      <c r="S31" s="2">
        <v>10</v>
      </c>
      <c r="T31" s="3">
        <v>10</v>
      </c>
      <c r="U31" s="4">
        <v>7</v>
      </c>
      <c r="V31" s="2">
        <v>21</v>
      </c>
      <c r="W31" s="3">
        <v>126</v>
      </c>
      <c r="X31" s="3">
        <v>8</v>
      </c>
      <c r="Y31" s="3">
        <v>14</v>
      </c>
      <c r="Z31" s="3">
        <v>14</v>
      </c>
      <c r="AA31" s="3">
        <v>10</v>
      </c>
      <c r="AB31" s="4">
        <v>3140</v>
      </c>
      <c r="AD31">
        <f t="shared" si="0"/>
        <v>3140</v>
      </c>
    </row>
    <row r="32" spans="1:30" x14ac:dyDescent="0.35">
      <c r="A32" t="s">
        <v>93</v>
      </c>
      <c r="B32">
        <v>3270</v>
      </c>
      <c r="C32" t="s">
        <v>7</v>
      </c>
      <c r="D32" t="s">
        <v>24</v>
      </c>
      <c r="E32" t="s">
        <v>25</v>
      </c>
      <c r="G32" t="s">
        <v>26</v>
      </c>
      <c r="I32" t="s">
        <v>27</v>
      </c>
      <c r="K32" t="s">
        <v>28</v>
      </c>
      <c r="M32" t="s">
        <v>29</v>
      </c>
      <c r="O32">
        <v>1</v>
      </c>
      <c r="P32" t="s">
        <v>73</v>
      </c>
      <c r="Q32">
        <v>99.6</v>
      </c>
      <c r="R32">
        <v>1</v>
      </c>
      <c r="S32" s="2">
        <v>1</v>
      </c>
      <c r="T32" s="3">
        <v>3131</v>
      </c>
      <c r="U32" s="4">
        <v>7</v>
      </c>
      <c r="V32" s="2">
        <v>3</v>
      </c>
      <c r="W32" s="3">
        <v>60</v>
      </c>
      <c r="X32" s="3">
        <v>6</v>
      </c>
      <c r="Y32" s="3">
        <v>55</v>
      </c>
      <c r="Z32" s="3">
        <v>6</v>
      </c>
      <c r="AA32" s="3">
        <v>1</v>
      </c>
      <c r="AB32" s="4">
        <v>0</v>
      </c>
      <c r="AD32">
        <f t="shared" si="0"/>
        <v>3131</v>
      </c>
    </row>
    <row r="33" spans="1:30" x14ac:dyDescent="0.35">
      <c r="A33" t="s">
        <v>294</v>
      </c>
      <c r="B33">
        <v>2988</v>
      </c>
      <c r="C33" t="s">
        <v>7</v>
      </c>
      <c r="D33" t="s">
        <v>8</v>
      </c>
      <c r="E33" t="s">
        <v>32</v>
      </c>
      <c r="G33" t="s">
        <v>35</v>
      </c>
      <c r="I33" t="s">
        <v>36</v>
      </c>
      <c r="K33" t="s">
        <v>37</v>
      </c>
      <c r="M33" t="s">
        <v>231</v>
      </c>
      <c r="O33">
        <v>0.95</v>
      </c>
      <c r="P33" t="s">
        <v>312</v>
      </c>
      <c r="Q33">
        <v>97.2</v>
      </c>
      <c r="R33">
        <v>1</v>
      </c>
      <c r="S33" s="2">
        <v>30</v>
      </c>
      <c r="T33" s="3">
        <v>2</v>
      </c>
      <c r="U33" s="4">
        <v>4</v>
      </c>
      <c r="V33" s="2">
        <v>56</v>
      </c>
      <c r="W33" s="3">
        <v>1018</v>
      </c>
      <c r="X33" s="3">
        <v>96</v>
      </c>
      <c r="Y33" s="3">
        <v>759</v>
      </c>
      <c r="Z33" s="3">
        <v>1012</v>
      </c>
      <c r="AA33" s="3">
        <v>7</v>
      </c>
      <c r="AB33" s="4">
        <v>4</v>
      </c>
      <c r="AD33">
        <f t="shared" si="0"/>
        <v>1018</v>
      </c>
    </row>
    <row r="34" spans="1:30" x14ac:dyDescent="0.35">
      <c r="A34" t="s">
        <v>153</v>
      </c>
      <c r="B34">
        <v>2954</v>
      </c>
      <c r="C34" t="s">
        <v>7</v>
      </c>
      <c r="D34" t="s">
        <v>8</v>
      </c>
      <c r="E34" t="s">
        <v>46</v>
      </c>
      <c r="G34" t="s">
        <v>47</v>
      </c>
      <c r="I34" t="s">
        <v>69</v>
      </c>
      <c r="K34" t="s">
        <v>70</v>
      </c>
      <c r="O34">
        <v>0.64</v>
      </c>
      <c r="P34" t="s">
        <v>71</v>
      </c>
      <c r="Q34">
        <v>90.5</v>
      </c>
      <c r="R34">
        <v>1</v>
      </c>
      <c r="S34" s="2">
        <v>6</v>
      </c>
      <c r="T34" s="3">
        <v>2892</v>
      </c>
      <c r="U34" s="4">
        <v>7</v>
      </c>
      <c r="V34" s="2">
        <v>9</v>
      </c>
      <c r="W34" s="3">
        <v>5</v>
      </c>
      <c r="X34" s="3">
        <v>10</v>
      </c>
      <c r="Y34" s="3">
        <v>7</v>
      </c>
      <c r="Z34" s="3">
        <v>9</v>
      </c>
      <c r="AA34" s="3">
        <v>5</v>
      </c>
      <c r="AB34" s="4">
        <v>4</v>
      </c>
      <c r="AD34">
        <f t="shared" si="0"/>
        <v>2892</v>
      </c>
    </row>
    <row r="35" spans="1:30" x14ac:dyDescent="0.35">
      <c r="A35" t="s">
        <v>602</v>
      </c>
      <c r="B35">
        <v>2896</v>
      </c>
      <c r="C35" t="s">
        <v>7</v>
      </c>
      <c r="D35" t="s">
        <v>24</v>
      </c>
      <c r="E35" t="s">
        <v>25</v>
      </c>
      <c r="G35" t="s">
        <v>26</v>
      </c>
      <c r="I35" t="s">
        <v>27</v>
      </c>
      <c r="K35" t="s">
        <v>28</v>
      </c>
      <c r="M35" t="s">
        <v>75</v>
      </c>
      <c r="O35">
        <v>1</v>
      </c>
      <c r="P35" t="s">
        <v>76</v>
      </c>
      <c r="Q35">
        <v>100</v>
      </c>
      <c r="R35">
        <v>7</v>
      </c>
      <c r="S35" s="2">
        <v>1</v>
      </c>
      <c r="T35" s="3">
        <v>2705</v>
      </c>
      <c r="U35" s="4">
        <v>0</v>
      </c>
      <c r="V35" s="2">
        <v>5</v>
      </c>
      <c r="W35" s="3">
        <v>64</v>
      </c>
      <c r="X35" s="3">
        <v>5</v>
      </c>
      <c r="Y35" s="3">
        <v>4</v>
      </c>
      <c r="Z35" s="3">
        <v>109</v>
      </c>
      <c r="AA35" s="3">
        <v>2</v>
      </c>
      <c r="AB35" s="4">
        <v>1</v>
      </c>
      <c r="AD35">
        <f t="shared" si="0"/>
        <v>2705</v>
      </c>
    </row>
    <row r="36" spans="1:30" x14ac:dyDescent="0.35">
      <c r="A36" t="s">
        <v>111</v>
      </c>
      <c r="B36">
        <v>2744</v>
      </c>
      <c r="C36" t="s">
        <v>7</v>
      </c>
      <c r="D36" t="s">
        <v>8</v>
      </c>
      <c r="E36" t="s">
        <v>46</v>
      </c>
      <c r="G36" t="s">
        <v>47</v>
      </c>
      <c r="I36" t="s">
        <v>61</v>
      </c>
      <c r="O36">
        <v>0.89</v>
      </c>
      <c r="P36" t="s">
        <v>62</v>
      </c>
      <c r="Q36">
        <v>90.9</v>
      </c>
      <c r="R36">
        <v>1</v>
      </c>
      <c r="S36" s="2">
        <v>6</v>
      </c>
      <c r="T36" s="3">
        <v>2474</v>
      </c>
      <c r="U36" s="4">
        <v>6</v>
      </c>
      <c r="V36" s="2">
        <v>4</v>
      </c>
      <c r="W36" s="3">
        <v>16</v>
      </c>
      <c r="X36" s="3">
        <v>10</v>
      </c>
      <c r="Y36" s="3">
        <v>195</v>
      </c>
      <c r="Z36" s="3">
        <v>19</v>
      </c>
      <c r="AA36" s="3">
        <v>4</v>
      </c>
      <c r="AB36" s="4">
        <v>10</v>
      </c>
      <c r="AD36">
        <f t="shared" si="0"/>
        <v>2474</v>
      </c>
    </row>
    <row r="37" spans="1:30" x14ac:dyDescent="0.35">
      <c r="A37" t="s">
        <v>113</v>
      </c>
      <c r="B37">
        <v>2573</v>
      </c>
      <c r="C37" t="s">
        <v>7</v>
      </c>
      <c r="D37" t="s">
        <v>24</v>
      </c>
      <c r="E37" t="s">
        <v>25</v>
      </c>
      <c r="G37" t="s">
        <v>26</v>
      </c>
      <c r="I37" t="s">
        <v>27</v>
      </c>
      <c r="K37" t="s">
        <v>28</v>
      </c>
      <c r="M37" t="s">
        <v>29</v>
      </c>
      <c r="O37">
        <v>0.9</v>
      </c>
      <c r="P37" t="s">
        <v>88</v>
      </c>
      <c r="Q37">
        <v>100</v>
      </c>
      <c r="R37">
        <v>2</v>
      </c>
      <c r="S37" s="2">
        <v>2</v>
      </c>
      <c r="T37" s="3">
        <v>1168</v>
      </c>
      <c r="U37" s="4">
        <v>592</v>
      </c>
      <c r="V37" s="2">
        <v>9</v>
      </c>
      <c r="W37" s="3">
        <v>181</v>
      </c>
      <c r="X37" s="3">
        <v>5</v>
      </c>
      <c r="Y37" s="3">
        <v>164</v>
      </c>
      <c r="Z37" s="3">
        <v>446</v>
      </c>
      <c r="AA37" s="3">
        <v>5</v>
      </c>
      <c r="AB37" s="4">
        <v>1</v>
      </c>
      <c r="AD37">
        <f t="shared" si="0"/>
        <v>1168</v>
      </c>
    </row>
    <row r="38" spans="1:30" x14ac:dyDescent="0.35">
      <c r="A38" t="s">
        <v>128</v>
      </c>
      <c r="B38">
        <v>2508</v>
      </c>
      <c r="C38" t="s">
        <v>7</v>
      </c>
      <c r="D38" t="s">
        <v>8</v>
      </c>
      <c r="E38" t="s">
        <v>46</v>
      </c>
      <c r="G38" t="s">
        <v>47</v>
      </c>
      <c r="I38" t="s">
        <v>61</v>
      </c>
      <c r="O38">
        <v>0.8</v>
      </c>
      <c r="P38" t="s">
        <v>136</v>
      </c>
      <c r="Q38">
        <v>91.3</v>
      </c>
      <c r="R38">
        <v>2</v>
      </c>
      <c r="S38" s="2">
        <v>17</v>
      </c>
      <c r="T38" s="3">
        <v>7</v>
      </c>
      <c r="U38" s="4">
        <v>479</v>
      </c>
      <c r="V38" s="2">
        <v>351</v>
      </c>
      <c r="W38" s="3">
        <v>780</v>
      </c>
      <c r="X38" s="3">
        <v>182</v>
      </c>
      <c r="Y38" s="3">
        <v>101</v>
      </c>
      <c r="Z38" s="3">
        <v>506</v>
      </c>
      <c r="AA38" s="3">
        <v>6</v>
      </c>
      <c r="AB38" s="4">
        <v>79</v>
      </c>
      <c r="AD38">
        <f t="shared" si="0"/>
        <v>780</v>
      </c>
    </row>
    <row r="39" spans="1:30" x14ac:dyDescent="0.35">
      <c r="A39" t="s">
        <v>193</v>
      </c>
      <c r="B39">
        <v>2472</v>
      </c>
      <c r="C39" t="s">
        <v>7</v>
      </c>
      <c r="D39" t="s">
        <v>8</v>
      </c>
      <c r="E39" t="s">
        <v>46</v>
      </c>
      <c r="G39" t="s">
        <v>47</v>
      </c>
      <c r="I39" t="s">
        <v>61</v>
      </c>
      <c r="O39">
        <v>1</v>
      </c>
      <c r="P39" t="s">
        <v>381</v>
      </c>
      <c r="Q39">
        <v>94.9</v>
      </c>
      <c r="R39">
        <v>1</v>
      </c>
      <c r="S39" s="2">
        <v>5</v>
      </c>
      <c r="T39" s="3">
        <v>6</v>
      </c>
      <c r="U39" s="4">
        <v>5</v>
      </c>
      <c r="V39" s="2">
        <v>666</v>
      </c>
      <c r="W39" s="3">
        <v>44</v>
      </c>
      <c r="X39" s="3">
        <v>932</v>
      </c>
      <c r="Y39" s="3">
        <v>3</v>
      </c>
      <c r="Z39" s="3">
        <v>797</v>
      </c>
      <c r="AA39" s="3">
        <v>10</v>
      </c>
      <c r="AB39" s="4">
        <v>4</v>
      </c>
      <c r="AD39">
        <f t="shared" si="0"/>
        <v>932</v>
      </c>
    </row>
    <row r="40" spans="1:30" x14ac:dyDescent="0.35">
      <c r="A40" t="s">
        <v>209</v>
      </c>
      <c r="B40">
        <v>2417</v>
      </c>
      <c r="C40" t="s">
        <v>7</v>
      </c>
      <c r="D40" t="s">
        <v>8</v>
      </c>
      <c r="E40" t="s">
        <v>46</v>
      </c>
      <c r="G40" t="s">
        <v>47</v>
      </c>
      <c r="I40" t="s">
        <v>61</v>
      </c>
      <c r="K40" t="s">
        <v>84</v>
      </c>
      <c r="M40" t="s">
        <v>85</v>
      </c>
      <c r="O40">
        <v>0.87</v>
      </c>
      <c r="P40" t="s">
        <v>86</v>
      </c>
      <c r="Q40">
        <v>99.2</v>
      </c>
      <c r="R40">
        <v>1</v>
      </c>
      <c r="S40" s="2">
        <v>10</v>
      </c>
      <c r="T40" s="3">
        <v>6</v>
      </c>
      <c r="U40" s="4">
        <v>1299</v>
      </c>
      <c r="V40" s="2">
        <v>174</v>
      </c>
      <c r="W40" s="3">
        <v>526</v>
      </c>
      <c r="X40" s="3">
        <v>81</v>
      </c>
      <c r="Y40" s="3">
        <v>35</v>
      </c>
      <c r="Z40" s="3">
        <v>257</v>
      </c>
      <c r="AA40" s="3">
        <v>25</v>
      </c>
      <c r="AB40" s="4">
        <v>4</v>
      </c>
      <c r="AD40">
        <f t="shared" si="0"/>
        <v>1299</v>
      </c>
    </row>
    <row r="41" spans="1:30" x14ac:dyDescent="0.35">
      <c r="A41" t="s">
        <v>272</v>
      </c>
      <c r="B41">
        <v>2381</v>
      </c>
      <c r="C41" t="s">
        <v>7</v>
      </c>
      <c r="D41" t="s">
        <v>8</v>
      </c>
      <c r="E41" t="s">
        <v>46</v>
      </c>
      <c r="G41" t="s">
        <v>47</v>
      </c>
      <c r="I41" t="s">
        <v>61</v>
      </c>
      <c r="K41" t="s">
        <v>94</v>
      </c>
      <c r="M41" t="s">
        <v>316</v>
      </c>
      <c r="O41">
        <v>1</v>
      </c>
      <c r="P41" t="s">
        <v>317</v>
      </c>
      <c r="Q41">
        <v>100</v>
      </c>
      <c r="R41">
        <v>1</v>
      </c>
      <c r="S41" s="2">
        <v>18</v>
      </c>
      <c r="T41" s="3">
        <v>9</v>
      </c>
      <c r="U41" s="4">
        <v>6</v>
      </c>
      <c r="V41" s="2">
        <v>9</v>
      </c>
      <c r="W41" s="3">
        <v>0</v>
      </c>
      <c r="X41" s="3">
        <v>24</v>
      </c>
      <c r="Y41" s="3">
        <v>2300</v>
      </c>
      <c r="Z41" s="3">
        <v>6</v>
      </c>
      <c r="AA41" s="3">
        <v>3</v>
      </c>
      <c r="AB41" s="4">
        <v>6</v>
      </c>
      <c r="AD41">
        <f t="shared" si="0"/>
        <v>2300</v>
      </c>
    </row>
    <row r="42" spans="1:30" x14ac:dyDescent="0.35">
      <c r="A42" t="s">
        <v>130</v>
      </c>
      <c r="B42">
        <v>2303</v>
      </c>
      <c r="C42" t="s">
        <v>7</v>
      </c>
      <c r="D42" t="s">
        <v>8</v>
      </c>
      <c r="E42" t="s">
        <v>32</v>
      </c>
      <c r="O42">
        <v>1</v>
      </c>
      <c r="P42" t="s">
        <v>436</v>
      </c>
      <c r="Q42">
        <v>88.5</v>
      </c>
      <c r="R42">
        <v>2</v>
      </c>
      <c r="S42" s="2">
        <v>3</v>
      </c>
      <c r="T42" s="3">
        <v>2</v>
      </c>
      <c r="U42" s="4">
        <v>5</v>
      </c>
      <c r="V42" s="2">
        <v>1534</v>
      </c>
      <c r="W42" s="3">
        <v>2</v>
      </c>
      <c r="X42" s="3">
        <v>4</v>
      </c>
      <c r="Y42" s="3">
        <v>5</v>
      </c>
      <c r="Z42" s="3">
        <v>737</v>
      </c>
      <c r="AA42" s="3">
        <v>5</v>
      </c>
      <c r="AB42" s="4">
        <v>6</v>
      </c>
      <c r="AD42">
        <f t="shared" si="0"/>
        <v>1534</v>
      </c>
    </row>
    <row r="43" spans="1:30" x14ac:dyDescent="0.35">
      <c r="A43" t="s">
        <v>137</v>
      </c>
      <c r="B43">
        <v>2176</v>
      </c>
      <c r="C43" t="s">
        <v>7</v>
      </c>
      <c r="D43" t="s">
        <v>8</v>
      </c>
      <c r="E43" t="s">
        <v>394</v>
      </c>
      <c r="G43" t="s">
        <v>395</v>
      </c>
      <c r="I43" t="s">
        <v>396</v>
      </c>
      <c r="K43" t="s">
        <v>397</v>
      </c>
      <c r="M43" t="s">
        <v>398</v>
      </c>
      <c r="O43">
        <v>0.9</v>
      </c>
      <c r="P43" t="s">
        <v>399</v>
      </c>
      <c r="Q43">
        <v>92.9</v>
      </c>
      <c r="R43">
        <v>1</v>
      </c>
      <c r="S43" s="2">
        <v>1</v>
      </c>
      <c r="T43" s="3">
        <v>2</v>
      </c>
      <c r="U43" s="4">
        <v>7</v>
      </c>
      <c r="V43" s="2">
        <v>70</v>
      </c>
      <c r="W43" s="3">
        <v>2033</v>
      </c>
      <c r="X43" s="3">
        <v>22</v>
      </c>
      <c r="Y43" s="3">
        <v>4</v>
      </c>
      <c r="Z43" s="3">
        <v>5</v>
      </c>
      <c r="AA43" s="3">
        <v>19</v>
      </c>
      <c r="AB43" s="4">
        <v>13</v>
      </c>
      <c r="AD43">
        <f t="shared" si="0"/>
        <v>2033</v>
      </c>
    </row>
    <row r="44" spans="1:30" x14ac:dyDescent="0.35">
      <c r="A44" t="s">
        <v>119</v>
      </c>
      <c r="B44">
        <v>1973</v>
      </c>
      <c r="C44" t="s">
        <v>7</v>
      </c>
      <c r="D44" t="s">
        <v>8</v>
      </c>
      <c r="E44" t="s">
        <v>9</v>
      </c>
      <c r="G44" t="s">
        <v>10</v>
      </c>
      <c r="I44" t="s">
        <v>107</v>
      </c>
      <c r="K44" t="s">
        <v>108</v>
      </c>
      <c r="M44" t="s">
        <v>109</v>
      </c>
      <c r="O44">
        <v>1</v>
      </c>
      <c r="P44" t="s">
        <v>129</v>
      </c>
      <c r="Q44">
        <v>99.2</v>
      </c>
      <c r="R44">
        <v>1</v>
      </c>
      <c r="S44" s="2">
        <v>108</v>
      </c>
      <c r="T44" s="3">
        <v>4</v>
      </c>
      <c r="U44" s="4">
        <v>432</v>
      </c>
      <c r="V44" s="2">
        <v>74</v>
      </c>
      <c r="W44" s="3">
        <v>159</v>
      </c>
      <c r="X44" s="3">
        <v>122</v>
      </c>
      <c r="Y44" s="3">
        <v>762</v>
      </c>
      <c r="Z44" s="3">
        <v>81</v>
      </c>
      <c r="AA44" s="3">
        <v>230</v>
      </c>
      <c r="AB44" s="4">
        <v>1</v>
      </c>
      <c r="AD44">
        <f t="shared" si="0"/>
        <v>762</v>
      </c>
    </row>
    <row r="45" spans="1:30" x14ac:dyDescent="0.35">
      <c r="A45" t="s">
        <v>181</v>
      </c>
      <c r="B45">
        <v>1945</v>
      </c>
      <c r="C45" t="s">
        <v>7</v>
      </c>
      <c r="D45" t="s">
        <v>8</v>
      </c>
      <c r="E45" t="s">
        <v>9</v>
      </c>
      <c r="G45" t="s">
        <v>172</v>
      </c>
      <c r="I45" t="s">
        <v>173</v>
      </c>
      <c r="K45" t="s">
        <v>174</v>
      </c>
      <c r="M45" t="s">
        <v>175</v>
      </c>
      <c r="O45">
        <v>0.99</v>
      </c>
      <c r="P45" t="s">
        <v>176</v>
      </c>
      <c r="Q45">
        <v>100</v>
      </c>
      <c r="R45">
        <v>2</v>
      </c>
      <c r="S45" s="2">
        <v>6</v>
      </c>
      <c r="T45" s="3">
        <v>1</v>
      </c>
      <c r="U45" s="4">
        <v>138</v>
      </c>
      <c r="V45" s="2">
        <v>521</v>
      </c>
      <c r="W45" s="3">
        <v>1109</v>
      </c>
      <c r="X45" s="3">
        <v>3</v>
      </c>
      <c r="Y45" s="3">
        <v>4</v>
      </c>
      <c r="Z45" s="3">
        <v>156</v>
      </c>
      <c r="AA45" s="3">
        <v>5</v>
      </c>
      <c r="AB45" s="4">
        <v>2</v>
      </c>
      <c r="AD45">
        <f t="shared" si="0"/>
        <v>1109</v>
      </c>
    </row>
    <row r="46" spans="1:30" x14ac:dyDescent="0.35">
      <c r="A46" t="s">
        <v>177</v>
      </c>
      <c r="B46">
        <v>1936</v>
      </c>
      <c r="C46" t="s">
        <v>7</v>
      </c>
      <c r="D46" t="s">
        <v>8</v>
      </c>
      <c r="O46">
        <v>1</v>
      </c>
      <c r="P46" t="s">
        <v>343</v>
      </c>
      <c r="Q46">
        <v>87</v>
      </c>
      <c r="R46">
        <v>2</v>
      </c>
      <c r="S46" s="2">
        <v>10</v>
      </c>
      <c r="T46" s="3">
        <v>9</v>
      </c>
      <c r="U46" s="4">
        <v>4</v>
      </c>
      <c r="V46" s="2">
        <v>9</v>
      </c>
      <c r="W46" s="3">
        <v>15</v>
      </c>
      <c r="X46" s="3">
        <v>1254</v>
      </c>
      <c r="Y46" s="3">
        <v>419</v>
      </c>
      <c r="Z46" s="3">
        <v>210</v>
      </c>
      <c r="AA46" s="3">
        <v>4</v>
      </c>
      <c r="AB46" s="4">
        <v>2</v>
      </c>
      <c r="AD46">
        <f t="shared" si="0"/>
        <v>1254</v>
      </c>
    </row>
    <row r="47" spans="1:30" x14ac:dyDescent="0.35">
      <c r="A47" t="s">
        <v>142</v>
      </c>
      <c r="B47">
        <v>1912</v>
      </c>
      <c r="C47" t="s">
        <v>7</v>
      </c>
      <c r="D47" t="s">
        <v>8</v>
      </c>
      <c r="O47">
        <v>1</v>
      </c>
      <c r="P47" t="s">
        <v>98</v>
      </c>
      <c r="Q47">
        <v>0</v>
      </c>
      <c r="R47">
        <v>1</v>
      </c>
      <c r="S47" s="2">
        <v>3</v>
      </c>
      <c r="T47" s="3">
        <v>4</v>
      </c>
      <c r="U47" s="4">
        <v>2</v>
      </c>
      <c r="V47" s="2">
        <v>46</v>
      </c>
      <c r="W47" s="3">
        <v>1810</v>
      </c>
      <c r="X47" s="3">
        <v>2</v>
      </c>
      <c r="Y47" s="3">
        <v>2</v>
      </c>
      <c r="Z47" s="3">
        <v>34</v>
      </c>
      <c r="AA47" s="3">
        <v>4</v>
      </c>
      <c r="AB47" s="4">
        <v>5</v>
      </c>
      <c r="AD47">
        <f t="shared" si="0"/>
        <v>1810</v>
      </c>
    </row>
    <row r="48" spans="1:30" x14ac:dyDescent="0.35">
      <c r="A48" t="s">
        <v>149</v>
      </c>
      <c r="B48">
        <v>1894</v>
      </c>
      <c r="C48" t="s">
        <v>7</v>
      </c>
      <c r="D48" t="s">
        <v>8</v>
      </c>
      <c r="E48" t="s">
        <v>46</v>
      </c>
      <c r="G48" t="s">
        <v>47</v>
      </c>
      <c r="I48" t="s">
        <v>61</v>
      </c>
      <c r="K48" t="s">
        <v>210</v>
      </c>
      <c r="M48" t="s">
        <v>211</v>
      </c>
      <c r="O48">
        <v>0.98</v>
      </c>
      <c r="P48" t="s">
        <v>360</v>
      </c>
      <c r="Q48">
        <v>95.3</v>
      </c>
      <c r="R48">
        <v>1</v>
      </c>
      <c r="S48" s="2">
        <v>11</v>
      </c>
      <c r="T48" s="3">
        <v>9</v>
      </c>
      <c r="U48" s="4">
        <v>1</v>
      </c>
      <c r="V48" s="2">
        <v>45</v>
      </c>
      <c r="W48" s="3">
        <v>271</v>
      </c>
      <c r="X48" s="3">
        <v>392</v>
      </c>
      <c r="Y48" s="3">
        <v>51</v>
      </c>
      <c r="Z48" s="3">
        <v>1108</v>
      </c>
      <c r="AA48" s="3">
        <v>4</v>
      </c>
      <c r="AB48" s="4">
        <v>2</v>
      </c>
      <c r="AD48">
        <f t="shared" si="0"/>
        <v>1108</v>
      </c>
    </row>
    <row r="49" spans="1:30" x14ac:dyDescent="0.35">
      <c r="A49" t="s">
        <v>197</v>
      </c>
      <c r="B49">
        <v>1889</v>
      </c>
      <c r="C49" t="s">
        <v>7</v>
      </c>
      <c r="D49" t="s">
        <v>8</v>
      </c>
      <c r="E49" t="s">
        <v>46</v>
      </c>
      <c r="G49" t="s">
        <v>47</v>
      </c>
      <c r="I49" t="s">
        <v>61</v>
      </c>
      <c r="K49" t="s">
        <v>210</v>
      </c>
      <c r="O49">
        <v>1</v>
      </c>
      <c r="P49" t="s">
        <v>362</v>
      </c>
      <c r="Q49">
        <v>95.7</v>
      </c>
      <c r="R49">
        <v>1</v>
      </c>
      <c r="S49" s="2">
        <v>6</v>
      </c>
      <c r="T49" s="3">
        <v>4</v>
      </c>
      <c r="U49" s="4">
        <v>10</v>
      </c>
      <c r="V49" s="2">
        <v>4</v>
      </c>
      <c r="W49" s="3">
        <v>2</v>
      </c>
      <c r="X49" s="3">
        <v>10</v>
      </c>
      <c r="Y49" s="3">
        <v>1842</v>
      </c>
      <c r="Z49" s="3">
        <v>6</v>
      </c>
      <c r="AA49" s="3">
        <v>2</v>
      </c>
      <c r="AB49" s="4">
        <v>3</v>
      </c>
      <c r="AD49">
        <f t="shared" si="0"/>
        <v>1842</v>
      </c>
    </row>
    <row r="50" spans="1:30" x14ac:dyDescent="0.35">
      <c r="A50" t="s">
        <v>164</v>
      </c>
      <c r="B50">
        <v>1855</v>
      </c>
      <c r="C50" t="s">
        <v>7</v>
      </c>
      <c r="D50" t="s">
        <v>8</v>
      </c>
      <c r="E50" t="s">
        <v>9</v>
      </c>
      <c r="G50" t="s">
        <v>10</v>
      </c>
      <c r="K50" t="s">
        <v>227</v>
      </c>
      <c r="M50" t="s">
        <v>228</v>
      </c>
      <c r="O50">
        <v>0.99</v>
      </c>
      <c r="P50" t="s">
        <v>229</v>
      </c>
      <c r="Q50">
        <v>94.9</v>
      </c>
      <c r="R50">
        <v>1</v>
      </c>
      <c r="S50" s="2">
        <v>7</v>
      </c>
      <c r="T50" s="3">
        <v>2</v>
      </c>
      <c r="U50" s="4">
        <v>83</v>
      </c>
      <c r="V50" s="2">
        <v>14</v>
      </c>
      <c r="W50" s="3">
        <v>1516</v>
      </c>
      <c r="X50" s="3">
        <v>120</v>
      </c>
      <c r="Y50" s="3">
        <v>18</v>
      </c>
      <c r="Z50" s="3">
        <v>57</v>
      </c>
      <c r="AA50" s="3">
        <v>9</v>
      </c>
      <c r="AB50" s="4">
        <v>29</v>
      </c>
      <c r="AD50">
        <f t="shared" si="0"/>
        <v>1516</v>
      </c>
    </row>
    <row r="51" spans="1:30" x14ac:dyDescent="0.35">
      <c r="A51" t="s">
        <v>203</v>
      </c>
      <c r="B51">
        <v>1704</v>
      </c>
      <c r="C51" t="s">
        <v>7</v>
      </c>
      <c r="D51" t="s">
        <v>8</v>
      </c>
      <c r="E51" t="s">
        <v>258</v>
      </c>
      <c r="G51" t="s">
        <v>258</v>
      </c>
      <c r="H51" t="s">
        <v>259</v>
      </c>
      <c r="I51" t="s">
        <v>260</v>
      </c>
      <c r="J51" t="s">
        <v>261</v>
      </c>
      <c r="K51" t="s">
        <v>262</v>
      </c>
      <c r="O51">
        <v>0.56000000000000005</v>
      </c>
      <c r="P51" t="s">
        <v>328</v>
      </c>
      <c r="Q51">
        <v>89.3</v>
      </c>
      <c r="R51">
        <v>1</v>
      </c>
      <c r="S51" s="2">
        <v>11</v>
      </c>
      <c r="T51" s="3">
        <v>6</v>
      </c>
      <c r="U51" s="4">
        <v>5</v>
      </c>
      <c r="V51" s="2">
        <v>10</v>
      </c>
      <c r="W51" s="3">
        <v>262</v>
      </c>
      <c r="X51" s="3">
        <v>10</v>
      </c>
      <c r="Y51" s="3">
        <v>16</v>
      </c>
      <c r="Z51" s="3">
        <v>1324</v>
      </c>
      <c r="AA51" s="3">
        <v>8</v>
      </c>
      <c r="AB51" s="4">
        <v>52</v>
      </c>
      <c r="AD51">
        <f t="shared" si="0"/>
        <v>1324</v>
      </c>
    </row>
    <row r="52" spans="1:30" x14ac:dyDescent="0.35">
      <c r="A52" t="s">
        <v>171</v>
      </c>
      <c r="B52">
        <v>1564</v>
      </c>
      <c r="C52" t="s">
        <v>7</v>
      </c>
      <c r="D52" t="s">
        <v>8</v>
      </c>
      <c r="E52" t="s">
        <v>9</v>
      </c>
      <c r="G52" t="s">
        <v>138</v>
      </c>
      <c r="I52" t="s">
        <v>410</v>
      </c>
      <c r="K52" t="s">
        <v>411</v>
      </c>
      <c r="O52">
        <v>1</v>
      </c>
      <c r="P52" t="s">
        <v>412</v>
      </c>
      <c r="Q52">
        <v>99.2</v>
      </c>
      <c r="R52">
        <v>7</v>
      </c>
      <c r="S52" s="2">
        <v>5</v>
      </c>
      <c r="T52" s="3">
        <v>4</v>
      </c>
      <c r="U52" s="4">
        <v>3</v>
      </c>
      <c r="V52" s="2">
        <v>1524</v>
      </c>
      <c r="W52" s="3">
        <v>3</v>
      </c>
      <c r="X52" s="3">
        <v>3</v>
      </c>
      <c r="Y52" s="3">
        <v>3</v>
      </c>
      <c r="Z52" s="3">
        <v>9</v>
      </c>
      <c r="AA52" s="3">
        <v>6</v>
      </c>
      <c r="AB52" s="4">
        <v>4</v>
      </c>
      <c r="AD52">
        <f t="shared" si="0"/>
        <v>1524</v>
      </c>
    </row>
    <row r="53" spans="1:30" x14ac:dyDescent="0.35">
      <c r="A53" t="s">
        <v>284</v>
      </c>
      <c r="B53">
        <v>1554</v>
      </c>
      <c r="C53" t="s">
        <v>7</v>
      </c>
      <c r="D53" t="s">
        <v>8</v>
      </c>
      <c r="E53" t="s">
        <v>46</v>
      </c>
      <c r="G53" t="s">
        <v>64</v>
      </c>
      <c r="I53" t="s">
        <v>65</v>
      </c>
      <c r="K53" t="s">
        <v>66</v>
      </c>
      <c r="O53">
        <v>0.53</v>
      </c>
      <c r="P53" t="s">
        <v>67</v>
      </c>
      <c r="Q53">
        <v>88.5</v>
      </c>
      <c r="R53">
        <v>2</v>
      </c>
      <c r="S53" s="2">
        <v>3</v>
      </c>
      <c r="T53" s="3">
        <v>7</v>
      </c>
      <c r="U53" s="4">
        <v>533</v>
      </c>
      <c r="V53" s="2">
        <v>50</v>
      </c>
      <c r="W53" s="3">
        <v>945</v>
      </c>
      <c r="X53" s="3">
        <v>6</v>
      </c>
      <c r="Y53" s="3">
        <v>4</v>
      </c>
      <c r="Z53" s="3">
        <v>2</v>
      </c>
      <c r="AA53" s="3">
        <v>0</v>
      </c>
      <c r="AB53" s="4">
        <v>4</v>
      </c>
      <c r="AD53">
        <f t="shared" si="0"/>
        <v>945</v>
      </c>
    </row>
    <row r="54" spans="1:30" x14ac:dyDescent="0.35">
      <c r="A54" t="s">
        <v>148</v>
      </c>
      <c r="B54">
        <v>1494</v>
      </c>
      <c r="C54" t="s">
        <v>7</v>
      </c>
      <c r="D54" t="s">
        <v>8</v>
      </c>
      <c r="E54" t="s">
        <v>46</v>
      </c>
      <c r="O54">
        <v>0.59</v>
      </c>
      <c r="P54" t="s">
        <v>98</v>
      </c>
      <c r="Q54">
        <v>0</v>
      </c>
      <c r="R54">
        <v>1</v>
      </c>
      <c r="S54" s="2">
        <v>3</v>
      </c>
      <c r="T54" s="3">
        <v>3</v>
      </c>
      <c r="U54" s="4">
        <v>2</v>
      </c>
      <c r="V54" s="2">
        <v>20</v>
      </c>
      <c r="W54" s="3">
        <v>7</v>
      </c>
      <c r="X54" s="3">
        <v>33</v>
      </c>
      <c r="Y54" s="3">
        <v>857</v>
      </c>
      <c r="Z54" s="3">
        <v>558</v>
      </c>
      <c r="AA54" s="3">
        <v>6</v>
      </c>
      <c r="AB54" s="4">
        <v>5</v>
      </c>
      <c r="AD54">
        <f t="shared" si="0"/>
        <v>857</v>
      </c>
    </row>
    <row r="55" spans="1:30" x14ac:dyDescent="0.35">
      <c r="A55" t="s">
        <v>225</v>
      </c>
      <c r="B55">
        <v>1443</v>
      </c>
      <c r="C55" t="s">
        <v>7</v>
      </c>
      <c r="D55" t="s">
        <v>8</v>
      </c>
      <c r="E55" t="s">
        <v>9</v>
      </c>
      <c r="G55" t="s">
        <v>10</v>
      </c>
      <c r="I55" t="s">
        <v>131</v>
      </c>
      <c r="K55" t="s">
        <v>150</v>
      </c>
      <c r="M55" t="s">
        <v>151</v>
      </c>
      <c r="O55">
        <v>0.99</v>
      </c>
      <c r="P55" t="s">
        <v>152</v>
      </c>
      <c r="Q55">
        <v>98.4</v>
      </c>
      <c r="R55">
        <v>1</v>
      </c>
      <c r="S55" s="2">
        <v>86</v>
      </c>
      <c r="T55" s="3">
        <v>4</v>
      </c>
      <c r="U55" s="4">
        <v>29</v>
      </c>
      <c r="V55" s="2">
        <v>63</v>
      </c>
      <c r="W55" s="3">
        <v>86</v>
      </c>
      <c r="X55" s="3">
        <v>448</v>
      </c>
      <c r="Y55" s="3">
        <v>143</v>
      </c>
      <c r="Z55" s="3">
        <v>577</v>
      </c>
      <c r="AA55" s="3">
        <v>6</v>
      </c>
      <c r="AB55" s="4">
        <v>1</v>
      </c>
      <c r="AD55">
        <f t="shared" si="0"/>
        <v>577</v>
      </c>
    </row>
    <row r="56" spans="1:30" x14ac:dyDescent="0.35">
      <c r="A56" t="s">
        <v>156</v>
      </c>
      <c r="B56">
        <v>1423</v>
      </c>
      <c r="C56" t="s">
        <v>7</v>
      </c>
      <c r="D56" t="s">
        <v>8</v>
      </c>
      <c r="E56" t="s">
        <v>46</v>
      </c>
      <c r="G56" t="s">
        <v>47</v>
      </c>
      <c r="I56" t="s">
        <v>61</v>
      </c>
      <c r="O56">
        <v>0.85</v>
      </c>
      <c r="P56" t="s">
        <v>184</v>
      </c>
      <c r="Q56">
        <v>92.1</v>
      </c>
      <c r="R56">
        <v>1</v>
      </c>
      <c r="S56" s="2">
        <v>1</v>
      </c>
      <c r="T56" s="3">
        <v>1</v>
      </c>
      <c r="U56" s="4">
        <v>4</v>
      </c>
      <c r="V56" s="2">
        <v>20</v>
      </c>
      <c r="W56" s="3">
        <v>1186</v>
      </c>
      <c r="X56" s="3">
        <v>15</v>
      </c>
      <c r="Y56" s="3">
        <v>4</v>
      </c>
      <c r="Z56" s="3">
        <v>185</v>
      </c>
      <c r="AA56" s="3">
        <v>6</v>
      </c>
      <c r="AB56" s="4">
        <v>1</v>
      </c>
      <c r="AD56">
        <f t="shared" si="0"/>
        <v>1186</v>
      </c>
    </row>
    <row r="57" spans="1:30" x14ac:dyDescent="0.35">
      <c r="A57" t="s">
        <v>159</v>
      </c>
      <c r="B57">
        <v>1364</v>
      </c>
      <c r="C57" t="s">
        <v>7</v>
      </c>
      <c r="D57" t="s">
        <v>8</v>
      </c>
      <c r="E57" t="s">
        <v>9</v>
      </c>
      <c r="O57">
        <v>0.53</v>
      </c>
      <c r="P57" t="s">
        <v>98</v>
      </c>
      <c r="Q57">
        <v>0</v>
      </c>
      <c r="R57">
        <v>1</v>
      </c>
      <c r="S57" s="2">
        <v>1</v>
      </c>
      <c r="T57" s="3">
        <v>5</v>
      </c>
      <c r="U57" s="4">
        <v>1</v>
      </c>
      <c r="V57" s="2">
        <v>1</v>
      </c>
      <c r="W57" s="3">
        <v>3</v>
      </c>
      <c r="X57" s="3">
        <v>1350</v>
      </c>
      <c r="Y57" s="3">
        <v>0</v>
      </c>
      <c r="Z57" s="3">
        <v>0</v>
      </c>
      <c r="AA57" s="3">
        <v>0</v>
      </c>
      <c r="AB57" s="4">
        <v>3</v>
      </c>
      <c r="AD57">
        <f t="shared" si="0"/>
        <v>1350</v>
      </c>
    </row>
    <row r="58" spans="1:30" x14ac:dyDescent="0.35">
      <c r="A58" t="s">
        <v>255</v>
      </c>
      <c r="B58">
        <v>1363</v>
      </c>
      <c r="C58" t="s">
        <v>7</v>
      </c>
      <c r="D58" t="s">
        <v>8</v>
      </c>
      <c r="E58" t="s">
        <v>32</v>
      </c>
      <c r="O58">
        <v>0.98</v>
      </c>
      <c r="P58" t="s">
        <v>341</v>
      </c>
      <c r="Q58">
        <v>86.6</v>
      </c>
      <c r="R58">
        <v>1</v>
      </c>
      <c r="S58" s="2">
        <v>15</v>
      </c>
      <c r="T58" s="3">
        <v>5</v>
      </c>
      <c r="U58" s="4">
        <v>5</v>
      </c>
      <c r="V58" s="2">
        <v>65</v>
      </c>
      <c r="W58" s="3">
        <v>7</v>
      </c>
      <c r="X58" s="3">
        <v>1251</v>
      </c>
      <c r="Y58" s="3">
        <v>3</v>
      </c>
      <c r="Z58" s="3">
        <v>6</v>
      </c>
      <c r="AA58" s="3">
        <v>4</v>
      </c>
      <c r="AB58" s="4">
        <v>2</v>
      </c>
      <c r="AD58">
        <f t="shared" si="0"/>
        <v>1251</v>
      </c>
    </row>
    <row r="59" spans="1:30" x14ac:dyDescent="0.35">
      <c r="A59" t="s">
        <v>242</v>
      </c>
      <c r="B59">
        <v>1337</v>
      </c>
      <c r="C59" t="s">
        <v>7</v>
      </c>
      <c r="D59" t="s">
        <v>24</v>
      </c>
      <c r="E59" t="s">
        <v>25</v>
      </c>
      <c r="G59" t="s">
        <v>26</v>
      </c>
      <c r="I59" t="s">
        <v>27</v>
      </c>
      <c r="K59" t="s">
        <v>28</v>
      </c>
      <c r="M59" t="s">
        <v>29</v>
      </c>
      <c r="O59">
        <v>1</v>
      </c>
      <c r="P59" t="s">
        <v>629</v>
      </c>
      <c r="Q59">
        <v>98.8</v>
      </c>
      <c r="R59">
        <v>1</v>
      </c>
      <c r="S59" s="2">
        <v>2</v>
      </c>
      <c r="T59" s="3">
        <v>8</v>
      </c>
      <c r="U59" s="4">
        <v>2</v>
      </c>
      <c r="V59" s="2">
        <v>915</v>
      </c>
      <c r="W59" s="3">
        <v>49</v>
      </c>
      <c r="X59" s="3">
        <v>58</v>
      </c>
      <c r="Y59" s="3">
        <v>37</v>
      </c>
      <c r="Z59" s="3">
        <v>265</v>
      </c>
      <c r="AA59" s="3">
        <v>1</v>
      </c>
      <c r="AB59" s="4">
        <v>0</v>
      </c>
      <c r="AD59">
        <f t="shared" si="0"/>
        <v>915</v>
      </c>
    </row>
    <row r="60" spans="1:30" x14ac:dyDescent="0.35">
      <c r="A60" t="s">
        <v>189</v>
      </c>
      <c r="B60">
        <v>1284</v>
      </c>
      <c r="C60" t="s">
        <v>7</v>
      </c>
      <c r="D60" t="s">
        <v>8</v>
      </c>
      <c r="E60" t="s">
        <v>496</v>
      </c>
      <c r="G60" t="s">
        <v>496</v>
      </c>
      <c r="I60" t="s">
        <v>497</v>
      </c>
      <c r="K60" t="s">
        <v>498</v>
      </c>
      <c r="M60" t="s">
        <v>499</v>
      </c>
      <c r="O60">
        <v>1</v>
      </c>
      <c r="P60" t="s">
        <v>500</v>
      </c>
      <c r="Q60">
        <v>98.4</v>
      </c>
      <c r="R60">
        <v>1</v>
      </c>
      <c r="S60" s="2">
        <v>3</v>
      </c>
      <c r="T60" s="3">
        <v>3</v>
      </c>
      <c r="U60" s="4">
        <v>0</v>
      </c>
      <c r="V60" s="2">
        <v>2</v>
      </c>
      <c r="W60" s="3">
        <v>393</v>
      </c>
      <c r="X60" s="3">
        <v>2</v>
      </c>
      <c r="Y60" s="3">
        <v>1</v>
      </c>
      <c r="Z60" s="3">
        <v>875</v>
      </c>
      <c r="AA60" s="3">
        <v>3</v>
      </c>
      <c r="AB60" s="4">
        <v>2</v>
      </c>
      <c r="AD60">
        <f t="shared" si="0"/>
        <v>875</v>
      </c>
    </row>
    <row r="61" spans="1:30" x14ac:dyDescent="0.35">
      <c r="A61" t="s">
        <v>237</v>
      </c>
      <c r="B61">
        <v>1280</v>
      </c>
      <c r="C61" t="s">
        <v>7</v>
      </c>
      <c r="D61" t="s">
        <v>8</v>
      </c>
      <c r="E61" t="s">
        <v>32</v>
      </c>
      <c r="O61">
        <v>1</v>
      </c>
      <c r="P61" t="s">
        <v>144</v>
      </c>
      <c r="Q61">
        <v>85.8</v>
      </c>
      <c r="R61">
        <v>1</v>
      </c>
      <c r="S61" s="2">
        <v>5</v>
      </c>
      <c r="T61" s="3">
        <v>6</v>
      </c>
      <c r="U61" s="4">
        <v>4</v>
      </c>
      <c r="V61" s="2">
        <v>7</v>
      </c>
      <c r="W61" s="3">
        <v>102</v>
      </c>
      <c r="X61" s="3">
        <v>13</v>
      </c>
      <c r="Y61" s="3">
        <v>15</v>
      </c>
      <c r="Z61" s="3">
        <v>3</v>
      </c>
      <c r="AA61" s="3">
        <v>7</v>
      </c>
      <c r="AB61" s="4">
        <v>1118</v>
      </c>
      <c r="AD61">
        <f t="shared" si="0"/>
        <v>1118</v>
      </c>
    </row>
    <row r="62" spans="1:30" x14ac:dyDescent="0.35">
      <c r="A62" t="s">
        <v>230</v>
      </c>
      <c r="B62">
        <v>1232</v>
      </c>
      <c r="C62" t="s">
        <v>7</v>
      </c>
      <c r="D62" t="s">
        <v>8</v>
      </c>
      <c r="E62" t="s">
        <v>165</v>
      </c>
      <c r="G62" t="s">
        <v>166</v>
      </c>
      <c r="I62" t="s">
        <v>167</v>
      </c>
      <c r="K62" t="s">
        <v>168</v>
      </c>
      <c r="M62" t="s">
        <v>405</v>
      </c>
      <c r="O62">
        <v>0.88</v>
      </c>
      <c r="P62" t="s">
        <v>406</v>
      </c>
      <c r="Q62">
        <v>91.7</v>
      </c>
      <c r="R62">
        <v>1</v>
      </c>
      <c r="S62" s="2">
        <v>1</v>
      </c>
      <c r="T62" s="3">
        <v>7</v>
      </c>
      <c r="U62" s="4">
        <v>5</v>
      </c>
      <c r="V62" s="2">
        <v>145</v>
      </c>
      <c r="W62" s="3">
        <v>63</v>
      </c>
      <c r="X62" s="3">
        <v>774</v>
      </c>
      <c r="Y62" s="3">
        <v>39</v>
      </c>
      <c r="Z62" s="3">
        <v>194</v>
      </c>
      <c r="AA62" s="3">
        <v>3</v>
      </c>
      <c r="AB62" s="4">
        <v>1</v>
      </c>
      <c r="AD62">
        <f t="shared" si="0"/>
        <v>774</v>
      </c>
    </row>
    <row r="63" spans="1:30" x14ac:dyDescent="0.35">
      <c r="A63" t="s">
        <v>630</v>
      </c>
      <c r="B63">
        <v>1225</v>
      </c>
      <c r="C63" t="s">
        <v>7</v>
      </c>
      <c r="D63" t="s">
        <v>8</v>
      </c>
      <c r="E63" t="s">
        <v>46</v>
      </c>
      <c r="G63" t="s">
        <v>47</v>
      </c>
      <c r="I63" t="s">
        <v>61</v>
      </c>
      <c r="K63" t="s">
        <v>611</v>
      </c>
      <c r="M63" t="s">
        <v>612</v>
      </c>
      <c r="O63">
        <v>0.96</v>
      </c>
      <c r="P63" t="s">
        <v>613</v>
      </c>
      <c r="Q63">
        <v>99.6</v>
      </c>
      <c r="R63">
        <v>2</v>
      </c>
      <c r="S63" s="2">
        <v>4</v>
      </c>
      <c r="T63" s="3">
        <v>3</v>
      </c>
      <c r="U63" s="4">
        <v>5</v>
      </c>
      <c r="V63" s="2">
        <v>945</v>
      </c>
      <c r="W63" s="3">
        <v>6</v>
      </c>
      <c r="X63" s="3">
        <v>65</v>
      </c>
      <c r="Y63" s="3">
        <v>30</v>
      </c>
      <c r="Z63" s="3">
        <v>161</v>
      </c>
      <c r="AA63" s="3">
        <v>4</v>
      </c>
      <c r="AB63" s="4">
        <v>2</v>
      </c>
      <c r="AD63">
        <f t="shared" si="0"/>
        <v>945</v>
      </c>
    </row>
    <row r="64" spans="1:30" x14ac:dyDescent="0.35">
      <c r="A64" t="s">
        <v>307</v>
      </c>
      <c r="B64">
        <v>1213</v>
      </c>
      <c r="C64" t="s">
        <v>7</v>
      </c>
      <c r="D64" t="s">
        <v>8</v>
      </c>
      <c r="E64" t="s">
        <v>100</v>
      </c>
      <c r="G64" t="s">
        <v>101</v>
      </c>
      <c r="I64" t="s">
        <v>102</v>
      </c>
      <c r="K64" t="s">
        <v>103</v>
      </c>
      <c r="M64" t="s">
        <v>383</v>
      </c>
      <c r="O64">
        <v>0.81</v>
      </c>
      <c r="P64" t="s">
        <v>384</v>
      </c>
      <c r="Q64">
        <v>95.7</v>
      </c>
      <c r="R64">
        <v>1</v>
      </c>
      <c r="S64" s="2">
        <v>6</v>
      </c>
      <c r="T64" s="3">
        <v>5</v>
      </c>
      <c r="U64" s="4">
        <v>4</v>
      </c>
      <c r="V64" s="2">
        <v>109</v>
      </c>
      <c r="W64" s="3">
        <v>7</v>
      </c>
      <c r="X64" s="3">
        <v>47</v>
      </c>
      <c r="Y64" s="3">
        <v>16</v>
      </c>
      <c r="Z64" s="3">
        <v>1015</v>
      </c>
      <c r="AA64" s="3">
        <v>3</v>
      </c>
      <c r="AB64" s="4">
        <v>1</v>
      </c>
      <c r="AD64">
        <f t="shared" si="0"/>
        <v>1015</v>
      </c>
    </row>
    <row r="65" spans="1:30" x14ac:dyDescent="0.35">
      <c r="A65" t="s">
        <v>188</v>
      </c>
      <c r="B65">
        <v>1173</v>
      </c>
      <c r="C65" t="s">
        <v>7</v>
      </c>
      <c r="D65" t="s">
        <v>8</v>
      </c>
      <c r="E65" t="s">
        <v>46</v>
      </c>
      <c r="G65" t="s">
        <v>47</v>
      </c>
      <c r="I65" t="s">
        <v>61</v>
      </c>
      <c r="K65" t="s">
        <v>210</v>
      </c>
      <c r="M65" t="s">
        <v>211</v>
      </c>
      <c r="O65">
        <v>1</v>
      </c>
      <c r="P65" t="s">
        <v>212</v>
      </c>
      <c r="Q65">
        <v>96.8</v>
      </c>
      <c r="R65">
        <v>1</v>
      </c>
      <c r="S65" s="2">
        <v>53</v>
      </c>
      <c r="T65" s="3">
        <v>4</v>
      </c>
      <c r="U65" s="4">
        <v>61</v>
      </c>
      <c r="V65" s="2">
        <v>13</v>
      </c>
      <c r="W65" s="3">
        <v>21</v>
      </c>
      <c r="X65" s="3">
        <v>178</v>
      </c>
      <c r="Y65" s="3">
        <v>439</v>
      </c>
      <c r="Z65" s="3">
        <v>330</v>
      </c>
      <c r="AA65" s="3">
        <v>23</v>
      </c>
      <c r="AB65" s="4">
        <v>51</v>
      </c>
      <c r="AD65">
        <f t="shared" si="0"/>
        <v>439</v>
      </c>
    </row>
    <row r="66" spans="1:30" x14ac:dyDescent="0.35">
      <c r="A66" t="s">
        <v>185</v>
      </c>
      <c r="B66">
        <v>1172</v>
      </c>
      <c r="C66" t="s">
        <v>7</v>
      </c>
      <c r="D66" t="s">
        <v>8</v>
      </c>
      <c r="E66" t="s">
        <v>46</v>
      </c>
      <c r="G66" t="s">
        <v>47</v>
      </c>
      <c r="I66" t="s">
        <v>61</v>
      </c>
      <c r="O66">
        <v>0.85</v>
      </c>
      <c r="P66" t="s">
        <v>90</v>
      </c>
      <c r="Q66">
        <v>91.3</v>
      </c>
      <c r="R66">
        <v>1</v>
      </c>
      <c r="S66" s="2">
        <v>5</v>
      </c>
      <c r="T66" s="3">
        <v>5</v>
      </c>
      <c r="U66" s="4">
        <v>1132</v>
      </c>
      <c r="V66" s="2">
        <v>0</v>
      </c>
      <c r="W66" s="3">
        <v>9</v>
      </c>
      <c r="X66" s="3">
        <v>5</v>
      </c>
      <c r="Y66" s="3">
        <v>3</v>
      </c>
      <c r="Z66" s="3">
        <v>8</v>
      </c>
      <c r="AA66" s="3">
        <v>2</v>
      </c>
      <c r="AB66" s="4">
        <v>3</v>
      </c>
      <c r="AD66">
        <f t="shared" si="0"/>
        <v>1132</v>
      </c>
    </row>
    <row r="67" spans="1:30" x14ac:dyDescent="0.35">
      <c r="A67" t="s">
        <v>213</v>
      </c>
      <c r="B67">
        <v>1170</v>
      </c>
      <c r="C67" t="s">
        <v>7</v>
      </c>
      <c r="D67" t="s">
        <v>8</v>
      </c>
      <c r="E67" t="s">
        <v>46</v>
      </c>
      <c r="O67">
        <v>0.72</v>
      </c>
      <c r="P67" t="s">
        <v>354</v>
      </c>
      <c r="Q67">
        <v>87.4</v>
      </c>
      <c r="R67">
        <v>1</v>
      </c>
      <c r="S67" s="2">
        <v>8</v>
      </c>
      <c r="T67" s="3">
        <v>4</v>
      </c>
      <c r="U67" s="4">
        <v>10</v>
      </c>
      <c r="V67" s="2">
        <v>2</v>
      </c>
      <c r="W67" s="3">
        <v>8</v>
      </c>
      <c r="X67" s="3">
        <v>147</v>
      </c>
      <c r="Y67" s="3">
        <v>905</v>
      </c>
      <c r="Z67" s="3">
        <v>30</v>
      </c>
      <c r="AA67" s="3">
        <v>33</v>
      </c>
      <c r="AB67" s="4">
        <v>23</v>
      </c>
      <c r="AD67">
        <f t="shared" si="0"/>
        <v>905</v>
      </c>
    </row>
    <row r="68" spans="1:30" x14ac:dyDescent="0.35">
      <c r="A68" t="s">
        <v>234</v>
      </c>
      <c r="B68">
        <v>1156</v>
      </c>
      <c r="C68" t="s">
        <v>7</v>
      </c>
      <c r="D68" t="s">
        <v>8</v>
      </c>
      <c r="E68" t="s">
        <v>9</v>
      </c>
      <c r="G68" t="s">
        <v>138</v>
      </c>
      <c r="I68" t="s">
        <v>345</v>
      </c>
      <c r="K68" t="s">
        <v>547</v>
      </c>
      <c r="O68">
        <v>0.93</v>
      </c>
      <c r="P68" t="s">
        <v>548</v>
      </c>
      <c r="Q68">
        <v>99.6</v>
      </c>
      <c r="R68">
        <v>1</v>
      </c>
      <c r="S68" s="2">
        <v>2</v>
      </c>
      <c r="T68" s="3">
        <v>2</v>
      </c>
      <c r="U68" s="4">
        <v>0</v>
      </c>
      <c r="V68" s="2">
        <v>1137</v>
      </c>
      <c r="W68" s="3">
        <v>2</v>
      </c>
      <c r="X68" s="3">
        <v>3</v>
      </c>
      <c r="Y68" s="3">
        <v>3</v>
      </c>
      <c r="Z68" s="3">
        <v>1</v>
      </c>
      <c r="AA68" s="3">
        <v>2</v>
      </c>
      <c r="AB68" s="4">
        <v>4</v>
      </c>
      <c r="AD68">
        <f t="shared" si="0"/>
        <v>1137</v>
      </c>
    </row>
    <row r="69" spans="1:30" x14ac:dyDescent="0.35">
      <c r="A69" t="s">
        <v>216</v>
      </c>
      <c r="B69">
        <v>1155</v>
      </c>
      <c r="C69" t="s">
        <v>7</v>
      </c>
      <c r="D69" t="s">
        <v>24</v>
      </c>
      <c r="E69" t="s">
        <v>25</v>
      </c>
      <c r="G69" t="s">
        <v>631</v>
      </c>
      <c r="I69" t="s">
        <v>632</v>
      </c>
      <c r="K69" t="s">
        <v>633</v>
      </c>
      <c r="M69" t="s">
        <v>634</v>
      </c>
      <c r="O69">
        <v>1</v>
      </c>
      <c r="P69" t="s">
        <v>635</v>
      </c>
      <c r="Q69">
        <v>89.4</v>
      </c>
      <c r="R69">
        <v>1</v>
      </c>
      <c r="S69" s="2">
        <v>0</v>
      </c>
      <c r="T69" s="3">
        <v>0</v>
      </c>
      <c r="U69" s="4">
        <v>1</v>
      </c>
      <c r="V69" s="2">
        <v>1</v>
      </c>
      <c r="W69" s="3">
        <v>1143</v>
      </c>
      <c r="X69" s="3">
        <v>6</v>
      </c>
      <c r="Y69" s="3">
        <v>0</v>
      </c>
      <c r="Z69" s="3">
        <v>1</v>
      </c>
      <c r="AA69" s="3">
        <v>1</v>
      </c>
      <c r="AB69" s="4">
        <v>2</v>
      </c>
      <c r="AD69">
        <f t="shared" ref="AD69:AD132" si="1">MAX(S69:AB69)</f>
        <v>1143</v>
      </c>
    </row>
    <row r="70" spans="1:30" x14ac:dyDescent="0.35">
      <c r="A70" t="s">
        <v>280</v>
      </c>
      <c r="B70">
        <v>1114</v>
      </c>
      <c r="C70" t="s">
        <v>7</v>
      </c>
      <c r="D70" t="s">
        <v>8</v>
      </c>
      <c r="E70" t="s">
        <v>120</v>
      </c>
      <c r="G70" t="s">
        <v>121</v>
      </c>
      <c r="I70" t="s">
        <v>122</v>
      </c>
      <c r="K70" t="s">
        <v>123</v>
      </c>
      <c r="M70" t="s">
        <v>124</v>
      </c>
      <c r="O70">
        <v>0.95</v>
      </c>
      <c r="P70" t="s">
        <v>125</v>
      </c>
      <c r="Q70">
        <v>89.7</v>
      </c>
      <c r="R70">
        <v>1</v>
      </c>
      <c r="S70" s="2">
        <v>799</v>
      </c>
      <c r="T70" s="3">
        <v>3</v>
      </c>
      <c r="U70" s="4">
        <v>2</v>
      </c>
      <c r="V70" s="2">
        <v>208</v>
      </c>
      <c r="W70" s="3">
        <v>5</v>
      </c>
      <c r="X70" s="3">
        <v>8</v>
      </c>
      <c r="Y70" s="3">
        <v>26</v>
      </c>
      <c r="Z70" s="3">
        <v>20</v>
      </c>
      <c r="AA70" s="3">
        <v>2</v>
      </c>
      <c r="AB70" s="4">
        <v>41</v>
      </c>
      <c r="AD70">
        <f t="shared" si="1"/>
        <v>799</v>
      </c>
    </row>
    <row r="71" spans="1:30" x14ac:dyDescent="0.35">
      <c r="A71" t="s">
        <v>218</v>
      </c>
      <c r="B71">
        <v>1071</v>
      </c>
      <c r="C71" t="s">
        <v>7</v>
      </c>
      <c r="D71" t="s">
        <v>8</v>
      </c>
      <c r="E71" t="s">
        <v>583</v>
      </c>
      <c r="M71" t="s">
        <v>584</v>
      </c>
      <c r="O71">
        <v>0.99</v>
      </c>
      <c r="P71" t="s">
        <v>585</v>
      </c>
      <c r="Q71">
        <v>91.7</v>
      </c>
      <c r="R71">
        <v>1</v>
      </c>
      <c r="S71" s="2">
        <v>2</v>
      </c>
      <c r="T71" s="3">
        <v>0</v>
      </c>
      <c r="U71" s="4">
        <v>0</v>
      </c>
      <c r="V71" s="2">
        <v>3</v>
      </c>
      <c r="W71" s="3">
        <v>2</v>
      </c>
      <c r="X71" s="3">
        <v>321</v>
      </c>
      <c r="Y71" s="3">
        <v>609</v>
      </c>
      <c r="Z71" s="3">
        <v>2</v>
      </c>
      <c r="AA71" s="3">
        <v>2</v>
      </c>
      <c r="AB71" s="4">
        <v>130</v>
      </c>
      <c r="AD71">
        <f t="shared" si="1"/>
        <v>609</v>
      </c>
    </row>
    <row r="72" spans="1:30" x14ac:dyDescent="0.35">
      <c r="A72" t="s">
        <v>223</v>
      </c>
      <c r="B72">
        <v>1062</v>
      </c>
      <c r="C72" t="s">
        <v>7</v>
      </c>
      <c r="D72" t="s">
        <v>8</v>
      </c>
      <c r="E72" t="s">
        <v>32</v>
      </c>
      <c r="G72" t="s">
        <v>35</v>
      </c>
      <c r="I72" t="s">
        <v>36</v>
      </c>
      <c r="K72" t="s">
        <v>37</v>
      </c>
      <c r="O72">
        <v>0.5</v>
      </c>
      <c r="P72" t="s">
        <v>112</v>
      </c>
      <c r="Q72">
        <v>85.8</v>
      </c>
      <c r="R72">
        <v>1</v>
      </c>
      <c r="S72" s="2">
        <v>4</v>
      </c>
      <c r="T72" s="3">
        <v>2</v>
      </c>
      <c r="U72" s="4">
        <v>943</v>
      </c>
      <c r="V72" s="2">
        <v>6</v>
      </c>
      <c r="W72" s="3">
        <v>3</v>
      </c>
      <c r="X72" s="3">
        <v>4</v>
      </c>
      <c r="Y72" s="3">
        <v>2</v>
      </c>
      <c r="Z72" s="3">
        <v>4</v>
      </c>
      <c r="AA72" s="3">
        <v>3</v>
      </c>
      <c r="AB72" s="4">
        <v>91</v>
      </c>
      <c r="AD72">
        <f t="shared" si="1"/>
        <v>943</v>
      </c>
    </row>
    <row r="73" spans="1:30" x14ac:dyDescent="0.35">
      <c r="A73" t="s">
        <v>603</v>
      </c>
      <c r="B73">
        <v>1059</v>
      </c>
      <c r="C73" t="s">
        <v>7</v>
      </c>
      <c r="D73" t="s">
        <v>8</v>
      </c>
      <c r="E73" t="s">
        <v>46</v>
      </c>
      <c r="G73" t="s">
        <v>47</v>
      </c>
      <c r="I73" t="s">
        <v>61</v>
      </c>
      <c r="K73" t="s">
        <v>157</v>
      </c>
      <c r="M73" t="s">
        <v>440</v>
      </c>
      <c r="O73">
        <v>0.61</v>
      </c>
      <c r="P73" t="s">
        <v>441</v>
      </c>
      <c r="Q73">
        <v>96.8</v>
      </c>
      <c r="R73">
        <v>1</v>
      </c>
      <c r="S73" s="2">
        <v>4</v>
      </c>
      <c r="T73" s="3">
        <v>2</v>
      </c>
      <c r="U73" s="4">
        <v>4</v>
      </c>
      <c r="V73" s="2">
        <v>3</v>
      </c>
      <c r="W73" s="3">
        <v>5</v>
      </c>
      <c r="X73" s="3">
        <v>204</v>
      </c>
      <c r="Y73" s="3">
        <v>3</v>
      </c>
      <c r="Z73" s="3">
        <v>6</v>
      </c>
      <c r="AA73" s="3">
        <v>61</v>
      </c>
      <c r="AB73" s="4">
        <v>767</v>
      </c>
      <c r="AD73">
        <f t="shared" si="1"/>
        <v>767</v>
      </c>
    </row>
    <row r="74" spans="1:30" x14ac:dyDescent="0.35">
      <c r="A74" t="s">
        <v>214</v>
      </c>
      <c r="B74">
        <v>1020</v>
      </c>
      <c r="C74" t="s">
        <v>7</v>
      </c>
      <c r="D74" t="s">
        <v>8</v>
      </c>
      <c r="E74" t="s">
        <v>9</v>
      </c>
      <c r="G74" t="s">
        <v>138</v>
      </c>
      <c r="I74" t="s">
        <v>345</v>
      </c>
      <c r="K74" t="s">
        <v>538</v>
      </c>
      <c r="M74" t="s">
        <v>539</v>
      </c>
      <c r="O74">
        <v>0.99</v>
      </c>
      <c r="P74" t="s">
        <v>540</v>
      </c>
      <c r="Q74">
        <v>100</v>
      </c>
      <c r="R74">
        <v>2</v>
      </c>
      <c r="S74" s="2">
        <v>1</v>
      </c>
      <c r="T74" s="3">
        <v>3</v>
      </c>
      <c r="U74" s="4">
        <v>0</v>
      </c>
      <c r="V74" s="2">
        <v>62</v>
      </c>
      <c r="W74" s="3">
        <v>748</v>
      </c>
      <c r="X74" s="3">
        <v>0</v>
      </c>
      <c r="Y74" s="3">
        <v>2</v>
      </c>
      <c r="Z74" s="3">
        <v>203</v>
      </c>
      <c r="AA74" s="3">
        <v>0</v>
      </c>
      <c r="AB74" s="4">
        <v>1</v>
      </c>
      <c r="AD74">
        <f t="shared" si="1"/>
        <v>748</v>
      </c>
    </row>
    <row r="75" spans="1:30" x14ac:dyDescent="0.35">
      <c r="A75" t="s">
        <v>200</v>
      </c>
      <c r="B75">
        <v>1000</v>
      </c>
      <c r="C75" t="s">
        <v>7</v>
      </c>
      <c r="D75" t="s">
        <v>8</v>
      </c>
      <c r="E75" t="s">
        <v>9</v>
      </c>
      <c r="G75" t="s">
        <v>10</v>
      </c>
      <c r="I75" t="s">
        <v>131</v>
      </c>
      <c r="K75" t="s">
        <v>132</v>
      </c>
      <c r="M75" t="s">
        <v>133</v>
      </c>
      <c r="O75">
        <v>1</v>
      </c>
      <c r="P75" t="s">
        <v>134</v>
      </c>
      <c r="Q75">
        <v>100</v>
      </c>
      <c r="R75">
        <v>1</v>
      </c>
      <c r="S75" s="2">
        <v>220</v>
      </c>
      <c r="T75" s="3">
        <v>17</v>
      </c>
      <c r="U75" s="4">
        <v>255</v>
      </c>
      <c r="V75" s="2">
        <v>12</v>
      </c>
      <c r="W75" s="3">
        <v>140</v>
      </c>
      <c r="X75" s="3">
        <v>180</v>
      </c>
      <c r="Y75" s="3">
        <v>53</v>
      </c>
      <c r="Z75" s="3">
        <v>32</v>
      </c>
      <c r="AA75" s="3">
        <v>25</v>
      </c>
      <c r="AB75" s="4">
        <v>66</v>
      </c>
      <c r="AD75">
        <f t="shared" si="1"/>
        <v>255</v>
      </c>
    </row>
    <row r="76" spans="1:30" x14ac:dyDescent="0.35">
      <c r="A76" t="s">
        <v>267</v>
      </c>
      <c r="B76">
        <v>989</v>
      </c>
      <c r="C76" t="s">
        <v>7</v>
      </c>
      <c r="D76" t="s">
        <v>8</v>
      </c>
      <c r="O76">
        <v>0.95</v>
      </c>
      <c r="P76" t="s">
        <v>98</v>
      </c>
      <c r="Q76">
        <v>0</v>
      </c>
      <c r="R76">
        <v>1</v>
      </c>
      <c r="S76" s="2">
        <v>2</v>
      </c>
      <c r="T76" s="3">
        <v>963</v>
      </c>
      <c r="U76" s="4">
        <v>0</v>
      </c>
      <c r="V76" s="2">
        <v>6</v>
      </c>
      <c r="W76" s="3">
        <v>3</v>
      </c>
      <c r="X76" s="3">
        <v>5</v>
      </c>
      <c r="Y76" s="3">
        <v>4</v>
      </c>
      <c r="Z76" s="3">
        <v>1</v>
      </c>
      <c r="AA76" s="3">
        <v>0</v>
      </c>
      <c r="AB76" s="4">
        <v>5</v>
      </c>
      <c r="AD76">
        <f t="shared" si="1"/>
        <v>963</v>
      </c>
    </row>
    <row r="77" spans="1:30" x14ac:dyDescent="0.35">
      <c r="A77" t="s">
        <v>226</v>
      </c>
      <c r="B77">
        <v>959</v>
      </c>
      <c r="C77" t="s">
        <v>7</v>
      </c>
      <c r="D77" t="s">
        <v>8</v>
      </c>
      <c r="E77" t="s">
        <v>9</v>
      </c>
      <c r="G77" t="s">
        <v>138</v>
      </c>
      <c r="I77" t="s">
        <v>139</v>
      </c>
      <c r="K77" t="s">
        <v>140</v>
      </c>
      <c r="O77">
        <v>0.67</v>
      </c>
      <c r="P77" t="s">
        <v>141</v>
      </c>
      <c r="Q77">
        <v>90.1</v>
      </c>
      <c r="R77">
        <v>1</v>
      </c>
      <c r="S77" s="2">
        <v>7</v>
      </c>
      <c r="T77" s="3">
        <v>5</v>
      </c>
      <c r="U77" s="4">
        <v>290</v>
      </c>
      <c r="V77" s="2">
        <v>469</v>
      </c>
      <c r="W77" s="3">
        <v>7</v>
      </c>
      <c r="X77" s="3">
        <v>31</v>
      </c>
      <c r="Y77" s="3">
        <v>4</v>
      </c>
      <c r="Z77" s="3">
        <v>132</v>
      </c>
      <c r="AA77" s="3">
        <v>6</v>
      </c>
      <c r="AB77" s="4">
        <v>8</v>
      </c>
      <c r="AD77">
        <f t="shared" si="1"/>
        <v>469</v>
      </c>
    </row>
    <row r="78" spans="1:30" x14ac:dyDescent="0.35">
      <c r="A78" t="s">
        <v>221</v>
      </c>
      <c r="B78">
        <v>956</v>
      </c>
      <c r="C78" t="s">
        <v>7</v>
      </c>
      <c r="D78" t="s">
        <v>8</v>
      </c>
      <c r="E78" t="s">
        <v>32</v>
      </c>
      <c r="G78" t="s">
        <v>445</v>
      </c>
      <c r="I78" t="s">
        <v>446</v>
      </c>
      <c r="O78">
        <v>0.5</v>
      </c>
      <c r="P78" t="s">
        <v>33</v>
      </c>
      <c r="Q78">
        <v>88.9</v>
      </c>
      <c r="R78">
        <v>1</v>
      </c>
      <c r="S78" s="2">
        <v>0</v>
      </c>
      <c r="T78" s="3">
        <v>5</v>
      </c>
      <c r="U78" s="4">
        <v>4</v>
      </c>
      <c r="V78" s="2">
        <v>6</v>
      </c>
      <c r="W78" s="3">
        <v>6</v>
      </c>
      <c r="X78" s="3">
        <v>3</v>
      </c>
      <c r="Y78" s="3">
        <v>2</v>
      </c>
      <c r="Z78" s="3">
        <v>5</v>
      </c>
      <c r="AA78" s="3">
        <v>238</v>
      </c>
      <c r="AB78" s="4">
        <v>687</v>
      </c>
      <c r="AD78">
        <f t="shared" si="1"/>
        <v>687</v>
      </c>
    </row>
    <row r="79" spans="1:30" x14ac:dyDescent="0.35">
      <c r="A79" t="s">
        <v>264</v>
      </c>
      <c r="B79">
        <v>954</v>
      </c>
      <c r="C79" t="s">
        <v>7</v>
      </c>
      <c r="D79" t="s">
        <v>24</v>
      </c>
      <c r="E79" t="s">
        <v>25</v>
      </c>
      <c r="G79" t="s">
        <v>40</v>
      </c>
      <c r="I79" t="s">
        <v>56</v>
      </c>
      <c r="K79" t="s">
        <v>523</v>
      </c>
      <c r="M79" t="s">
        <v>636</v>
      </c>
      <c r="O79">
        <v>1</v>
      </c>
      <c r="P79" t="s">
        <v>637</v>
      </c>
      <c r="Q79">
        <v>100</v>
      </c>
      <c r="R79">
        <v>1</v>
      </c>
      <c r="S79" s="2">
        <v>0</v>
      </c>
      <c r="T79" s="3">
        <v>0</v>
      </c>
      <c r="U79" s="4">
        <v>0</v>
      </c>
      <c r="V79" s="2">
        <v>945</v>
      </c>
      <c r="W79" s="3">
        <v>0</v>
      </c>
      <c r="X79" s="3">
        <v>0</v>
      </c>
      <c r="Y79" s="3">
        <v>3</v>
      </c>
      <c r="Z79" s="3">
        <v>1</v>
      </c>
      <c r="AA79" s="3">
        <v>3</v>
      </c>
      <c r="AB79" s="4">
        <v>2</v>
      </c>
      <c r="AD79">
        <f t="shared" si="1"/>
        <v>945</v>
      </c>
    </row>
    <row r="80" spans="1:30" x14ac:dyDescent="0.35">
      <c r="A80" t="s">
        <v>286</v>
      </c>
      <c r="B80">
        <v>919</v>
      </c>
      <c r="C80" t="s">
        <v>7</v>
      </c>
      <c r="D80" t="s">
        <v>8</v>
      </c>
      <c r="E80" t="s">
        <v>9</v>
      </c>
      <c r="G80" t="s">
        <v>10</v>
      </c>
      <c r="I80" t="s">
        <v>107</v>
      </c>
      <c r="K80" t="s">
        <v>108</v>
      </c>
      <c r="M80" t="s">
        <v>109</v>
      </c>
      <c r="O80">
        <v>1</v>
      </c>
      <c r="P80" t="s">
        <v>110</v>
      </c>
      <c r="Q80">
        <v>100</v>
      </c>
      <c r="R80">
        <v>1</v>
      </c>
      <c r="S80" s="2">
        <v>19</v>
      </c>
      <c r="T80" s="3">
        <v>2</v>
      </c>
      <c r="U80" s="4">
        <v>866</v>
      </c>
      <c r="V80" s="2">
        <v>5</v>
      </c>
      <c r="W80" s="3">
        <v>5</v>
      </c>
      <c r="X80" s="3">
        <v>3</v>
      </c>
      <c r="Y80" s="3">
        <v>1</v>
      </c>
      <c r="Z80" s="3">
        <v>9</v>
      </c>
      <c r="AA80" s="3">
        <v>2</v>
      </c>
      <c r="AB80" s="4">
        <v>7</v>
      </c>
      <c r="AD80">
        <f t="shared" si="1"/>
        <v>866</v>
      </c>
    </row>
    <row r="81" spans="1:30" x14ac:dyDescent="0.35">
      <c r="A81" t="s">
        <v>295</v>
      </c>
      <c r="B81">
        <v>857</v>
      </c>
      <c r="C81" t="s">
        <v>7</v>
      </c>
      <c r="D81" t="s">
        <v>8</v>
      </c>
      <c r="E81" t="s">
        <v>120</v>
      </c>
      <c r="G81" t="s">
        <v>121</v>
      </c>
      <c r="I81" t="s">
        <v>122</v>
      </c>
      <c r="K81" t="s">
        <v>123</v>
      </c>
      <c r="M81" t="s">
        <v>124</v>
      </c>
      <c r="O81">
        <v>0.94</v>
      </c>
      <c r="P81" t="s">
        <v>125</v>
      </c>
      <c r="Q81">
        <v>89.3</v>
      </c>
      <c r="R81">
        <v>1</v>
      </c>
      <c r="S81" s="2">
        <v>3</v>
      </c>
      <c r="T81" s="3">
        <v>3</v>
      </c>
      <c r="U81" s="4">
        <v>1</v>
      </c>
      <c r="V81" s="2">
        <v>580</v>
      </c>
      <c r="W81" s="3">
        <v>131</v>
      </c>
      <c r="X81" s="3">
        <v>17</v>
      </c>
      <c r="Y81" s="3">
        <v>76</v>
      </c>
      <c r="Z81" s="3">
        <v>41</v>
      </c>
      <c r="AA81" s="3">
        <v>3</v>
      </c>
      <c r="AB81" s="4">
        <v>2</v>
      </c>
      <c r="AD81">
        <f t="shared" si="1"/>
        <v>580</v>
      </c>
    </row>
    <row r="82" spans="1:30" x14ac:dyDescent="0.35">
      <c r="A82" t="s">
        <v>253</v>
      </c>
      <c r="B82">
        <v>841</v>
      </c>
      <c r="C82" t="s">
        <v>7</v>
      </c>
      <c r="D82" t="s">
        <v>8</v>
      </c>
      <c r="E82" t="s">
        <v>32</v>
      </c>
      <c r="G82" t="s">
        <v>35</v>
      </c>
      <c r="I82" t="s">
        <v>36</v>
      </c>
      <c r="K82" t="s">
        <v>143</v>
      </c>
      <c r="O82">
        <v>0.87</v>
      </c>
      <c r="P82" t="s">
        <v>144</v>
      </c>
      <c r="Q82">
        <v>91.7</v>
      </c>
      <c r="R82">
        <v>1</v>
      </c>
      <c r="S82" s="2">
        <v>53</v>
      </c>
      <c r="T82" s="3">
        <v>112</v>
      </c>
      <c r="U82" s="4">
        <v>120</v>
      </c>
      <c r="V82" s="2">
        <v>8</v>
      </c>
      <c r="W82" s="3">
        <v>172</v>
      </c>
      <c r="X82" s="3">
        <v>32</v>
      </c>
      <c r="Y82" s="3">
        <v>144</v>
      </c>
      <c r="Z82" s="3">
        <v>48</v>
      </c>
      <c r="AA82" s="3">
        <v>73</v>
      </c>
      <c r="AB82" s="4">
        <v>79</v>
      </c>
      <c r="AD82">
        <f t="shared" si="1"/>
        <v>172</v>
      </c>
    </row>
    <row r="83" spans="1:30" x14ac:dyDescent="0.35">
      <c r="A83" t="s">
        <v>275</v>
      </c>
      <c r="B83">
        <v>822</v>
      </c>
      <c r="C83" t="s">
        <v>7</v>
      </c>
      <c r="D83" t="s">
        <v>8</v>
      </c>
      <c r="E83" t="s">
        <v>32</v>
      </c>
      <c r="G83" t="s">
        <v>35</v>
      </c>
      <c r="I83" t="s">
        <v>36</v>
      </c>
      <c r="K83" t="s">
        <v>37</v>
      </c>
      <c r="M83" t="s">
        <v>201</v>
      </c>
      <c r="O83">
        <v>0.54</v>
      </c>
      <c r="P83" t="s">
        <v>202</v>
      </c>
      <c r="Q83">
        <v>86.2</v>
      </c>
      <c r="R83">
        <v>1</v>
      </c>
      <c r="S83" s="2">
        <v>175</v>
      </c>
      <c r="T83" s="3">
        <v>0</v>
      </c>
      <c r="U83" s="4">
        <v>4</v>
      </c>
      <c r="V83" s="2">
        <v>7</v>
      </c>
      <c r="W83" s="3">
        <v>611</v>
      </c>
      <c r="X83" s="3">
        <v>19</v>
      </c>
      <c r="Y83" s="3">
        <v>0</v>
      </c>
      <c r="Z83" s="3">
        <v>3</v>
      </c>
      <c r="AA83" s="3">
        <v>1</v>
      </c>
      <c r="AB83" s="4">
        <v>2</v>
      </c>
      <c r="AD83">
        <f t="shared" si="1"/>
        <v>611</v>
      </c>
    </row>
    <row r="84" spans="1:30" x14ac:dyDescent="0.35">
      <c r="A84" t="s">
        <v>257</v>
      </c>
      <c r="B84">
        <v>796</v>
      </c>
      <c r="C84" t="s">
        <v>7</v>
      </c>
      <c r="D84" t="s">
        <v>8</v>
      </c>
      <c r="E84" t="s">
        <v>9</v>
      </c>
      <c r="G84" t="s">
        <v>10</v>
      </c>
      <c r="I84" t="s">
        <v>131</v>
      </c>
      <c r="K84" t="s">
        <v>150</v>
      </c>
      <c r="M84" t="s">
        <v>278</v>
      </c>
      <c r="O84">
        <v>0.75</v>
      </c>
      <c r="P84" t="s">
        <v>152</v>
      </c>
      <c r="Q84">
        <v>95.3</v>
      </c>
      <c r="R84">
        <v>1</v>
      </c>
      <c r="S84" s="2">
        <v>54</v>
      </c>
      <c r="T84" s="3">
        <v>3</v>
      </c>
      <c r="U84" s="4">
        <v>2</v>
      </c>
      <c r="V84" s="2">
        <v>4</v>
      </c>
      <c r="W84" s="3">
        <v>163</v>
      </c>
      <c r="X84" s="3">
        <v>250</v>
      </c>
      <c r="Y84" s="3">
        <v>4</v>
      </c>
      <c r="Z84" s="3">
        <v>312</v>
      </c>
      <c r="AA84" s="3">
        <v>2</v>
      </c>
      <c r="AB84" s="4">
        <v>2</v>
      </c>
      <c r="AD84">
        <f t="shared" si="1"/>
        <v>312</v>
      </c>
    </row>
    <row r="85" spans="1:30" x14ac:dyDescent="0.35">
      <c r="A85" t="s">
        <v>233</v>
      </c>
      <c r="B85">
        <v>790</v>
      </c>
      <c r="C85" t="s">
        <v>7</v>
      </c>
      <c r="D85" t="s">
        <v>8</v>
      </c>
      <c r="E85" t="s">
        <v>46</v>
      </c>
      <c r="G85" t="s">
        <v>47</v>
      </c>
      <c r="I85" t="s">
        <v>61</v>
      </c>
      <c r="K85" t="s">
        <v>178</v>
      </c>
      <c r="M85" t="s">
        <v>186</v>
      </c>
      <c r="O85">
        <v>0.79</v>
      </c>
      <c r="P85" t="s">
        <v>187</v>
      </c>
      <c r="Q85">
        <v>92.9</v>
      </c>
      <c r="R85">
        <v>1</v>
      </c>
      <c r="S85" s="2">
        <v>0</v>
      </c>
      <c r="T85" s="3">
        <v>1</v>
      </c>
      <c r="U85" s="4">
        <v>12</v>
      </c>
      <c r="V85" s="2">
        <v>4</v>
      </c>
      <c r="W85" s="3">
        <v>22</v>
      </c>
      <c r="X85" s="3">
        <v>29</v>
      </c>
      <c r="Y85" s="3">
        <v>520</v>
      </c>
      <c r="Z85" s="3">
        <v>35</v>
      </c>
      <c r="AA85" s="3">
        <v>111</v>
      </c>
      <c r="AB85" s="4">
        <v>56</v>
      </c>
      <c r="AD85">
        <f t="shared" si="1"/>
        <v>520</v>
      </c>
    </row>
    <row r="86" spans="1:30" x14ac:dyDescent="0.35">
      <c r="A86" t="s">
        <v>265</v>
      </c>
      <c r="B86">
        <v>781</v>
      </c>
      <c r="C86" t="s">
        <v>7</v>
      </c>
      <c r="D86" t="s">
        <v>8</v>
      </c>
      <c r="E86" t="s">
        <v>46</v>
      </c>
      <c r="G86" t="s">
        <v>47</v>
      </c>
      <c r="I86" t="s">
        <v>69</v>
      </c>
      <c r="K86" t="s">
        <v>70</v>
      </c>
      <c r="O86">
        <v>0.8</v>
      </c>
      <c r="P86" t="s">
        <v>507</v>
      </c>
      <c r="Q86">
        <v>91.7</v>
      </c>
      <c r="R86">
        <v>3</v>
      </c>
      <c r="S86" s="2">
        <v>6</v>
      </c>
      <c r="T86" s="3">
        <v>0</v>
      </c>
      <c r="U86" s="4">
        <v>0</v>
      </c>
      <c r="V86" s="2">
        <v>3</v>
      </c>
      <c r="W86" s="3">
        <v>3</v>
      </c>
      <c r="X86" s="3">
        <v>126</v>
      </c>
      <c r="Y86" s="3">
        <v>624</v>
      </c>
      <c r="Z86" s="3">
        <v>19</v>
      </c>
      <c r="AA86" s="3">
        <v>0</v>
      </c>
      <c r="AB86" s="4">
        <v>0</v>
      </c>
      <c r="AD86">
        <f t="shared" si="1"/>
        <v>624</v>
      </c>
    </row>
    <row r="87" spans="1:30" x14ac:dyDescent="0.35">
      <c r="A87" t="s">
        <v>248</v>
      </c>
      <c r="B87">
        <v>776</v>
      </c>
      <c r="C87" t="s">
        <v>7</v>
      </c>
      <c r="D87" t="s">
        <v>8</v>
      </c>
      <c r="E87" t="s">
        <v>451</v>
      </c>
      <c r="G87" t="s">
        <v>451</v>
      </c>
      <c r="I87" t="s">
        <v>452</v>
      </c>
      <c r="K87" t="s">
        <v>453</v>
      </c>
      <c r="M87" t="s">
        <v>454</v>
      </c>
      <c r="O87">
        <v>1</v>
      </c>
      <c r="P87" t="s">
        <v>455</v>
      </c>
      <c r="Q87">
        <v>99.2</v>
      </c>
      <c r="R87">
        <v>1</v>
      </c>
      <c r="S87" s="2">
        <v>3</v>
      </c>
      <c r="T87" s="3">
        <v>5</v>
      </c>
      <c r="U87" s="4">
        <v>1</v>
      </c>
      <c r="V87" s="2">
        <v>562</v>
      </c>
      <c r="W87" s="3">
        <v>3</v>
      </c>
      <c r="X87" s="3">
        <v>163</v>
      </c>
      <c r="Y87" s="3">
        <v>6</v>
      </c>
      <c r="Z87" s="3">
        <v>30</v>
      </c>
      <c r="AA87" s="3">
        <v>2</v>
      </c>
      <c r="AB87" s="4">
        <v>1</v>
      </c>
      <c r="AD87">
        <f t="shared" si="1"/>
        <v>562</v>
      </c>
    </row>
    <row r="88" spans="1:30" x14ac:dyDescent="0.35">
      <c r="A88" t="s">
        <v>266</v>
      </c>
      <c r="B88">
        <v>761</v>
      </c>
      <c r="C88" t="s">
        <v>7</v>
      </c>
      <c r="D88" t="s">
        <v>8</v>
      </c>
      <c r="E88" t="s">
        <v>394</v>
      </c>
      <c r="G88" t="s">
        <v>395</v>
      </c>
      <c r="I88" t="s">
        <v>396</v>
      </c>
      <c r="K88" t="s">
        <v>397</v>
      </c>
      <c r="M88" t="s">
        <v>398</v>
      </c>
      <c r="O88">
        <v>0.99</v>
      </c>
      <c r="P88" t="s">
        <v>399</v>
      </c>
      <c r="Q88">
        <v>94.8</v>
      </c>
      <c r="R88">
        <v>1</v>
      </c>
      <c r="S88" s="2">
        <v>6</v>
      </c>
      <c r="T88" s="3">
        <v>3</v>
      </c>
      <c r="U88" s="4">
        <v>5</v>
      </c>
      <c r="V88" s="2">
        <v>8</v>
      </c>
      <c r="W88" s="3">
        <v>15</v>
      </c>
      <c r="X88" s="3">
        <v>5</v>
      </c>
      <c r="Y88" s="3">
        <v>18</v>
      </c>
      <c r="Z88" s="3">
        <v>5</v>
      </c>
      <c r="AA88" s="3">
        <v>566</v>
      </c>
      <c r="AB88" s="4">
        <v>130</v>
      </c>
      <c r="AD88">
        <f t="shared" si="1"/>
        <v>566</v>
      </c>
    </row>
    <row r="89" spans="1:30" x14ac:dyDescent="0.35">
      <c r="A89" t="s">
        <v>287</v>
      </c>
      <c r="B89">
        <v>739</v>
      </c>
      <c r="C89" t="s">
        <v>7</v>
      </c>
      <c r="D89" t="s">
        <v>8</v>
      </c>
      <c r="E89" t="s">
        <v>114</v>
      </c>
      <c r="G89" t="s">
        <v>115</v>
      </c>
      <c r="I89" t="s">
        <v>116</v>
      </c>
      <c r="K89" t="s">
        <v>117</v>
      </c>
      <c r="M89" t="s">
        <v>118</v>
      </c>
      <c r="O89">
        <v>1</v>
      </c>
      <c r="P89" t="s">
        <v>16</v>
      </c>
      <c r="Q89">
        <v>96.4</v>
      </c>
      <c r="R89">
        <v>1</v>
      </c>
      <c r="S89" s="2">
        <v>2</v>
      </c>
      <c r="T89" s="3">
        <v>729</v>
      </c>
      <c r="U89" s="4">
        <v>1</v>
      </c>
      <c r="V89" s="2">
        <v>3</v>
      </c>
      <c r="W89" s="3">
        <v>0</v>
      </c>
      <c r="X89" s="3">
        <v>1</v>
      </c>
      <c r="Y89" s="3">
        <v>0</v>
      </c>
      <c r="Z89" s="3">
        <v>2</v>
      </c>
      <c r="AA89" s="3">
        <v>1</v>
      </c>
      <c r="AB89" s="4">
        <v>0</v>
      </c>
      <c r="AD89">
        <f t="shared" si="1"/>
        <v>729</v>
      </c>
    </row>
    <row r="90" spans="1:30" x14ac:dyDescent="0.35">
      <c r="A90" t="s">
        <v>282</v>
      </c>
      <c r="B90">
        <v>732</v>
      </c>
      <c r="C90" t="s">
        <v>7</v>
      </c>
      <c r="D90" t="s">
        <v>8</v>
      </c>
      <c r="E90" t="s">
        <v>32</v>
      </c>
      <c r="G90" t="s">
        <v>35</v>
      </c>
      <c r="I90" t="s">
        <v>36</v>
      </c>
      <c r="K90" t="s">
        <v>37</v>
      </c>
      <c r="M90" t="s">
        <v>231</v>
      </c>
      <c r="O90">
        <v>0.88</v>
      </c>
      <c r="P90" t="s">
        <v>232</v>
      </c>
      <c r="Q90">
        <v>95.3</v>
      </c>
      <c r="R90">
        <v>1</v>
      </c>
      <c r="S90" s="2">
        <v>7</v>
      </c>
      <c r="T90" s="3">
        <v>0</v>
      </c>
      <c r="U90" s="4">
        <v>1</v>
      </c>
      <c r="V90" s="2">
        <v>117</v>
      </c>
      <c r="W90" s="3">
        <v>465</v>
      </c>
      <c r="X90" s="3">
        <v>32</v>
      </c>
      <c r="Y90" s="3">
        <v>2</v>
      </c>
      <c r="Z90" s="3">
        <v>103</v>
      </c>
      <c r="AA90" s="3">
        <v>2</v>
      </c>
      <c r="AB90" s="4">
        <v>3</v>
      </c>
      <c r="AD90">
        <f t="shared" si="1"/>
        <v>465</v>
      </c>
    </row>
    <row r="91" spans="1:30" x14ac:dyDescent="0.35">
      <c r="A91" t="s">
        <v>313</v>
      </c>
      <c r="B91">
        <v>727</v>
      </c>
      <c r="C91" t="s">
        <v>7</v>
      </c>
      <c r="D91" t="s">
        <v>8</v>
      </c>
      <c r="E91" t="s">
        <v>46</v>
      </c>
      <c r="G91" t="s">
        <v>47</v>
      </c>
      <c r="I91" t="s">
        <v>160</v>
      </c>
      <c r="K91" t="s">
        <v>161</v>
      </c>
      <c r="M91" t="s">
        <v>162</v>
      </c>
      <c r="O91">
        <v>0.96</v>
      </c>
      <c r="P91" t="s">
        <v>163</v>
      </c>
      <c r="Q91">
        <v>96</v>
      </c>
      <c r="R91">
        <v>1</v>
      </c>
      <c r="S91" s="2">
        <v>0</v>
      </c>
      <c r="T91" s="3">
        <v>3</v>
      </c>
      <c r="U91" s="4">
        <v>4</v>
      </c>
      <c r="V91" s="2">
        <v>4</v>
      </c>
      <c r="W91" s="3">
        <v>0</v>
      </c>
      <c r="X91" s="3">
        <v>707</v>
      </c>
      <c r="Y91" s="3">
        <v>2</v>
      </c>
      <c r="Z91" s="3">
        <v>4</v>
      </c>
      <c r="AA91" s="3">
        <v>2</v>
      </c>
      <c r="AB91" s="4">
        <v>1</v>
      </c>
      <c r="AD91">
        <f t="shared" si="1"/>
        <v>707</v>
      </c>
    </row>
    <row r="92" spans="1:30" x14ac:dyDescent="0.35">
      <c r="A92" t="s">
        <v>271</v>
      </c>
      <c r="B92">
        <v>724</v>
      </c>
      <c r="C92" t="s">
        <v>7</v>
      </c>
      <c r="D92" t="s">
        <v>8</v>
      </c>
      <c r="E92" t="s">
        <v>46</v>
      </c>
      <c r="G92" t="s">
        <v>47</v>
      </c>
      <c r="I92" t="s">
        <v>61</v>
      </c>
      <c r="O92">
        <v>0.94</v>
      </c>
      <c r="P92" t="s">
        <v>302</v>
      </c>
      <c r="Q92">
        <v>92.1</v>
      </c>
      <c r="R92">
        <v>1</v>
      </c>
      <c r="S92" s="2">
        <v>23</v>
      </c>
      <c r="T92" s="3">
        <v>4</v>
      </c>
      <c r="U92" s="4">
        <v>2</v>
      </c>
      <c r="V92" s="2">
        <v>7</v>
      </c>
      <c r="W92" s="3">
        <v>3</v>
      </c>
      <c r="X92" s="3">
        <v>469</v>
      </c>
      <c r="Y92" s="3">
        <v>70</v>
      </c>
      <c r="Z92" s="3">
        <v>3</v>
      </c>
      <c r="AA92" s="3">
        <v>28</v>
      </c>
      <c r="AB92" s="4">
        <v>115</v>
      </c>
      <c r="AD92">
        <f t="shared" si="1"/>
        <v>469</v>
      </c>
    </row>
    <row r="93" spans="1:30" x14ac:dyDescent="0.35">
      <c r="A93" t="s">
        <v>306</v>
      </c>
      <c r="B93">
        <v>702</v>
      </c>
      <c r="C93" t="s">
        <v>7</v>
      </c>
      <c r="D93" t="s">
        <v>8</v>
      </c>
      <c r="E93" t="s">
        <v>32</v>
      </c>
      <c r="O93">
        <v>1</v>
      </c>
      <c r="P93" t="s">
        <v>217</v>
      </c>
      <c r="Q93">
        <v>87</v>
      </c>
      <c r="R93">
        <v>3</v>
      </c>
      <c r="S93" s="2">
        <v>125</v>
      </c>
      <c r="T93" s="3">
        <v>8</v>
      </c>
      <c r="U93" s="4">
        <v>1</v>
      </c>
      <c r="V93" s="2">
        <v>4</v>
      </c>
      <c r="W93" s="3">
        <v>6</v>
      </c>
      <c r="X93" s="3">
        <v>78</v>
      </c>
      <c r="Y93" s="3">
        <v>10</v>
      </c>
      <c r="Z93" s="3">
        <v>9</v>
      </c>
      <c r="AA93" s="3">
        <v>204</v>
      </c>
      <c r="AB93" s="4">
        <v>257</v>
      </c>
      <c r="AD93">
        <f t="shared" si="1"/>
        <v>257</v>
      </c>
    </row>
    <row r="94" spans="1:30" x14ac:dyDescent="0.35">
      <c r="A94" t="s">
        <v>363</v>
      </c>
      <c r="B94">
        <v>687</v>
      </c>
      <c r="C94" t="s">
        <v>7</v>
      </c>
      <c r="D94" t="s">
        <v>8</v>
      </c>
      <c r="E94" t="s">
        <v>9</v>
      </c>
      <c r="G94" t="s">
        <v>10</v>
      </c>
      <c r="I94" t="s">
        <v>107</v>
      </c>
      <c r="K94" t="s">
        <v>108</v>
      </c>
      <c r="M94" t="s">
        <v>109</v>
      </c>
      <c r="O94">
        <v>1</v>
      </c>
      <c r="P94" t="s">
        <v>449</v>
      </c>
      <c r="Q94">
        <v>99.2</v>
      </c>
      <c r="R94">
        <v>1</v>
      </c>
      <c r="S94" s="2">
        <v>7</v>
      </c>
      <c r="T94" s="3">
        <v>1</v>
      </c>
      <c r="U94" s="4">
        <v>2</v>
      </c>
      <c r="V94" s="2">
        <v>148</v>
      </c>
      <c r="W94" s="3">
        <v>2</v>
      </c>
      <c r="X94" s="3">
        <v>37</v>
      </c>
      <c r="Y94" s="3">
        <v>2</v>
      </c>
      <c r="Z94" s="3">
        <v>274</v>
      </c>
      <c r="AA94" s="3">
        <v>121</v>
      </c>
      <c r="AB94" s="4">
        <v>93</v>
      </c>
      <c r="AD94">
        <f t="shared" si="1"/>
        <v>274</v>
      </c>
    </row>
    <row r="95" spans="1:30" x14ac:dyDescent="0.35">
      <c r="A95" t="s">
        <v>241</v>
      </c>
      <c r="B95">
        <v>654</v>
      </c>
      <c r="C95" t="s">
        <v>7</v>
      </c>
      <c r="D95" t="s">
        <v>8</v>
      </c>
      <c r="E95" t="s">
        <v>46</v>
      </c>
      <c r="G95" t="s">
        <v>47</v>
      </c>
      <c r="I95" t="s">
        <v>160</v>
      </c>
      <c r="K95" t="s">
        <v>161</v>
      </c>
      <c r="M95" t="s">
        <v>162</v>
      </c>
      <c r="O95">
        <v>0.95</v>
      </c>
      <c r="P95" t="s">
        <v>163</v>
      </c>
      <c r="Q95">
        <v>96</v>
      </c>
      <c r="R95">
        <v>1</v>
      </c>
      <c r="S95" s="2">
        <v>4</v>
      </c>
      <c r="T95" s="3">
        <v>44</v>
      </c>
      <c r="U95" s="4">
        <v>117</v>
      </c>
      <c r="V95" s="2">
        <v>0</v>
      </c>
      <c r="W95" s="3">
        <v>7</v>
      </c>
      <c r="X95" s="3">
        <v>84</v>
      </c>
      <c r="Y95" s="3">
        <v>185</v>
      </c>
      <c r="Z95" s="3">
        <v>109</v>
      </c>
      <c r="AA95" s="3">
        <v>79</v>
      </c>
      <c r="AB95" s="4">
        <v>25</v>
      </c>
      <c r="AD95">
        <f t="shared" si="1"/>
        <v>185</v>
      </c>
    </row>
    <row r="96" spans="1:30" x14ac:dyDescent="0.35">
      <c r="A96" t="s">
        <v>289</v>
      </c>
      <c r="B96">
        <v>652</v>
      </c>
      <c r="C96" t="s">
        <v>7</v>
      </c>
      <c r="D96" t="s">
        <v>8</v>
      </c>
      <c r="E96" t="s">
        <v>165</v>
      </c>
      <c r="G96" t="s">
        <v>166</v>
      </c>
      <c r="I96" t="s">
        <v>167</v>
      </c>
      <c r="K96" t="s">
        <v>168</v>
      </c>
      <c r="M96" t="s">
        <v>169</v>
      </c>
      <c r="O96">
        <v>1</v>
      </c>
      <c r="P96" t="s">
        <v>170</v>
      </c>
      <c r="Q96">
        <v>99.6</v>
      </c>
      <c r="R96">
        <v>1</v>
      </c>
      <c r="S96" s="2">
        <v>205</v>
      </c>
      <c r="T96" s="3">
        <v>2</v>
      </c>
      <c r="U96" s="4">
        <v>3</v>
      </c>
      <c r="V96" s="2">
        <v>22</v>
      </c>
      <c r="W96" s="3">
        <v>72</v>
      </c>
      <c r="X96" s="3">
        <v>73</v>
      </c>
      <c r="Y96" s="3">
        <v>45</v>
      </c>
      <c r="Z96" s="3">
        <v>175</v>
      </c>
      <c r="AA96" s="3">
        <v>13</v>
      </c>
      <c r="AB96" s="4">
        <v>42</v>
      </c>
      <c r="AD96">
        <f t="shared" si="1"/>
        <v>205</v>
      </c>
    </row>
    <row r="97" spans="1:30" x14ac:dyDescent="0.35">
      <c r="A97" t="s">
        <v>277</v>
      </c>
      <c r="B97">
        <v>638</v>
      </c>
      <c r="C97" t="s">
        <v>7</v>
      </c>
      <c r="D97" t="s">
        <v>8</v>
      </c>
      <c r="E97" t="s">
        <v>9</v>
      </c>
      <c r="G97" t="s">
        <v>10</v>
      </c>
      <c r="O97">
        <v>0.5</v>
      </c>
      <c r="P97" t="s">
        <v>154</v>
      </c>
      <c r="Q97">
        <v>89.7</v>
      </c>
      <c r="R97">
        <v>1</v>
      </c>
      <c r="S97" s="2">
        <v>305</v>
      </c>
      <c r="T97" s="3">
        <v>0</v>
      </c>
      <c r="U97" s="4">
        <v>5</v>
      </c>
      <c r="V97" s="2">
        <v>21</v>
      </c>
      <c r="W97" s="3">
        <v>40</v>
      </c>
      <c r="X97" s="3">
        <v>54</v>
      </c>
      <c r="Y97" s="3">
        <v>19</v>
      </c>
      <c r="Z97" s="3">
        <v>186</v>
      </c>
      <c r="AA97" s="3">
        <v>4</v>
      </c>
      <c r="AB97" s="4">
        <v>4</v>
      </c>
      <c r="AD97">
        <f t="shared" si="1"/>
        <v>305</v>
      </c>
    </row>
    <row r="98" spans="1:30" x14ac:dyDescent="0.35">
      <c r="A98" t="s">
        <v>301</v>
      </c>
      <c r="B98">
        <v>629</v>
      </c>
      <c r="C98" t="s">
        <v>7</v>
      </c>
      <c r="D98" t="s">
        <v>8</v>
      </c>
      <c r="E98" t="s">
        <v>9</v>
      </c>
      <c r="G98" t="s">
        <v>10</v>
      </c>
      <c r="I98" t="s">
        <v>11</v>
      </c>
      <c r="K98" t="s">
        <v>249</v>
      </c>
      <c r="M98" t="s">
        <v>250</v>
      </c>
      <c r="O98">
        <v>0.94</v>
      </c>
      <c r="P98" t="s">
        <v>251</v>
      </c>
      <c r="Q98">
        <v>96.8</v>
      </c>
      <c r="R98">
        <v>1</v>
      </c>
      <c r="S98" s="2">
        <v>4</v>
      </c>
      <c r="T98" s="3">
        <v>2</v>
      </c>
      <c r="U98" s="4">
        <v>61</v>
      </c>
      <c r="V98" s="2">
        <v>523</v>
      </c>
      <c r="W98" s="3">
        <v>17</v>
      </c>
      <c r="X98" s="3">
        <v>1</v>
      </c>
      <c r="Y98" s="3">
        <v>2</v>
      </c>
      <c r="Z98" s="3">
        <v>11</v>
      </c>
      <c r="AA98" s="3">
        <v>5</v>
      </c>
      <c r="AB98" s="4">
        <v>3</v>
      </c>
      <c r="AD98">
        <f t="shared" si="1"/>
        <v>523</v>
      </c>
    </row>
    <row r="99" spans="1:30" x14ac:dyDescent="0.35">
      <c r="A99" t="s">
        <v>340</v>
      </c>
      <c r="B99">
        <v>618</v>
      </c>
      <c r="C99" t="s">
        <v>7</v>
      </c>
      <c r="D99" t="s">
        <v>8</v>
      </c>
      <c r="E99" t="s">
        <v>120</v>
      </c>
      <c r="G99" t="s">
        <v>121</v>
      </c>
      <c r="I99" t="s">
        <v>122</v>
      </c>
      <c r="K99" t="s">
        <v>123</v>
      </c>
      <c r="M99" t="s">
        <v>124</v>
      </c>
      <c r="O99">
        <v>1</v>
      </c>
      <c r="P99" t="s">
        <v>125</v>
      </c>
      <c r="Q99">
        <v>99.6</v>
      </c>
      <c r="R99">
        <v>1</v>
      </c>
      <c r="S99" s="2">
        <v>109</v>
      </c>
      <c r="T99" s="3">
        <v>2</v>
      </c>
      <c r="U99" s="4">
        <v>3</v>
      </c>
      <c r="V99" s="2">
        <v>3</v>
      </c>
      <c r="W99" s="3">
        <v>110</v>
      </c>
      <c r="X99" s="3">
        <v>1</v>
      </c>
      <c r="Y99" s="3">
        <v>3</v>
      </c>
      <c r="Z99" s="3">
        <v>375</v>
      </c>
      <c r="AA99" s="3">
        <v>2</v>
      </c>
      <c r="AB99" s="4">
        <v>10</v>
      </c>
      <c r="AD99">
        <f t="shared" si="1"/>
        <v>375</v>
      </c>
    </row>
    <row r="100" spans="1:30" x14ac:dyDescent="0.35">
      <c r="A100" t="s">
        <v>300</v>
      </c>
      <c r="B100">
        <v>576</v>
      </c>
      <c r="C100" t="s">
        <v>7</v>
      </c>
      <c r="D100" t="s">
        <v>8</v>
      </c>
      <c r="E100" t="s">
        <v>32</v>
      </c>
      <c r="G100" t="s">
        <v>35</v>
      </c>
      <c r="I100" t="s">
        <v>36</v>
      </c>
      <c r="K100" t="s">
        <v>37</v>
      </c>
      <c r="M100" t="s">
        <v>231</v>
      </c>
      <c r="O100">
        <v>1</v>
      </c>
      <c r="P100" t="s">
        <v>232</v>
      </c>
      <c r="Q100">
        <v>100</v>
      </c>
      <c r="R100">
        <v>1</v>
      </c>
      <c r="S100" s="2">
        <v>104</v>
      </c>
      <c r="T100" s="3">
        <v>0</v>
      </c>
      <c r="U100" s="4">
        <v>0</v>
      </c>
      <c r="V100" s="2">
        <v>5</v>
      </c>
      <c r="W100" s="3">
        <v>4</v>
      </c>
      <c r="X100" s="3">
        <v>20</v>
      </c>
      <c r="Y100" s="3">
        <v>5</v>
      </c>
      <c r="Z100" s="3">
        <v>429</v>
      </c>
      <c r="AA100" s="3">
        <v>1</v>
      </c>
      <c r="AB100" s="4">
        <v>8</v>
      </c>
      <c r="AD100">
        <f t="shared" si="1"/>
        <v>429</v>
      </c>
    </row>
    <row r="101" spans="1:30" x14ac:dyDescent="0.35">
      <c r="A101" t="s">
        <v>336</v>
      </c>
      <c r="B101">
        <v>575</v>
      </c>
      <c r="C101" t="s">
        <v>7</v>
      </c>
      <c r="D101" t="s">
        <v>8</v>
      </c>
      <c r="E101" t="s">
        <v>46</v>
      </c>
      <c r="G101" t="s">
        <v>47</v>
      </c>
      <c r="I101" t="s">
        <v>61</v>
      </c>
      <c r="K101" t="s">
        <v>190</v>
      </c>
      <c r="M101" t="s">
        <v>191</v>
      </c>
      <c r="O101">
        <v>0.85</v>
      </c>
      <c r="P101" t="s">
        <v>192</v>
      </c>
      <c r="Q101">
        <v>96</v>
      </c>
      <c r="R101">
        <v>1</v>
      </c>
      <c r="S101" s="2">
        <v>170</v>
      </c>
      <c r="T101" s="3">
        <v>2</v>
      </c>
      <c r="U101" s="4">
        <v>1</v>
      </c>
      <c r="V101" s="2">
        <v>4</v>
      </c>
      <c r="W101" s="3">
        <v>3</v>
      </c>
      <c r="X101" s="3">
        <v>112</v>
      </c>
      <c r="Y101" s="3">
        <v>245</v>
      </c>
      <c r="Z101" s="3">
        <v>5</v>
      </c>
      <c r="AA101" s="3">
        <v>13</v>
      </c>
      <c r="AB101" s="4">
        <v>20</v>
      </c>
      <c r="AD101">
        <f t="shared" si="1"/>
        <v>245</v>
      </c>
    </row>
    <row r="102" spans="1:30" x14ac:dyDescent="0.35">
      <c r="A102" t="s">
        <v>638</v>
      </c>
      <c r="B102">
        <v>573</v>
      </c>
      <c r="C102" t="s">
        <v>7</v>
      </c>
      <c r="D102" t="s">
        <v>8</v>
      </c>
      <c r="E102" t="s">
        <v>9</v>
      </c>
      <c r="G102" t="s">
        <v>10</v>
      </c>
      <c r="I102" t="s">
        <v>131</v>
      </c>
      <c r="K102" t="s">
        <v>150</v>
      </c>
      <c r="M102" t="s">
        <v>151</v>
      </c>
      <c r="O102">
        <v>0.65</v>
      </c>
      <c r="P102" t="s">
        <v>152</v>
      </c>
      <c r="Q102">
        <v>96.8</v>
      </c>
      <c r="R102">
        <v>1</v>
      </c>
      <c r="S102" s="2">
        <v>4</v>
      </c>
      <c r="T102" s="3">
        <v>1</v>
      </c>
      <c r="U102" s="4">
        <v>0</v>
      </c>
      <c r="V102" s="2">
        <v>3</v>
      </c>
      <c r="W102" s="3">
        <v>2</v>
      </c>
      <c r="X102" s="3">
        <v>211</v>
      </c>
      <c r="Y102" s="3">
        <v>335</v>
      </c>
      <c r="Z102" s="3">
        <v>16</v>
      </c>
      <c r="AA102" s="3">
        <v>1</v>
      </c>
      <c r="AB102" s="4">
        <v>0</v>
      </c>
      <c r="AD102">
        <f t="shared" si="1"/>
        <v>335</v>
      </c>
    </row>
    <row r="103" spans="1:30" x14ac:dyDescent="0.35">
      <c r="A103" t="s">
        <v>315</v>
      </c>
      <c r="B103">
        <v>571</v>
      </c>
      <c r="C103" t="s">
        <v>7</v>
      </c>
      <c r="D103" t="s">
        <v>8</v>
      </c>
      <c r="E103" t="s">
        <v>46</v>
      </c>
      <c r="G103" t="s">
        <v>47</v>
      </c>
      <c r="I103" t="s">
        <v>61</v>
      </c>
      <c r="K103" t="s">
        <v>190</v>
      </c>
      <c r="M103" t="s">
        <v>273</v>
      </c>
      <c r="O103">
        <v>0.72</v>
      </c>
      <c r="P103" t="s">
        <v>628</v>
      </c>
      <c r="Q103">
        <v>94.9</v>
      </c>
      <c r="R103">
        <v>1</v>
      </c>
      <c r="S103" s="2">
        <v>1</v>
      </c>
      <c r="T103" s="3">
        <v>0</v>
      </c>
      <c r="U103" s="4">
        <v>11</v>
      </c>
      <c r="V103" s="2">
        <v>469</v>
      </c>
      <c r="W103" s="3">
        <v>68</v>
      </c>
      <c r="X103" s="3">
        <v>0</v>
      </c>
      <c r="Y103" s="3">
        <v>7</v>
      </c>
      <c r="Z103" s="3">
        <v>12</v>
      </c>
      <c r="AA103" s="3">
        <v>0</v>
      </c>
      <c r="AB103" s="4">
        <v>3</v>
      </c>
      <c r="AD103">
        <f t="shared" si="1"/>
        <v>469</v>
      </c>
    </row>
    <row r="104" spans="1:30" x14ac:dyDescent="0.35">
      <c r="A104" t="s">
        <v>311</v>
      </c>
      <c r="B104">
        <v>567</v>
      </c>
      <c r="C104" t="s">
        <v>7</v>
      </c>
      <c r="D104" t="s">
        <v>8</v>
      </c>
      <c r="E104" t="s">
        <v>46</v>
      </c>
      <c r="G104" t="s">
        <v>47</v>
      </c>
      <c r="I104" t="s">
        <v>61</v>
      </c>
      <c r="K104" t="s">
        <v>84</v>
      </c>
      <c r="M104" t="s">
        <v>475</v>
      </c>
      <c r="O104">
        <v>1</v>
      </c>
      <c r="P104" t="s">
        <v>505</v>
      </c>
      <c r="Q104">
        <v>100</v>
      </c>
      <c r="R104">
        <v>2</v>
      </c>
      <c r="S104" s="2">
        <v>5</v>
      </c>
      <c r="T104" s="3">
        <v>1</v>
      </c>
      <c r="U104" s="4">
        <v>1</v>
      </c>
      <c r="V104" s="2">
        <v>10</v>
      </c>
      <c r="W104" s="3">
        <v>5</v>
      </c>
      <c r="X104" s="3">
        <v>36</v>
      </c>
      <c r="Y104" s="3">
        <v>1</v>
      </c>
      <c r="Z104" s="3">
        <v>505</v>
      </c>
      <c r="AA104" s="3">
        <v>1</v>
      </c>
      <c r="AB104" s="4">
        <v>2</v>
      </c>
      <c r="AD104">
        <f t="shared" si="1"/>
        <v>505</v>
      </c>
    </row>
    <row r="105" spans="1:30" x14ac:dyDescent="0.35">
      <c r="A105" t="s">
        <v>320</v>
      </c>
      <c r="B105">
        <v>562</v>
      </c>
      <c r="C105" t="s">
        <v>7</v>
      </c>
      <c r="D105" t="s">
        <v>8</v>
      </c>
      <c r="E105" t="s">
        <v>46</v>
      </c>
      <c r="O105">
        <v>0.51</v>
      </c>
      <c r="P105" t="s">
        <v>511</v>
      </c>
      <c r="Q105">
        <v>86.6</v>
      </c>
      <c r="R105">
        <v>2</v>
      </c>
      <c r="S105" s="2">
        <v>3</v>
      </c>
      <c r="T105" s="3">
        <v>1</v>
      </c>
      <c r="U105" s="4">
        <v>2</v>
      </c>
      <c r="V105" s="2">
        <v>3</v>
      </c>
      <c r="W105" s="3">
        <v>7</v>
      </c>
      <c r="X105" s="3">
        <v>484</v>
      </c>
      <c r="Y105" s="3">
        <v>2</v>
      </c>
      <c r="Z105" s="3">
        <v>57</v>
      </c>
      <c r="AA105" s="3">
        <v>0</v>
      </c>
      <c r="AB105" s="4">
        <v>3</v>
      </c>
      <c r="AD105">
        <f t="shared" si="1"/>
        <v>484</v>
      </c>
    </row>
    <row r="106" spans="1:30" x14ac:dyDescent="0.35">
      <c r="A106" t="s">
        <v>333</v>
      </c>
      <c r="B106">
        <v>555</v>
      </c>
      <c r="C106" t="s">
        <v>7</v>
      </c>
      <c r="D106" t="s">
        <v>8</v>
      </c>
      <c r="E106" t="s">
        <v>258</v>
      </c>
      <c r="G106" t="s">
        <v>258</v>
      </c>
      <c r="H106" t="s">
        <v>639</v>
      </c>
      <c r="I106" t="s">
        <v>640</v>
      </c>
      <c r="J106" t="s">
        <v>641</v>
      </c>
      <c r="K106" t="s">
        <v>642</v>
      </c>
      <c r="M106" t="s">
        <v>643</v>
      </c>
      <c r="O106">
        <v>0.63</v>
      </c>
      <c r="P106" t="s">
        <v>644</v>
      </c>
      <c r="Q106">
        <v>99.6</v>
      </c>
      <c r="R106">
        <v>2</v>
      </c>
      <c r="S106" s="2">
        <v>1</v>
      </c>
      <c r="T106" s="3">
        <v>0</v>
      </c>
      <c r="U106" s="4">
        <v>1</v>
      </c>
      <c r="V106" s="2">
        <v>21</v>
      </c>
      <c r="W106" s="3">
        <v>6</v>
      </c>
      <c r="X106" s="3">
        <v>502</v>
      </c>
      <c r="Y106" s="3">
        <v>4</v>
      </c>
      <c r="Z106" s="3">
        <v>15</v>
      </c>
      <c r="AA106" s="3">
        <v>2</v>
      </c>
      <c r="AB106" s="4">
        <v>3</v>
      </c>
      <c r="AD106">
        <f t="shared" si="1"/>
        <v>502</v>
      </c>
    </row>
    <row r="107" spans="1:30" x14ac:dyDescent="0.35">
      <c r="A107" t="s">
        <v>323</v>
      </c>
      <c r="B107">
        <v>547</v>
      </c>
      <c r="C107" t="s">
        <v>7</v>
      </c>
      <c r="D107" t="s">
        <v>24</v>
      </c>
      <c r="E107" t="s">
        <v>25</v>
      </c>
      <c r="G107" t="s">
        <v>40</v>
      </c>
      <c r="I107" t="s">
        <v>56</v>
      </c>
      <c r="K107" t="s">
        <v>204</v>
      </c>
      <c r="M107" t="s">
        <v>205</v>
      </c>
      <c r="O107">
        <v>1</v>
      </c>
      <c r="P107" t="s">
        <v>206</v>
      </c>
      <c r="Q107">
        <v>98.4</v>
      </c>
      <c r="R107">
        <v>2</v>
      </c>
      <c r="S107" s="2">
        <v>67</v>
      </c>
      <c r="T107" s="3">
        <v>0</v>
      </c>
      <c r="U107" s="4">
        <v>1</v>
      </c>
      <c r="V107" s="2">
        <v>1</v>
      </c>
      <c r="W107" s="3">
        <v>1</v>
      </c>
      <c r="X107" s="3">
        <v>0</v>
      </c>
      <c r="Y107" s="3">
        <v>4</v>
      </c>
      <c r="Z107" s="3">
        <v>3</v>
      </c>
      <c r="AA107" s="3">
        <v>465</v>
      </c>
      <c r="AB107" s="4">
        <v>5</v>
      </c>
      <c r="AD107">
        <f t="shared" si="1"/>
        <v>465</v>
      </c>
    </row>
    <row r="108" spans="1:30" x14ac:dyDescent="0.35">
      <c r="A108" t="s">
        <v>329</v>
      </c>
      <c r="B108">
        <v>527</v>
      </c>
      <c r="C108" t="s">
        <v>7</v>
      </c>
      <c r="D108" t="s">
        <v>8</v>
      </c>
      <c r="E108" t="s">
        <v>46</v>
      </c>
      <c r="G108" t="s">
        <v>47</v>
      </c>
      <c r="I108" t="s">
        <v>61</v>
      </c>
      <c r="K108" t="s">
        <v>157</v>
      </c>
      <c r="M108" t="s">
        <v>502</v>
      </c>
      <c r="O108">
        <v>1</v>
      </c>
      <c r="P108" t="s">
        <v>503</v>
      </c>
      <c r="Q108">
        <v>99.6</v>
      </c>
      <c r="R108">
        <v>1</v>
      </c>
      <c r="S108" s="2">
        <v>1</v>
      </c>
      <c r="T108" s="3">
        <v>3</v>
      </c>
      <c r="U108" s="4">
        <v>2</v>
      </c>
      <c r="V108" s="2">
        <v>19</v>
      </c>
      <c r="W108" s="3">
        <v>2</v>
      </c>
      <c r="X108" s="3">
        <v>16</v>
      </c>
      <c r="Y108" s="3">
        <v>0</v>
      </c>
      <c r="Z108" s="3">
        <v>473</v>
      </c>
      <c r="AA108" s="3">
        <v>3</v>
      </c>
      <c r="AB108" s="4">
        <v>8</v>
      </c>
      <c r="AD108">
        <f t="shared" si="1"/>
        <v>473</v>
      </c>
    </row>
    <row r="109" spans="1:30" x14ac:dyDescent="0.35">
      <c r="A109" t="s">
        <v>356</v>
      </c>
      <c r="B109">
        <v>526</v>
      </c>
      <c r="C109" t="s">
        <v>7</v>
      </c>
      <c r="D109" t="s">
        <v>8</v>
      </c>
      <c r="E109" t="s">
        <v>32</v>
      </c>
      <c r="O109">
        <v>1</v>
      </c>
      <c r="P109" t="s">
        <v>375</v>
      </c>
      <c r="Q109">
        <v>85.8</v>
      </c>
      <c r="R109">
        <v>1</v>
      </c>
      <c r="S109" s="2">
        <v>1</v>
      </c>
      <c r="T109" s="3">
        <v>2</v>
      </c>
      <c r="U109" s="4">
        <v>1</v>
      </c>
      <c r="V109" s="2">
        <v>0</v>
      </c>
      <c r="W109" s="3">
        <v>6</v>
      </c>
      <c r="X109" s="3">
        <v>514</v>
      </c>
      <c r="Y109" s="3">
        <v>1</v>
      </c>
      <c r="Z109" s="3">
        <v>0</v>
      </c>
      <c r="AA109" s="3">
        <v>0</v>
      </c>
      <c r="AB109" s="4">
        <v>1</v>
      </c>
      <c r="AD109">
        <f t="shared" si="1"/>
        <v>514</v>
      </c>
    </row>
    <row r="110" spans="1:30" x14ac:dyDescent="0.35">
      <c r="A110" t="s">
        <v>327</v>
      </c>
      <c r="B110">
        <v>525</v>
      </c>
      <c r="C110" t="s">
        <v>7</v>
      </c>
      <c r="D110" t="s">
        <v>8</v>
      </c>
      <c r="E110" t="s">
        <v>32</v>
      </c>
      <c r="O110">
        <v>0.96</v>
      </c>
      <c r="P110" t="s">
        <v>285</v>
      </c>
      <c r="Q110">
        <v>88.1</v>
      </c>
      <c r="R110">
        <v>4</v>
      </c>
      <c r="S110" s="2">
        <v>38</v>
      </c>
      <c r="T110" s="3">
        <v>2</v>
      </c>
      <c r="U110" s="4">
        <v>0</v>
      </c>
      <c r="V110" s="2">
        <v>107</v>
      </c>
      <c r="W110" s="3">
        <v>29</v>
      </c>
      <c r="X110" s="3">
        <v>42</v>
      </c>
      <c r="Y110" s="3">
        <v>8</v>
      </c>
      <c r="Z110" s="3">
        <v>54</v>
      </c>
      <c r="AA110" s="3">
        <v>3</v>
      </c>
      <c r="AB110" s="4">
        <v>242</v>
      </c>
      <c r="AD110">
        <f t="shared" si="1"/>
        <v>242</v>
      </c>
    </row>
    <row r="111" spans="1:30" x14ac:dyDescent="0.35">
      <c r="A111" t="s">
        <v>465</v>
      </c>
      <c r="B111">
        <v>521</v>
      </c>
      <c r="C111" t="s">
        <v>7</v>
      </c>
      <c r="D111" t="s">
        <v>8</v>
      </c>
      <c r="E111" t="s">
        <v>9</v>
      </c>
      <c r="G111" t="s">
        <v>243</v>
      </c>
      <c r="I111" t="s">
        <v>568</v>
      </c>
      <c r="K111" t="s">
        <v>569</v>
      </c>
      <c r="M111" t="s">
        <v>570</v>
      </c>
      <c r="O111">
        <v>1</v>
      </c>
      <c r="P111" t="s">
        <v>571</v>
      </c>
      <c r="Q111">
        <v>99.2</v>
      </c>
      <c r="R111">
        <v>1</v>
      </c>
      <c r="S111" s="2">
        <v>2</v>
      </c>
      <c r="T111" s="3">
        <v>1</v>
      </c>
      <c r="U111" s="4">
        <v>0</v>
      </c>
      <c r="V111" s="2">
        <v>449</v>
      </c>
      <c r="W111" s="3">
        <v>8</v>
      </c>
      <c r="X111" s="3">
        <v>2</v>
      </c>
      <c r="Y111" s="3">
        <v>53</v>
      </c>
      <c r="Z111" s="3">
        <v>3</v>
      </c>
      <c r="AA111" s="3">
        <v>2</v>
      </c>
      <c r="AB111" s="4">
        <v>1</v>
      </c>
      <c r="AD111">
        <f t="shared" si="1"/>
        <v>449</v>
      </c>
    </row>
    <row r="112" spans="1:30" x14ac:dyDescent="0.35">
      <c r="A112" t="s">
        <v>318</v>
      </c>
      <c r="B112">
        <v>510</v>
      </c>
      <c r="C112" t="s">
        <v>7</v>
      </c>
      <c r="D112" t="s">
        <v>24</v>
      </c>
      <c r="E112" t="s">
        <v>25</v>
      </c>
      <c r="G112" t="s">
        <v>40</v>
      </c>
      <c r="I112" t="s">
        <v>56</v>
      </c>
      <c r="K112" t="s">
        <v>523</v>
      </c>
      <c r="M112" t="s">
        <v>524</v>
      </c>
      <c r="O112">
        <v>1</v>
      </c>
      <c r="P112" t="s">
        <v>525</v>
      </c>
      <c r="Q112">
        <v>99.6</v>
      </c>
      <c r="R112">
        <v>2</v>
      </c>
      <c r="S112" s="2">
        <v>3</v>
      </c>
      <c r="T112" s="3">
        <v>1</v>
      </c>
      <c r="U112" s="4">
        <v>1</v>
      </c>
      <c r="V112" s="2">
        <v>13</v>
      </c>
      <c r="W112" s="3">
        <v>83</v>
      </c>
      <c r="X112" s="3">
        <v>83</v>
      </c>
      <c r="Y112" s="3">
        <v>3</v>
      </c>
      <c r="Z112" s="3">
        <v>316</v>
      </c>
      <c r="AA112" s="3">
        <v>2</v>
      </c>
      <c r="AB112" s="4">
        <v>5</v>
      </c>
      <c r="AD112">
        <f t="shared" si="1"/>
        <v>316</v>
      </c>
    </row>
    <row r="113" spans="1:30" x14ac:dyDescent="0.35">
      <c r="A113" t="s">
        <v>422</v>
      </c>
      <c r="B113">
        <v>489</v>
      </c>
      <c r="C113" t="s">
        <v>7</v>
      </c>
      <c r="D113" t="s">
        <v>8</v>
      </c>
      <c r="E113" t="s">
        <v>46</v>
      </c>
      <c r="G113" t="s">
        <v>47</v>
      </c>
      <c r="I113" t="s">
        <v>61</v>
      </c>
      <c r="K113" t="s">
        <v>210</v>
      </c>
      <c r="M113" t="s">
        <v>211</v>
      </c>
      <c r="O113">
        <v>0.89</v>
      </c>
      <c r="P113" t="s">
        <v>645</v>
      </c>
      <c r="Q113">
        <v>95.3</v>
      </c>
      <c r="R113">
        <v>4</v>
      </c>
      <c r="S113" s="2">
        <v>1</v>
      </c>
      <c r="T113" s="3">
        <v>1</v>
      </c>
      <c r="U113" s="4">
        <v>0</v>
      </c>
      <c r="V113" s="2">
        <v>5</v>
      </c>
      <c r="W113" s="3">
        <v>21</v>
      </c>
      <c r="X113" s="3">
        <v>80</v>
      </c>
      <c r="Y113" s="3">
        <v>260</v>
      </c>
      <c r="Z113" s="3">
        <v>121</v>
      </c>
      <c r="AA113" s="3">
        <v>0</v>
      </c>
      <c r="AB113" s="4">
        <v>0</v>
      </c>
      <c r="AD113">
        <f t="shared" si="1"/>
        <v>260</v>
      </c>
    </row>
    <row r="114" spans="1:30" x14ac:dyDescent="0.35">
      <c r="A114" t="s">
        <v>420</v>
      </c>
      <c r="B114">
        <v>456</v>
      </c>
      <c r="C114" t="s">
        <v>7</v>
      </c>
      <c r="D114" t="s">
        <v>8</v>
      </c>
      <c r="E114" t="s">
        <v>46</v>
      </c>
      <c r="G114" t="s">
        <v>47</v>
      </c>
      <c r="I114" t="s">
        <v>61</v>
      </c>
      <c r="K114" t="s">
        <v>157</v>
      </c>
      <c r="O114">
        <v>0.77</v>
      </c>
      <c r="P114" t="s">
        <v>158</v>
      </c>
      <c r="Q114">
        <v>94.8</v>
      </c>
      <c r="R114">
        <v>1</v>
      </c>
      <c r="S114" s="2">
        <v>231</v>
      </c>
      <c r="T114" s="3">
        <v>0</v>
      </c>
      <c r="U114" s="4">
        <v>3</v>
      </c>
      <c r="V114" s="2">
        <v>10</v>
      </c>
      <c r="W114" s="3">
        <v>2</v>
      </c>
      <c r="X114" s="3">
        <v>8</v>
      </c>
      <c r="Y114" s="3">
        <v>45</v>
      </c>
      <c r="Z114" s="3">
        <v>7</v>
      </c>
      <c r="AA114" s="3">
        <v>90</v>
      </c>
      <c r="AB114" s="4">
        <v>60</v>
      </c>
      <c r="AD114">
        <f t="shared" si="1"/>
        <v>231</v>
      </c>
    </row>
    <row r="115" spans="1:30" x14ac:dyDescent="0.35">
      <c r="A115" t="s">
        <v>646</v>
      </c>
      <c r="B115">
        <v>447</v>
      </c>
      <c r="C115" t="s">
        <v>7</v>
      </c>
      <c r="D115" t="s">
        <v>8</v>
      </c>
      <c r="E115" t="s">
        <v>9</v>
      </c>
      <c r="G115" t="s">
        <v>10</v>
      </c>
      <c r="I115" t="s">
        <v>131</v>
      </c>
      <c r="K115" t="s">
        <v>150</v>
      </c>
      <c r="M115" t="s">
        <v>151</v>
      </c>
      <c r="O115">
        <v>0.97</v>
      </c>
      <c r="P115" t="s">
        <v>152</v>
      </c>
      <c r="Q115">
        <v>96.8</v>
      </c>
      <c r="R115">
        <v>1</v>
      </c>
      <c r="S115" s="2">
        <v>7</v>
      </c>
      <c r="T115" s="3">
        <v>213</v>
      </c>
      <c r="U115" s="4">
        <v>79</v>
      </c>
      <c r="V115" s="2">
        <v>8</v>
      </c>
      <c r="W115" s="3">
        <v>5</v>
      </c>
      <c r="X115" s="3">
        <v>46</v>
      </c>
      <c r="Y115" s="3">
        <v>54</v>
      </c>
      <c r="Z115" s="3">
        <v>32</v>
      </c>
      <c r="AA115" s="3">
        <v>3</v>
      </c>
      <c r="AB115" s="4">
        <v>0</v>
      </c>
      <c r="AD115">
        <f t="shared" si="1"/>
        <v>213</v>
      </c>
    </row>
    <row r="116" spans="1:30" x14ac:dyDescent="0.35">
      <c r="A116" t="s">
        <v>344</v>
      </c>
      <c r="B116">
        <v>426</v>
      </c>
      <c r="C116" t="s">
        <v>7</v>
      </c>
      <c r="D116" t="s">
        <v>8</v>
      </c>
      <c r="E116" t="s">
        <v>46</v>
      </c>
      <c r="G116" t="s">
        <v>47</v>
      </c>
      <c r="I116" t="s">
        <v>61</v>
      </c>
      <c r="K116" t="s">
        <v>403</v>
      </c>
      <c r="O116">
        <v>0.5</v>
      </c>
      <c r="P116" t="s">
        <v>321</v>
      </c>
      <c r="Q116">
        <v>90.1</v>
      </c>
      <c r="R116">
        <v>1</v>
      </c>
      <c r="S116" s="2">
        <v>1</v>
      </c>
      <c r="T116" s="3">
        <v>3</v>
      </c>
      <c r="U116" s="4">
        <v>9</v>
      </c>
      <c r="V116" s="2">
        <v>74</v>
      </c>
      <c r="W116" s="3">
        <v>276</v>
      </c>
      <c r="X116" s="3">
        <v>22</v>
      </c>
      <c r="Y116" s="3">
        <v>15</v>
      </c>
      <c r="Z116" s="3">
        <v>18</v>
      </c>
      <c r="AA116" s="3">
        <v>1</v>
      </c>
      <c r="AB116" s="4">
        <v>7</v>
      </c>
      <c r="AD116">
        <f t="shared" si="1"/>
        <v>276</v>
      </c>
    </row>
    <row r="117" spans="1:30" x14ac:dyDescent="0.35">
      <c r="A117" t="s">
        <v>325</v>
      </c>
      <c r="B117">
        <v>395</v>
      </c>
      <c r="C117" t="s">
        <v>7</v>
      </c>
      <c r="D117" t="s">
        <v>8</v>
      </c>
      <c r="O117">
        <v>0.99</v>
      </c>
      <c r="P117" t="s">
        <v>487</v>
      </c>
      <c r="Q117">
        <v>85.8</v>
      </c>
      <c r="R117">
        <v>2</v>
      </c>
      <c r="S117" s="2">
        <v>4</v>
      </c>
      <c r="T117" s="3">
        <v>2</v>
      </c>
      <c r="U117" s="4">
        <v>1</v>
      </c>
      <c r="V117" s="2">
        <v>3</v>
      </c>
      <c r="W117" s="3">
        <v>2</v>
      </c>
      <c r="X117" s="3">
        <v>3</v>
      </c>
      <c r="Y117" s="3">
        <v>8</v>
      </c>
      <c r="Z117" s="3">
        <v>369</v>
      </c>
      <c r="AA117" s="3">
        <v>3</v>
      </c>
      <c r="AB117" s="4">
        <v>0</v>
      </c>
      <c r="AD117">
        <f t="shared" si="1"/>
        <v>369</v>
      </c>
    </row>
    <row r="118" spans="1:30" x14ac:dyDescent="0.35">
      <c r="A118" t="s">
        <v>400</v>
      </c>
      <c r="B118">
        <v>385</v>
      </c>
      <c r="C118" t="s">
        <v>7</v>
      </c>
      <c r="D118" t="s">
        <v>8</v>
      </c>
      <c r="E118" t="s">
        <v>32</v>
      </c>
      <c r="G118" t="s">
        <v>35</v>
      </c>
      <c r="I118" t="s">
        <v>36</v>
      </c>
      <c r="K118" t="s">
        <v>143</v>
      </c>
      <c r="O118">
        <v>1</v>
      </c>
      <c r="P118" t="s">
        <v>144</v>
      </c>
      <c r="Q118">
        <v>94.1</v>
      </c>
      <c r="R118">
        <v>2</v>
      </c>
      <c r="S118" s="2">
        <v>0</v>
      </c>
      <c r="T118" s="3">
        <v>0</v>
      </c>
      <c r="U118" s="4">
        <v>0</v>
      </c>
      <c r="V118" s="2">
        <v>371</v>
      </c>
      <c r="W118" s="3">
        <v>1</v>
      </c>
      <c r="X118" s="3">
        <v>1</v>
      </c>
      <c r="Y118" s="3">
        <v>2</v>
      </c>
      <c r="Z118" s="3">
        <v>8</v>
      </c>
      <c r="AA118" s="3">
        <v>2</v>
      </c>
      <c r="AB118" s="4">
        <v>0</v>
      </c>
      <c r="AD118">
        <f t="shared" si="1"/>
        <v>371</v>
      </c>
    </row>
    <row r="119" spans="1:30" x14ac:dyDescent="0.35">
      <c r="A119" t="s">
        <v>353</v>
      </c>
      <c r="B119">
        <v>380</v>
      </c>
      <c r="C119" t="s">
        <v>7</v>
      </c>
      <c r="D119" t="s">
        <v>8</v>
      </c>
      <c r="E119" t="s">
        <v>46</v>
      </c>
      <c r="G119" t="s">
        <v>47</v>
      </c>
      <c r="I119" t="s">
        <v>61</v>
      </c>
      <c r="O119">
        <v>1</v>
      </c>
      <c r="P119" t="s">
        <v>464</v>
      </c>
      <c r="Q119">
        <v>96.4</v>
      </c>
      <c r="R119">
        <v>1</v>
      </c>
      <c r="S119" s="2">
        <v>1</v>
      </c>
      <c r="T119" s="3">
        <v>2</v>
      </c>
      <c r="U119" s="4">
        <v>0</v>
      </c>
      <c r="V119" s="2">
        <v>2</v>
      </c>
      <c r="W119" s="3">
        <v>9</v>
      </c>
      <c r="X119" s="3">
        <v>111</v>
      </c>
      <c r="Y119" s="3">
        <v>34</v>
      </c>
      <c r="Z119" s="3">
        <v>5</v>
      </c>
      <c r="AA119" s="3">
        <v>188</v>
      </c>
      <c r="AB119" s="4">
        <v>28</v>
      </c>
      <c r="AD119">
        <f t="shared" si="1"/>
        <v>188</v>
      </c>
    </row>
    <row r="120" spans="1:30" x14ac:dyDescent="0.35">
      <c r="A120" t="s">
        <v>402</v>
      </c>
      <c r="B120">
        <v>362</v>
      </c>
      <c r="C120" t="s">
        <v>7</v>
      </c>
      <c r="D120" t="s">
        <v>8</v>
      </c>
      <c r="O120">
        <v>0.99</v>
      </c>
      <c r="P120" t="s">
        <v>98</v>
      </c>
      <c r="Q120">
        <v>0</v>
      </c>
      <c r="R120">
        <v>1</v>
      </c>
      <c r="S120" s="2">
        <v>0</v>
      </c>
      <c r="T120" s="3">
        <v>2</v>
      </c>
      <c r="U120" s="4">
        <v>1</v>
      </c>
      <c r="V120" s="2">
        <v>1</v>
      </c>
      <c r="W120" s="3">
        <v>91</v>
      </c>
      <c r="X120" s="3">
        <v>103</v>
      </c>
      <c r="Y120" s="3">
        <v>82</v>
      </c>
      <c r="Z120" s="3">
        <v>80</v>
      </c>
      <c r="AA120" s="3">
        <v>2</v>
      </c>
      <c r="AB120" s="4">
        <v>0</v>
      </c>
      <c r="AD120">
        <f t="shared" si="1"/>
        <v>103</v>
      </c>
    </row>
    <row r="121" spans="1:30" x14ac:dyDescent="0.35">
      <c r="A121" t="s">
        <v>355</v>
      </c>
      <c r="B121">
        <v>361</v>
      </c>
      <c r="C121" t="s">
        <v>7</v>
      </c>
      <c r="D121" t="s">
        <v>8</v>
      </c>
      <c r="E121" t="s">
        <v>46</v>
      </c>
      <c r="G121" t="s">
        <v>47</v>
      </c>
      <c r="I121" t="s">
        <v>61</v>
      </c>
      <c r="K121" t="s">
        <v>210</v>
      </c>
      <c r="M121" t="s">
        <v>211</v>
      </c>
      <c r="O121">
        <v>0.94</v>
      </c>
      <c r="P121" t="s">
        <v>360</v>
      </c>
      <c r="Q121">
        <v>94.5</v>
      </c>
      <c r="R121">
        <v>1</v>
      </c>
      <c r="S121" s="2">
        <v>0</v>
      </c>
      <c r="T121" s="3">
        <v>2</v>
      </c>
      <c r="U121" s="4">
        <v>2</v>
      </c>
      <c r="V121" s="2">
        <v>10</v>
      </c>
      <c r="W121" s="3">
        <v>42</v>
      </c>
      <c r="X121" s="3">
        <v>0</v>
      </c>
      <c r="Y121" s="3">
        <v>268</v>
      </c>
      <c r="Z121" s="3">
        <v>35</v>
      </c>
      <c r="AA121" s="3">
        <v>1</v>
      </c>
      <c r="AB121" s="4">
        <v>1</v>
      </c>
      <c r="AD121">
        <f t="shared" si="1"/>
        <v>268</v>
      </c>
    </row>
    <row r="122" spans="1:30" x14ac:dyDescent="0.35">
      <c r="A122" t="s">
        <v>350</v>
      </c>
      <c r="B122">
        <v>360</v>
      </c>
      <c r="C122" t="s">
        <v>7</v>
      </c>
      <c r="D122" t="s">
        <v>8</v>
      </c>
      <c r="E122" t="s">
        <v>46</v>
      </c>
      <c r="G122" t="s">
        <v>47</v>
      </c>
      <c r="I122" t="s">
        <v>61</v>
      </c>
      <c r="K122" t="s">
        <v>190</v>
      </c>
      <c r="M122" t="s">
        <v>191</v>
      </c>
      <c r="O122">
        <v>0.6</v>
      </c>
      <c r="P122" t="s">
        <v>192</v>
      </c>
      <c r="Q122">
        <v>92.9</v>
      </c>
      <c r="R122">
        <v>1</v>
      </c>
      <c r="S122" s="2">
        <v>0</v>
      </c>
      <c r="T122" s="3">
        <v>1</v>
      </c>
      <c r="U122" s="4">
        <v>1</v>
      </c>
      <c r="V122" s="2">
        <v>0</v>
      </c>
      <c r="W122" s="3">
        <v>16</v>
      </c>
      <c r="X122" s="3">
        <v>304</v>
      </c>
      <c r="Y122" s="3">
        <v>0</v>
      </c>
      <c r="Z122" s="3">
        <v>37</v>
      </c>
      <c r="AA122" s="3">
        <v>1</v>
      </c>
      <c r="AB122" s="4">
        <v>0</v>
      </c>
      <c r="AD122">
        <f t="shared" si="1"/>
        <v>304</v>
      </c>
    </row>
    <row r="123" spans="1:30" x14ac:dyDescent="0.35">
      <c r="A123" t="s">
        <v>342</v>
      </c>
      <c r="B123">
        <v>357</v>
      </c>
      <c r="C123" t="s">
        <v>7</v>
      </c>
      <c r="D123" t="s">
        <v>8</v>
      </c>
      <c r="E123" t="s">
        <v>165</v>
      </c>
      <c r="G123" t="s">
        <v>166</v>
      </c>
      <c r="I123" t="s">
        <v>167</v>
      </c>
      <c r="K123" t="s">
        <v>168</v>
      </c>
      <c r="M123" t="s">
        <v>198</v>
      </c>
      <c r="O123">
        <v>0.71</v>
      </c>
      <c r="P123" t="s">
        <v>199</v>
      </c>
      <c r="Q123">
        <v>91.7</v>
      </c>
      <c r="R123">
        <v>1</v>
      </c>
      <c r="S123" s="2">
        <v>128</v>
      </c>
      <c r="T123" s="3">
        <v>2</v>
      </c>
      <c r="U123" s="4">
        <v>0</v>
      </c>
      <c r="V123" s="2">
        <v>40</v>
      </c>
      <c r="W123" s="3">
        <v>30</v>
      </c>
      <c r="X123" s="3">
        <v>19</v>
      </c>
      <c r="Y123" s="3">
        <v>1</v>
      </c>
      <c r="Z123" s="3">
        <v>22</v>
      </c>
      <c r="AA123" s="3">
        <v>28</v>
      </c>
      <c r="AB123" s="4">
        <v>87</v>
      </c>
      <c r="AD123">
        <f t="shared" si="1"/>
        <v>128</v>
      </c>
    </row>
    <row r="124" spans="1:30" x14ac:dyDescent="0.35">
      <c r="A124" t="s">
        <v>369</v>
      </c>
      <c r="B124">
        <v>357</v>
      </c>
      <c r="C124" t="s">
        <v>7</v>
      </c>
      <c r="D124" t="s">
        <v>8</v>
      </c>
      <c r="E124" t="s">
        <v>46</v>
      </c>
      <c r="G124" t="s">
        <v>47</v>
      </c>
      <c r="I124" t="s">
        <v>61</v>
      </c>
      <c r="K124" t="s">
        <v>527</v>
      </c>
      <c r="M124" t="s">
        <v>528</v>
      </c>
      <c r="O124">
        <v>1</v>
      </c>
      <c r="P124" t="s">
        <v>529</v>
      </c>
      <c r="Q124">
        <v>100</v>
      </c>
      <c r="R124">
        <v>1</v>
      </c>
      <c r="S124" s="2">
        <v>1</v>
      </c>
      <c r="T124" s="3">
        <v>3</v>
      </c>
      <c r="U124" s="4">
        <v>1</v>
      </c>
      <c r="V124" s="2">
        <v>0</v>
      </c>
      <c r="W124" s="3">
        <v>0</v>
      </c>
      <c r="X124" s="3">
        <v>1</v>
      </c>
      <c r="Y124" s="3">
        <v>289</v>
      </c>
      <c r="Z124" s="3">
        <v>60</v>
      </c>
      <c r="AA124" s="3">
        <v>1</v>
      </c>
      <c r="AB124" s="4">
        <v>1</v>
      </c>
      <c r="AD124">
        <f t="shared" si="1"/>
        <v>289</v>
      </c>
    </row>
    <row r="125" spans="1:30" x14ac:dyDescent="0.35">
      <c r="A125" t="s">
        <v>486</v>
      </c>
      <c r="B125">
        <v>354</v>
      </c>
      <c r="C125" t="s">
        <v>7</v>
      </c>
      <c r="D125" t="s">
        <v>8</v>
      </c>
      <c r="E125" t="s">
        <v>46</v>
      </c>
      <c r="G125" t="s">
        <v>64</v>
      </c>
      <c r="I125" t="s">
        <v>65</v>
      </c>
      <c r="K125" t="s">
        <v>66</v>
      </c>
      <c r="M125" t="s">
        <v>146</v>
      </c>
      <c r="O125">
        <v>0.95</v>
      </c>
      <c r="P125" t="s">
        <v>147</v>
      </c>
      <c r="Q125">
        <v>98</v>
      </c>
      <c r="R125">
        <v>4</v>
      </c>
      <c r="S125" s="2">
        <v>1</v>
      </c>
      <c r="T125" s="3">
        <v>0</v>
      </c>
      <c r="U125" s="4">
        <v>313</v>
      </c>
      <c r="V125" s="2">
        <v>14</v>
      </c>
      <c r="W125" s="3">
        <v>20</v>
      </c>
      <c r="X125" s="3">
        <v>1</v>
      </c>
      <c r="Y125" s="3">
        <v>1</v>
      </c>
      <c r="Z125" s="3">
        <v>2</v>
      </c>
      <c r="AA125" s="3">
        <v>0</v>
      </c>
      <c r="AB125" s="4">
        <v>2</v>
      </c>
      <c r="AD125">
        <f t="shared" si="1"/>
        <v>313</v>
      </c>
    </row>
    <row r="126" spans="1:30" x14ac:dyDescent="0.35">
      <c r="A126" t="s">
        <v>386</v>
      </c>
      <c r="B126">
        <v>344</v>
      </c>
      <c r="C126" t="s">
        <v>7</v>
      </c>
      <c r="D126" t="s">
        <v>8</v>
      </c>
      <c r="E126" t="s">
        <v>165</v>
      </c>
      <c r="G126" t="s">
        <v>166</v>
      </c>
      <c r="I126" t="s">
        <v>167</v>
      </c>
      <c r="K126" t="s">
        <v>168</v>
      </c>
      <c r="M126" t="s">
        <v>198</v>
      </c>
      <c r="O126">
        <v>1</v>
      </c>
      <c r="P126" t="s">
        <v>199</v>
      </c>
      <c r="Q126">
        <v>100</v>
      </c>
      <c r="R126">
        <v>1</v>
      </c>
      <c r="S126" s="2">
        <v>0</v>
      </c>
      <c r="T126" s="3">
        <v>0</v>
      </c>
      <c r="U126" s="4">
        <v>0</v>
      </c>
      <c r="V126" s="2">
        <v>12</v>
      </c>
      <c r="W126" s="3">
        <v>284</v>
      </c>
      <c r="X126" s="3">
        <v>20</v>
      </c>
      <c r="Y126" s="3">
        <v>6</v>
      </c>
      <c r="Z126" s="3">
        <v>14</v>
      </c>
      <c r="AA126" s="3">
        <v>2</v>
      </c>
      <c r="AB126" s="4">
        <v>6</v>
      </c>
      <c r="AD126">
        <f t="shared" si="1"/>
        <v>284</v>
      </c>
    </row>
    <row r="127" spans="1:30" x14ac:dyDescent="0.35">
      <c r="A127" t="s">
        <v>322</v>
      </c>
      <c r="B127">
        <v>344</v>
      </c>
      <c r="C127" t="s">
        <v>7</v>
      </c>
      <c r="D127" t="s">
        <v>8</v>
      </c>
      <c r="E127" t="s">
        <v>46</v>
      </c>
      <c r="G127" t="s">
        <v>47</v>
      </c>
      <c r="I127" t="s">
        <v>61</v>
      </c>
      <c r="O127">
        <v>0.65</v>
      </c>
      <c r="P127" t="s">
        <v>647</v>
      </c>
      <c r="Q127">
        <v>90.1</v>
      </c>
      <c r="R127">
        <v>3</v>
      </c>
      <c r="S127" s="2">
        <v>0</v>
      </c>
      <c r="T127" s="3">
        <v>1</v>
      </c>
      <c r="U127" s="4">
        <v>1</v>
      </c>
      <c r="V127" s="2">
        <v>268</v>
      </c>
      <c r="W127" s="3">
        <v>13</v>
      </c>
      <c r="X127" s="3">
        <v>9</v>
      </c>
      <c r="Y127" s="3">
        <v>1</v>
      </c>
      <c r="Z127" s="3">
        <v>50</v>
      </c>
      <c r="AA127" s="3">
        <v>0</v>
      </c>
      <c r="AB127" s="4">
        <v>1</v>
      </c>
      <c r="AD127">
        <f t="shared" si="1"/>
        <v>268</v>
      </c>
    </row>
    <row r="128" spans="1:30" x14ac:dyDescent="0.35">
      <c r="A128" t="s">
        <v>428</v>
      </c>
      <c r="B128">
        <v>334</v>
      </c>
      <c r="C128" t="s">
        <v>7</v>
      </c>
      <c r="D128" t="s">
        <v>8</v>
      </c>
      <c r="E128" t="s">
        <v>46</v>
      </c>
      <c r="G128" t="s">
        <v>47</v>
      </c>
      <c r="I128" t="s">
        <v>61</v>
      </c>
      <c r="O128">
        <v>0.65</v>
      </c>
      <c r="P128" t="s">
        <v>321</v>
      </c>
      <c r="Q128">
        <v>90.5</v>
      </c>
      <c r="R128">
        <v>1</v>
      </c>
      <c r="S128" s="2">
        <v>1</v>
      </c>
      <c r="T128" s="3">
        <v>2</v>
      </c>
      <c r="U128" s="4">
        <v>1</v>
      </c>
      <c r="V128" s="2">
        <v>0</v>
      </c>
      <c r="W128" s="3">
        <v>1</v>
      </c>
      <c r="X128" s="3">
        <v>307</v>
      </c>
      <c r="Y128" s="3">
        <v>10</v>
      </c>
      <c r="Z128" s="3">
        <v>0</v>
      </c>
      <c r="AA128" s="3">
        <v>12</v>
      </c>
      <c r="AB128" s="4">
        <v>0</v>
      </c>
      <c r="AD128">
        <f t="shared" si="1"/>
        <v>307</v>
      </c>
    </row>
    <row r="129" spans="1:30" x14ac:dyDescent="0.35">
      <c r="A129" t="s">
        <v>376</v>
      </c>
      <c r="B129">
        <v>330</v>
      </c>
      <c r="C129" t="s">
        <v>7</v>
      </c>
      <c r="D129" t="s">
        <v>8</v>
      </c>
      <c r="E129" t="s">
        <v>46</v>
      </c>
      <c r="G129" t="s">
        <v>47</v>
      </c>
      <c r="I129" t="s">
        <v>61</v>
      </c>
      <c r="K129" t="s">
        <v>178</v>
      </c>
      <c r="M129" t="s">
        <v>186</v>
      </c>
      <c r="O129">
        <v>1</v>
      </c>
      <c r="P129" t="s">
        <v>187</v>
      </c>
      <c r="Q129">
        <v>98.8</v>
      </c>
      <c r="R129">
        <v>1</v>
      </c>
      <c r="S129" s="2">
        <v>0</v>
      </c>
      <c r="T129" s="3">
        <v>2</v>
      </c>
      <c r="U129" s="4">
        <v>183</v>
      </c>
      <c r="V129" s="2">
        <v>4</v>
      </c>
      <c r="W129" s="3">
        <v>0</v>
      </c>
      <c r="X129" s="3">
        <v>72</v>
      </c>
      <c r="Y129" s="3">
        <v>16</v>
      </c>
      <c r="Z129" s="3">
        <v>51</v>
      </c>
      <c r="AA129" s="3">
        <v>1</v>
      </c>
      <c r="AB129" s="4">
        <v>1</v>
      </c>
      <c r="AD129">
        <f t="shared" si="1"/>
        <v>183</v>
      </c>
    </row>
    <row r="130" spans="1:30" x14ac:dyDescent="0.35">
      <c r="A130" t="s">
        <v>338</v>
      </c>
      <c r="B130">
        <v>328</v>
      </c>
      <c r="C130" t="s">
        <v>7</v>
      </c>
      <c r="D130" t="s">
        <v>8</v>
      </c>
      <c r="E130" t="s">
        <v>46</v>
      </c>
      <c r="G130" t="s">
        <v>47</v>
      </c>
      <c r="I130" t="s">
        <v>61</v>
      </c>
      <c r="K130" t="s">
        <v>190</v>
      </c>
      <c r="M130" t="s">
        <v>191</v>
      </c>
      <c r="O130">
        <v>0.99</v>
      </c>
      <c r="P130" t="s">
        <v>192</v>
      </c>
      <c r="Q130">
        <v>100</v>
      </c>
      <c r="R130">
        <v>1</v>
      </c>
      <c r="S130" s="2">
        <v>4</v>
      </c>
      <c r="T130" s="3">
        <v>1</v>
      </c>
      <c r="U130" s="4">
        <v>46</v>
      </c>
      <c r="V130" s="2">
        <v>1</v>
      </c>
      <c r="W130" s="3">
        <v>1</v>
      </c>
      <c r="X130" s="3">
        <v>8</v>
      </c>
      <c r="Y130" s="3">
        <v>264</v>
      </c>
      <c r="Z130" s="3">
        <v>1</v>
      </c>
      <c r="AA130" s="3">
        <v>2</v>
      </c>
      <c r="AB130" s="4">
        <v>0</v>
      </c>
      <c r="AD130">
        <f t="shared" si="1"/>
        <v>264</v>
      </c>
    </row>
    <row r="131" spans="1:30" x14ac:dyDescent="0.35">
      <c r="A131" t="s">
        <v>303</v>
      </c>
      <c r="B131">
        <v>326</v>
      </c>
      <c r="C131" t="s">
        <v>7</v>
      </c>
      <c r="D131" t="s">
        <v>8</v>
      </c>
      <c r="O131">
        <v>0.97</v>
      </c>
      <c r="P131" t="s">
        <v>98</v>
      </c>
      <c r="Q131">
        <v>0</v>
      </c>
      <c r="R131">
        <v>1</v>
      </c>
      <c r="S131" s="2">
        <v>1</v>
      </c>
      <c r="T131" s="3">
        <v>1</v>
      </c>
      <c r="U131" s="4">
        <v>1</v>
      </c>
      <c r="V131" s="2">
        <v>1</v>
      </c>
      <c r="W131" s="3">
        <v>1</v>
      </c>
      <c r="X131" s="3">
        <v>318</v>
      </c>
      <c r="Y131" s="3">
        <v>1</v>
      </c>
      <c r="Z131" s="3">
        <v>0</v>
      </c>
      <c r="AA131" s="3">
        <v>1</v>
      </c>
      <c r="AB131" s="4">
        <v>1</v>
      </c>
      <c r="AD131">
        <f t="shared" si="1"/>
        <v>318</v>
      </c>
    </row>
    <row r="132" spans="1:30" x14ac:dyDescent="0.35">
      <c r="A132" t="s">
        <v>359</v>
      </c>
      <c r="B132">
        <v>320</v>
      </c>
      <c r="C132" t="s">
        <v>7</v>
      </c>
      <c r="D132" t="s">
        <v>8</v>
      </c>
      <c r="E132" t="s">
        <v>46</v>
      </c>
      <c r="G132" t="s">
        <v>47</v>
      </c>
      <c r="I132" t="s">
        <v>61</v>
      </c>
      <c r="K132" t="s">
        <v>648</v>
      </c>
      <c r="M132" t="s">
        <v>649</v>
      </c>
      <c r="O132">
        <v>1</v>
      </c>
      <c r="P132" t="s">
        <v>650</v>
      </c>
      <c r="Q132">
        <v>100</v>
      </c>
      <c r="R132">
        <v>1</v>
      </c>
      <c r="S132" s="2">
        <v>0</v>
      </c>
      <c r="T132" s="3">
        <v>1</v>
      </c>
      <c r="U132" s="4">
        <v>1</v>
      </c>
      <c r="V132" s="2">
        <v>1</v>
      </c>
      <c r="W132" s="3">
        <v>0</v>
      </c>
      <c r="X132" s="3">
        <v>276</v>
      </c>
      <c r="Y132" s="3">
        <v>1</v>
      </c>
      <c r="Z132" s="3">
        <v>1</v>
      </c>
      <c r="AA132" s="3">
        <v>0</v>
      </c>
      <c r="AB132" s="4">
        <v>39</v>
      </c>
      <c r="AD132">
        <f t="shared" si="1"/>
        <v>276</v>
      </c>
    </row>
    <row r="133" spans="1:30" x14ac:dyDescent="0.35">
      <c r="A133" t="s">
        <v>346</v>
      </c>
      <c r="B133">
        <v>312</v>
      </c>
      <c r="C133" t="s">
        <v>7</v>
      </c>
      <c r="D133" t="s">
        <v>8</v>
      </c>
      <c r="O133">
        <v>0.99</v>
      </c>
      <c r="P133" t="s">
        <v>98</v>
      </c>
      <c r="Q133">
        <v>0</v>
      </c>
      <c r="R133">
        <v>1</v>
      </c>
      <c r="S133" s="2">
        <v>1</v>
      </c>
      <c r="T133" s="3">
        <v>1</v>
      </c>
      <c r="U133" s="4">
        <v>0</v>
      </c>
      <c r="V133" s="2">
        <v>4</v>
      </c>
      <c r="W133" s="3">
        <v>1</v>
      </c>
      <c r="X133" s="3">
        <v>299</v>
      </c>
      <c r="Y133" s="3">
        <v>0</v>
      </c>
      <c r="Z133" s="3">
        <v>4</v>
      </c>
      <c r="AA133" s="3">
        <v>1</v>
      </c>
      <c r="AB133" s="4">
        <v>1</v>
      </c>
      <c r="AD133">
        <f t="shared" ref="AD133:AD196" si="2">MAX(S133:AB133)</f>
        <v>299</v>
      </c>
    </row>
    <row r="134" spans="1:30" x14ac:dyDescent="0.35">
      <c r="A134" t="s">
        <v>372</v>
      </c>
      <c r="B134">
        <v>299</v>
      </c>
      <c r="C134" t="s">
        <v>7</v>
      </c>
      <c r="D134" t="s">
        <v>8</v>
      </c>
      <c r="E134" t="s">
        <v>46</v>
      </c>
      <c r="G134" t="s">
        <v>47</v>
      </c>
      <c r="I134" t="s">
        <v>61</v>
      </c>
      <c r="K134" t="s">
        <v>190</v>
      </c>
      <c r="M134" t="s">
        <v>587</v>
      </c>
      <c r="O134">
        <v>0.93</v>
      </c>
      <c r="P134" t="s">
        <v>588</v>
      </c>
      <c r="Q134">
        <v>95.3</v>
      </c>
      <c r="R134">
        <v>1</v>
      </c>
      <c r="S134" s="2">
        <v>2</v>
      </c>
      <c r="T134" s="3">
        <v>0</v>
      </c>
      <c r="U134" s="4">
        <v>0</v>
      </c>
      <c r="V134" s="2">
        <v>2</v>
      </c>
      <c r="W134" s="3">
        <v>1</v>
      </c>
      <c r="X134" s="3">
        <v>293</v>
      </c>
      <c r="Y134" s="3">
        <v>0</v>
      </c>
      <c r="Z134" s="3">
        <v>0</v>
      </c>
      <c r="AA134" s="3">
        <v>0</v>
      </c>
      <c r="AB134" s="4">
        <v>1</v>
      </c>
      <c r="AD134">
        <f t="shared" si="2"/>
        <v>293</v>
      </c>
    </row>
    <row r="135" spans="1:30" x14ac:dyDescent="0.35">
      <c r="A135" t="s">
        <v>424</v>
      </c>
      <c r="B135">
        <v>292</v>
      </c>
      <c r="C135" t="s">
        <v>7</v>
      </c>
      <c r="D135" t="s">
        <v>8</v>
      </c>
      <c r="E135" t="s">
        <v>46</v>
      </c>
      <c r="G135" t="s">
        <v>47</v>
      </c>
      <c r="I135" t="s">
        <v>61</v>
      </c>
      <c r="K135" t="s">
        <v>84</v>
      </c>
      <c r="M135" t="s">
        <v>475</v>
      </c>
      <c r="O135">
        <v>0.87</v>
      </c>
      <c r="P135" t="s">
        <v>476</v>
      </c>
      <c r="Q135">
        <v>98.8</v>
      </c>
      <c r="R135">
        <v>1</v>
      </c>
      <c r="S135" s="2">
        <v>0</v>
      </c>
      <c r="T135" s="3">
        <v>0</v>
      </c>
      <c r="U135" s="4">
        <v>2</v>
      </c>
      <c r="V135" s="2">
        <v>7</v>
      </c>
      <c r="W135" s="3">
        <v>1</v>
      </c>
      <c r="X135" s="3">
        <v>20</v>
      </c>
      <c r="Y135" s="3">
        <v>0</v>
      </c>
      <c r="Z135" s="3">
        <v>259</v>
      </c>
      <c r="AA135" s="3">
        <v>2</v>
      </c>
      <c r="AB135" s="4">
        <v>1</v>
      </c>
      <c r="AD135">
        <f t="shared" si="2"/>
        <v>259</v>
      </c>
    </row>
    <row r="136" spans="1:30" x14ac:dyDescent="0.35">
      <c r="A136" t="s">
        <v>331</v>
      </c>
      <c r="B136">
        <v>285</v>
      </c>
      <c r="C136" t="s">
        <v>7</v>
      </c>
      <c r="D136" t="s">
        <v>8</v>
      </c>
      <c r="E136" t="s">
        <v>32</v>
      </c>
      <c r="G136" t="s">
        <v>35</v>
      </c>
      <c r="I136" t="s">
        <v>36</v>
      </c>
      <c r="K136" t="s">
        <v>143</v>
      </c>
      <c r="O136">
        <v>0.67</v>
      </c>
      <c r="P136" t="s">
        <v>373</v>
      </c>
      <c r="Q136">
        <v>91.3</v>
      </c>
      <c r="R136">
        <v>1</v>
      </c>
      <c r="S136" s="2">
        <v>16</v>
      </c>
      <c r="T136" s="3">
        <v>1</v>
      </c>
      <c r="U136" s="4">
        <v>1</v>
      </c>
      <c r="V136" s="2">
        <v>47</v>
      </c>
      <c r="W136" s="3">
        <v>11</v>
      </c>
      <c r="X136" s="3">
        <v>2</v>
      </c>
      <c r="Y136" s="3">
        <v>1</v>
      </c>
      <c r="Z136" s="3">
        <v>7</v>
      </c>
      <c r="AA136" s="3">
        <v>35</v>
      </c>
      <c r="AB136" s="4">
        <v>164</v>
      </c>
      <c r="AD136">
        <f t="shared" si="2"/>
        <v>164</v>
      </c>
    </row>
    <row r="137" spans="1:30" x14ac:dyDescent="0.35">
      <c r="A137" t="s">
        <v>442</v>
      </c>
      <c r="B137">
        <v>276</v>
      </c>
      <c r="C137" t="s">
        <v>7</v>
      </c>
      <c r="D137" t="s">
        <v>8</v>
      </c>
      <c r="O137">
        <v>0.94</v>
      </c>
      <c r="P137" t="s">
        <v>98</v>
      </c>
      <c r="Q137">
        <v>0</v>
      </c>
      <c r="R137">
        <v>1</v>
      </c>
      <c r="S137" s="2">
        <v>161</v>
      </c>
      <c r="T137" s="3">
        <v>1</v>
      </c>
      <c r="U137" s="4">
        <v>0</v>
      </c>
      <c r="V137" s="2">
        <v>1</v>
      </c>
      <c r="W137" s="3">
        <v>3</v>
      </c>
      <c r="X137" s="3">
        <v>1</v>
      </c>
      <c r="Y137" s="3">
        <v>2</v>
      </c>
      <c r="Z137" s="3">
        <v>31</v>
      </c>
      <c r="AA137" s="3">
        <v>0</v>
      </c>
      <c r="AB137" s="4">
        <v>76</v>
      </c>
      <c r="AD137">
        <f t="shared" si="2"/>
        <v>161</v>
      </c>
    </row>
    <row r="138" spans="1:30" x14ac:dyDescent="0.35">
      <c r="A138" t="s">
        <v>651</v>
      </c>
      <c r="B138">
        <v>275</v>
      </c>
      <c r="C138" t="s">
        <v>7</v>
      </c>
      <c r="D138" t="s">
        <v>8</v>
      </c>
      <c r="E138" t="s">
        <v>32</v>
      </c>
      <c r="O138">
        <v>0.87</v>
      </c>
      <c r="P138" t="s">
        <v>98</v>
      </c>
      <c r="Q138">
        <v>0</v>
      </c>
      <c r="R138">
        <v>1</v>
      </c>
      <c r="S138" s="2">
        <v>1</v>
      </c>
      <c r="T138" s="3">
        <v>266</v>
      </c>
      <c r="U138" s="4">
        <v>0</v>
      </c>
      <c r="V138" s="2">
        <v>2</v>
      </c>
      <c r="W138" s="3">
        <v>0</v>
      </c>
      <c r="X138" s="3">
        <v>2</v>
      </c>
      <c r="Y138" s="3">
        <v>1</v>
      </c>
      <c r="Z138" s="3">
        <v>1</v>
      </c>
      <c r="AA138" s="3">
        <v>2</v>
      </c>
      <c r="AB138" s="4">
        <v>0</v>
      </c>
      <c r="AD138">
        <f t="shared" si="2"/>
        <v>266</v>
      </c>
    </row>
    <row r="139" spans="1:30" x14ac:dyDescent="0.35">
      <c r="A139" t="s">
        <v>427</v>
      </c>
      <c r="B139">
        <v>274</v>
      </c>
      <c r="C139" t="s">
        <v>7</v>
      </c>
      <c r="D139" t="s">
        <v>8</v>
      </c>
      <c r="E139" t="s">
        <v>652</v>
      </c>
      <c r="G139" t="s">
        <v>653</v>
      </c>
      <c r="I139" t="s">
        <v>654</v>
      </c>
      <c r="K139" t="s">
        <v>655</v>
      </c>
      <c r="M139" t="s">
        <v>656</v>
      </c>
      <c r="O139">
        <v>0.74</v>
      </c>
      <c r="P139" t="s">
        <v>657</v>
      </c>
      <c r="Q139">
        <v>91.7</v>
      </c>
      <c r="R139">
        <v>1</v>
      </c>
      <c r="S139" s="2">
        <v>0</v>
      </c>
      <c r="T139" s="3">
        <v>0</v>
      </c>
      <c r="U139" s="4">
        <v>0</v>
      </c>
      <c r="V139" s="2">
        <v>2</v>
      </c>
      <c r="W139" s="3">
        <v>0</v>
      </c>
      <c r="X139" s="3">
        <v>0</v>
      </c>
      <c r="Y139" s="3">
        <v>0</v>
      </c>
      <c r="Z139" s="3">
        <v>272</v>
      </c>
      <c r="AA139" s="3">
        <v>0</v>
      </c>
      <c r="AB139" s="4">
        <v>0</v>
      </c>
      <c r="AD139">
        <f t="shared" si="2"/>
        <v>272</v>
      </c>
    </row>
    <row r="140" spans="1:30" x14ac:dyDescent="0.35">
      <c r="A140" t="s">
        <v>371</v>
      </c>
      <c r="B140">
        <v>265</v>
      </c>
      <c r="C140" t="s">
        <v>7</v>
      </c>
      <c r="D140" t="s">
        <v>8</v>
      </c>
      <c r="O140">
        <v>0.92</v>
      </c>
      <c r="P140" t="s">
        <v>98</v>
      </c>
      <c r="Q140">
        <v>0</v>
      </c>
      <c r="R140">
        <v>1</v>
      </c>
      <c r="S140" s="2">
        <v>0</v>
      </c>
      <c r="T140" s="3">
        <v>261</v>
      </c>
      <c r="U140" s="4">
        <v>2</v>
      </c>
      <c r="V140" s="2">
        <v>0</v>
      </c>
      <c r="W140" s="3">
        <v>1</v>
      </c>
      <c r="X140" s="3">
        <v>0</v>
      </c>
      <c r="Y140" s="3">
        <v>1</v>
      </c>
      <c r="Z140" s="3">
        <v>0</v>
      </c>
      <c r="AA140" s="3">
        <v>0</v>
      </c>
      <c r="AB140" s="4">
        <v>0</v>
      </c>
      <c r="AD140">
        <f t="shared" si="2"/>
        <v>261</v>
      </c>
    </row>
    <row r="141" spans="1:30" x14ac:dyDescent="0.35">
      <c r="A141" t="s">
        <v>415</v>
      </c>
      <c r="B141">
        <v>258</v>
      </c>
      <c r="C141" t="s">
        <v>7</v>
      </c>
      <c r="D141" t="s">
        <v>8</v>
      </c>
      <c r="E141" t="s">
        <v>9</v>
      </c>
      <c r="G141" t="s">
        <v>10</v>
      </c>
      <c r="I141" t="s">
        <v>131</v>
      </c>
      <c r="K141" t="s">
        <v>150</v>
      </c>
      <c r="M141" t="s">
        <v>151</v>
      </c>
      <c r="O141">
        <v>0.7</v>
      </c>
      <c r="P141" t="s">
        <v>152</v>
      </c>
      <c r="Q141">
        <v>93.3</v>
      </c>
      <c r="R141">
        <v>1</v>
      </c>
      <c r="S141" s="2">
        <v>2</v>
      </c>
      <c r="T141" s="3">
        <v>2</v>
      </c>
      <c r="U141" s="4">
        <v>0</v>
      </c>
      <c r="V141" s="2">
        <v>0</v>
      </c>
      <c r="W141" s="3">
        <v>1</v>
      </c>
      <c r="X141" s="3">
        <v>188</v>
      </c>
      <c r="Y141" s="3">
        <v>17</v>
      </c>
      <c r="Z141" s="3">
        <v>2</v>
      </c>
      <c r="AA141" s="3">
        <v>32</v>
      </c>
      <c r="AB141" s="4">
        <v>14</v>
      </c>
      <c r="AD141">
        <f t="shared" si="2"/>
        <v>188</v>
      </c>
    </row>
    <row r="142" spans="1:30" x14ac:dyDescent="0.35">
      <c r="A142" t="s">
        <v>473</v>
      </c>
      <c r="B142">
        <v>256</v>
      </c>
      <c r="C142" t="s">
        <v>7</v>
      </c>
      <c r="D142" t="s">
        <v>8</v>
      </c>
      <c r="O142">
        <v>1</v>
      </c>
      <c r="P142" t="s">
        <v>98</v>
      </c>
      <c r="Q142">
        <v>0</v>
      </c>
      <c r="R142">
        <v>1</v>
      </c>
      <c r="S142" s="2">
        <v>1</v>
      </c>
      <c r="T142" s="3">
        <v>1</v>
      </c>
      <c r="U142" s="4">
        <v>2</v>
      </c>
      <c r="V142" s="2">
        <v>0</v>
      </c>
      <c r="W142" s="3">
        <v>9</v>
      </c>
      <c r="X142" s="3">
        <v>2</v>
      </c>
      <c r="Y142" s="3">
        <v>0</v>
      </c>
      <c r="Z142" s="3">
        <v>241</v>
      </c>
      <c r="AA142" s="3">
        <v>0</v>
      </c>
      <c r="AB142" s="4">
        <v>0</v>
      </c>
      <c r="AD142">
        <f t="shared" si="2"/>
        <v>241</v>
      </c>
    </row>
    <row r="143" spans="1:30" x14ac:dyDescent="0.35">
      <c r="A143" t="s">
        <v>443</v>
      </c>
      <c r="B143">
        <v>248</v>
      </c>
      <c r="C143" t="s">
        <v>7</v>
      </c>
      <c r="D143" t="s">
        <v>8</v>
      </c>
      <c r="E143" t="s">
        <v>46</v>
      </c>
      <c r="G143" t="s">
        <v>47</v>
      </c>
      <c r="I143" t="s">
        <v>61</v>
      </c>
      <c r="O143">
        <v>0.93</v>
      </c>
      <c r="P143" t="s">
        <v>658</v>
      </c>
      <c r="Q143">
        <v>91.7</v>
      </c>
      <c r="R143">
        <v>1</v>
      </c>
      <c r="S143" s="2">
        <v>2</v>
      </c>
      <c r="T143" s="3">
        <v>0</v>
      </c>
      <c r="U143" s="4">
        <v>4</v>
      </c>
      <c r="V143" s="2">
        <v>32</v>
      </c>
      <c r="W143" s="3">
        <v>7</v>
      </c>
      <c r="X143" s="3">
        <v>23</v>
      </c>
      <c r="Y143" s="3">
        <v>165</v>
      </c>
      <c r="Z143" s="3">
        <v>9</v>
      </c>
      <c r="AA143" s="3">
        <v>2</v>
      </c>
      <c r="AB143" s="4">
        <v>4</v>
      </c>
      <c r="AD143">
        <f t="shared" si="2"/>
        <v>165</v>
      </c>
    </row>
    <row r="144" spans="1:30" x14ac:dyDescent="0.35">
      <c r="A144" t="s">
        <v>380</v>
      </c>
      <c r="B144">
        <v>246</v>
      </c>
      <c r="C144" t="s">
        <v>7</v>
      </c>
      <c r="D144" t="s">
        <v>8</v>
      </c>
      <c r="E144" t="s">
        <v>9</v>
      </c>
      <c r="G144" t="s">
        <v>10</v>
      </c>
      <c r="I144" t="s">
        <v>131</v>
      </c>
      <c r="K144" t="s">
        <v>150</v>
      </c>
      <c r="M144" t="s">
        <v>151</v>
      </c>
      <c r="O144">
        <v>0.57999999999999996</v>
      </c>
      <c r="P144" t="s">
        <v>152</v>
      </c>
      <c r="Q144">
        <v>92.5</v>
      </c>
      <c r="R144">
        <v>2</v>
      </c>
      <c r="S144" s="2">
        <v>59</v>
      </c>
      <c r="T144" s="3">
        <v>1</v>
      </c>
      <c r="U144" s="4">
        <v>0</v>
      </c>
      <c r="V144" s="2">
        <v>3</v>
      </c>
      <c r="W144" s="3">
        <v>10</v>
      </c>
      <c r="X144" s="3">
        <v>0</v>
      </c>
      <c r="Y144" s="3">
        <v>3</v>
      </c>
      <c r="Z144" s="3">
        <v>149</v>
      </c>
      <c r="AA144" s="3">
        <v>5</v>
      </c>
      <c r="AB144" s="4">
        <v>16</v>
      </c>
      <c r="AD144">
        <f t="shared" si="2"/>
        <v>149</v>
      </c>
    </row>
    <row r="145" spans="1:30" x14ac:dyDescent="0.35">
      <c r="A145" t="s">
        <v>659</v>
      </c>
      <c r="B145">
        <v>244</v>
      </c>
      <c r="C145" t="s">
        <v>7</v>
      </c>
      <c r="D145" t="s">
        <v>8</v>
      </c>
      <c r="E145" t="s">
        <v>46</v>
      </c>
      <c r="G145" t="s">
        <v>47</v>
      </c>
      <c r="I145" t="s">
        <v>61</v>
      </c>
      <c r="K145" t="s">
        <v>84</v>
      </c>
      <c r="M145" t="s">
        <v>475</v>
      </c>
      <c r="O145">
        <v>0.67</v>
      </c>
      <c r="P145" t="s">
        <v>476</v>
      </c>
      <c r="Q145">
        <v>96.8</v>
      </c>
      <c r="R145">
        <v>1</v>
      </c>
      <c r="S145" s="2">
        <v>6</v>
      </c>
      <c r="T145" s="3">
        <v>1</v>
      </c>
      <c r="U145" s="4">
        <v>0</v>
      </c>
      <c r="V145" s="2">
        <v>45</v>
      </c>
      <c r="W145" s="3">
        <v>99</v>
      </c>
      <c r="X145" s="3">
        <v>86</v>
      </c>
      <c r="Y145" s="3">
        <v>1</v>
      </c>
      <c r="Z145" s="3">
        <v>4</v>
      </c>
      <c r="AA145" s="3">
        <v>1</v>
      </c>
      <c r="AB145" s="4">
        <v>1</v>
      </c>
      <c r="AD145">
        <f t="shared" si="2"/>
        <v>99</v>
      </c>
    </row>
    <row r="146" spans="1:30" x14ac:dyDescent="0.35">
      <c r="A146" t="s">
        <v>512</v>
      </c>
      <c r="B146">
        <v>234</v>
      </c>
      <c r="C146" t="s">
        <v>7</v>
      </c>
      <c r="D146" t="s">
        <v>8</v>
      </c>
      <c r="E146" t="s">
        <v>46</v>
      </c>
      <c r="G146" t="s">
        <v>47</v>
      </c>
      <c r="O146">
        <v>0.77</v>
      </c>
      <c r="P146" t="s">
        <v>321</v>
      </c>
      <c r="Q146">
        <v>90.9</v>
      </c>
      <c r="R146">
        <v>1</v>
      </c>
      <c r="S146" s="2">
        <v>0</v>
      </c>
      <c r="T146" s="3">
        <v>2</v>
      </c>
      <c r="U146" s="4">
        <v>2</v>
      </c>
      <c r="V146" s="2">
        <v>65</v>
      </c>
      <c r="W146" s="3">
        <v>3</v>
      </c>
      <c r="X146" s="3">
        <v>11</v>
      </c>
      <c r="Y146" s="3">
        <v>0</v>
      </c>
      <c r="Z146" s="3">
        <v>150</v>
      </c>
      <c r="AA146" s="3">
        <v>0</v>
      </c>
      <c r="AB146" s="4">
        <v>1</v>
      </c>
      <c r="AD146">
        <f t="shared" si="2"/>
        <v>150</v>
      </c>
    </row>
    <row r="147" spans="1:30" x14ac:dyDescent="0.35">
      <c r="A147" t="s">
        <v>413</v>
      </c>
      <c r="B147">
        <v>234</v>
      </c>
      <c r="C147" t="s">
        <v>7</v>
      </c>
      <c r="D147" t="s">
        <v>8</v>
      </c>
      <c r="E147" t="s">
        <v>46</v>
      </c>
      <c r="O147">
        <v>0.53</v>
      </c>
      <c r="P147" t="s">
        <v>536</v>
      </c>
      <c r="Q147">
        <v>88.5</v>
      </c>
      <c r="R147">
        <v>1</v>
      </c>
      <c r="S147" s="2">
        <v>1</v>
      </c>
      <c r="T147" s="3">
        <v>0</v>
      </c>
      <c r="U147" s="4">
        <v>0</v>
      </c>
      <c r="V147" s="2">
        <v>6</v>
      </c>
      <c r="W147" s="3">
        <v>3</v>
      </c>
      <c r="X147" s="3">
        <v>114</v>
      </c>
      <c r="Y147" s="3">
        <v>39</v>
      </c>
      <c r="Z147" s="3">
        <v>63</v>
      </c>
      <c r="AA147" s="3">
        <v>6</v>
      </c>
      <c r="AB147" s="4">
        <v>2</v>
      </c>
      <c r="AD147">
        <f t="shared" si="2"/>
        <v>114</v>
      </c>
    </row>
    <row r="148" spans="1:30" x14ac:dyDescent="0.35">
      <c r="A148" t="s">
        <v>461</v>
      </c>
      <c r="B148">
        <v>229</v>
      </c>
      <c r="C148" t="s">
        <v>7</v>
      </c>
      <c r="D148" t="s">
        <v>8</v>
      </c>
      <c r="E148" t="s">
        <v>120</v>
      </c>
      <c r="G148" t="s">
        <v>121</v>
      </c>
      <c r="I148" t="s">
        <v>122</v>
      </c>
      <c r="K148" t="s">
        <v>123</v>
      </c>
      <c r="M148" t="s">
        <v>219</v>
      </c>
      <c r="O148">
        <v>0.9</v>
      </c>
      <c r="P148" t="s">
        <v>220</v>
      </c>
      <c r="Q148">
        <v>98</v>
      </c>
      <c r="R148">
        <v>1</v>
      </c>
      <c r="S148" s="2">
        <v>3</v>
      </c>
      <c r="T148" s="3">
        <v>81</v>
      </c>
      <c r="U148" s="4">
        <v>59</v>
      </c>
      <c r="V148" s="2">
        <v>12</v>
      </c>
      <c r="W148" s="3">
        <v>35</v>
      </c>
      <c r="X148" s="3">
        <v>2</v>
      </c>
      <c r="Y148" s="3">
        <v>2</v>
      </c>
      <c r="Z148" s="3">
        <v>31</v>
      </c>
      <c r="AA148" s="3">
        <v>2</v>
      </c>
      <c r="AB148" s="4">
        <v>2</v>
      </c>
      <c r="AD148">
        <f t="shared" si="2"/>
        <v>81</v>
      </c>
    </row>
    <row r="149" spans="1:30" x14ac:dyDescent="0.35">
      <c r="A149" t="s">
        <v>361</v>
      </c>
      <c r="B149">
        <v>225</v>
      </c>
      <c r="C149" t="s">
        <v>7</v>
      </c>
      <c r="D149" t="s">
        <v>8</v>
      </c>
      <c r="E149" t="s">
        <v>46</v>
      </c>
      <c r="G149" t="s">
        <v>47</v>
      </c>
      <c r="I149" t="s">
        <v>61</v>
      </c>
      <c r="K149" t="s">
        <v>178</v>
      </c>
      <c r="M149" t="s">
        <v>179</v>
      </c>
      <c r="O149">
        <v>0.9</v>
      </c>
      <c r="P149" t="s">
        <v>180</v>
      </c>
      <c r="Q149">
        <v>97.6</v>
      </c>
      <c r="R149">
        <v>1</v>
      </c>
      <c r="S149" s="2">
        <v>0</v>
      </c>
      <c r="T149" s="3">
        <v>1</v>
      </c>
      <c r="U149" s="4">
        <v>148</v>
      </c>
      <c r="V149" s="2">
        <v>1</v>
      </c>
      <c r="W149" s="3">
        <v>71</v>
      </c>
      <c r="X149" s="3">
        <v>0</v>
      </c>
      <c r="Y149" s="3">
        <v>0</v>
      </c>
      <c r="Z149" s="3">
        <v>2</v>
      </c>
      <c r="AA149" s="3">
        <v>2</v>
      </c>
      <c r="AB149" s="4">
        <v>0</v>
      </c>
      <c r="AD149">
        <f t="shared" si="2"/>
        <v>148</v>
      </c>
    </row>
    <row r="150" spans="1:30" x14ac:dyDescent="0.35">
      <c r="A150" t="s">
        <v>374</v>
      </c>
      <c r="B150">
        <v>221</v>
      </c>
      <c r="C150" t="s">
        <v>7</v>
      </c>
      <c r="D150" t="s">
        <v>8</v>
      </c>
      <c r="E150" t="s">
        <v>46</v>
      </c>
      <c r="G150" t="s">
        <v>47</v>
      </c>
      <c r="I150" t="s">
        <v>61</v>
      </c>
      <c r="K150" t="s">
        <v>182</v>
      </c>
      <c r="M150" t="s">
        <v>183</v>
      </c>
      <c r="O150">
        <v>0.95</v>
      </c>
      <c r="P150" t="s">
        <v>184</v>
      </c>
      <c r="Q150">
        <v>99.2</v>
      </c>
      <c r="R150">
        <v>1</v>
      </c>
      <c r="S150" s="2">
        <v>4</v>
      </c>
      <c r="T150" s="3">
        <v>188</v>
      </c>
      <c r="U150" s="4">
        <v>0</v>
      </c>
      <c r="V150" s="2">
        <v>3</v>
      </c>
      <c r="W150" s="3">
        <v>10</v>
      </c>
      <c r="X150" s="3">
        <v>1</v>
      </c>
      <c r="Y150" s="3">
        <v>1</v>
      </c>
      <c r="Z150" s="3">
        <v>13</v>
      </c>
      <c r="AA150" s="3">
        <v>1</v>
      </c>
      <c r="AB150" s="4">
        <v>0</v>
      </c>
      <c r="AD150">
        <f t="shared" si="2"/>
        <v>188</v>
      </c>
    </row>
    <row r="151" spans="1:30" x14ac:dyDescent="0.35">
      <c r="A151" t="s">
        <v>404</v>
      </c>
      <c r="B151">
        <v>217</v>
      </c>
      <c r="C151" t="s">
        <v>7</v>
      </c>
      <c r="D151" t="s">
        <v>8</v>
      </c>
      <c r="E151" t="s">
        <v>46</v>
      </c>
      <c r="G151" t="s">
        <v>47</v>
      </c>
      <c r="I151" t="s">
        <v>61</v>
      </c>
      <c r="K151" t="s">
        <v>190</v>
      </c>
      <c r="M151" t="s">
        <v>273</v>
      </c>
      <c r="O151">
        <v>0.54</v>
      </c>
      <c r="P151" t="s">
        <v>90</v>
      </c>
      <c r="Q151">
        <v>94.9</v>
      </c>
      <c r="R151">
        <v>2</v>
      </c>
      <c r="S151" s="2">
        <v>32</v>
      </c>
      <c r="T151" s="3">
        <v>0</v>
      </c>
      <c r="U151" s="4">
        <v>0</v>
      </c>
      <c r="V151" s="2">
        <v>116</v>
      </c>
      <c r="W151" s="3">
        <v>14</v>
      </c>
      <c r="X151" s="3">
        <v>0</v>
      </c>
      <c r="Y151" s="3">
        <v>24</v>
      </c>
      <c r="Z151" s="3">
        <v>29</v>
      </c>
      <c r="AA151" s="3">
        <v>0</v>
      </c>
      <c r="AB151" s="4">
        <v>2</v>
      </c>
      <c r="AD151">
        <f t="shared" si="2"/>
        <v>116</v>
      </c>
    </row>
    <row r="152" spans="1:30" x14ac:dyDescent="0.35">
      <c r="A152" t="s">
        <v>520</v>
      </c>
      <c r="B152">
        <v>216</v>
      </c>
      <c r="C152" t="s">
        <v>7</v>
      </c>
      <c r="D152" t="s">
        <v>8</v>
      </c>
      <c r="E152" t="s">
        <v>46</v>
      </c>
      <c r="G152" t="s">
        <v>47</v>
      </c>
      <c r="I152" t="s">
        <v>160</v>
      </c>
      <c r="K152" t="s">
        <v>161</v>
      </c>
      <c r="M152" t="s">
        <v>162</v>
      </c>
      <c r="O152">
        <v>0.85</v>
      </c>
      <c r="P152" t="s">
        <v>163</v>
      </c>
      <c r="Q152">
        <v>96</v>
      </c>
      <c r="R152">
        <v>1</v>
      </c>
      <c r="S152" s="2">
        <v>0</v>
      </c>
      <c r="T152" s="3">
        <v>57</v>
      </c>
      <c r="U152" s="4">
        <v>13</v>
      </c>
      <c r="V152" s="2">
        <v>1</v>
      </c>
      <c r="W152" s="3">
        <v>2</v>
      </c>
      <c r="X152" s="3">
        <v>3</v>
      </c>
      <c r="Y152" s="3">
        <v>83</v>
      </c>
      <c r="Z152" s="3">
        <v>56</v>
      </c>
      <c r="AA152" s="3">
        <v>0</v>
      </c>
      <c r="AB152" s="4">
        <v>1</v>
      </c>
      <c r="AD152">
        <f t="shared" si="2"/>
        <v>83</v>
      </c>
    </row>
    <row r="153" spans="1:30" x14ac:dyDescent="0.35">
      <c r="A153" t="s">
        <v>382</v>
      </c>
      <c r="B153">
        <v>216</v>
      </c>
      <c r="C153" t="s">
        <v>7</v>
      </c>
      <c r="D153" t="s">
        <v>8</v>
      </c>
      <c r="E153" t="s">
        <v>46</v>
      </c>
      <c r="G153" t="s">
        <v>47</v>
      </c>
      <c r="I153" t="s">
        <v>61</v>
      </c>
      <c r="O153">
        <v>0.78</v>
      </c>
      <c r="P153" t="s">
        <v>62</v>
      </c>
      <c r="Q153">
        <v>90.9</v>
      </c>
      <c r="R153">
        <v>1</v>
      </c>
      <c r="S153" s="2">
        <v>1</v>
      </c>
      <c r="T153" s="3">
        <v>2</v>
      </c>
      <c r="U153" s="4">
        <v>1</v>
      </c>
      <c r="V153" s="2">
        <v>6</v>
      </c>
      <c r="W153" s="3">
        <v>75</v>
      </c>
      <c r="X153" s="3">
        <v>18</v>
      </c>
      <c r="Y153" s="3">
        <v>1</v>
      </c>
      <c r="Z153" s="3">
        <v>111</v>
      </c>
      <c r="AA153" s="3">
        <v>0</v>
      </c>
      <c r="AB153" s="4">
        <v>1</v>
      </c>
      <c r="AD153">
        <f t="shared" si="2"/>
        <v>111</v>
      </c>
    </row>
    <row r="154" spans="1:30" x14ac:dyDescent="0.35">
      <c r="A154" t="s">
        <v>469</v>
      </c>
      <c r="B154">
        <v>212</v>
      </c>
      <c r="C154" t="s">
        <v>7</v>
      </c>
      <c r="D154" t="s">
        <v>8</v>
      </c>
      <c r="E154" t="s">
        <v>46</v>
      </c>
      <c r="G154" t="s">
        <v>47</v>
      </c>
      <c r="O154">
        <v>0.59</v>
      </c>
      <c r="P154" t="s">
        <v>127</v>
      </c>
      <c r="Q154">
        <v>89.7</v>
      </c>
      <c r="R154">
        <v>1</v>
      </c>
      <c r="S154" s="2">
        <v>0</v>
      </c>
      <c r="T154" s="3">
        <v>0</v>
      </c>
      <c r="U154" s="4">
        <v>0</v>
      </c>
      <c r="V154" s="2">
        <v>0</v>
      </c>
      <c r="W154" s="3">
        <v>128</v>
      </c>
      <c r="X154" s="3">
        <v>0</v>
      </c>
      <c r="Y154" s="3">
        <v>1</v>
      </c>
      <c r="Z154" s="3">
        <v>82</v>
      </c>
      <c r="AA154" s="3">
        <v>0</v>
      </c>
      <c r="AB154" s="4">
        <v>1</v>
      </c>
      <c r="AD154">
        <f t="shared" si="2"/>
        <v>128</v>
      </c>
    </row>
    <row r="155" spans="1:30" x14ac:dyDescent="0.35">
      <c r="A155" t="s">
        <v>477</v>
      </c>
      <c r="B155">
        <v>212</v>
      </c>
      <c r="C155" t="s">
        <v>7</v>
      </c>
      <c r="D155" t="s">
        <v>8</v>
      </c>
      <c r="E155" t="s">
        <v>9</v>
      </c>
      <c r="G155" t="s">
        <v>10</v>
      </c>
      <c r="I155" t="s">
        <v>131</v>
      </c>
      <c r="K155" t="s">
        <v>150</v>
      </c>
      <c r="M155" t="s">
        <v>151</v>
      </c>
      <c r="O155">
        <v>0.93</v>
      </c>
      <c r="P155" t="s">
        <v>152</v>
      </c>
      <c r="Q155">
        <v>92.9</v>
      </c>
      <c r="R155">
        <v>1</v>
      </c>
      <c r="S155" s="2">
        <v>2</v>
      </c>
      <c r="T155" s="3">
        <v>1</v>
      </c>
      <c r="U155" s="4">
        <v>4</v>
      </c>
      <c r="V155" s="2">
        <v>1</v>
      </c>
      <c r="W155" s="3">
        <v>1</v>
      </c>
      <c r="X155" s="3">
        <v>166</v>
      </c>
      <c r="Y155" s="3">
        <v>28</v>
      </c>
      <c r="Z155" s="3">
        <v>4</v>
      </c>
      <c r="AA155" s="3">
        <v>5</v>
      </c>
      <c r="AB155" s="4">
        <v>0</v>
      </c>
      <c r="AD155">
        <f t="shared" si="2"/>
        <v>166</v>
      </c>
    </row>
    <row r="156" spans="1:30" x14ac:dyDescent="0.35">
      <c r="A156" t="s">
        <v>439</v>
      </c>
      <c r="B156">
        <v>211</v>
      </c>
      <c r="C156" t="s">
        <v>7</v>
      </c>
      <c r="D156" t="s">
        <v>8</v>
      </c>
      <c r="E156" t="s">
        <v>46</v>
      </c>
      <c r="G156" t="s">
        <v>47</v>
      </c>
      <c r="I156" t="s">
        <v>61</v>
      </c>
      <c r="O156">
        <v>0.66</v>
      </c>
      <c r="P156" t="s">
        <v>660</v>
      </c>
      <c r="Q156">
        <v>90.9</v>
      </c>
      <c r="R156">
        <v>1</v>
      </c>
      <c r="S156" s="2">
        <v>0</v>
      </c>
      <c r="T156" s="3">
        <v>0</v>
      </c>
      <c r="U156" s="4">
        <v>0</v>
      </c>
      <c r="V156" s="2">
        <v>13</v>
      </c>
      <c r="W156" s="3">
        <v>0</v>
      </c>
      <c r="X156" s="3">
        <v>0</v>
      </c>
      <c r="Y156" s="3">
        <v>0</v>
      </c>
      <c r="Z156" s="3">
        <v>197</v>
      </c>
      <c r="AA156" s="3">
        <v>1</v>
      </c>
      <c r="AB156" s="4">
        <v>0</v>
      </c>
      <c r="AD156">
        <f t="shared" si="2"/>
        <v>197</v>
      </c>
    </row>
    <row r="157" spans="1:30" x14ac:dyDescent="0.35">
      <c r="A157" t="s">
        <v>409</v>
      </c>
      <c r="B157">
        <v>208</v>
      </c>
      <c r="C157" t="s">
        <v>7</v>
      </c>
      <c r="D157" t="s">
        <v>8</v>
      </c>
      <c r="E157" t="s">
        <v>46</v>
      </c>
      <c r="G157" t="s">
        <v>47</v>
      </c>
      <c r="I157" t="s">
        <v>61</v>
      </c>
      <c r="K157" t="s">
        <v>182</v>
      </c>
      <c r="M157" t="s">
        <v>661</v>
      </c>
      <c r="O157">
        <v>0.9</v>
      </c>
      <c r="P157" t="s">
        <v>662</v>
      </c>
      <c r="Q157">
        <v>97.6</v>
      </c>
      <c r="R157">
        <v>1</v>
      </c>
      <c r="S157" s="2">
        <v>0</v>
      </c>
      <c r="T157" s="3">
        <v>0</v>
      </c>
      <c r="U157" s="4">
        <v>1</v>
      </c>
      <c r="V157" s="2">
        <v>14</v>
      </c>
      <c r="W157" s="3">
        <v>65</v>
      </c>
      <c r="X157" s="3">
        <v>126</v>
      </c>
      <c r="Y157" s="3">
        <v>0</v>
      </c>
      <c r="Z157" s="3">
        <v>1</v>
      </c>
      <c r="AA157" s="3">
        <v>1</v>
      </c>
      <c r="AB157" s="4">
        <v>0</v>
      </c>
      <c r="AD157">
        <f t="shared" si="2"/>
        <v>126</v>
      </c>
    </row>
    <row r="158" spans="1:30" x14ac:dyDescent="0.35">
      <c r="A158" t="s">
        <v>489</v>
      </c>
      <c r="B158">
        <v>204</v>
      </c>
      <c r="C158" t="s">
        <v>7</v>
      </c>
      <c r="D158" t="s">
        <v>8</v>
      </c>
      <c r="E158" t="s">
        <v>9</v>
      </c>
      <c r="G158" t="s">
        <v>10</v>
      </c>
      <c r="I158" t="s">
        <v>107</v>
      </c>
      <c r="K158" t="s">
        <v>663</v>
      </c>
      <c r="M158" t="s">
        <v>664</v>
      </c>
      <c r="O158">
        <v>1</v>
      </c>
      <c r="P158" t="s">
        <v>665</v>
      </c>
      <c r="Q158">
        <v>99.2</v>
      </c>
      <c r="R158">
        <v>1</v>
      </c>
      <c r="S158" s="2">
        <v>2</v>
      </c>
      <c r="T158" s="3">
        <v>0</v>
      </c>
      <c r="U158" s="4">
        <v>0</v>
      </c>
      <c r="V158" s="2">
        <v>0</v>
      </c>
      <c r="W158" s="3">
        <v>2</v>
      </c>
      <c r="X158" s="3">
        <v>190</v>
      </c>
      <c r="Y158" s="3">
        <v>6</v>
      </c>
      <c r="Z158" s="3">
        <v>0</v>
      </c>
      <c r="AA158" s="3">
        <v>1</v>
      </c>
      <c r="AB158" s="4">
        <v>3</v>
      </c>
      <c r="AD158">
        <f t="shared" si="2"/>
        <v>190</v>
      </c>
    </row>
    <row r="159" spans="1:30" x14ac:dyDescent="0.35">
      <c r="A159" t="s">
        <v>421</v>
      </c>
      <c r="B159">
        <v>200</v>
      </c>
      <c r="C159" t="s">
        <v>7</v>
      </c>
      <c r="D159" t="s">
        <v>8</v>
      </c>
      <c r="E159" t="s">
        <v>9</v>
      </c>
      <c r="G159" t="s">
        <v>172</v>
      </c>
      <c r="I159" t="s">
        <v>491</v>
      </c>
      <c r="K159" t="s">
        <v>492</v>
      </c>
      <c r="M159" t="s">
        <v>493</v>
      </c>
      <c r="O159">
        <v>0.59</v>
      </c>
      <c r="P159" t="s">
        <v>494</v>
      </c>
      <c r="Q159">
        <v>100</v>
      </c>
      <c r="R159">
        <v>4</v>
      </c>
      <c r="S159" s="2">
        <v>4</v>
      </c>
      <c r="T159" s="3">
        <v>1</v>
      </c>
      <c r="U159" s="4">
        <v>1</v>
      </c>
      <c r="V159" s="2">
        <v>75</v>
      </c>
      <c r="W159" s="3">
        <v>93</v>
      </c>
      <c r="X159" s="3">
        <v>1</v>
      </c>
      <c r="Y159" s="3">
        <v>0</v>
      </c>
      <c r="Z159" s="3">
        <v>23</v>
      </c>
      <c r="AA159" s="3">
        <v>1</v>
      </c>
      <c r="AB159" s="4">
        <v>1</v>
      </c>
      <c r="AD159">
        <f t="shared" si="2"/>
        <v>93</v>
      </c>
    </row>
    <row r="160" spans="1:30" x14ac:dyDescent="0.35">
      <c r="A160" t="s">
        <v>393</v>
      </c>
      <c r="B160">
        <v>195</v>
      </c>
      <c r="C160" t="s">
        <v>7</v>
      </c>
      <c r="D160" t="s">
        <v>8</v>
      </c>
      <c r="E160" t="s">
        <v>666</v>
      </c>
      <c r="M160" t="s">
        <v>667</v>
      </c>
      <c r="O160">
        <v>0.9</v>
      </c>
      <c r="P160" t="s">
        <v>668</v>
      </c>
      <c r="Q160">
        <v>94.1</v>
      </c>
      <c r="R160">
        <v>1</v>
      </c>
      <c r="S160" s="2">
        <v>1</v>
      </c>
      <c r="T160" s="3">
        <v>2</v>
      </c>
      <c r="U160" s="4">
        <v>0</v>
      </c>
      <c r="V160" s="2">
        <v>0</v>
      </c>
      <c r="W160" s="3">
        <v>0</v>
      </c>
      <c r="X160" s="3">
        <v>184</v>
      </c>
      <c r="Y160" s="3">
        <v>4</v>
      </c>
      <c r="Z160" s="3">
        <v>2</v>
      </c>
      <c r="AA160" s="3">
        <v>1</v>
      </c>
      <c r="AB160" s="4">
        <v>1</v>
      </c>
      <c r="AD160">
        <f t="shared" si="2"/>
        <v>184</v>
      </c>
    </row>
    <row r="161" spans="1:30" x14ac:dyDescent="0.35">
      <c r="A161" t="s">
        <v>385</v>
      </c>
      <c r="B161">
        <v>193</v>
      </c>
      <c r="C161" t="s">
        <v>7</v>
      </c>
      <c r="D161" t="s">
        <v>8</v>
      </c>
      <c r="E161" t="s">
        <v>46</v>
      </c>
      <c r="G161" t="s">
        <v>47</v>
      </c>
      <c r="O161">
        <v>0.95</v>
      </c>
      <c r="P161" t="s">
        <v>163</v>
      </c>
      <c r="Q161">
        <v>92.5</v>
      </c>
      <c r="R161">
        <v>1</v>
      </c>
      <c r="S161" s="2">
        <v>1</v>
      </c>
      <c r="T161" s="3">
        <v>0</v>
      </c>
      <c r="U161" s="4">
        <v>0</v>
      </c>
      <c r="V161" s="2">
        <v>0</v>
      </c>
      <c r="W161" s="3">
        <v>0</v>
      </c>
      <c r="X161" s="3">
        <v>15</v>
      </c>
      <c r="Y161" s="3">
        <v>19</v>
      </c>
      <c r="Z161" s="3">
        <v>156</v>
      </c>
      <c r="AA161" s="3">
        <v>1</v>
      </c>
      <c r="AB161" s="4">
        <v>1</v>
      </c>
      <c r="AD161">
        <f t="shared" si="2"/>
        <v>156</v>
      </c>
    </row>
    <row r="162" spans="1:30" x14ac:dyDescent="0.35">
      <c r="A162" t="s">
        <v>431</v>
      </c>
      <c r="B162">
        <v>192</v>
      </c>
      <c r="C162" t="s">
        <v>7</v>
      </c>
      <c r="D162" t="s">
        <v>8</v>
      </c>
      <c r="E162" t="s">
        <v>9</v>
      </c>
      <c r="G162" t="s">
        <v>243</v>
      </c>
      <c r="I162" t="s">
        <v>594</v>
      </c>
      <c r="K162" t="s">
        <v>669</v>
      </c>
      <c r="M162" t="s">
        <v>670</v>
      </c>
      <c r="O162">
        <v>0.99</v>
      </c>
      <c r="P162" t="s">
        <v>671</v>
      </c>
      <c r="Q162">
        <v>99.6</v>
      </c>
      <c r="R162">
        <v>4</v>
      </c>
      <c r="S162" s="2">
        <v>1</v>
      </c>
      <c r="T162" s="3">
        <v>0</v>
      </c>
      <c r="U162" s="4">
        <v>0</v>
      </c>
      <c r="V162" s="2">
        <v>8</v>
      </c>
      <c r="W162" s="3">
        <v>0</v>
      </c>
      <c r="X162" s="3">
        <v>0</v>
      </c>
      <c r="Y162" s="3">
        <v>0</v>
      </c>
      <c r="Z162" s="3">
        <v>182</v>
      </c>
      <c r="AA162" s="3">
        <v>0</v>
      </c>
      <c r="AB162" s="4">
        <v>1</v>
      </c>
      <c r="AD162">
        <f t="shared" si="2"/>
        <v>182</v>
      </c>
    </row>
    <row r="163" spans="1:30" x14ac:dyDescent="0.35">
      <c r="A163" t="s">
        <v>458</v>
      </c>
      <c r="B163">
        <v>184</v>
      </c>
      <c r="C163" t="s">
        <v>7</v>
      </c>
      <c r="D163" t="s">
        <v>8</v>
      </c>
      <c r="E163" t="s">
        <v>46</v>
      </c>
      <c r="G163" t="s">
        <v>47</v>
      </c>
      <c r="I163" t="s">
        <v>61</v>
      </c>
      <c r="K163" t="s">
        <v>84</v>
      </c>
      <c r="M163" t="s">
        <v>463</v>
      </c>
      <c r="O163">
        <v>0.57999999999999996</v>
      </c>
      <c r="P163" t="s">
        <v>464</v>
      </c>
      <c r="Q163">
        <v>99.2</v>
      </c>
      <c r="R163">
        <v>1</v>
      </c>
      <c r="S163" s="2">
        <v>7</v>
      </c>
      <c r="T163" s="3">
        <v>1</v>
      </c>
      <c r="U163" s="4">
        <v>1</v>
      </c>
      <c r="V163" s="2">
        <v>3</v>
      </c>
      <c r="W163" s="3">
        <v>3</v>
      </c>
      <c r="X163" s="3">
        <v>12</v>
      </c>
      <c r="Y163" s="3">
        <v>1</v>
      </c>
      <c r="Z163" s="3">
        <v>2</v>
      </c>
      <c r="AA163" s="3">
        <v>109</v>
      </c>
      <c r="AB163" s="4">
        <v>45</v>
      </c>
      <c r="AD163">
        <f t="shared" si="2"/>
        <v>109</v>
      </c>
    </row>
    <row r="164" spans="1:30" x14ac:dyDescent="0.35">
      <c r="A164" t="s">
        <v>462</v>
      </c>
      <c r="B164">
        <v>182</v>
      </c>
      <c r="C164" t="s">
        <v>7</v>
      </c>
      <c r="D164" t="s">
        <v>8</v>
      </c>
      <c r="E164" t="s">
        <v>46</v>
      </c>
      <c r="G164" t="s">
        <v>47</v>
      </c>
      <c r="I164" t="s">
        <v>61</v>
      </c>
      <c r="K164" t="s">
        <v>157</v>
      </c>
      <c r="O164">
        <v>1</v>
      </c>
      <c r="P164" t="s">
        <v>441</v>
      </c>
      <c r="Q164">
        <v>95.6</v>
      </c>
      <c r="R164">
        <v>1</v>
      </c>
      <c r="S164" s="2">
        <v>0</v>
      </c>
      <c r="T164" s="3">
        <v>2</v>
      </c>
      <c r="U164" s="4">
        <v>0</v>
      </c>
      <c r="V164" s="2">
        <v>1</v>
      </c>
      <c r="W164" s="3">
        <v>9</v>
      </c>
      <c r="X164" s="3">
        <v>31</v>
      </c>
      <c r="Y164" s="3">
        <v>0</v>
      </c>
      <c r="Z164" s="3">
        <v>2</v>
      </c>
      <c r="AA164" s="3">
        <v>34</v>
      </c>
      <c r="AB164" s="4">
        <v>103</v>
      </c>
      <c r="AD164">
        <f t="shared" si="2"/>
        <v>103</v>
      </c>
    </row>
    <row r="165" spans="1:30" x14ac:dyDescent="0.35">
      <c r="A165" t="s">
        <v>479</v>
      </c>
      <c r="B165">
        <v>174</v>
      </c>
      <c r="C165" t="s">
        <v>7</v>
      </c>
      <c r="D165" t="s">
        <v>8</v>
      </c>
      <c r="E165" t="s">
        <v>46</v>
      </c>
      <c r="G165" t="s">
        <v>47</v>
      </c>
      <c r="I165" t="s">
        <v>61</v>
      </c>
      <c r="K165" t="s">
        <v>190</v>
      </c>
      <c r="M165" t="s">
        <v>273</v>
      </c>
      <c r="O165">
        <v>0.91</v>
      </c>
      <c r="P165" t="s">
        <v>614</v>
      </c>
      <c r="Q165">
        <v>97.6</v>
      </c>
      <c r="R165">
        <v>1</v>
      </c>
      <c r="S165" s="2">
        <v>13</v>
      </c>
      <c r="T165" s="3">
        <v>0</v>
      </c>
      <c r="U165" s="4">
        <v>28</v>
      </c>
      <c r="V165" s="2">
        <v>24</v>
      </c>
      <c r="W165" s="3">
        <v>14</v>
      </c>
      <c r="X165" s="3">
        <v>6</v>
      </c>
      <c r="Y165" s="3">
        <v>32</v>
      </c>
      <c r="Z165" s="3">
        <v>10</v>
      </c>
      <c r="AA165" s="3">
        <v>28</v>
      </c>
      <c r="AB165" s="4">
        <v>19</v>
      </c>
      <c r="AD165">
        <f t="shared" si="2"/>
        <v>32</v>
      </c>
    </row>
    <row r="166" spans="1:30" x14ac:dyDescent="0.35">
      <c r="A166" t="s">
        <v>450</v>
      </c>
      <c r="B166">
        <v>171</v>
      </c>
      <c r="C166" t="s">
        <v>7</v>
      </c>
      <c r="D166" t="s">
        <v>8</v>
      </c>
      <c r="E166" t="s">
        <v>46</v>
      </c>
      <c r="G166" t="s">
        <v>364</v>
      </c>
      <c r="I166" t="s">
        <v>416</v>
      </c>
      <c r="K166" t="s">
        <v>672</v>
      </c>
      <c r="M166" t="s">
        <v>673</v>
      </c>
      <c r="O166">
        <v>0.54</v>
      </c>
      <c r="P166" t="s">
        <v>674</v>
      </c>
      <c r="Q166">
        <v>96.8</v>
      </c>
      <c r="R166">
        <v>1</v>
      </c>
      <c r="S166" s="2">
        <v>0</v>
      </c>
      <c r="T166" s="3">
        <v>0</v>
      </c>
      <c r="U166" s="4">
        <v>1</v>
      </c>
      <c r="V166" s="2">
        <v>169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4">
        <v>1</v>
      </c>
      <c r="AD166">
        <f t="shared" si="2"/>
        <v>169</v>
      </c>
    </row>
    <row r="167" spans="1:30" x14ac:dyDescent="0.35">
      <c r="A167" t="s">
        <v>472</v>
      </c>
      <c r="B167">
        <v>166</v>
      </c>
      <c r="C167" t="s">
        <v>7</v>
      </c>
      <c r="D167" t="s">
        <v>8</v>
      </c>
      <c r="E167" t="s">
        <v>18</v>
      </c>
      <c r="G167" t="s">
        <v>19</v>
      </c>
      <c r="I167" t="s">
        <v>20</v>
      </c>
      <c r="K167" t="s">
        <v>21</v>
      </c>
      <c r="M167" t="s">
        <v>235</v>
      </c>
      <c r="O167">
        <v>0.87</v>
      </c>
      <c r="P167" t="s">
        <v>675</v>
      </c>
      <c r="Q167">
        <v>93.3</v>
      </c>
      <c r="R167">
        <v>1</v>
      </c>
      <c r="S167" s="2">
        <v>2</v>
      </c>
      <c r="T167" s="3">
        <v>1</v>
      </c>
      <c r="U167" s="4">
        <v>1</v>
      </c>
      <c r="V167" s="2">
        <v>1</v>
      </c>
      <c r="W167" s="3">
        <v>0</v>
      </c>
      <c r="X167" s="3">
        <v>52</v>
      </c>
      <c r="Y167" s="3">
        <v>39</v>
      </c>
      <c r="Z167" s="3">
        <v>16</v>
      </c>
      <c r="AA167" s="3">
        <v>39</v>
      </c>
      <c r="AB167" s="4">
        <v>15</v>
      </c>
      <c r="AD167">
        <f t="shared" si="2"/>
        <v>52</v>
      </c>
    </row>
    <row r="168" spans="1:30" x14ac:dyDescent="0.35">
      <c r="A168" t="s">
        <v>488</v>
      </c>
      <c r="B168">
        <v>163</v>
      </c>
      <c r="C168" t="s">
        <v>7</v>
      </c>
      <c r="D168" t="s">
        <v>8</v>
      </c>
      <c r="E168" t="s">
        <v>9</v>
      </c>
      <c r="G168" t="s">
        <v>10</v>
      </c>
      <c r="K168" t="s">
        <v>227</v>
      </c>
      <c r="M168" t="s">
        <v>228</v>
      </c>
      <c r="O168">
        <v>1</v>
      </c>
      <c r="P168" t="s">
        <v>229</v>
      </c>
      <c r="Q168">
        <v>97.2</v>
      </c>
      <c r="R168">
        <v>1</v>
      </c>
      <c r="S168" s="2">
        <v>28</v>
      </c>
      <c r="T168" s="3">
        <v>47</v>
      </c>
      <c r="U168" s="4">
        <v>25</v>
      </c>
      <c r="V168" s="2">
        <v>2</v>
      </c>
      <c r="W168" s="3">
        <v>3</v>
      </c>
      <c r="X168" s="3">
        <v>16</v>
      </c>
      <c r="Y168" s="3">
        <v>3</v>
      </c>
      <c r="Z168" s="3">
        <v>26</v>
      </c>
      <c r="AA168" s="3">
        <v>8</v>
      </c>
      <c r="AB168" s="4">
        <v>5</v>
      </c>
      <c r="AD168">
        <f t="shared" si="2"/>
        <v>47</v>
      </c>
    </row>
    <row r="169" spans="1:30" x14ac:dyDescent="0.35">
      <c r="A169" t="s">
        <v>432</v>
      </c>
      <c r="B169">
        <v>162</v>
      </c>
      <c r="C169" t="s">
        <v>7</v>
      </c>
      <c r="D169" t="s">
        <v>8</v>
      </c>
      <c r="E169" t="s">
        <v>9</v>
      </c>
      <c r="G169" t="s">
        <v>138</v>
      </c>
      <c r="I169" t="s">
        <v>345</v>
      </c>
      <c r="O169">
        <v>0.63</v>
      </c>
      <c r="P169" t="s">
        <v>625</v>
      </c>
      <c r="Q169">
        <v>92.1</v>
      </c>
      <c r="R169">
        <v>3</v>
      </c>
      <c r="S169" s="2">
        <v>20</v>
      </c>
      <c r="T169" s="3">
        <v>1</v>
      </c>
      <c r="U169" s="4">
        <v>1</v>
      </c>
      <c r="V169" s="2">
        <v>137</v>
      </c>
      <c r="W169" s="3">
        <v>0</v>
      </c>
      <c r="X169" s="3">
        <v>2</v>
      </c>
      <c r="Y169" s="3">
        <v>0</v>
      </c>
      <c r="Z169" s="3">
        <v>0</v>
      </c>
      <c r="AA169" s="3">
        <v>1</v>
      </c>
      <c r="AB169" s="4">
        <v>0</v>
      </c>
      <c r="AD169">
        <f t="shared" si="2"/>
        <v>137</v>
      </c>
    </row>
    <row r="170" spans="1:30" x14ac:dyDescent="0.35">
      <c r="A170" t="s">
        <v>490</v>
      </c>
      <c r="B170">
        <v>146</v>
      </c>
      <c r="C170" t="s">
        <v>7</v>
      </c>
      <c r="D170" t="s">
        <v>8</v>
      </c>
      <c r="E170" t="s">
        <v>18</v>
      </c>
      <c r="G170" t="s">
        <v>19</v>
      </c>
      <c r="I170" t="s">
        <v>20</v>
      </c>
      <c r="K170" t="s">
        <v>21</v>
      </c>
      <c r="M170" t="s">
        <v>235</v>
      </c>
      <c r="O170">
        <v>0.51</v>
      </c>
      <c r="P170" t="s">
        <v>236</v>
      </c>
      <c r="Q170">
        <v>88.1</v>
      </c>
      <c r="R170">
        <v>1</v>
      </c>
      <c r="S170" s="2">
        <v>4</v>
      </c>
      <c r="T170" s="3">
        <v>0</v>
      </c>
      <c r="U170" s="4">
        <v>61</v>
      </c>
      <c r="V170" s="2">
        <v>15</v>
      </c>
      <c r="W170" s="3">
        <v>13</v>
      </c>
      <c r="X170" s="3">
        <v>16</v>
      </c>
      <c r="Y170" s="3">
        <v>11</v>
      </c>
      <c r="Z170" s="3">
        <v>19</v>
      </c>
      <c r="AA170" s="3">
        <v>3</v>
      </c>
      <c r="AB170" s="4">
        <v>4</v>
      </c>
      <c r="AD170">
        <f t="shared" si="2"/>
        <v>61</v>
      </c>
    </row>
    <row r="171" spans="1:30" x14ac:dyDescent="0.35">
      <c r="A171" t="s">
        <v>531</v>
      </c>
      <c r="B171">
        <v>143</v>
      </c>
      <c r="C171" t="s">
        <v>7</v>
      </c>
      <c r="D171" t="s">
        <v>24</v>
      </c>
      <c r="E171" t="s">
        <v>25</v>
      </c>
      <c r="G171" t="s">
        <v>631</v>
      </c>
      <c r="I171" t="s">
        <v>632</v>
      </c>
      <c r="K171" t="s">
        <v>633</v>
      </c>
      <c r="M171" t="s">
        <v>634</v>
      </c>
      <c r="O171">
        <v>1</v>
      </c>
      <c r="P171" t="s">
        <v>635</v>
      </c>
      <c r="Q171">
        <v>93.7</v>
      </c>
      <c r="R171">
        <v>1</v>
      </c>
      <c r="S171" s="2">
        <v>0</v>
      </c>
      <c r="T171" s="3">
        <v>0</v>
      </c>
      <c r="U171" s="4">
        <v>2</v>
      </c>
      <c r="V171" s="2">
        <v>10</v>
      </c>
      <c r="W171" s="3">
        <v>25</v>
      </c>
      <c r="X171" s="3">
        <v>84</v>
      </c>
      <c r="Y171" s="3">
        <v>14</v>
      </c>
      <c r="Z171" s="3">
        <v>7</v>
      </c>
      <c r="AA171" s="3">
        <v>1</v>
      </c>
      <c r="AB171" s="4">
        <v>0</v>
      </c>
      <c r="AD171">
        <f t="shared" si="2"/>
        <v>84</v>
      </c>
    </row>
    <row r="172" spans="1:30" x14ac:dyDescent="0.35">
      <c r="A172" t="s">
        <v>510</v>
      </c>
      <c r="B172">
        <v>140</v>
      </c>
      <c r="C172" t="s">
        <v>7</v>
      </c>
      <c r="D172" t="s">
        <v>8</v>
      </c>
      <c r="E172" t="s">
        <v>46</v>
      </c>
      <c r="O172">
        <v>0.95</v>
      </c>
      <c r="P172" t="s">
        <v>676</v>
      </c>
      <c r="Q172">
        <v>92.1</v>
      </c>
      <c r="R172">
        <v>1</v>
      </c>
      <c r="S172" s="2">
        <v>1</v>
      </c>
      <c r="T172" s="3">
        <v>0</v>
      </c>
      <c r="U172" s="4">
        <v>0</v>
      </c>
      <c r="V172" s="2">
        <v>6</v>
      </c>
      <c r="W172" s="3">
        <v>57</v>
      </c>
      <c r="X172" s="3">
        <v>0</v>
      </c>
      <c r="Y172" s="3">
        <v>0</v>
      </c>
      <c r="Z172" s="3">
        <v>76</v>
      </c>
      <c r="AA172" s="3">
        <v>0</v>
      </c>
      <c r="AB172" s="4">
        <v>0</v>
      </c>
      <c r="AD172">
        <f t="shared" si="2"/>
        <v>76</v>
      </c>
    </row>
    <row r="173" spans="1:30" x14ac:dyDescent="0.35">
      <c r="A173" t="s">
        <v>677</v>
      </c>
      <c r="B173">
        <v>139</v>
      </c>
      <c r="C173" t="s">
        <v>7</v>
      </c>
      <c r="D173" t="s">
        <v>8</v>
      </c>
      <c r="E173" t="s">
        <v>46</v>
      </c>
      <c r="G173" t="s">
        <v>47</v>
      </c>
      <c r="I173" t="s">
        <v>61</v>
      </c>
      <c r="O173">
        <v>0.7</v>
      </c>
      <c r="P173" t="s">
        <v>208</v>
      </c>
      <c r="Q173">
        <v>92.1</v>
      </c>
      <c r="R173">
        <v>2</v>
      </c>
      <c r="S173" s="2">
        <v>0</v>
      </c>
      <c r="T173" s="3">
        <v>132</v>
      </c>
      <c r="U173" s="4">
        <v>0</v>
      </c>
      <c r="V173" s="2">
        <v>1</v>
      </c>
      <c r="W173" s="3">
        <v>1</v>
      </c>
      <c r="X173" s="3">
        <v>1</v>
      </c>
      <c r="Y173" s="3">
        <v>2</v>
      </c>
      <c r="Z173" s="3">
        <v>2</v>
      </c>
      <c r="AA173" s="3">
        <v>0</v>
      </c>
      <c r="AB173" s="4">
        <v>0</v>
      </c>
      <c r="AD173">
        <f t="shared" si="2"/>
        <v>132</v>
      </c>
    </row>
    <row r="174" spans="1:30" x14ac:dyDescent="0.35">
      <c r="A174" t="s">
        <v>471</v>
      </c>
      <c r="B174">
        <v>139</v>
      </c>
      <c r="C174" t="s">
        <v>7</v>
      </c>
      <c r="D174" t="s">
        <v>8</v>
      </c>
      <c r="E174" t="s">
        <v>46</v>
      </c>
      <c r="O174">
        <v>0.96</v>
      </c>
      <c r="P174" t="s">
        <v>222</v>
      </c>
      <c r="Q174">
        <v>92.5</v>
      </c>
      <c r="R174">
        <v>5</v>
      </c>
      <c r="S174" s="2">
        <v>0</v>
      </c>
      <c r="T174" s="3">
        <v>2</v>
      </c>
      <c r="U174" s="4">
        <v>106</v>
      </c>
      <c r="V174" s="2">
        <v>3</v>
      </c>
      <c r="W174" s="3">
        <v>20</v>
      </c>
      <c r="X174" s="3">
        <v>5</v>
      </c>
      <c r="Y174" s="3">
        <v>2</v>
      </c>
      <c r="Z174" s="3">
        <v>1</v>
      </c>
      <c r="AA174" s="3">
        <v>0</v>
      </c>
      <c r="AB174" s="4">
        <v>0</v>
      </c>
      <c r="AD174">
        <f t="shared" si="2"/>
        <v>106</v>
      </c>
    </row>
    <row r="175" spans="1:30" x14ac:dyDescent="0.35">
      <c r="A175" t="s">
        <v>508</v>
      </c>
      <c r="B175">
        <v>138</v>
      </c>
      <c r="C175" t="s">
        <v>7</v>
      </c>
      <c r="D175" t="s">
        <v>8</v>
      </c>
      <c r="E175" t="s">
        <v>9</v>
      </c>
      <c r="G175" t="s">
        <v>10</v>
      </c>
      <c r="I175" t="s">
        <v>107</v>
      </c>
      <c r="K175" t="s">
        <v>308</v>
      </c>
      <c r="M175" t="s">
        <v>309</v>
      </c>
      <c r="O175">
        <v>1</v>
      </c>
      <c r="P175" t="s">
        <v>615</v>
      </c>
      <c r="Q175">
        <v>99.6</v>
      </c>
      <c r="R175">
        <v>3</v>
      </c>
      <c r="S175" s="2">
        <v>25</v>
      </c>
      <c r="T175" s="3">
        <v>0</v>
      </c>
      <c r="U175" s="4">
        <v>4</v>
      </c>
      <c r="V175" s="2">
        <v>1</v>
      </c>
      <c r="W175" s="3">
        <v>0</v>
      </c>
      <c r="X175" s="3">
        <v>107</v>
      </c>
      <c r="Y175" s="3">
        <v>0</v>
      </c>
      <c r="Z175" s="3">
        <v>0</v>
      </c>
      <c r="AA175" s="3">
        <v>0</v>
      </c>
      <c r="AB175" s="4">
        <v>1</v>
      </c>
      <c r="AD175">
        <f t="shared" si="2"/>
        <v>107</v>
      </c>
    </row>
    <row r="176" spans="1:30" x14ac:dyDescent="0.35">
      <c r="A176" t="s">
        <v>444</v>
      </c>
      <c r="B176">
        <v>137</v>
      </c>
      <c r="C176" t="s">
        <v>7</v>
      </c>
      <c r="D176" t="s">
        <v>8</v>
      </c>
      <c r="E176" t="s">
        <v>46</v>
      </c>
      <c r="G176" t="s">
        <v>47</v>
      </c>
      <c r="I176" t="s">
        <v>61</v>
      </c>
      <c r="O176">
        <v>0.55000000000000004</v>
      </c>
      <c r="P176" t="s">
        <v>545</v>
      </c>
      <c r="Q176">
        <v>89.3</v>
      </c>
      <c r="R176">
        <v>2</v>
      </c>
      <c r="S176" s="2">
        <v>3</v>
      </c>
      <c r="T176" s="3">
        <v>1</v>
      </c>
      <c r="U176" s="4">
        <v>0</v>
      </c>
      <c r="V176" s="2">
        <v>24</v>
      </c>
      <c r="W176" s="3">
        <v>2</v>
      </c>
      <c r="X176" s="3">
        <v>99</v>
      </c>
      <c r="Y176" s="3">
        <v>1</v>
      </c>
      <c r="Z176" s="3">
        <v>1</v>
      </c>
      <c r="AA176" s="3">
        <v>5</v>
      </c>
      <c r="AB176" s="4">
        <v>1</v>
      </c>
      <c r="AD176">
        <f t="shared" si="2"/>
        <v>99</v>
      </c>
    </row>
    <row r="177" spans="1:30" x14ac:dyDescent="0.35">
      <c r="A177" t="s">
        <v>515</v>
      </c>
      <c r="B177">
        <v>136</v>
      </c>
      <c r="C177" t="s">
        <v>7</v>
      </c>
      <c r="D177" t="s">
        <v>8</v>
      </c>
      <c r="E177" t="s">
        <v>46</v>
      </c>
      <c r="G177" t="s">
        <v>364</v>
      </c>
      <c r="I177" t="s">
        <v>416</v>
      </c>
      <c r="K177" t="s">
        <v>678</v>
      </c>
      <c r="M177" t="s">
        <v>679</v>
      </c>
      <c r="O177">
        <v>0.66</v>
      </c>
      <c r="P177" t="s">
        <v>680</v>
      </c>
      <c r="Q177">
        <v>98.8</v>
      </c>
      <c r="R177">
        <v>6</v>
      </c>
      <c r="S177" s="2">
        <v>0</v>
      </c>
      <c r="T177" s="3">
        <v>1</v>
      </c>
      <c r="U177" s="4">
        <v>0</v>
      </c>
      <c r="V177" s="2">
        <v>0</v>
      </c>
      <c r="W177" s="3">
        <v>0</v>
      </c>
      <c r="X177" s="3">
        <v>12</v>
      </c>
      <c r="Y177" s="3">
        <v>1</v>
      </c>
      <c r="Z177" s="3">
        <v>122</v>
      </c>
      <c r="AA177" s="3">
        <v>0</v>
      </c>
      <c r="AB177" s="4">
        <v>0</v>
      </c>
      <c r="AD177">
        <f t="shared" si="2"/>
        <v>122</v>
      </c>
    </row>
    <row r="178" spans="1:30" x14ac:dyDescent="0.35">
      <c r="A178" t="s">
        <v>681</v>
      </c>
      <c r="B178">
        <v>135</v>
      </c>
      <c r="C178" t="s">
        <v>7</v>
      </c>
      <c r="D178" t="s">
        <v>8</v>
      </c>
      <c r="E178" t="s">
        <v>165</v>
      </c>
      <c r="G178" t="s">
        <v>166</v>
      </c>
      <c r="I178" t="s">
        <v>167</v>
      </c>
      <c r="K178" t="s">
        <v>168</v>
      </c>
      <c r="M178" t="s">
        <v>198</v>
      </c>
      <c r="O178">
        <v>0.84</v>
      </c>
      <c r="P178" t="s">
        <v>199</v>
      </c>
      <c r="Q178">
        <v>91.7</v>
      </c>
      <c r="R178">
        <v>1</v>
      </c>
      <c r="S178" s="2">
        <v>58</v>
      </c>
      <c r="T178" s="3">
        <v>0</v>
      </c>
      <c r="U178" s="4">
        <v>0</v>
      </c>
      <c r="V178" s="2">
        <v>0</v>
      </c>
      <c r="W178" s="3">
        <v>1</v>
      </c>
      <c r="X178" s="3">
        <v>58</v>
      </c>
      <c r="Y178" s="3">
        <v>13</v>
      </c>
      <c r="Z178" s="3">
        <v>3</v>
      </c>
      <c r="AA178" s="3">
        <v>1</v>
      </c>
      <c r="AB178" s="4">
        <v>1</v>
      </c>
      <c r="AD178">
        <f t="shared" si="2"/>
        <v>58</v>
      </c>
    </row>
    <row r="179" spans="1:30" x14ac:dyDescent="0.35">
      <c r="A179" t="s">
        <v>546</v>
      </c>
      <c r="B179">
        <v>135</v>
      </c>
      <c r="C179" t="s">
        <v>7</v>
      </c>
      <c r="D179" t="s">
        <v>8</v>
      </c>
      <c r="E179" t="s">
        <v>9</v>
      </c>
      <c r="G179" t="s">
        <v>10</v>
      </c>
      <c r="I179" t="s">
        <v>682</v>
      </c>
      <c r="K179" t="s">
        <v>683</v>
      </c>
      <c r="M179" t="s">
        <v>684</v>
      </c>
      <c r="O179">
        <v>0.86</v>
      </c>
      <c r="P179" t="s">
        <v>685</v>
      </c>
      <c r="Q179">
        <v>93.7</v>
      </c>
      <c r="R179">
        <v>2</v>
      </c>
      <c r="S179" s="2">
        <v>1</v>
      </c>
      <c r="T179" s="3">
        <v>0</v>
      </c>
      <c r="U179" s="4">
        <v>0</v>
      </c>
      <c r="V179" s="2">
        <v>0</v>
      </c>
      <c r="W179" s="3">
        <v>1</v>
      </c>
      <c r="X179" s="3">
        <v>1</v>
      </c>
      <c r="Y179" s="3">
        <v>112</v>
      </c>
      <c r="Z179" s="3">
        <v>20</v>
      </c>
      <c r="AA179" s="3">
        <v>0</v>
      </c>
      <c r="AB179" s="4">
        <v>0</v>
      </c>
      <c r="AD179">
        <f t="shared" si="2"/>
        <v>112</v>
      </c>
    </row>
    <row r="180" spans="1:30" x14ac:dyDescent="0.35">
      <c r="A180" t="s">
        <v>526</v>
      </c>
      <c r="B180">
        <v>134</v>
      </c>
      <c r="C180" t="s">
        <v>7</v>
      </c>
      <c r="D180" t="s">
        <v>8</v>
      </c>
      <c r="E180" t="s">
        <v>46</v>
      </c>
      <c r="G180" t="s">
        <v>47</v>
      </c>
      <c r="O180">
        <v>0.84</v>
      </c>
      <c r="P180" t="s">
        <v>127</v>
      </c>
      <c r="Q180">
        <v>88.9</v>
      </c>
      <c r="R180">
        <v>2</v>
      </c>
      <c r="S180" s="2">
        <v>1</v>
      </c>
      <c r="T180" s="3">
        <v>129</v>
      </c>
      <c r="U180" s="4">
        <v>0</v>
      </c>
      <c r="V180" s="2">
        <v>0</v>
      </c>
      <c r="W180" s="3">
        <v>2</v>
      </c>
      <c r="X180" s="3">
        <v>0</v>
      </c>
      <c r="Y180" s="3">
        <v>1</v>
      </c>
      <c r="Z180" s="3">
        <v>1</v>
      </c>
      <c r="AA180" s="3">
        <v>0</v>
      </c>
      <c r="AB180" s="4">
        <v>0</v>
      </c>
      <c r="AD180">
        <f t="shared" si="2"/>
        <v>129</v>
      </c>
    </row>
    <row r="181" spans="1:30" x14ac:dyDescent="0.35">
      <c r="A181" t="s">
        <v>506</v>
      </c>
      <c r="B181">
        <v>128</v>
      </c>
      <c r="C181" t="s">
        <v>7</v>
      </c>
      <c r="D181" t="s">
        <v>8</v>
      </c>
      <c r="E181" t="s">
        <v>46</v>
      </c>
      <c r="G181" t="s">
        <v>47</v>
      </c>
      <c r="O181">
        <v>0.52</v>
      </c>
      <c r="P181" t="s">
        <v>545</v>
      </c>
      <c r="Q181">
        <v>89.3</v>
      </c>
      <c r="R181">
        <v>1</v>
      </c>
      <c r="S181" s="2">
        <v>0</v>
      </c>
      <c r="T181" s="3">
        <v>0</v>
      </c>
      <c r="U181" s="4">
        <v>0</v>
      </c>
      <c r="V181" s="2">
        <v>0</v>
      </c>
      <c r="W181" s="3">
        <v>1</v>
      </c>
      <c r="X181" s="3">
        <v>125</v>
      </c>
      <c r="Y181" s="3">
        <v>0</v>
      </c>
      <c r="Z181" s="3">
        <v>0</v>
      </c>
      <c r="AA181" s="3">
        <v>2</v>
      </c>
      <c r="AB181" s="4">
        <v>0</v>
      </c>
      <c r="AD181">
        <f t="shared" si="2"/>
        <v>125</v>
      </c>
    </row>
    <row r="182" spans="1:30" x14ac:dyDescent="0.35">
      <c r="A182" t="s">
        <v>513</v>
      </c>
      <c r="B182">
        <v>120</v>
      </c>
      <c r="C182" t="s">
        <v>7</v>
      </c>
      <c r="D182" t="s">
        <v>8</v>
      </c>
      <c r="O182">
        <v>1</v>
      </c>
      <c r="P182" t="s">
        <v>686</v>
      </c>
      <c r="Q182">
        <v>85.4</v>
      </c>
      <c r="R182">
        <v>1</v>
      </c>
      <c r="S182" s="2">
        <v>0</v>
      </c>
      <c r="T182" s="3">
        <v>1</v>
      </c>
      <c r="U182" s="4">
        <v>1</v>
      </c>
      <c r="V182" s="2">
        <v>1</v>
      </c>
      <c r="W182" s="3">
        <v>0</v>
      </c>
      <c r="X182" s="3">
        <v>117</v>
      </c>
      <c r="Y182" s="3">
        <v>0</v>
      </c>
      <c r="Z182" s="3">
        <v>0</v>
      </c>
      <c r="AA182" s="3">
        <v>0</v>
      </c>
      <c r="AB182" s="4">
        <v>0</v>
      </c>
      <c r="AD182">
        <f t="shared" si="2"/>
        <v>117</v>
      </c>
    </row>
    <row r="183" spans="1:30" x14ac:dyDescent="0.35">
      <c r="A183" t="s">
        <v>537</v>
      </c>
      <c r="B183">
        <v>117</v>
      </c>
      <c r="C183" t="s">
        <v>7</v>
      </c>
      <c r="D183" t="s">
        <v>8</v>
      </c>
      <c r="E183" t="s">
        <v>46</v>
      </c>
      <c r="G183" t="s">
        <v>47</v>
      </c>
      <c r="I183" t="s">
        <v>61</v>
      </c>
      <c r="K183" t="s">
        <v>190</v>
      </c>
      <c r="O183">
        <v>0.73</v>
      </c>
      <c r="P183" t="s">
        <v>687</v>
      </c>
      <c r="Q183">
        <v>92.5</v>
      </c>
      <c r="R183">
        <v>4</v>
      </c>
      <c r="S183" s="2">
        <v>0</v>
      </c>
      <c r="T183" s="3">
        <v>0</v>
      </c>
      <c r="U183" s="4">
        <v>0</v>
      </c>
      <c r="V183" s="2">
        <v>48</v>
      </c>
      <c r="W183" s="3">
        <v>57</v>
      </c>
      <c r="X183" s="3">
        <v>0</v>
      </c>
      <c r="Y183" s="3">
        <v>1</v>
      </c>
      <c r="Z183" s="3">
        <v>11</v>
      </c>
      <c r="AA183" s="3">
        <v>0</v>
      </c>
      <c r="AB183" s="4">
        <v>0</v>
      </c>
      <c r="AD183">
        <f t="shared" si="2"/>
        <v>57</v>
      </c>
    </row>
    <row r="184" spans="1:30" x14ac:dyDescent="0.35">
      <c r="A184" t="s">
        <v>252</v>
      </c>
      <c r="B184">
        <v>113</v>
      </c>
      <c r="C184" t="s">
        <v>7</v>
      </c>
      <c r="D184" t="s">
        <v>8</v>
      </c>
      <c r="E184" t="s">
        <v>46</v>
      </c>
      <c r="G184" t="s">
        <v>47</v>
      </c>
      <c r="I184" t="s">
        <v>61</v>
      </c>
      <c r="K184" t="s">
        <v>178</v>
      </c>
      <c r="O184">
        <v>0.94</v>
      </c>
      <c r="P184" t="s">
        <v>574</v>
      </c>
      <c r="Q184">
        <v>95.6</v>
      </c>
      <c r="R184">
        <v>1</v>
      </c>
      <c r="S184" s="2">
        <v>2</v>
      </c>
      <c r="T184" s="3">
        <v>0</v>
      </c>
      <c r="U184" s="4">
        <v>0</v>
      </c>
      <c r="V184" s="2">
        <v>13</v>
      </c>
      <c r="W184" s="3">
        <v>20</v>
      </c>
      <c r="X184" s="3">
        <v>16</v>
      </c>
      <c r="Y184" s="3">
        <v>12</v>
      </c>
      <c r="Z184" s="3">
        <v>21</v>
      </c>
      <c r="AA184" s="3">
        <v>6</v>
      </c>
      <c r="AB184" s="4">
        <v>23</v>
      </c>
      <c r="AD184">
        <f t="shared" si="2"/>
        <v>23</v>
      </c>
    </row>
    <row r="185" spans="1:30" x14ac:dyDescent="0.35">
      <c r="A185" t="s">
        <v>456</v>
      </c>
      <c r="B185">
        <v>110</v>
      </c>
      <c r="C185" t="s">
        <v>7</v>
      </c>
      <c r="D185" t="s">
        <v>8</v>
      </c>
      <c r="E185" t="s">
        <v>32</v>
      </c>
      <c r="G185" t="s">
        <v>35</v>
      </c>
      <c r="I185" t="s">
        <v>36</v>
      </c>
      <c r="K185" t="s">
        <v>194</v>
      </c>
      <c r="M185" t="s">
        <v>195</v>
      </c>
      <c r="O185">
        <v>0.6</v>
      </c>
      <c r="P185" t="s">
        <v>196</v>
      </c>
      <c r="Q185">
        <v>92.5</v>
      </c>
      <c r="R185">
        <v>1</v>
      </c>
      <c r="S185" s="2">
        <v>0</v>
      </c>
      <c r="T185" s="3">
        <v>0</v>
      </c>
      <c r="U185" s="4">
        <v>32</v>
      </c>
      <c r="V185" s="2">
        <v>3</v>
      </c>
      <c r="W185" s="3">
        <v>2</v>
      </c>
      <c r="X185" s="3">
        <v>4</v>
      </c>
      <c r="Y185" s="3">
        <v>4</v>
      </c>
      <c r="Z185" s="3">
        <v>4</v>
      </c>
      <c r="AA185" s="3">
        <v>26</v>
      </c>
      <c r="AB185" s="4">
        <v>35</v>
      </c>
      <c r="AD185">
        <f t="shared" si="2"/>
        <v>35</v>
      </c>
    </row>
    <row r="186" spans="1:30" x14ac:dyDescent="0.35">
      <c r="A186" t="s">
        <v>504</v>
      </c>
      <c r="B186">
        <v>110</v>
      </c>
      <c r="C186" t="s">
        <v>7</v>
      </c>
      <c r="D186" t="s">
        <v>8</v>
      </c>
      <c r="E186" t="s">
        <v>114</v>
      </c>
      <c r="G186" t="s">
        <v>115</v>
      </c>
      <c r="I186" t="s">
        <v>116</v>
      </c>
      <c r="K186" t="s">
        <v>117</v>
      </c>
      <c r="M186" t="s">
        <v>118</v>
      </c>
      <c r="O186">
        <v>1</v>
      </c>
      <c r="P186" t="s">
        <v>215</v>
      </c>
      <c r="Q186">
        <v>100</v>
      </c>
      <c r="R186">
        <v>1</v>
      </c>
      <c r="S186" s="2">
        <v>0</v>
      </c>
      <c r="T186" s="3">
        <v>109</v>
      </c>
      <c r="U186" s="4">
        <v>0</v>
      </c>
      <c r="V186" s="2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4">
        <v>1</v>
      </c>
      <c r="AD186">
        <f t="shared" si="2"/>
        <v>109</v>
      </c>
    </row>
    <row r="187" spans="1:30" x14ac:dyDescent="0.35">
      <c r="A187" t="s">
        <v>447</v>
      </c>
      <c r="B187">
        <v>108</v>
      </c>
      <c r="C187" t="s">
        <v>7</v>
      </c>
      <c r="D187" t="s">
        <v>8</v>
      </c>
      <c r="E187" t="s">
        <v>9</v>
      </c>
      <c r="G187" t="s">
        <v>10</v>
      </c>
      <c r="I187" t="s">
        <v>682</v>
      </c>
      <c r="K187" t="s">
        <v>688</v>
      </c>
      <c r="M187" t="s">
        <v>689</v>
      </c>
      <c r="O187">
        <v>0.93</v>
      </c>
      <c r="P187" t="s">
        <v>690</v>
      </c>
      <c r="Q187">
        <v>94.9</v>
      </c>
      <c r="R187">
        <v>1</v>
      </c>
      <c r="S187" s="2">
        <v>1</v>
      </c>
      <c r="T187" s="3">
        <v>0</v>
      </c>
      <c r="U187" s="4">
        <v>0</v>
      </c>
      <c r="V187" s="2">
        <v>1</v>
      </c>
      <c r="W187" s="3">
        <v>0</v>
      </c>
      <c r="X187" s="3">
        <v>91</v>
      </c>
      <c r="Y187" s="3">
        <v>0</v>
      </c>
      <c r="Z187" s="3">
        <v>0</v>
      </c>
      <c r="AA187" s="3">
        <v>15</v>
      </c>
      <c r="AB187" s="4">
        <v>0</v>
      </c>
      <c r="AD187">
        <f t="shared" si="2"/>
        <v>91</v>
      </c>
    </row>
    <row r="188" spans="1:30" x14ac:dyDescent="0.35">
      <c r="A188" t="s">
        <v>541</v>
      </c>
      <c r="B188">
        <v>106</v>
      </c>
      <c r="C188" t="s">
        <v>7</v>
      </c>
      <c r="D188" t="s">
        <v>8</v>
      </c>
      <c r="E188" t="s">
        <v>46</v>
      </c>
      <c r="G188" t="s">
        <v>47</v>
      </c>
      <c r="I188" t="s">
        <v>61</v>
      </c>
      <c r="O188">
        <v>0.73</v>
      </c>
      <c r="P188" t="s">
        <v>62</v>
      </c>
      <c r="Q188">
        <v>90.9</v>
      </c>
      <c r="R188">
        <v>1</v>
      </c>
      <c r="S188" s="2">
        <v>0</v>
      </c>
      <c r="T188" s="3">
        <v>0</v>
      </c>
      <c r="U188" s="4">
        <v>0</v>
      </c>
      <c r="V188" s="2">
        <v>2</v>
      </c>
      <c r="W188" s="3">
        <v>12</v>
      </c>
      <c r="X188" s="3">
        <v>3</v>
      </c>
      <c r="Y188" s="3">
        <v>1</v>
      </c>
      <c r="Z188" s="3">
        <v>87</v>
      </c>
      <c r="AA188" s="3">
        <v>1</v>
      </c>
      <c r="AB188" s="4">
        <v>0</v>
      </c>
      <c r="AD188">
        <f t="shared" si="2"/>
        <v>87</v>
      </c>
    </row>
    <row r="189" spans="1:30" x14ac:dyDescent="0.35">
      <c r="A189" t="s">
        <v>581</v>
      </c>
      <c r="B189">
        <v>105</v>
      </c>
      <c r="C189" t="s">
        <v>7</v>
      </c>
      <c r="D189" t="s">
        <v>8</v>
      </c>
      <c r="E189" t="s">
        <v>46</v>
      </c>
      <c r="G189" t="s">
        <v>64</v>
      </c>
      <c r="I189" t="s">
        <v>65</v>
      </c>
      <c r="K189" t="s">
        <v>66</v>
      </c>
      <c r="O189">
        <v>0.83</v>
      </c>
      <c r="P189" t="s">
        <v>281</v>
      </c>
      <c r="Q189">
        <v>89.3</v>
      </c>
      <c r="R189">
        <v>1</v>
      </c>
      <c r="S189" s="2">
        <v>5</v>
      </c>
      <c r="T189" s="3">
        <v>0</v>
      </c>
      <c r="U189" s="4">
        <v>28</v>
      </c>
      <c r="V189" s="2">
        <v>2</v>
      </c>
      <c r="W189" s="3">
        <v>16</v>
      </c>
      <c r="X189" s="3">
        <v>1</v>
      </c>
      <c r="Y189" s="3">
        <v>1</v>
      </c>
      <c r="Z189" s="3">
        <v>27</v>
      </c>
      <c r="AA189" s="3">
        <v>5</v>
      </c>
      <c r="AB189" s="4">
        <v>20</v>
      </c>
      <c r="AD189">
        <f t="shared" si="2"/>
        <v>28</v>
      </c>
    </row>
    <row r="190" spans="1:30" x14ac:dyDescent="0.35">
      <c r="A190" t="s">
        <v>407</v>
      </c>
      <c r="B190">
        <v>105</v>
      </c>
      <c r="C190" t="s">
        <v>7</v>
      </c>
      <c r="D190" t="s">
        <v>8</v>
      </c>
      <c r="E190" t="s">
        <v>32</v>
      </c>
      <c r="G190" t="s">
        <v>35</v>
      </c>
      <c r="I190" t="s">
        <v>36</v>
      </c>
      <c r="K190" t="s">
        <v>143</v>
      </c>
      <c r="M190" t="s">
        <v>691</v>
      </c>
      <c r="O190">
        <v>0.94</v>
      </c>
      <c r="P190" t="s">
        <v>692</v>
      </c>
      <c r="Q190">
        <v>96.4</v>
      </c>
      <c r="R190">
        <v>1</v>
      </c>
      <c r="S190" s="2">
        <v>0</v>
      </c>
      <c r="T190" s="3">
        <v>0</v>
      </c>
      <c r="U190" s="4">
        <v>0</v>
      </c>
      <c r="V190" s="2">
        <v>51</v>
      </c>
      <c r="W190" s="3">
        <v>0</v>
      </c>
      <c r="X190" s="3">
        <v>37</v>
      </c>
      <c r="Y190" s="3">
        <v>5</v>
      </c>
      <c r="Z190" s="3">
        <v>0</v>
      </c>
      <c r="AA190" s="3">
        <v>5</v>
      </c>
      <c r="AB190" s="4">
        <v>7</v>
      </c>
      <c r="AD190">
        <f t="shared" si="2"/>
        <v>51</v>
      </c>
    </row>
    <row r="191" spans="1:30" x14ac:dyDescent="0.35">
      <c r="A191" t="s">
        <v>155</v>
      </c>
      <c r="B191">
        <v>103</v>
      </c>
      <c r="C191" t="s">
        <v>7</v>
      </c>
      <c r="D191" t="s">
        <v>8</v>
      </c>
      <c r="E191" t="s">
        <v>46</v>
      </c>
      <c r="G191" t="s">
        <v>47</v>
      </c>
      <c r="O191">
        <v>0.56000000000000005</v>
      </c>
      <c r="P191" t="s">
        <v>693</v>
      </c>
      <c r="Q191">
        <v>88.9</v>
      </c>
      <c r="R191">
        <v>2</v>
      </c>
      <c r="S191" s="2">
        <v>0</v>
      </c>
      <c r="T191" s="3">
        <v>0</v>
      </c>
      <c r="U191" s="4">
        <v>0</v>
      </c>
      <c r="V191" s="2">
        <v>5</v>
      </c>
      <c r="W191" s="3">
        <v>0</v>
      </c>
      <c r="X191" s="3">
        <v>0</v>
      </c>
      <c r="Y191" s="3">
        <v>1</v>
      </c>
      <c r="Z191" s="3">
        <v>96</v>
      </c>
      <c r="AA191" s="3">
        <v>1</v>
      </c>
      <c r="AB191" s="4">
        <v>0</v>
      </c>
      <c r="AD191">
        <f t="shared" si="2"/>
        <v>96</v>
      </c>
    </row>
    <row r="192" spans="1:30" x14ac:dyDescent="0.35">
      <c r="A192" t="s">
        <v>532</v>
      </c>
      <c r="B192">
        <v>100</v>
      </c>
      <c r="C192" t="s">
        <v>7</v>
      </c>
      <c r="D192" t="s">
        <v>8</v>
      </c>
      <c r="E192" t="s">
        <v>46</v>
      </c>
      <c r="G192" t="s">
        <v>47</v>
      </c>
      <c r="O192">
        <v>0.56000000000000005</v>
      </c>
      <c r="P192" t="s">
        <v>694</v>
      </c>
      <c r="Q192">
        <v>92.1</v>
      </c>
      <c r="R192">
        <v>2</v>
      </c>
      <c r="S192" s="2">
        <v>0</v>
      </c>
      <c r="T192" s="3">
        <v>0</v>
      </c>
      <c r="U192" s="4">
        <v>0</v>
      </c>
      <c r="V192" s="2">
        <v>4</v>
      </c>
      <c r="W192" s="3">
        <v>4</v>
      </c>
      <c r="X192" s="3">
        <v>9</v>
      </c>
      <c r="Y192" s="3">
        <v>80</v>
      </c>
      <c r="Z192" s="3">
        <v>3</v>
      </c>
      <c r="AA192" s="3">
        <v>0</v>
      </c>
      <c r="AB192" s="4">
        <v>0</v>
      </c>
      <c r="AD192">
        <f t="shared" si="2"/>
        <v>80</v>
      </c>
    </row>
    <row r="193" spans="1:30" x14ac:dyDescent="0.35">
      <c r="A193" t="s">
        <v>448</v>
      </c>
      <c r="B193">
        <v>99</v>
      </c>
      <c r="C193" t="s">
        <v>7</v>
      </c>
      <c r="D193" t="s">
        <v>8</v>
      </c>
      <c r="E193" t="s">
        <v>46</v>
      </c>
      <c r="G193" t="s">
        <v>47</v>
      </c>
      <c r="I193" t="s">
        <v>61</v>
      </c>
      <c r="K193" t="s">
        <v>190</v>
      </c>
      <c r="M193" t="s">
        <v>695</v>
      </c>
      <c r="O193">
        <v>0.6</v>
      </c>
      <c r="P193" t="s">
        <v>343</v>
      </c>
      <c r="Q193">
        <v>93.7</v>
      </c>
      <c r="R193">
        <v>1</v>
      </c>
      <c r="S193" s="2">
        <v>0</v>
      </c>
      <c r="T193" s="3">
        <v>1</v>
      </c>
      <c r="U193" s="4">
        <v>0</v>
      </c>
      <c r="V193" s="2">
        <v>2</v>
      </c>
      <c r="W193" s="3">
        <v>0</v>
      </c>
      <c r="X193" s="3">
        <v>88</v>
      </c>
      <c r="Y193" s="3">
        <v>1</v>
      </c>
      <c r="Z193" s="3">
        <v>7</v>
      </c>
      <c r="AA193" s="3">
        <v>0</v>
      </c>
      <c r="AB193" s="4">
        <v>0</v>
      </c>
      <c r="AD193">
        <f t="shared" si="2"/>
        <v>88</v>
      </c>
    </row>
    <row r="194" spans="1:30" x14ac:dyDescent="0.35">
      <c r="A194" t="s">
        <v>572</v>
      </c>
      <c r="B194">
        <v>99</v>
      </c>
      <c r="C194" t="s">
        <v>7</v>
      </c>
      <c r="D194" t="s">
        <v>8</v>
      </c>
      <c r="E194" t="s">
        <v>46</v>
      </c>
      <c r="G194" t="s">
        <v>47</v>
      </c>
      <c r="I194" t="s">
        <v>61</v>
      </c>
      <c r="O194">
        <v>0.52</v>
      </c>
      <c r="P194" t="s">
        <v>288</v>
      </c>
      <c r="Q194">
        <v>88.2</v>
      </c>
      <c r="R194">
        <v>1</v>
      </c>
      <c r="S194" s="2">
        <v>2</v>
      </c>
      <c r="T194" s="3">
        <v>0</v>
      </c>
      <c r="U194" s="4">
        <v>39</v>
      </c>
      <c r="V194" s="2">
        <v>1</v>
      </c>
      <c r="W194" s="3">
        <v>50</v>
      </c>
      <c r="X194" s="3">
        <v>2</v>
      </c>
      <c r="Y194" s="3">
        <v>0</v>
      </c>
      <c r="Z194" s="3">
        <v>1</v>
      </c>
      <c r="AA194" s="3">
        <v>1</v>
      </c>
      <c r="AB194" s="4">
        <v>3</v>
      </c>
      <c r="AD194">
        <f t="shared" si="2"/>
        <v>50</v>
      </c>
    </row>
    <row r="195" spans="1:30" x14ac:dyDescent="0.35">
      <c r="A195" t="s">
        <v>559</v>
      </c>
      <c r="B195">
        <v>96</v>
      </c>
      <c r="C195" t="s">
        <v>7</v>
      </c>
      <c r="D195" t="s">
        <v>8</v>
      </c>
      <c r="E195" t="s">
        <v>46</v>
      </c>
      <c r="G195" t="s">
        <v>364</v>
      </c>
      <c r="I195" t="s">
        <v>416</v>
      </c>
      <c r="K195" t="s">
        <v>678</v>
      </c>
      <c r="M195" t="s">
        <v>679</v>
      </c>
      <c r="O195">
        <v>0.75</v>
      </c>
      <c r="P195" t="s">
        <v>696</v>
      </c>
      <c r="Q195">
        <v>99.2</v>
      </c>
      <c r="R195">
        <v>2</v>
      </c>
      <c r="S195" s="2">
        <v>0</v>
      </c>
      <c r="T195" s="3">
        <v>1</v>
      </c>
      <c r="U195" s="4">
        <v>0</v>
      </c>
      <c r="V195" s="2">
        <v>0</v>
      </c>
      <c r="W195" s="3">
        <v>0</v>
      </c>
      <c r="X195" s="3">
        <v>0</v>
      </c>
      <c r="Y195" s="3">
        <v>0</v>
      </c>
      <c r="Z195" s="3">
        <v>94</v>
      </c>
      <c r="AA195" s="3">
        <v>1</v>
      </c>
      <c r="AB195" s="4">
        <v>0</v>
      </c>
      <c r="AD195">
        <f t="shared" si="2"/>
        <v>94</v>
      </c>
    </row>
    <row r="196" spans="1:30" x14ac:dyDescent="0.35">
      <c r="A196" t="s">
        <v>542</v>
      </c>
      <c r="B196">
        <v>94</v>
      </c>
      <c r="C196" t="s">
        <v>7</v>
      </c>
      <c r="D196" t="s">
        <v>8</v>
      </c>
      <c r="E196" t="s">
        <v>46</v>
      </c>
      <c r="G196" t="s">
        <v>47</v>
      </c>
      <c r="I196" t="s">
        <v>61</v>
      </c>
      <c r="O196">
        <v>0.93</v>
      </c>
      <c r="P196" t="s">
        <v>697</v>
      </c>
      <c r="Q196">
        <v>92.5</v>
      </c>
      <c r="R196">
        <v>3</v>
      </c>
      <c r="S196" s="2">
        <v>0</v>
      </c>
      <c r="T196" s="3">
        <v>0</v>
      </c>
      <c r="U196" s="4">
        <v>0</v>
      </c>
      <c r="V196" s="2">
        <v>2</v>
      </c>
      <c r="W196" s="3">
        <v>0</v>
      </c>
      <c r="X196" s="3">
        <v>6</v>
      </c>
      <c r="Y196" s="3">
        <v>86</v>
      </c>
      <c r="Z196" s="3">
        <v>0</v>
      </c>
      <c r="AA196" s="3">
        <v>0</v>
      </c>
      <c r="AB196" s="4">
        <v>0</v>
      </c>
      <c r="AD196">
        <f t="shared" si="2"/>
        <v>86</v>
      </c>
    </row>
    <row r="197" spans="1:30" x14ac:dyDescent="0.35">
      <c r="A197" t="s">
        <v>573</v>
      </c>
      <c r="B197">
        <v>93</v>
      </c>
      <c r="C197" t="s">
        <v>7</v>
      </c>
      <c r="D197" t="s">
        <v>8</v>
      </c>
      <c r="E197" t="s">
        <v>46</v>
      </c>
      <c r="G197" t="s">
        <v>47</v>
      </c>
      <c r="I197" t="s">
        <v>61</v>
      </c>
      <c r="K197" t="s">
        <v>210</v>
      </c>
      <c r="M197" t="s">
        <v>211</v>
      </c>
      <c r="O197">
        <v>0.94</v>
      </c>
      <c r="P197" t="s">
        <v>698</v>
      </c>
      <c r="Q197">
        <v>95.7</v>
      </c>
      <c r="R197">
        <v>2</v>
      </c>
      <c r="S197" s="2">
        <v>0</v>
      </c>
      <c r="T197" s="3">
        <v>1</v>
      </c>
      <c r="U197" s="4">
        <v>0</v>
      </c>
      <c r="V197" s="2">
        <v>0</v>
      </c>
      <c r="W197" s="3">
        <v>1</v>
      </c>
      <c r="X197" s="3">
        <v>88</v>
      </c>
      <c r="Y197" s="3">
        <v>2</v>
      </c>
      <c r="Z197" s="3">
        <v>1</v>
      </c>
      <c r="AA197" s="3">
        <v>0</v>
      </c>
      <c r="AB197" s="4">
        <v>0</v>
      </c>
      <c r="AD197">
        <f t="shared" ref="AD197:AD260" si="3">MAX(S197:AB197)</f>
        <v>88</v>
      </c>
    </row>
    <row r="198" spans="1:30" x14ac:dyDescent="0.35">
      <c r="A198" t="s">
        <v>519</v>
      </c>
      <c r="B198">
        <v>92</v>
      </c>
      <c r="C198" t="s">
        <v>7</v>
      </c>
      <c r="D198" t="s">
        <v>8</v>
      </c>
      <c r="E198" t="s">
        <v>46</v>
      </c>
      <c r="G198" t="s">
        <v>47</v>
      </c>
      <c r="I198" t="s">
        <v>61</v>
      </c>
      <c r="K198" t="s">
        <v>268</v>
      </c>
      <c r="M198" t="s">
        <v>269</v>
      </c>
      <c r="O198">
        <v>0.99</v>
      </c>
      <c r="P198" t="s">
        <v>270</v>
      </c>
      <c r="Q198">
        <v>95.7</v>
      </c>
      <c r="R198">
        <v>1</v>
      </c>
      <c r="S198" s="2">
        <v>0</v>
      </c>
      <c r="T198" s="3">
        <v>0</v>
      </c>
      <c r="U198" s="4">
        <v>34</v>
      </c>
      <c r="V198" s="2">
        <v>51</v>
      </c>
      <c r="W198" s="3">
        <v>7</v>
      </c>
      <c r="X198" s="3">
        <v>0</v>
      </c>
      <c r="Y198" s="3">
        <v>0</v>
      </c>
      <c r="Z198" s="3">
        <v>0</v>
      </c>
      <c r="AA198" s="3">
        <v>0</v>
      </c>
      <c r="AB198" s="4">
        <v>0</v>
      </c>
      <c r="AD198">
        <f t="shared" si="3"/>
        <v>51</v>
      </c>
    </row>
    <row r="199" spans="1:30" x14ac:dyDescent="0.35">
      <c r="A199" t="s">
        <v>560</v>
      </c>
      <c r="B199">
        <v>91</v>
      </c>
      <c r="C199" t="s">
        <v>7</v>
      </c>
      <c r="D199" t="s">
        <v>8</v>
      </c>
      <c r="E199" t="s">
        <v>46</v>
      </c>
      <c r="O199">
        <v>0.65</v>
      </c>
      <c r="P199" t="s">
        <v>699</v>
      </c>
      <c r="Q199">
        <v>88.4</v>
      </c>
      <c r="R199">
        <v>1</v>
      </c>
      <c r="S199" s="2">
        <v>0</v>
      </c>
      <c r="T199" s="3">
        <v>0</v>
      </c>
      <c r="U199" s="4">
        <v>0</v>
      </c>
      <c r="V199" s="2">
        <v>0</v>
      </c>
      <c r="W199" s="3">
        <v>50</v>
      </c>
      <c r="X199" s="3">
        <v>0</v>
      </c>
      <c r="Y199" s="3">
        <v>40</v>
      </c>
      <c r="Z199" s="3">
        <v>1</v>
      </c>
      <c r="AA199" s="3">
        <v>0</v>
      </c>
      <c r="AB199" s="4">
        <v>0</v>
      </c>
      <c r="AD199">
        <f t="shared" si="3"/>
        <v>50</v>
      </c>
    </row>
    <row r="200" spans="1:30" x14ac:dyDescent="0.35">
      <c r="A200" t="s">
        <v>501</v>
      </c>
      <c r="B200">
        <v>90</v>
      </c>
      <c r="C200" t="s">
        <v>7</v>
      </c>
      <c r="D200" t="s">
        <v>8</v>
      </c>
      <c r="E200" t="s">
        <v>46</v>
      </c>
      <c r="G200" t="s">
        <v>47</v>
      </c>
      <c r="I200" t="s">
        <v>61</v>
      </c>
      <c r="O200">
        <v>0.73</v>
      </c>
      <c r="P200" t="s">
        <v>98</v>
      </c>
      <c r="Q200">
        <v>0</v>
      </c>
      <c r="R200">
        <v>1</v>
      </c>
      <c r="S200" s="2">
        <v>43</v>
      </c>
      <c r="T200" s="3">
        <v>0</v>
      </c>
      <c r="U200" s="4">
        <v>0</v>
      </c>
      <c r="V200" s="2">
        <v>28</v>
      </c>
      <c r="W200" s="3">
        <v>2</v>
      </c>
      <c r="X200" s="3">
        <v>0</v>
      </c>
      <c r="Y200" s="3">
        <v>0</v>
      </c>
      <c r="Z200" s="3">
        <v>17</v>
      </c>
      <c r="AA200" s="3">
        <v>0</v>
      </c>
      <c r="AB200" s="4">
        <v>0</v>
      </c>
      <c r="AD200">
        <f t="shared" si="3"/>
        <v>43</v>
      </c>
    </row>
    <row r="201" spans="1:30" x14ac:dyDescent="0.35">
      <c r="A201" t="s">
        <v>533</v>
      </c>
      <c r="B201">
        <v>89</v>
      </c>
      <c r="C201" t="s">
        <v>7</v>
      </c>
      <c r="D201" t="s">
        <v>24</v>
      </c>
      <c r="E201" t="s">
        <v>25</v>
      </c>
      <c r="G201" t="s">
        <v>26</v>
      </c>
      <c r="I201" t="s">
        <v>27</v>
      </c>
      <c r="O201">
        <v>0.53</v>
      </c>
      <c r="P201" t="s">
        <v>337</v>
      </c>
      <c r="Q201">
        <v>85.8</v>
      </c>
      <c r="R201">
        <v>1</v>
      </c>
      <c r="S201" s="2">
        <v>24</v>
      </c>
      <c r="T201" s="3">
        <v>1</v>
      </c>
      <c r="U201" s="4">
        <v>0</v>
      </c>
      <c r="V201" s="2">
        <v>0</v>
      </c>
      <c r="W201" s="3">
        <v>13</v>
      </c>
      <c r="X201" s="3">
        <v>19</v>
      </c>
      <c r="Y201" s="3">
        <v>22</v>
      </c>
      <c r="Z201" s="3">
        <v>10</v>
      </c>
      <c r="AA201" s="3">
        <v>0</v>
      </c>
      <c r="AB201" s="4">
        <v>0</v>
      </c>
      <c r="AD201">
        <f t="shared" si="3"/>
        <v>24</v>
      </c>
    </row>
    <row r="202" spans="1:30" x14ac:dyDescent="0.35">
      <c r="A202" t="s">
        <v>534</v>
      </c>
      <c r="B202">
        <v>88</v>
      </c>
      <c r="C202" t="s">
        <v>7</v>
      </c>
      <c r="D202" t="s">
        <v>8</v>
      </c>
      <c r="E202" t="s">
        <v>700</v>
      </c>
      <c r="M202" t="s">
        <v>701</v>
      </c>
      <c r="O202">
        <v>0.91</v>
      </c>
      <c r="P202" t="s">
        <v>702</v>
      </c>
      <c r="Q202">
        <v>91.3</v>
      </c>
      <c r="R202">
        <v>1</v>
      </c>
      <c r="S202" s="2">
        <v>1</v>
      </c>
      <c r="T202" s="3">
        <v>0</v>
      </c>
      <c r="U202" s="4">
        <v>1</v>
      </c>
      <c r="V202" s="2">
        <v>1</v>
      </c>
      <c r="W202" s="3">
        <v>1</v>
      </c>
      <c r="X202" s="3">
        <v>82</v>
      </c>
      <c r="Y202" s="3">
        <v>0</v>
      </c>
      <c r="Z202" s="3">
        <v>1</v>
      </c>
      <c r="AA202" s="3">
        <v>0</v>
      </c>
      <c r="AB202" s="4">
        <v>1</v>
      </c>
      <c r="AD202">
        <f t="shared" si="3"/>
        <v>82</v>
      </c>
    </row>
    <row r="203" spans="1:30" x14ac:dyDescent="0.35">
      <c r="A203" t="s">
        <v>437</v>
      </c>
      <c r="B203">
        <v>88</v>
      </c>
      <c r="C203" t="s">
        <v>7</v>
      </c>
      <c r="D203" t="s">
        <v>8</v>
      </c>
      <c r="E203" t="s">
        <v>9</v>
      </c>
      <c r="O203">
        <v>0.53</v>
      </c>
      <c r="P203" t="s">
        <v>98</v>
      </c>
      <c r="Q203">
        <v>0</v>
      </c>
      <c r="R203">
        <v>1</v>
      </c>
      <c r="S203" s="2">
        <v>0</v>
      </c>
      <c r="T203" s="3">
        <v>1</v>
      </c>
      <c r="U203" s="4">
        <v>0</v>
      </c>
      <c r="V203" s="2">
        <v>0</v>
      </c>
      <c r="W203" s="3">
        <v>0</v>
      </c>
      <c r="X203" s="3">
        <v>85</v>
      </c>
      <c r="Y203" s="3">
        <v>0</v>
      </c>
      <c r="Z203" s="3">
        <v>2</v>
      </c>
      <c r="AA203" s="3">
        <v>0</v>
      </c>
      <c r="AB203" s="4">
        <v>0</v>
      </c>
      <c r="AD203">
        <f t="shared" si="3"/>
        <v>85</v>
      </c>
    </row>
    <row r="204" spans="1:30" x14ac:dyDescent="0.35">
      <c r="A204" t="s">
        <v>552</v>
      </c>
      <c r="B204">
        <v>80</v>
      </c>
      <c r="C204" t="s">
        <v>7</v>
      </c>
      <c r="D204" t="s">
        <v>8</v>
      </c>
      <c r="E204" t="s">
        <v>120</v>
      </c>
      <c r="G204" t="s">
        <v>121</v>
      </c>
      <c r="I204" t="s">
        <v>122</v>
      </c>
      <c r="K204" t="s">
        <v>123</v>
      </c>
      <c r="M204" t="s">
        <v>124</v>
      </c>
      <c r="O204">
        <v>0.56999999999999995</v>
      </c>
      <c r="P204" t="s">
        <v>478</v>
      </c>
      <c r="Q204">
        <v>91.7</v>
      </c>
      <c r="R204">
        <v>1</v>
      </c>
      <c r="S204" s="2">
        <v>0</v>
      </c>
      <c r="T204" s="3">
        <v>0</v>
      </c>
      <c r="U204" s="4">
        <v>7</v>
      </c>
      <c r="V204" s="2">
        <v>2</v>
      </c>
      <c r="W204" s="3">
        <v>0</v>
      </c>
      <c r="X204" s="3">
        <v>0</v>
      </c>
      <c r="Y204" s="3">
        <v>6</v>
      </c>
      <c r="Z204" s="3">
        <v>2</v>
      </c>
      <c r="AA204" s="3">
        <v>5</v>
      </c>
      <c r="AB204" s="4">
        <v>58</v>
      </c>
      <c r="AD204">
        <f t="shared" si="3"/>
        <v>58</v>
      </c>
    </row>
    <row r="205" spans="1:30" x14ac:dyDescent="0.35">
      <c r="A205" t="s">
        <v>553</v>
      </c>
      <c r="B205">
        <v>78</v>
      </c>
      <c r="C205" t="s">
        <v>7</v>
      </c>
      <c r="D205" t="s">
        <v>8</v>
      </c>
      <c r="E205" t="s">
        <v>46</v>
      </c>
      <c r="G205" t="s">
        <v>47</v>
      </c>
      <c r="I205" t="s">
        <v>61</v>
      </c>
      <c r="O205">
        <v>0.99</v>
      </c>
      <c r="P205" t="s">
        <v>470</v>
      </c>
      <c r="Q205">
        <v>93.3</v>
      </c>
      <c r="R205">
        <v>1</v>
      </c>
      <c r="S205" s="2">
        <v>8</v>
      </c>
      <c r="T205" s="3">
        <v>0</v>
      </c>
      <c r="U205" s="4">
        <v>0</v>
      </c>
      <c r="V205" s="2">
        <v>7</v>
      </c>
      <c r="W205" s="3">
        <v>0</v>
      </c>
      <c r="X205" s="3">
        <v>17</v>
      </c>
      <c r="Y205" s="3">
        <v>39</v>
      </c>
      <c r="Z205" s="3">
        <v>6</v>
      </c>
      <c r="AA205" s="3">
        <v>1</v>
      </c>
      <c r="AB205" s="4">
        <v>0</v>
      </c>
      <c r="AD205">
        <f t="shared" si="3"/>
        <v>39</v>
      </c>
    </row>
    <row r="206" spans="1:30" x14ac:dyDescent="0.35">
      <c r="A206" t="s">
        <v>483</v>
      </c>
      <c r="B206">
        <v>76</v>
      </c>
      <c r="C206" t="s">
        <v>7</v>
      </c>
      <c r="D206" t="s">
        <v>8</v>
      </c>
      <c r="E206" t="s">
        <v>46</v>
      </c>
      <c r="G206" t="s">
        <v>703</v>
      </c>
      <c r="I206" t="s">
        <v>704</v>
      </c>
      <c r="K206" t="s">
        <v>705</v>
      </c>
      <c r="M206" t="s">
        <v>706</v>
      </c>
      <c r="O206">
        <v>0.56000000000000005</v>
      </c>
      <c r="P206" t="s">
        <v>707</v>
      </c>
      <c r="Q206">
        <v>91.3</v>
      </c>
      <c r="R206">
        <v>2</v>
      </c>
      <c r="S206" s="2">
        <v>0</v>
      </c>
      <c r="T206" s="3">
        <v>0</v>
      </c>
      <c r="U206" s="4">
        <v>0</v>
      </c>
      <c r="V206" s="2">
        <v>0</v>
      </c>
      <c r="W206" s="3">
        <v>2</v>
      </c>
      <c r="X206" s="3">
        <v>20</v>
      </c>
      <c r="Y206" s="3">
        <v>1</v>
      </c>
      <c r="Z206" s="3">
        <v>13</v>
      </c>
      <c r="AA206" s="3">
        <v>28</v>
      </c>
      <c r="AB206" s="4">
        <v>12</v>
      </c>
      <c r="AD206">
        <f t="shared" si="3"/>
        <v>28</v>
      </c>
    </row>
    <row r="207" spans="1:30" x14ac:dyDescent="0.35">
      <c r="A207" t="s">
        <v>579</v>
      </c>
      <c r="B207">
        <v>76</v>
      </c>
      <c r="C207" t="s">
        <v>7</v>
      </c>
      <c r="D207" t="s">
        <v>8</v>
      </c>
      <c r="E207" t="s">
        <v>46</v>
      </c>
      <c r="G207" t="s">
        <v>47</v>
      </c>
      <c r="I207" t="s">
        <v>61</v>
      </c>
      <c r="K207" t="s">
        <v>190</v>
      </c>
      <c r="O207">
        <v>0.61</v>
      </c>
      <c r="P207" t="s">
        <v>628</v>
      </c>
      <c r="Q207">
        <v>94.1</v>
      </c>
      <c r="R207">
        <v>1</v>
      </c>
      <c r="S207" s="2">
        <v>2</v>
      </c>
      <c r="T207" s="3">
        <v>0</v>
      </c>
      <c r="U207" s="4">
        <v>0</v>
      </c>
      <c r="V207" s="2">
        <v>27</v>
      </c>
      <c r="W207" s="3">
        <v>1</v>
      </c>
      <c r="X207" s="3">
        <v>0</v>
      </c>
      <c r="Y207" s="3">
        <v>0</v>
      </c>
      <c r="Z207" s="3">
        <v>46</v>
      </c>
      <c r="AA207" s="3">
        <v>0</v>
      </c>
      <c r="AB207" s="4">
        <v>0</v>
      </c>
      <c r="AD207">
        <f t="shared" si="3"/>
        <v>46</v>
      </c>
    </row>
    <row r="208" spans="1:30" x14ac:dyDescent="0.35">
      <c r="A208" t="s">
        <v>593</v>
      </c>
      <c r="B208">
        <v>73</v>
      </c>
      <c r="C208" t="s">
        <v>7</v>
      </c>
      <c r="D208" t="s">
        <v>8</v>
      </c>
      <c r="E208" t="s">
        <v>46</v>
      </c>
      <c r="G208" t="s">
        <v>47</v>
      </c>
      <c r="O208">
        <v>0.64</v>
      </c>
      <c r="P208" t="s">
        <v>438</v>
      </c>
      <c r="Q208">
        <v>89.7</v>
      </c>
      <c r="R208">
        <v>1</v>
      </c>
      <c r="S208" s="2">
        <v>0</v>
      </c>
      <c r="T208" s="3">
        <v>9</v>
      </c>
      <c r="U208" s="4">
        <v>1</v>
      </c>
      <c r="V208" s="2">
        <v>1</v>
      </c>
      <c r="W208" s="3">
        <v>0</v>
      </c>
      <c r="X208" s="3">
        <v>60</v>
      </c>
      <c r="Y208" s="3">
        <v>0</v>
      </c>
      <c r="Z208" s="3">
        <v>2</v>
      </c>
      <c r="AA208" s="3">
        <v>0</v>
      </c>
      <c r="AB208" s="4">
        <v>0</v>
      </c>
      <c r="AD208">
        <f t="shared" si="3"/>
        <v>60</v>
      </c>
    </row>
    <row r="209" spans="1:30" x14ac:dyDescent="0.35">
      <c r="A209" t="s">
        <v>433</v>
      </c>
      <c r="B209">
        <v>72</v>
      </c>
      <c r="C209" t="s">
        <v>7</v>
      </c>
      <c r="D209" t="s">
        <v>8</v>
      </c>
      <c r="E209" t="s">
        <v>9</v>
      </c>
      <c r="G209" t="s">
        <v>243</v>
      </c>
      <c r="I209" t="s">
        <v>594</v>
      </c>
      <c r="K209" t="s">
        <v>669</v>
      </c>
      <c r="M209" t="s">
        <v>708</v>
      </c>
      <c r="O209">
        <v>0.99</v>
      </c>
      <c r="P209" t="s">
        <v>709</v>
      </c>
      <c r="Q209">
        <v>100</v>
      </c>
      <c r="R209">
        <v>4</v>
      </c>
      <c r="S209" s="2">
        <v>0</v>
      </c>
      <c r="T209" s="3">
        <v>0</v>
      </c>
      <c r="U209" s="4">
        <v>0</v>
      </c>
      <c r="V209" s="2">
        <v>0</v>
      </c>
      <c r="W209" s="3">
        <v>1</v>
      </c>
      <c r="X209" s="3">
        <v>0</v>
      </c>
      <c r="Y209" s="3">
        <v>0</v>
      </c>
      <c r="Z209" s="3">
        <v>71</v>
      </c>
      <c r="AA209" s="3">
        <v>0</v>
      </c>
      <c r="AB209" s="4">
        <v>0</v>
      </c>
      <c r="AD209">
        <f t="shared" si="3"/>
        <v>71</v>
      </c>
    </row>
    <row r="210" spans="1:30" x14ac:dyDescent="0.35">
      <c r="A210" t="s">
        <v>710</v>
      </c>
      <c r="B210">
        <v>72</v>
      </c>
      <c r="C210" t="s">
        <v>7</v>
      </c>
      <c r="D210" t="s">
        <v>8</v>
      </c>
      <c r="E210" t="s">
        <v>120</v>
      </c>
      <c r="G210" t="s">
        <v>121</v>
      </c>
      <c r="I210" t="s">
        <v>122</v>
      </c>
      <c r="K210" t="s">
        <v>123</v>
      </c>
      <c r="M210" t="s">
        <v>711</v>
      </c>
      <c r="O210">
        <v>0.91</v>
      </c>
      <c r="P210" t="s">
        <v>478</v>
      </c>
      <c r="Q210">
        <v>94.9</v>
      </c>
      <c r="R210">
        <v>1</v>
      </c>
      <c r="S210" s="2">
        <v>0</v>
      </c>
      <c r="T210" s="3">
        <v>0</v>
      </c>
      <c r="U210" s="4">
        <v>0</v>
      </c>
      <c r="V210" s="2">
        <v>4</v>
      </c>
      <c r="W210" s="3">
        <v>0</v>
      </c>
      <c r="X210" s="3">
        <v>18</v>
      </c>
      <c r="Y210" s="3">
        <v>34</v>
      </c>
      <c r="Z210" s="3">
        <v>11</v>
      </c>
      <c r="AA210" s="3">
        <v>1</v>
      </c>
      <c r="AB210" s="4">
        <v>4</v>
      </c>
      <c r="AD210">
        <f t="shared" si="3"/>
        <v>34</v>
      </c>
    </row>
    <row r="211" spans="1:30" x14ac:dyDescent="0.35">
      <c r="A211" t="s">
        <v>279</v>
      </c>
      <c r="B211">
        <v>72</v>
      </c>
      <c r="C211" t="s">
        <v>7</v>
      </c>
      <c r="D211" t="s">
        <v>8</v>
      </c>
      <c r="O211">
        <v>1</v>
      </c>
      <c r="P211" t="s">
        <v>256</v>
      </c>
      <c r="Q211">
        <v>90.1</v>
      </c>
      <c r="R211">
        <v>1</v>
      </c>
      <c r="S211" s="2">
        <v>0</v>
      </c>
      <c r="T211" s="3">
        <v>44</v>
      </c>
      <c r="U211" s="4">
        <v>0</v>
      </c>
      <c r="V211" s="2">
        <v>4</v>
      </c>
      <c r="W211" s="3">
        <v>0</v>
      </c>
      <c r="X211" s="3">
        <v>24</v>
      </c>
      <c r="Y211" s="3">
        <v>0</v>
      </c>
      <c r="Z211" s="3">
        <v>0</v>
      </c>
      <c r="AA211" s="3">
        <v>0</v>
      </c>
      <c r="AB211" s="4">
        <v>0</v>
      </c>
      <c r="AD211">
        <f t="shared" si="3"/>
        <v>44</v>
      </c>
    </row>
    <row r="212" spans="1:30" x14ac:dyDescent="0.35">
      <c r="A212" t="s">
        <v>207</v>
      </c>
      <c r="B212">
        <v>72</v>
      </c>
      <c r="C212" t="s">
        <v>7</v>
      </c>
      <c r="D212" t="s">
        <v>8</v>
      </c>
      <c r="E212" t="s">
        <v>120</v>
      </c>
      <c r="G212" t="s">
        <v>121</v>
      </c>
      <c r="I212" t="s">
        <v>122</v>
      </c>
      <c r="K212" t="s">
        <v>123</v>
      </c>
      <c r="M212" t="s">
        <v>124</v>
      </c>
      <c r="O212">
        <v>0.54</v>
      </c>
      <c r="P212" t="s">
        <v>224</v>
      </c>
      <c r="Q212">
        <v>85.8</v>
      </c>
      <c r="R212">
        <v>2</v>
      </c>
      <c r="S212" s="2">
        <v>0</v>
      </c>
      <c r="T212" s="3">
        <v>0</v>
      </c>
      <c r="U212" s="4">
        <v>0</v>
      </c>
      <c r="V212" s="2">
        <v>54</v>
      </c>
      <c r="W212" s="3">
        <v>2</v>
      </c>
      <c r="X212" s="3">
        <v>0</v>
      </c>
      <c r="Y212" s="3">
        <v>0</v>
      </c>
      <c r="Z212" s="3">
        <v>16</v>
      </c>
      <c r="AA212" s="3">
        <v>0</v>
      </c>
      <c r="AB212" s="4">
        <v>0</v>
      </c>
      <c r="AD212">
        <f t="shared" si="3"/>
        <v>54</v>
      </c>
    </row>
    <row r="213" spans="1:30" x14ac:dyDescent="0.35">
      <c r="A213" t="s">
        <v>530</v>
      </c>
      <c r="B213">
        <v>70</v>
      </c>
      <c r="C213" t="s">
        <v>7</v>
      </c>
      <c r="D213" t="s">
        <v>8</v>
      </c>
      <c r="E213" t="s">
        <v>120</v>
      </c>
      <c r="G213" t="s">
        <v>121</v>
      </c>
      <c r="I213" t="s">
        <v>122</v>
      </c>
      <c r="K213" t="s">
        <v>123</v>
      </c>
      <c r="O213">
        <v>0.69</v>
      </c>
      <c r="P213" t="s">
        <v>224</v>
      </c>
      <c r="Q213">
        <v>87.4</v>
      </c>
      <c r="R213">
        <v>2</v>
      </c>
      <c r="S213" s="2">
        <v>0</v>
      </c>
      <c r="T213" s="3">
        <v>70</v>
      </c>
      <c r="U213" s="4">
        <v>0</v>
      </c>
      <c r="V213" s="2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4">
        <v>0</v>
      </c>
      <c r="AD213">
        <f t="shared" si="3"/>
        <v>70</v>
      </c>
    </row>
    <row r="214" spans="1:30" x14ac:dyDescent="0.35">
      <c r="A214" t="s">
        <v>514</v>
      </c>
      <c r="B214">
        <v>70</v>
      </c>
      <c r="C214" t="s">
        <v>7</v>
      </c>
      <c r="D214" t="s">
        <v>8</v>
      </c>
      <c r="E214" t="s">
        <v>46</v>
      </c>
      <c r="G214" t="s">
        <v>47</v>
      </c>
      <c r="I214" t="s">
        <v>69</v>
      </c>
      <c r="K214" t="s">
        <v>70</v>
      </c>
      <c r="O214">
        <v>0.51</v>
      </c>
      <c r="P214" t="s">
        <v>712</v>
      </c>
      <c r="Q214">
        <v>88.5</v>
      </c>
      <c r="R214">
        <v>1</v>
      </c>
      <c r="S214" s="2">
        <v>0</v>
      </c>
      <c r="T214" s="3">
        <v>0</v>
      </c>
      <c r="U214" s="4">
        <v>0</v>
      </c>
      <c r="V214" s="2">
        <v>0</v>
      </c>
      <c r="W214" s="3">
        <v>1</v>
      </c>
      <c r="X214" s="3">
        <v>68</v>
      </c>
      <c r="Y214" s="3">
        <v>1</v>
      </c>
      <c r="Z214" s="3">
        <v>0</v>
      </c>
      <c r="AA214" s="3">
        <v>0</v>
      </c>
      <c r="AB214" s="4">
        <v>0</v>
      </c>
      <c r="AD214">
        <f t="shared" si="3"/>
        <v>68</v>
      </c>
    </row>
    <row r="215" spans="1:30" x14ac:dyDescent="0.35">
      <c r="A215" t="s">
        <v>586</v>
      </c>
      <c r="B215">
        <v>70</v>
      </c>
      <c r="C215" t="s">
        <v>7</v>
      </c>
      <c r="D215" t="s">
        <v>8</v>
      </c>
      <c r="E215" t="s">
        <v>46</v>
      </c>
      <c r="G215" t="s">
        <v>47</v>
      </c>
      <c r="I215" t="s">
        <v>61</v>
      </c>
      <c r="K215" t="s">
        <v>238</v>
      </c>
      <c r="M215" t="s">
        <v>239</v>
      </c>
      <c r="O215">
        <v>1</v>
      </c>
      <c r="P215" t="s">
        <v>240</v>
      </c>
      <c r="Q215">
        <v>98.4</v>
      </c>
      <c r="R215">
        <v>1</v>
      </c>
      <c r="S215" s="2">
        <v>0</v>
      </c>
      <c r="T215" s="3">
        <v>0</v>
      </c>
      <c r="U215" s="4">
        <v>53</v>
      </c>
      <c r="V215" s="2">
        <v>0</v>
      </c>
      <c r="W215" s="3">
        <v>16</v>
      </c>
      <c r="X215" s="3">
        <v>1</v>
      </c>
      <c r="Y215" s="3">
        <v>0</v>
      </c>
      <c r="Z215" s="3">
        <v>0</v>
      </c>
      <c r="AA215" s="3">
        <v>0</v>
      </c>
      <c r="AB215" s="4">
        <v>0</v>
      </c>
      <c r="AD215">
        <f t="shared" si="3"/>
        <v>53</v>
      </c>
    </row>
    <row r="216" spans="1:30" x14ac:dyDescent="0.35">
      <c r="A216" t="s">
        <v>589</v>
      </c>
      <c r="B216">
        <v>68</v>
      </c>
      <c r="C216" t="s">
        <v>7</v>
      </c>
      <c r="D216" t="s">
        <v>8</v>
      </c>
      <c r="E216" t="s">
        <v>46</v>
      </c>
      <c r="G216" t="s">
        <v>47</v>
      </c>
      <c r="I216" t="s">
        <v>69</v>
      </c>
      <c r="K216" t="s">
        <v>70</v>
      </c>
      <c r="O216">
        <v>0.55000000000000004</v>
      </c>
      <c r="P216" t="s">
        <v>610</v>
      </c>
      <c r="Q216">
        <v>89.7</v>
      </c>
      <c r="R216">
        <v>2</v>
      </c>
      <c r="S216" s="2">
        <v>0</v>
      </c>
      <c r="T216" s="3">
        <v>6</v>
      </c>
      <c r="U216" s="4">
        <v>33</v>
      </c>
      <c r="V216" s="2">
        <v>2</v>
      </c>
      <c r="W216" s="3">
        <v>4</v>
      </c>
      <c r="X216" s="3">
        <v>7</v>
      </c>
      <c r="Y216" s="3">
        <v>12</v>
      </c>
      <c r="Z216" s="3">
        <v>4</v>
      </c>
      <c r="AA216" s="3">
        <v>0</v>
      </c>
      <c r="AB216" s="4">
        <v>0</v>
      </c>
      <c r="AD216">
        <f t="shared" si="3"/>
        <v>33</v>
      </c>
    </row>
    <row r="217" spans="1:30" x14ac:dyDescent="0.35">
      <c r="A217" t="s">
        <v>713</v>
      </c>
      <c r="B217">
        <v>66</v>
      </c>
      <c r="C217" t="s">
        <v>7</v>
      </c>
      <c r="D217" t="s">
        <v>8</v>
      </c>
      <c r="E217" t="s">
        <v>46</v>
      </c>
      <c r="G217" t="s">
        <v>47</v>
      </c>
      <c r="I217" t="s">
        <v>61</v>
      </c>
      <c r="O217">
        <v>0.55000000000000004</v>
      </c>
      <c r="P217" t="s">
        <v>434</v>
      </c>
      <c r="Q217">
        <v>88.5</v>
      </c>
      <c r="R217">
        <v>6</v>
      </c>
      <c r="S217" s="2">
        <v>3</v>
      </c>
      <c r="T217" s="3">
        <v>0</v>
      </c>
      <c r="U217" s="4">
        <v>7</v>
      </c>
      <c r="V217" s="2">
        <v>10</v>
      </c>
      <c r="W217" s="3">
        <v>29</v>
      </c>
      <c r="X217" s="3">
        <v>3</v>
      </c>
      <c r="Y217" s="3">
        <v>1</v>
      </c>
      <c r="Z217" s="3">
        <v>13</v>
      </c>
      <c r="AA217" s="3">
        <v>0</v>
      </c>
      <c r="AB217" s="4">
        <v>0</v>
      </c>
      <c r="AD217">
        <f t="shared" si="3"/>
        <v>29</v>
      </c>
    </row>
    <row r="218" spans="1:30" x14ac:dyDescent="0.35">
      <c r="A218" t="s">
        <v>517</v>
      </c>
      <c r="B218">
        <v>66</v>
      </c>
      <c r="C218" t="s">
        <v>7</v>
      </c>
      <c r="D218" t="s">
        <v>8</v>
      </c>
      <c r="E218" t="s">
        <v>9</v>
      </c>
      <c r="G218" t="s">
        <v>10</v>
      </c>
      <c r="I218" t="s">
        <v>131</v>
      </c>
      <c r="K218" t="s">
        <v>150</v>
      </c>
      <c r="O218">
        <v>0.97</v>
      </c>
      <c r="P218" t="s">
        <v>152</v>
      </c>
      <c r="Q218">
        <v>94.5</v>
      </c>
      <c r="R218">
        <v>1</v>
      </c>
      <c r="S218" s="2">
        <v>9</v>
      </c>
      <c r="T218" s="3">
        <v>1</v>
      </c>
      <c r="U218" s="4">
        <v>1</v>
      </c>
      <c r="V218" s="2">
        <v>1</v>
      </c>
      <c r="W218" s="3">
        <v>6</v>
      </c>
      <c r="X218" s="3">
        <v>24</v>
      </c>
      <c r="Y218" s="3">
        <v>0</v>
      </c>
      <c r="Z218" s="3">
        <v>7</v>
      </c>
      <c r="AA218" s="3">
        <v>6</v>
      </c>
      <c r="AB218" s="4">
        <v>11</v>
      </c>
      <c r="AD218">
        <f t="shared" si="3"/>
        <v>24</v>
      </c>
    </row>
    <row r="219" spans="1:30" x14ac:dyDescent="0.35">
      <c r="A219" t="s">
        <v>565</v>
      </c>
      <c r="B219">
        <v>65</v>
      </c>
      <c r="C219" t="s">
        <v>7</v>
      </c>
      <c r="D219" t="s">
        <v>8</v>
      </c>
      <c r="E219" t="s">
        <v>9</v>
      </c>
      <c r="G219" t="s">
        <v>10</v>
      </c>
      <c r="I219" t="s">
        <v>11</v>
      </c>
      <c r="K219" t="s">
        <v>12</v>
      </c>
      <c r="M219" t="s">
        <v>13</v>
      </c>
      <c r="O219">
        <v>0.95</v>
      </c>
      <c r="P219" t="s">
        <v>509</v>
      </c>
      <c r="Q219">
        <v>96.4</v>
      </c>
      <c r="R219">
        <v>2</v>
      </c>
      <c r="S219" s="2">
        <v>5</v>
      </c>
      <c r="T219" s="3">
        <v>1</v>
      </c>
      <c r="U219" s="4">
        <v>0</v>
      </c>
      <c r="V219" s="2">
        <v>5</v>
      </c>
      <c r="W219" s="3">
        <v>2</v>
      </c>
      <c r="X219" s="3">
        <v>1</v>
      </c>
      <c r="Y219" s="3">
        <v>0</v>
      </c>
      <c r="Z219" s="3">
        <v>0</v>
      </c>
      <c r="AA219" s="3">
        <v>21</v>
      </c>
      <c r="AB219" s="4">
        <v>30</v>
      </c>
      <c r="AD219">
        <f t="shared" si="3"/>
        <v>30</v>
      </c>
    </row>
    <row r="220" spans="1:30" x14ac:dyDescent="0.35">
      <c r="A220" t="s">
        <v>598</v>
      </c>
      <c r="B220">
        <v>64</v>
      </c>
      <c r="C220" t="s">
        <v>7</v>
      </c>
      <c r="D220" t="s">
        <v>8</v>
      </c>
      <c r="E220" t="s">
        <v>46</v>
      </c>
      <c r="G220" t="s">
        <v>47</v>
      </c>
      <c r="I220" t="s">
        <v>61</v>
      </c>
      <c r="K220" t="s">
        <v>178</v>
      </c>
      <c r="M220" t="s">
        <v>714</v>
      </c>
      <c r="O220">
        <v>0.74</v>
      </c>
      <c r="P220" t="s">
        <v>715</v>
      </c>
      <c r="Q220">
        <v>93.3</v>
      </c>
      <c r="R220">
        <v>2</v>
      </c>
      <c r="S220" s="2">
        <v>0</v>
      </c>
      <c r="T220" s="3">
        <v>0</v>
      </c>
      <c r="U220" s="4">
        <v>0</v>
      </c>
      <c r="V220" s="2">
        <v>6</v>
      </c>
      <c r="W220" s="3">
        <v>1</v>
      </c>
      <c r="X220" s="3">
        <v>0</v>
      </c>
      <c r="Y220" s="3">
        <v>52</v>
      </c>
      <c r="Z220" s="3">
        <v>4</v>
      </c>
      <c r="AA220" s="3">
        <v>1</v>
      </c>
      <c r="AB220" s="4">
        <v>0</v>
      </c>
      <c r="AD220">
        <f t="shared" si="3"/>
        <v>52</v>
      </c>
    </row>
    <row r="221" spans="1:30" x14ac:dyDescent="0.35">
      <c r="A221" t="s">
        <v>716</v>
      </c>
      <c r="B221">
        <v>63</v>
      </c>
      <c r="C221" t="s">
        <v>7</v>
      </c>
      <c r="D221" t="s">
        <v>8</v>
      </c>
      <c r="E221" t="s">
        <v>46</v>
      </c>
      <c r="O221">
        <v>0.84</v>
      </c>
      <c r="P221" t="s">
        <v>321</v>
      </c>
      <c r="Q221">
        <v>90.9</v>
      </c>
      <c r="R221">
        <v>1</v>
      </c>
      <c r="S221" s="2">
        <v>1</v>
      </c>
      <c r="T221" s="3">
        <v>1</v>
      </c>
      <c r="U221" s="4">
        <v>0</v>
      </c>
      <c r="V221" s="2">
        <v>24</v>
      </c>
      <c r="W221" s="3">
        <v>0</v>
      </c>
      <c r="X221" s="3">
        <v>0</v>
      </c>
      <c r="Y221" s="3">
        <v>0</v>
      </c>
      <c r="Z221" s="3">
        <v>37</v>
      </c>
      <c r="AA221" s="3">
        <v>0</v>
      </c>
      <c r="AB221" s="4">
        <v>0</v>
      </c>
      <c r="AD221">
        <f t="shared" si="3"/>
        <v>37</v>
      </c>
    </row>
    <row r="222" spans="1:30" x14ac:dyDescent="0.35">
      <c r="A222" t="s">
        <v>599</v>
      </c>
      <c r="B222">
        <v>62</v>
      </c>
      <c r="C222" t="s">
        <v>7</v>
      </c>
      <c r="D222" t="s">
        <v>8</v>
      </c>
      <c r="E222" t="s">
        <v>46</v>
      </c>
      <c r="G222" t="s">
        <v>364</v>
      </c>
      <c r="I222" t="s">
        <v>365</v>
      </c>
      <c r="K222" t="s">
        <v>366</v>
      </c>
      <c r="M222" t="s">
        <v>367</v>
      </c>
      <c r="O222">
        <v>0.97</v>
      </c>
      <c r="P222" t="s">
        <v>414</v>
      </c>
      <c r="Q222">
        <v>100</v>
      </c>
      <c r="R222">
        <v>4</v>
      </c>
      <c r="S222" s="2">
        <v>0</v>
      </c>
      <c r="T222" s="3">
        <v>7</v>
      </c>
      <c r="U222" s="4">
        <v>6</v>
      </c>
      <c r="V222" s="2">
        <v>11</v>
      </c>
      <c r="W222" s="3">
        <v>30</v>
      </c>
      <c r="X222" s="3">
        <v>5</v>
      </c>
      <c r="Y222" s="3">
        <v>0</v>
      </c>
      <c r="Z222" s="3">
        <v>0</v>
      </c>
      <c r="AA222" s="3">
        <v>1</v>
      </c>
      <c r="AB222" s="4">
        <v>2</v>
      </c>
      <c r="AD222">
        <f t="shared" si="3"/>
        <v>30</v>
      </c>
    </row>
    <row r="223" spans="1:30" x14ac:dyDescent="0.35">
      <c r="A223" t="s">
        <v>575</v>
      </c>
      <c r="B223">
        <v>62</v>
      </c>
      <c r="C223" t="s">
        <v>7</v>
      </c>
      <c r="D223" t="s">
        <v>8</v>
      </c>
      <c r="E223" t="s">
        <v>46</v>
      </c>
      <c r="G223" t="s">
        <v>47</v>
      </c>
      <c r="I223" t="s">
        <v>61</v>
      </c>
      <c r="O223">
        <v>0.84</v>
      </c>
      <c r="P223" t="s">
        <v>321</v>
      </c>
      <c r="Q223">
        <v>90.5</v>
      </c>
      <c r="R223">
        <v>1</v>
      </c>
      <c r="S223" s="2">
        <v>18</v>
      </c>
      <c r="T223" s="3">
        <v>0</v>
      </c>
      <c r="U223" s="4">
        <v>14</v>
      </c>
      <c r="V223" s="2">
        <v>3</v>
      </c>
      <c r="W223" s="3">
        <v>18</v>
      </c>
      <c r="X223" s="3">
        <v>0</v>
      </c>
      <c r="Y223" s="3">
        <v>1</v>
      </c>
      <c r="Z223" s="3">
        <v>3</v>
      </c>
      <c r="AA223" s="3">
        <v>0</v>
      </c>
      <c r="AB223" s="4">
        <v>5</v>
      </c>
      <c r="AD223">
        <f t="shared" si="3"/>
        <v>18</v>
      </c>
    </row>
    <row r="224" spans="1:30" x14ac:dyDescent="0.35">
      <c r="A224" t="s">
        <v>549</v>
      </c>
      <c r="B224">
        <v>62</v>
      </c>
      <c r="C224" t="s">
        <v>7</v>
      </c>
      <c r="D224" t="s">
        <v>8</v>
      </c>
      <c r="E224" t="s">
        <v>717</v>
      </c>
      <c r="M224" t="s">
        <v>718</v>
      </c>
      <c r="O224">
        <v>0.96</v>
      </c>
      <c r="P224" t="s">
        <v>719</v>
      </c>
      <c r="Q224">
        <v>93.7</v>
      </c>
      <c r="R224">
        <v>1</v>
      </c>
      <c r="S224" s="2">
        <v>0</v>
      </c>
      <c r="T224" s="3">
        <v>1</v>
      </c>
      <c r="U224" s="4">
        <v>0</v>
      </c>
      <c r="V224" s="2">
        <v>0</v>
      </c>
      <c r="W224" s="3">
        <v>1</v>
      </c>
      <c r="X224" s="3">
        <v>0</v>
      </c>
      <c r="Y224" s="3">
        <v>59</v>
      </c>
      <c r="Z224" s="3">
        <v>1</v>
      </c>
      <c r="AA224" s="3">
        <v>0</v>
      </c>
      <c r="AB224" s="4">
        <v>0</v>
      </c>
      <c r="AD224">
        <f t="shared" si="3"/>
        <v>59</v>
      </c>
    </row>
    <row r="225" spans="1:30" x14ac:dyDescent="0.35">
      <c r="A225" t="s">
        <v>567</v>
      </c>
      <c r="B225">
        <v>61</v>
      </c>
      <c r="C225" t="s">
        <v>7</v>
      </c>
      <c r="D225" t="s">
        <v>8</v>
      </c>
      <c r="E225" t="s">
        <v>46</v>
      </c>
      <c r="G225" t="s">
        <v>47</v>
      </c>
      <c r="O225">
        <v>0.65</v>
      </c>
      <c r="P225" t="s">
        <v>163</v>
      </c>
      <c r="Q225">
        <v>91.7</v>
      </c>
      <c r="R225">
        <v>1</v>
      </c>
      <c r="S225" s="2">
        <v>0</v>
      </c>
      <c r="T225" s="3">
        <v>58</v>
      </c>
      <c r="U225" s="4">
        <v>2</v>
      </c>
      <c r="V225" s="2">
        <v>1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4">
        <v>0</v>
      </c>
      <c r="AD225">
        <f t="shared" si="3"/>
        <v>58</v>
      </c>
    </row>
    <row r="226" spans="1:30" x14ac:dyDescent="0.35">
      <c r="A226" t="s">
        <v>720</v>
      </c>
      <c r="B226">
        <v>59</v>
      </c>
      <c r="C226" t="s">
        <v>7</v>
      </c>
      <c r="D226" t="s">
        <v>8</v>
      </c>
      <c r="E226" t="s">
        <v>46</v>
      </c>
      <c r="G226" t="s">
        <v>47</v>
      </c>
      <c r="I226" t="s">
        <v>61</v>
      </c>
      <c r="K226" t="s">
        <v>721</v>
      </c>
      <c r="M226" t="s">
        <v>722</v>
      </c>
      <c r="O226">
        <v>0.77</v>
      </c>
      <c r="P226" t="s">
        <v>723</v>
      </c>
      <c r="Q226">
        <v>96</v>
      </c>
      <c r="R226">
        <v>1</v>
      </c>
      <c r="S226" s="2">
        <v>0</v>
      </c>
      <c r="T226" s="3">
        <v>0</v>
      </c>
      <c r="U226" s="4">
        <v>0</v>
      </c>
      <c r="V226" s="2">
        <v>39</v>
      </c>
      <c r="W226" s="3">
        <v>15</v>
      </c>
      <c r="X226" s="3">
        <v>0</v>
      </c>
      <c r="Y226" s="3">
        <v>0</v>
      </c>
      <c r="Z226" s="3">
        <v>5</v>
      </c>
      <c r="AA226" s="3">
        <v>0</v>
      </c>
      <c r="AB226" s="4">
        <v>0</v>
      </c>
      <c r="AD226">
        <f t="shared" si="3"/>
        <v>39</v>
      </c>
    </row>
    <row r="227" spans="1:30" x14ac:dyDescent="0.35">
      <c r="A227" t="s">
        <v>724</v>
      </c>
      <c r="B227">
        <v>57</v>
      </c>
      <c r="C227" t="s">
        <v>7</v>
      </c>
      <c r="D227" t="s">
        <v>8</v>
      </c>
      <c r="E227" t="s">
        <v>9</v>
      </c>
      <c r="G227" t="s">
        <v>10</v>
      </c>
      <c r="I227" t="s">
        <v>682</v>
      </c>
      <c r="K227" t="s">
        <v>683</v>
      </c>
      <c r="M227" t="s">
        <v>684</v>
      </c>
      <c r="O227">
        <v>0.79</v>
      </c>
      <c r="P227" t="s">
        <v>725</v>
      </c>
      <c r="Q227">
        <v>92.5</v>
      </c>
      <c r="R227">
        <v>1</v>
      </c>
      <c r="S227" s="2">
        <v>2</v>
      </c>
      <c r="T227" s="3">
        <v>0</v>
      </c>
      <c r="U227" s="4">
        <v>0</v>
      </c>
      <c r="V227" s="2">
        <v>3</v>
      </c>
      <c r="W227" s="3">
        <v>0</v>
      </c>
      <c r="X227" s="3">
        <v>23</v>
      </c>
      <c r="Y227" s="3">
        <v>0</v>
      </c>
      <c r="Z227" s="3">
        <v>0</v>
      </c>
      <c r="AA227" s="3">
        <v>29</v>
      </c>
      <c r="AB227" s="4">
        <v>0</v>
      </c>
      <c r="AD227">
        <f t="shared" si="3"/>
        <v>29</v>
      </c>
    </row>
    <row r="228" spans="1:30" x14ac:dyDescent="0.35">
      <c r="A228" t="s">
        <v>482</v>
      </c>
      <c r="B228">
        <v>57</v>
      </c>
      <c r="C228" t="s">
        <v>7</v>
      </c>
      <c r="D228" t="s">
        <v>8</v>
      </c>
      <c r="E228" t="s">
        <v>32</v>
      </c>
      <c r="G228" t="s">
        <v>35</v>
      </c>
      <c r="I228" t="s">
        <v>36</v>
      </c>
      <c r="K228" t="s">
        <v>37</v>
      </c>
      <c r="M228" t="s">
        <v>231</v>
      </c>
      <c r="O228">
        <v>0.65</v>
      </c>
      <c r="P228" t="s">
        <v>312</v>
      </c>
      <c r="Q228">
        <v>96.8</v>
      </c>
      <c r="R228">
        <v>1</v>
      </c>
      <c r="S228" s="2">
        <v>0</v>
      </c>
      <c r="T228" s="3">
        <v>0</v>
      </c>
      <c r="U228" s="4">
        <v>0</v>
      </c>
      <c r="V228" s="2">
        <v>0</v>
      </c>
      <c r="W228" s="3">
        <v>0</v>
      </c>
      <c r="X228" s="3">
        <v>2</v>
      </c>
      <c r="Y228" s="3">
        <v>0</v>
      </c>
      <c r="Z228" s="3">
        <v>1</v>
      </c>
      <c r="AA228" s="3">
        <v>0</v>
      </c>
      <c r="AB228" s="4">
        <v>54</v>
      </c>
      <c r="AD228">
        <f t="shared" si="3"/>
        <v>54</v>
      </c>
    </row>
    <row r="229" spans="1:30" x14ac:dyDescent="0.35">
      <c r="A229" t="s">
        <v>535</v>
      </c>
      <c r="B229">
        <v>57</v>
      </c>
      <c r="C229" t="s">
        <v>7</v>
      </c>
      <c r="D229" t="s">
        <v>8</v>
      </c>
      <c r="E229" t="s">
        <v>9</v>
      </c>
      <c r="G229" t="s">
        <v>10</v>
      </c>
      <c r="I229" t="s">
        <v>131</v>
      </c>
      <c r="K229" t="s">
        <v>150</v>
      </c>
      <c r="O229">
        <v>0.5</v>
      </c>
      <c r="P229" t="s">
        <v>665</v>
      </c>
      <c r="Q229">
        <v>91.7</v>
      </c>
      <c r="R229">
        <v>2</v>
      </c>
      <c r="S229" s="2">
        <v>0</v>
      </c>
      <c r="T229" s="3">
        <v>0</v>
      </c>
      <c r="U229" s="4">
        <v>0</v>
      </c>
      <c r="V229" s="2">
        <v>0</v>
      </c>
      <c r="W229" s="3">
        <v>55</v>
      </c>
      <c r="X229" s="3">
        <v>0</v>
      </c>
      <c r="Y229" s="3">
        <v>0</v>
      </c>
      <c r="Z229" s="3">
        <v>0</v>
      </c>
      <c r="AA229" s="3">
        <v>1</v>
      </c>
      <c r="AB229" s="4">
        <v>1</v>
      </c>
      <c r="AD229">
        <f t="shared" si="3"/>
        <v>55</v>
      </c>
    </row>
    <row r="230" spans="1:30" x14ac:dyDescent="0.35">
      <c r="A230" t="s">
        <v>522</v>
      </c>
      <c r="B230">
        <v>55</v>
      </c>
      <c r="C230" t="s">
        <v>7</v>
      </c>
      <c r="D230" t="s">
        <v>8</v>
      </c>
      <c r="E230" t="s">
        <v>46</v>
      </c>
      <c r="G230" t="s">
        <v>47</v>
      </c>
      <c r="I230" t="s">
        <v>61</v>
      </c>
      <c r="K230" t="s">
        <v>210</v>
      </c>
      <c r="M230" t="s">
        <v>211</v>
      </c>
      <c r="O230">
        <v>0.56999999999999995</v>
      </c>
      <c r="P230" t="s">
        <v>360</v>
      </c>
      <c r="Q230">
        <v>93.3</v>
      </c>
      <c r="R230">
        <v>1</v>
      </c>
      <c r="S230" s="2">
        <v>0</v>
      </c>
      <c r="T230" s="3">
        <v>0</v>
      </c>
      <c r="U230" s="4">
        <v>1</v>
      </c>
      <c r="V230" s="2">
        <v>0</v>
      </c>
      <c r="W230" s="3">
        <v>53</v>
      </c>
      <c r="X230" s="3">
        <v>0</v>
      </c>
      <c r="Y230" s="3">
        <v>0</v>
      </c>
      <c r="Z230" s="3">
        <v>0</v>
      </c>
      <c r="AA230" s="3">
        <v>1</v>
      </c>
      <c r="AB230" s="4">
        <v>0</v>
      </c>
      <c r="AD230">
        <f t="shared" si="3"/>
        <v>53</v>
      </c>
    </row>
    <row r="231" spans="1:30" x14ac:dyDescent="0.35">
      <c r="A231" t="s">
        <v>554</v>
      </c>
      <c r="B231">
        <v>54</v>
      </c>
      <c r="C231" t="s">
        <v>7</v>
      </c>
      <c r="D231" t="s">
        <v>8</v>
      </c>
      <c r="E231" t="s">
        <v>32</v>
      </c>
      <c r="G231" t="s">
        <v>445</v>
      </c>
      <c r="I231" t="s">
        <v>446</v>
      </c>
      <c r="K231" t="s">
        <v>726</v>
      </c>
      <c r="O231">
        <v>0.57999999999999996</v>
      </c>
      <c r="P231" t="s">
        <v>33</v>
      </c>
      <c r="Q231">
        <v>88.1</v>
      </c>
      <c r="R231">
        <v>1</v>
      </c>
      <c r="S231" s="2">
        <v>0</v>
      </c>
      <c r="T231" s="3">
        <v>0</v>
      </c>
      <c r="U231" s="4">
        <v>0</v>
      </c>
      <c r="V231" s="2">
        <v>0</v>
      </c>
      <c r="W231" s="3">
        <v>0</v>
      </c>
      <c r="X231" s="3">
        <v>54</v>
      </c>
      <c r="Y231" s="3">
        <v>0</v>
      </c>
      <c r="Z231" s="3">
        <v>0</v>
      </c>
      <c r="AA231" s="3">
        <v>0</v>
      </c>
      <c r="AB231" s="4">
        <v>0</v>
      </c>
      <c r="AD231">
        <f t="shared" si="3"/>
        <v>54</v>
      </c>
    </row>
    <row r="232" spans="1:30" x14ac:dyDescent="0.35">
      <c r="A232" t="s">
        <v>544</v>
      </c>
      <c r="B232">
        <v>51</v>
      </c>
      <c r="C232" t="s">
        <v>7</v>
      </c>
      <c r="D232" t="s">
        <v>8</v>
      </c>
      <c r="E232" t="s">
        <v>46</v>
      </c>
      <c r="G232" t="s">
        <v>47</v>
      </c>
      <c r="O232">
        <v>0.67</v>
      </c>
      <c r="P232" t="s">
        <v>254</v>
      </c>
      <c r="Q232">
        <v>89.7</v>
      </c>
      <c r="R232">
        <v>2</v>
      </c>
      <c r="S232" s="2">
        <v>0</v>
      </c>
      <c r="T232" s="3">
        <v>50</v>
      </c>
      <c r="U232" s="4">
        <v>1</v>
      </c>
      <c r="V232" s="2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4">
        <v>0</v>
      </c>
      <c r="AD232">
        <f t="shared" si="3"/>
        <v>50</v>
      </c>
    </row>
    <row r="233" spans="1:30" x14ac:dyDescent="0.35">
      <c r="A233" t="s">
        <v>727</v>
      </c>
      <c r="B233">
        <v>50</v>
      </c>
      <c r="C233" t="s">
        <v>7</v>
      </c>
      <c r="D233" t="s">
        <v>8</v>
      </c>
      <c r="E233" t="s">
        <v>46</v>
      </c>
      <c r="G233" t="s">
        <v>47</v>
      </c>
      <c r="I233" t="s">
        <v>160</v>
      </c>
      <c r="K233" t="s">
        <v>161</v>
      </c>
      <c r="M233" t="s">
        <v>162</v>
      </c>
      <c r="O233">
        <v>0.52</v>
      </c>
      <c r="P233" t="s">
        <v>163</v>
      </c>
      <c r="Q233">
        <v>90.1</v>
      </c>
      <c r="R233">
        <v>1</v>
      </c>
      <c r="S233" s="2">
        <v>0</v>
      </c>
      <c r="T233" s="3">
        <v>0</v>
      </c>
      <c r="U233" s="4">
        <v>0</v>
      </c>
      <c r="V233" s="2">
        <v>1</v>
      </c>
      <c r="W233" s="3">
        <v>1</v>
      </c>
      <c r="X233" s="3">
        <v>37</v>
      </c>
      <c r="Y233" s="3">
        <v>8</v>
      </c>
      <c r="Z233" s="3">
        <v>0</v>
      </c>
      <c r="AA233" s="3">
        <v>3</v>
      </c>
      <c r="AB233" s="4">
        <v>0</v>
      </c>
      <c r="AD233">
        <f t="shared" si="3"/>
        <v>37</v>
      </c>
    </row>
    <row r="234" spans="1:30" x14ac:dyDescent="0.35">
      <c r="A234" t="s">
        <v>435</v>
      </c>
      <c r="B234">
        <v>50</v>
      </c>
      <c r="C234" t="s">
        <v>7</v>
      </c>
      <c r="D234" t="s">
        <v>8</v>
      </c>
      <c r="E234" t="s">
        <v>46</v>
      </c>
      <c r="G234" t="s">
        <v>47</v>
      </c>
      <c r="I234" t="s">
        <v>61</v>
      </c>
      <c r="K234" t="s">
        <v>178</v>
      </c>
      <c r="M234" t="s">
        <v>728</v>
      </c>
      <c r="O234">
        <v>0.55000000000000004</v>
      </c>
      <c r="P234" t="s">
        <v>319</v>
      </c>
      <c r="Q234">
        <v>92.1</v>
      </c>
      <c r="R234">
        <v>1</v>
      </c>
      <c r="S234" s="2">
        <v>2</v>
      </c>
      <c r="T234" s="3">
        <v>0</v>
      </c>
      <c r="U234" s="4">
        <v>0</v>
      </c>
      <c r="V234" s="2">
        <v>13</v>
      </c>
      <c r="W234" s="3">
        <v>0</v>
      </c>
      <c r="X234" s="3">
        <v>0</v>
      </c>
      <c r="Y234" s="3">
        <v>0</v>
      </c>
      <c r="Z234" s="3">
        <v>0</v>
      </c>
      <c r="AA234" s="3">
        <v>1</v>
      </c>
      <c r="AB234" s="4">
        <v>34</v>
      </c>
      <c r="AD234">
        <f t="shared" si="3"/>
        <v>34</v>
      </c>
    </row>
    <row r="235" spans="1:30" x14ac:dyDescent="0.35">
      <c r="A235" t="s">
        <v>729</v>
      </c>
      <c r="B235">
        <v>49</v>
      </c>
      <c r="C235" t="s">
        <v>7</v>
      </c>
      <c r="D235" t="s">
        <v>8</v>
      </c>
      <c r="E235" t="s">
        <v>32</v>
      </c>
      <c r="O235">
        <v>0.99</v>
      </c>
      <c r="P235" t="s">
        <v>326</v>
      </c>
      <c r="Q235">
        <v>88.9</v>
      </c>
      <c r="R235">
        <v>2</v>
      </c>
      <c r="S235" s="2">
        <v>31</v>
      </c>
      <c r="T235" s="3">
        <v>1</v>
      </c>
      <c r="U235" s="4">
        <v>0</v>
      </c>
      <c r="V235" s="2">
        <v>14</v>
      </c>
      <c r="W235" s="3">
        <v>0</v>
      </c>
      <c r="X235" s="3">
        <v>0</v>
      </c>
      <c r="Y235" s="3">
        <v>0</v>
      </c>
      <c r="Z235" s="3">
        <v>0</v>
      </c>
      <c r="AA235" s="3">
        <v>1</v>
      </c>
      <c r="AB235" s="4">
        <v>2</v>
      </c>
      <c r="AD235">
        <f t="shared" si="3"/>
        <v>31</v>
      </c>
    </row>
    <row r="236" spans="1:30" x14ac:dyDescent="0.35">
      <c r="A236" t="s">
        <v>730</v>
      </c>
      <c r="B236">
        <v>48</v>
      </c>
      <c r="C236" t="s">
        <v>7</v>
      </c>
      <c r="D236" t="s">
        <v>24</v>
      </c>
      <c r="E236" t="s">
        <v>25</v>
      </c>
      <c r="G236" t="s">
        <v>26</v>
      </c>
      <c r="I236" t="s">
        <v>27</v>
      </c>
      <c r="K236" t="s">
        <v>28</v>
      </c>
      <c r="M236" t="s">
        <v>29</v>
      </c>
      <c r="O236">
        <v>0.94</v>
      </c>
      <c r="P236" t="s">
        <v>731</v>
      </c>
      <c r="Q236">
        <v>98</v>
      </c>
      <c r="R236">
        <v>1</v>
      </c>
      <c r="S236" s="2">
        <v>0</v>
      </c>
      <c r="T236" s="3">
        <v>0</v>
      </c>
      <c r="U236" s="4">
        <v>0</v>
      </c>
      <c r="V236" s="2">
        <v>19</v>
      </c>
      <c r="W236" s="3">
        <v>3</v>
      </c>
      <c r="X236" s="3">
        <v>0</v>
      </c>
      <c r="Y236" s="3">
        <v>26</v>
      </c>
      <c r="Z236" s="3">
        <v>0</v>
      </c>
      <c r="AA236" s="3">
        <v>0</v>
      </c>
      <c r="AB236" s="4">
        <v>0</v>
      </c>
      <c r="AD236">
        <f t="shared" si="3"/>
        <v>26</v>
      </c>
    </row>
    <row r="237" spans="1:30" x14ac:dyDescent="0.35">
      <c r="A237" t="s">
        <v>577</v>
      </c>
      <c r="B237">
        <v>47</v>
      </c>
      <c r="C237" t="s">
        <v>7</v>
      </c>
      <c r="D237" t="s">
        <v>8</v>
      </c>
      <c r="E237" t="s">
        <v>46</v>
      </c>
      <c r="G237" t="s">
        <v>47</v>
      </c>
      <c r="I237" t="s">
        <v>69</v>
      </c>
      <c r="K237" t="s">
        <v>70</v>
      </c>
      <c r="O237">
        <v>0.51</v>
      </c>
      <c r="P237" t="s">
        <v>580</v>
      </c>
      <c r="Q237">
        <v>86.2</v>
      </c>
      <c r="R237">
        <v>2</v>
      </c>
      <c r="S237" s="2">
        <v>0</v>
      </c>
      <c r="T237" s="3">
        <v>2</v>
      </c>
      <c r="U237" s="4">
        <v>0</v>
      </c>
      <c r="V237" s="2">
        <v>0</v>
      </c>
      <c r="W237" s="3">
        <v>1</v>
      </c>
      <c r="X237" s="3">
        <v>1</v>
      </c>
      <c r="Y237" s="3">
        <v>0</v>
      </c>
      <c r="Z237" s="3">
        <v>42</v>
      </c>
      <c r="AA237" s="3">
        <v>1</v>
      </c>
      <c r="AB237" s="4">
        <v>0</v>
      </c>
      <c r="AD237">
        <f t="shared" si="3"/>
        <v>42</v>
      </c>
    </row>
    <row r="238" spans="1:30" x14ac:dyDescent="0.35">
      <c r="A238" t="s">
        <v>732</v>
      </c>
      <c r="B238">
        <v>45</v>
      </c>
      <c r="C238" t="s">
        <v>7</v>
      </c>
      <c r="D238" t="s">
        <v>8</v>
      </c>
      <c r="E238" t="s">
        <v>258</v>
      </c>
      <c r="G238" t="s">
        <v>258</v>
      </c>
      <c r="H238" t="s">
        <v>639</v>
      </c>
      <c r="I238" t="s">
        <v>640</v>
      </c>
      <c r="J238" t="s">
        <v>641</v>
      </c>
      <c r="O238">
        <v>0.59</v>
      </c>
      <c r="P238" t="s">
        <v>733</v>
      </c>
      <c r="Q238">
        <v>97.2</v>
      </c>
      <c r="R238">
        <v>1</v>
      </c>
      <c r="S238" s="2">
        <v>0</v>
      </c>
      <c r="T238" s="3">
        <v>0</v>
      </c>
      <c r="U238" s="4">
        <v>0</v>
      </c>
      <c r="V238" s="2">
        <v>20</v>
      </c>
      <c r="W238" s="3">
        <v>5</v>
      </c>
      <c r="X238" s="3">
        <v>0</v>
      </c>
      <c r="Y238" s="3">
        <v>20</v>
      </c>
      <c r="Z238" s="3">
        <v>0</v>
      </c>
      <c r="AA238" s="3">
        <v>0</v>
      </c>
      <c r="AB238" s="4">
        <v>0</v>
      </c>
      <c r="AD238">
        <f t="shared" si="3"/>
        <v>20</v>
      </c>
    </row>
    <row r="239" spans="1:30" x14ac:dyDescent="0.35">
      <c r="A239" t="s">
        <v>734</v>
      </c>
      <c r="B239">
        <v>45</v>
      </c>
      <c r="C239" t="s">
        <v>7</v>
      </c>
      <c r="D239" t="s">
        <v>8</v>
      </c>
      <c r="E239" t="s">
        <v>120</v>
      </c>
      <c r="G239" t="s">
        <v>121</v>
      </c>
      <c r="I239" t="s">
        <v>122</v>
      </c>
      <c r="K239" t="s">
        <v>123</v>
      </c>
      <c r="M239" t="s">
        <v>124</v>
      </c>
      <c r="O239">
        <v>0.6</v>
      </c>
      <c r="P239" t="s">
        <v>276</v>
      </c>
      <c r="Q239">
        <v>94.1</v>
      </c>
      <c r="R239">
        <v>1</v>
      </c>
      <c r="S239" s="2">
        <v>0</v>
      </c>
      <c r="T239" s="3">
        <v>0</v>
      </c>
      <c r="U239" s="4">
        <v>4</v>
      </c>
      <c r="V239" s="2">
        <v>2</v>
      </c>
      <c r="W239" s="3">
        <v>12</v>
      </c>
      <c r="X239" s="3">
        <v>2</v>
      </c>
      <c r="Y239" s="3">
        <v>6</v>
      </c>
      <c r="Z239" s="3">
        <v>18</v>
      </c>
      <c r="AA239" s="3">
        <v>0</v>
      </c>
      <c r="AB239" s="4">
        <v>1</v>
      </c>
      <c r="AD239">
        <f t="shared" si="3"/>
        <v>18</v>
      </c>
    </row>
    <row r="240" spans="1:30" x14ac:dyDescent="0.35">
      <c r="A240" t="s">
        <v>582</v>
      </c>
      <c r="B240">
        <v>44</v>
      </c>
      <c r="C240" t="s">
        <v>7</v>
      </c>
      <c r="D240" t="s">
        <v>8</v>
      </c>
      <c r="O240">
        <v>0.95</v>
      </c>
      <c r="P240" t="s">
        <v>98</v>
      </c>
      <c r="Q240">
        <v>0</v>
      </c>
      <c r="R240">
        <v>1</v>
      </c>
      <c r="S240" s="2">
        <v>0</v>
      </c>
      <c r="T240" s="3">
        <v>0</v>
      </c>
      <c r="U240" s="4">
        <v>1</v>
      </c>
      <c r="V240" s="2">
        <v>20</v>
      </c>
      <c r="W240" s="3">
        <v>1</v>
      </c>
      <c r="X240" s="3">
        <v>0</v>
      </c>
      <c r="Y240" s="3">
        <v>22</v>
      </c>
      <c r="Z240" s="3">
        <v>0</v>
      </c>
      <c r="AA240" s="3">
        <v>0</v>
      </c>
      <c r="AB240" s="4">
        <v>0</v>
      </c>
      <c r="AD240">
        <f t="shared" si="3"/>
        <v>22</v>
      </c>
    </row>
    <row r="241" spans="1:30" x14ac:dyDescent="0.35">
      <c r="A241" t="s">
        <v>481</v>
      </c>
      <c r="B241">
        <v>42</v>
      </c>
      <c r="C241" t="s">
        <v>7</v>
      </c>
      <c r="D241" t="s">
        <v>8</v>
      </c>
      <c r="E241" t="s">
        <v>46</v>
      </c>
      <c r="G241" t="s">
        <v>47</v>
      </c>
      <c r="I241" t="s">
        <v>61</v>
      </c>
      <c r="M241" t="s">
        <v>334</v>
      </c>
      <c r="O241">
        <v>0.66</v>
      </c>
      <c r="P241" t="s">
        <v>335</v>
      </c>
      <c r="Q241">
        <v>96</v>
      </c>
      <c r="R241">
        <v>1</v>
      </c>
      <c r="S241" s="2">
        <v>1</v>
      </c>
      <c r="T241" s="3">
        <v>0</v>
      </c>
      <c r="U241" s="4">
        <v>17</v>
      </c>
      <c r="V241" s="2">
        <v>0</v>
      </c>
      <c r="W241" s="3">
        <v>23</v>
      </c>
      <c r="X241" s="3">
        <v>1</v>
      </c>
      <c r="Y241" s="3">
        <v>0</v>
      </c>
      <c r="Z241" s="3">
        <v>0</v>
      </c>
      <c r="AA241" s="3">
        <v>0</v>
      </c>
      <c r="AB241" s="4">
        <v>0</v>
      </c>
      <c r="AD241">
        <f t="shared" si="3"/>
        <v>23</v>
      </c>
    </row>
    <row r="242" spans="1:30" x14ac:dyDescent="0.35">
      <c r="A242" t="s">
        <v>735</v>
      </c>
      <c r="B242">
        <v>42</v>
      </c>
      <c r="C242" t="s">
        <v>7</v>
      </c>
      <c r="D242" t="s">
        <v>8</v>
      </c>
      <c r="E242" t="s">
        <v>258</v>
      </c>
      <c r="G242" t="s">
        <v>258</v>
      </c>
      <c r="H242" t="s">
        <v>351</v>
      </c>
      <c r="O242">
        <v>0.56000000000000005</v>
      </c>
      <c r="P242" t="s">
        <v>352</v>
      </c>
      <c r="Q242">
        <v>89.3</v>
      </c>
      <c r="R242">
        <v>3</v>
      </c>
      <c r="S242" s="2">
        <v>11</v>
      </c>
      <c r="T242" s="3">
        <v>0</v>
      </c>
      <c r="U242" s="4">
        <v>8</v>
      </c>
      <c r="V242" s="2">
        <v>18</v>
      </c>
      <c r="W242" s="3">
        <v>2</v>
      </c>
      <c r="X242" s="3">
        <v>1</v>
      </c>
      <c r="Y242" s="3">
        <v>0</v>
      </c>
      <c r="Z242" s="3">
        <v>0</v>
      </c>
      <c r="AA242" s="3">
        <v>0</v>
      </c>
      <c r="AB242" s="4">
        <v>2</v>
      </c>
      <c r="AD242">
        <f t="shared" si="3"/>
        <v>18</v>
      </c>
    </row>
    <row r="243" spans="1:30" x14ac:dyDescent="0.35">
      <c r="A243" t="s">
        <v>495</v>
      </c>
      <c r="B243">
        <v>42</v>
      </c>
      <c r="C243" t="s">
        <v>7</v>
      </c>
      <c r="D243" t="s">
        <v>8</v>
      </c>
      <c r="E243" t="s">
        <v>387</v>
      </c>
      <c r="G243" t="s">
        <v>388</v>
      </c>
      <c r="I243" t="s">
        <v>389</v>
      </c>
      <c r="K243" t="s">
        <v>390</v>
      </c>
      <c r="M243" t="s">
        <v>391</v>
      </c>
      <c r="O243">
        <v>1</v>
      </c>
      <c r="P243" t="s">
        <v>392</v>
      </c>
      <c r="Q243">
        <v>100</v>
      </c>
      <c r="R243">
        <v>1</v>
      </c>
      <c r="S243" s="2">
        <v>14</v>
      </c>
      <c r="T243" s="3">
        <v>0</v>
      </c>
      <c r="U243" s="4">
        <v>0</v>
      </c>
      <c r="V243" s="2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11</v>
      </c>
      <c r="AB243" s="4">
        <v>17</v>
      </c>
      <c r="AD243">
        <f t="shared" si="3"/>
        <v>17</v>
      </c>
    </row>
    <row r="244" spans="1:30" x14ac:dyDescent="0.35">
      <c r="A244" t="s">
        <v>474</v>
      </c>
      <c r="B244">
        <v>42</v>
      </c>
      <c r="C244" t="s">
        <v>7</v>
      </c>
      <c r="D244" t="s">
        <v>8</v>
      </c>
      <c r="E244" t="s">
        <v>46</v>
      </c>
      <c r="G244" t="s">
        <v>703</v>
      </c>
      <c r="I244" t="s">
        <v>704</v>
      </c>
      <c r="K244" t="s">
        <v>705</v>
      </c>
      <c r="O244">
        <v>0.93</v>
      </c>
      <c r="P244" t="s">
        <v>736</v>
      </c>
      <c r="Q244">
        <v>93.3</v>
      </c>
      <c r="R244">
        <v>1</v>
      </c>
      <c r="S244" s="2">
        <v>0</v>
      </c>
      <c r="T244" s="3">
        <v>0</v>
      </c>
      <c r="U244" s="4">
        <v>0</v>
      </c>
      <c r="V244" s="2">
        <v>0</v>
      </c>
      <c r="W244" s="3">
        <v>1</v>
      </c>
      <c r="X244" s="3">
        <v>27</v>
      </c>
      <c r="Y244" s="3">
        <v>8</v>
      </c>
      <c r="Z244" s="3">
        <v>0</v>
      </c>
      <c r="AA244" s="3">
        <v>6</v>
      </c>
      <c r="AB244" s="4">
        <v>0</v>
      </c>
      <c r="AD244">
        <f t="shared" si="3"/>
        <v>27</v>
      </c>
    </row>
    <row r="245" spans="1:30" x14ac:dyDescent="0.35">
      <c r="A245" t="s">
        <v>555</v>
      </c>
      <c r="B245">
        <v>41</v>
      </c>
      <c r="C245" t="s">
        <v>7</v>
      </c>
      <c r="D245" t="s">
        <v>8</v>
      </c>
      <c r="O245">
        <v>1</v>
      </c>
      <c r="P245" t="s">
        <v>98</v>
      </c>
      <c r="Q245">
        <v>0</v>
      </c>
      <c r="R245">
        <v>1</v>
      </c>
      <c r="S245" s="2">
        <v>0</v>
      </c>
      <c r="T245" s="3">
        <v>1</v>
      </c>
      <c r="U245" s="4">
        <v>0</v>
      </c>
      <c r="V245" s="2">
        <v>1</v>
      </c>
      <c r="W245" s="3">
        <v>39</v>
      </c>
      <c r="X245" s="3">
        <v>0</v>
      </c>
      <c r="Y245" s="3">
        <v>0</v>
      </c>
      <c r="Z245" s="3">
        <v>0</v>
      </c>
      <c r="AA245" s="3">
        <v>0</v>
      </c>
      <c r="AB245" s="4">
        <v>0</v>
      </c>
      <c r="AD245">
        <f t="shared" si="3"/>
        <v>39</v>
      </c>
    </row>
    <row r="246" spans="1:30" x14ac:dyDescent="0.35">
      <c r="A246" t="s">
        <v>564</v>
      </c>
      <c r="B246">
        <v>40</v>
      </c>
      <c r="C246" t="s">
        <v>7</v>
      </c>
      <c r="D246" t="s">
        <v>8</v>
      </c>
      <c r="O246">
        <v>1</v>
      </c>
      <c r="P246" t="s">
        <v>737</v>
      </c>
      <c r="Q246">
        <v>88.9</v>
      </c>
      <c r="R246">
        <v>1</v>
      </c>
      <c r="S246" s="2">
        <v>0</v>
      </c>
      <c r="T246" s="3">
        <v>0</v>
      </c>
      <c r="U246" s="4">
        <v>0</v>
      </c>
      <c r="V246" s="2">
        <v>0</v>
      </c>
      <c r="W246" s="3">
        <v>8</v>
      </c>
      <c r="X246" s="3">
        <v>0</v>
      </c>
      <c r="Y246" s="3">
        <v>0</v>
      </c>
      <c r="Z246" s="3">
        <v>32</v>
      </c>
      <c r="AA246" s="3">
        <v>0</v>
      </c>
      <c r="AB246" s="4">
        <v>0</v>
      </c>
      <c r="AD246">
        <f t="shared" si="3"/>
        <v>32</v>
      </c>
    </row>
    <row r="247" spans="1:30" x14ac:dyDescent="0.35">
      <c r="A247" t="s">
        <v>738</v>
      </c>
      <c r="B247">
        <v>40</v>
      </c>
      <c r="C247" t="s">
        <v>7</v>
      </c>
      <c r="D247" t="s">
        <v>8</v>
      </c>
      <c r="E247" t="s">
        <v>18</v>
      </c>
      <c r="G247" t="s">
        <v>19</v>
      </c>
      <c r="I247" t="s">
        <v>20</v>
      </c>
      <c r="K247" t="s">
        <v>21</v>
      </c>
      <c r="M247" t="s">
        <v>429</v>
      </c>
      <c r="O247">
        <v>1</v>
      </c>
      <c r="P247" t="s">
        <v>430</v>
      </c>
      <c r="Q247">
        <v>99.6</v>
      </c>
      <c r="R247">
        <v>1</v>
      </c>
      <c r="S247" s="2">
        <v>0</v>
      </c>
      <c r="T247" s="3">
        <v>0</v>
      </c>
      <c r="U247" s="4">
        <v>1</v>
      </c>
      <c r="V247" s="2">
        <v>0</v>
      </c>
      <c r="W247" s="3">
        <v>1</v>
      </c>
      <c r="X247" s="3">
        <v>0</v>
      </c>
      <c r="Y247" s="3">
        <v>3</v>
      </c>
      <c r="Z247" s="3">
        <v>1</v>
      </c>
      <c r="AA247" s="3">
        <v>0</v>
      </c>
      <c r="AB247" s="4">
        <v>34</v>
      </c>
      <c r="AD247">
        <f t="shared" si="3"/>
        <v>34</v>
      </c>
    </row>
    <row r="248" spans="1:30" x14ac:dyDescent="0.35">
      <c r="A248" t="s">
        <v>739</v>
      </c>
      <c r="B248">
        <v>38</v>
      </c>
      <c r="C248" t="s">
        <v>7</v>
      </c>
      <c r="D248" t="s">
        <v>8</v>
      </c>
      <c r="E248" t="s">
        <v>46</v>
      </c>
      <c r="G248" t="s">
        <v>47</v>
      </c>
      <c r="I248" t="s">
        <v>61</v>
      </c>
      <c r="O248">
        <v>0.57999999999999996</v>
      </c>
      <c r="P248" t="s">
        <v>609</v>
      </c>
      <c r="Q248">
        <v>89.3</v>
      </c>
      <c r="R248">
        <v>2</v>
      </c>
      <c r="S248" s="2">
        <v>0</v>
      </c>
      <c r="T248" s="3">
        <v>0</v>
      </c>
      <c r="U248" s="4">
        <v>0</v>
      </c>
      <c r="V248" s="2">
        <v>0</v>
      </c>
      <c r="W248" s="3">
        <v>0</v>
      </c>
      <c r="X248" s="3">
        <v>33</v>
      </c>
      <c r="Y248" s="3">
        <v>5</v>
      </c>
      <c r="Z248" s="3">
        <v>0</v>
      </c>
      <c r="AA248" s="3">
        <v>0</v>
      </c>
      <c r="AB248" s="4">
        <v>0</v>
      </c>
      <c r="AD248">
        <f t="shared" si="3"/>
        <v>33</v>
      </c>
    </row>
    <row r="249" spans="1:30" x14ac:dyDescent="0.35">
      <c r="A249" t="s">
        <v>740</v>
      </c>
      <c r="B249">
        <v>38</v>
      </c>
      <c r="C249" t="s">
        <v>7</v>
      </c>
      <c r="D249" t="s">
        <v>8</v>
      </c>
      <c r="O249">
        <v>0.99</v>
      </c>
      <c r="P249" t="s">
        <v>741</v>
      </c>
      <c r="Q249">
        <v>87</v>
      </c>
      <c r="R249">
        <v>2</v>
      </c>
      <c r="S249" s="2">
        <v>0</v>
      </c>
      <c r="T249" s="3">
        <v>0</v>
      </c>
      <c r="U249" s="4">
        <v>0</v>
      </c>
      <c r="V249" s="2">
        <v>0</v>
      </c>
      <c r="W249" s="3">
        <v>6</v>
      </c>
      <c r="X249" s="3">
        <v>32</v>
      </c>
      <c r="Y249" s="3">
        <v>0</v>
      </c>
      <c r="Z249" s="3">
        <v>0</v>
      </c>
      <c r="AA249" s="3">
        <v>0</v>
      </c>
      <c r="AB249" s="4">
        <v>0</v>
      </c>
      <c r="AD249">
        <f t="shared" si="3"/>
        <v>32</v>
      </c>
    </row>
    <row r="250" spans="1:30" x14ac:dyDescent="0.35">
      <c r="A250" t="s">
        <v>742</v>
      </c>
      <c r="B250">
        <v>37</v>
      </c>
      <c r="C250" t="s">
        <v>7</v>
      </c>
      <c r="D250" t="s">
        <v>8</v>
      </c>
      <c r="O250">
        <v>0.99</v>
      </c>
      <c r="P250" t="s">
        <v>98</v>
      </c>
      <c r="Q250">
        <v>0</v>
      </c>
      <c r="R250">
        <v>1</v>
      </c>
      <c r="S250" s="2">
        <v>0</v>
      </c>
      <c r="T250" s="3">
        <v>1</v>
      </c>
      <c r="U250" s="4">
        <v>0</v>
      </c>
      <c r="V250" s="2">
        <v>1</v>
      </c>
      <c r="W250" s="3">
        <v>1</v>
      </c>
      <c r="X250" s="3">
        <v>11</v>
      </c>
      <c r="Y250" s="3">
        <v>0</v>
      </c>
      <c r="Z250" s="3">
        <v>4</v>
      </c>
      <c r="AA250" s="3">
        <v>6</v>
      </c>
      <c r="AB250" s="4">
        <v>13</v>
      </c>
      <c r="AD250">
        <f t="shared" si="3"/>
        <v>13</v>
      </c>
    </row>
    <row r="251" spans="1:30" x14ac:dyDescent="0.35">
      <c r="A251" t="s">
        <v>743</v>
      </c>
      <c r="B251">
        <v>36</v>
      </c>
      <c r="C251" t="s">
        <v>7</v>
      </c>
      <c r="D251" t="s">
        <v>8</v>
      </c>
      <c r="E251" t="s">
        <v>32</v>
      </c>
      <c r="G251" t="s">
        <v>35</v>
      </c>
      <c r="I251" t="s">
        <v>36</v>
      </c>
      <c r="K251" t="s">
        <v>37</v>
      </c>
      <c r="O251">
        <v>0.85</v>
      </c>
      <c r="P251" t="s">
        <v>401</v>
      </c>
      <c r="Q251">
        <v>89.7</v>
      </c>
      <c r="R251">
        <v>1</v>
      </c>
      <c r="S251" s="2">
        <v>5</v>
      </c>
      <c r="T251" s="3">
        <v>4</v>
      </c>
      <c r="U251" s="4">
        <v>3</v>
      </c>
      <c r="V251" s="2">
        <v>6</v>
      </c>
      <c r="W251" s="3">
        <v>5</v>
      </c>
      <c r="X251" s="3">
        <v>4</v>
      </c>
      <c r="Y251" s="3">
        <v>1</v>
      </c>
      <c r="Z251" s="3">
        <v>2</v>
      </c>
      <c r="AA251" s="3">
        <v>3</v>
      </c>
      <c r="AB251" s="4">
        <v>3</v>
      </c>
      <c r="AD251">
        <f t="shared" si="3"/>
        <v>6</v>
      </c>
    </row>
    <row r="252" spans="1:30" x14ac:dyDescent="0.35">
      <c r="A252" t="s">
        <v>744</v>
      </c>
      <c r="B252">
        <v>36</v>
      </c>
      <c r="C252" t="s">
        <v>7</v>
      </c>
      <c r="D252" t="s">
        <v>8</v>
      </c>
      <c r="E252" t="s">
        <v>46</v>
      </c>
      <c r="G252" t="s">
        <v>364</v>
      </c>
      <c r="I252" t="s">
        <v>416</v>
      </c>
      <c r="K252" t="s">
        <v>417</v>
      </c>
      <c r="M252" t="s">
        <v>418</v>
      </c>
      <c r="O252">
        <v>1</v>
      </c>
      <c r="P252" t="s">
        <v>419</v>
      </c>
      <c r="Q252">
        <v>99.2</v>
      </c>
      <c r="R252">
        <v>1</v>
      </c>
      <c r="S252" s="2">
        <v>1</v>
      </c>
      <c r="T252" s="3">
        <v>1</v>
      </c>
      <c r="U252" s="4">
        <v>10</v>
      </c>
      <c r="V252" s="2">
        <v>0</v>
      </c>
      <c r="W252" s="3">
        <v>0</v>
      </c>
      <c r="X252" s="3">
        <v>0</v>
      </c>
      <c r="Y252" s="3">
        <v>1</v>
      </c>
      <c r="Z252" s="3">
        <v>1</v>
      </c>
      <c r="AA252" s="3">
        <v>22</v>
      </c>
      <c r="AB252" s="4">
        <v>0</v>
      </c>
      <c r="AD252">
        <f t="shared" si="3"/>
        <v>22</v>
      </c>
    </row>
    <row r="253" spans="1:30" x14ac:dyDescent="0.35">
      <c r="A253" t="s">
        <v>745</v>
      </c>
      <c r="B253">
        <v>36</v>
      </c>
      <c r="C253" t="s">
        <v>7</v>
      </c>
      <c r="D253" t="s">
        <v>8</v>
      </c>
      <c r="E253" t="s">
        <v>100</v>
      </c>
      <c r="G253" t="s">
        <v>101</v>
      </c>
      <c r="I253" t="s">
        <v>102</v>
      </c>
      <c r="K253" t="s">
        <v>103</v>
      </c>
      <c r="M253" t="s">
        <v>104</v>
      </c>
      <c r="O253">
        <v>1</v>
      </c>
      <c r="P253" t="s">
        <v>105</v>
      </c>
      <c r="Q253">
        <v>97.2</v>
      </c>
      <c r="R253">
        <v>1</v>
      </c>
      <c r="S253" s="2">
        <v>0</v>
      </c>
      <c r="T253" s="3">
        <v>34</v>
      </c>
      <c r="U253" s="4">
        <v>0</v>
      </c>
      <c r="V253" s="2">
        <v>0</v>
      </c>
      <c r="W253" s="3">
        <v>0</v>
      </c>
      <c r="X253" s="3">
        <v>0</v>
      </c>
      <c r="Y253" s="3">
        <v>2</v>
      </c>
      <c r="Z253" s="3">
        <v>0</v>
      </c>
      <c r="AA253" s="3">
        <v>0</v>
      </c>
      <c r="AB253" s="4">
        <v>0</v>
      </c>
      <c r="AD253">
        <f t="shared" si="3"/>
        <v>34</v>
      </c>
    </row>
    <row r="254" spans="1:30" x14ac:dyDescent="0.35">
      <c r="A254" t="s">
        <v>746</v>
      </c>
      <c r="B254">
        <v>36</v>
      </c>
      <c r="C254" t="s">
        <v>7</v>
      </c>
      <c r="D254" t="s">
        <v>8</v>
      </c>
      <c r="E254" t="s">
        <v>46</v>
      </c>
      <c r="O254">
        <v>0.89</v>
      </c>
      <c r="P254" t="s">
        <v>747</v>
      </c>
      <c r="Q254">
        <v>89.3</v>
      </c>
      <c r="R254">
        <v>3</v>
      </c>
      <c r="S254" s="2">
        <v>0</v>
      </c>
      <c r="T254" s="3">
        <v>0</v>
      </c>
      <c r="U254" s="4">
        <v>0</v>
      </c>
      <c r="V254" s="2">
        <v>0</v>
      </c>
      <c r="W254" s="3">
        <v>1</v>
      </c>
      <c r="X254" s="3">
        <v>0</v>
      </c>
      <c r="Y254" s="3">
        <v>2</v>
      </c>
      <c r="Z254" s="3">
        <v>0</v>
      </c>
      <c r="AA254" s="3">
        <v>21</v>
      </c>
      <c r="AB254" s="4">
        <v>12</v>
      </c>
      <c r="AD254">
        <f t="shared" si="3"/>
        <v>21</v>
      </c>
    </row>
    <row r="255" spans="1:30" x14ac:dyDescent="0.35">
      <c r="A255" t="s">
        <v>748</v>
      </c>
      <c r="B255">
        <v>36</v>
      </c>
      <c r="C255" t="s">
        <v>7</v>
      </c>
      <c r="D255" t="s">
        <v>8</v>
      </c>
      <c r="E255" t="s">
        <v>120</v>
      </c>
      <c r="G255" t="s">
        <v>121</v>
      </c>
      <c r="I255" t="s">
        <v>122</v>
      </c>
      <c r="K255" t="s">
        <v>123</v>
      </c>
      <c r="O255">
        <v>0.95</v>
      </c>
      <c r="P255" t="s">
        <v>224</v>
      </c>
      <c r="Q255">
        <v>85.4</v>
      </c>
      <c r="R255">
        <v>1</v>
      </c>
      <c r="S255" s="2">
        <v>2</v>
      </c>
      <c r="T255" s="3">
        <v>4</v>
      </c>
      <c r="U255" s="4">
        <v>0</v>
      </c>
      <c r="V255" s="2">
        <v>0</v>
      </c>
      <c r="W255" s="3">
        <v>15</v>
      </c>
      <c r="X255" s="3">
        <v>0</v>
      </c>
      <c r="Y255" s="3">
        <v>9</v>
      </c>
      <c r="Z255" s="3">
        <v>6</v>
      </c>
      <c r="AA255" s="3">
        <v>0</v>
      </c>
      <c r="AB255" s="4">
        <v>0</v>
      </c>
      <c r="AD255">
        <f t="shared" si="3"/>
        <v>15</v>
      </c>
    </row>
    <row r="256" spans="1:30" x14ac:dyDescent="0.35">
      <c r="A256" t="s">
        <v>749</v>
      </c>
      <c r="B256">
        <v>35</v>
      </c>
      <c r="C256" t="s">
        <v>7</v>
      </c>
      <c r="D256" t="s">
        <v>8</v>
      </c>
      <c r="E256" t="s">
        <v>120</v>
      </c>
      <c r="G256" t="s">
        <v>750</v>
      </c>
      <c r="H256" t="s">
        <v>751</v>
      </c>
      <c r="I256" t="s">
        <v>752</v>
      </c>
      <c r="J256" t="s">
        <v>753</v>
      </c>
      <c r="K256" t="s">
        <v>754</v>
      </c>
      <c r="M256" t="s">
        <v>755</v>
      </c>
      <c r="O256">
        <v>0.77</v>
      </c>
      <c r="P256" t="s">
        <v>756</v>
      </c>
      <c r="Q256">
        <v>85.6</v>
      </c>
      <c r="R256">
        <v>1</v>
      </c>
      <c r="S256" s="2">
        <v>0</v>
      </c>
      <c r="T256" s="3">
        <v>0</v>
      </c>
      <c r="U256" s="4">
        <v>1</v>
      </c>
      <c r="V256" s="2">
        <v>34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4">
        <v>0</v>
      </c>
      <c r="AD256">
        <f t="shared" si="3"/>
        <v>34</v>
      </c>
    </row>
    <row r="257" spans="1:30" x14ac:dyDescent="0.35">
      <c r="A257" t="s">
        <v>757</v>
      </c>
      <c r="B257">
        <v>35</v>
      </c>
      <c r="C257" t="s">
        <v>7</v>
      </c>
      <c r="D257" t="s">
        <v>8</v>
      </c>
      <c r="E257" t="s">
        <v>120</v>
      </c>
      <c r="G257" t="s">
        <v>121</v>
      </c>
      <c r="I257" t="s">
        <v>122</v>
      </c>
      <c r="K257" t="s">
        <v>123</v>
      </c>
      <c r="M257" t="s">
        <v>219</v>
      </c>
      <c r="O257">
        <v>0.5</v>
      </c>
      <c r="P257" t="s">
        <v>276</v>
      </c>
      <c r="Q257">
        <v>92.5</v>
      </c>
      <c r="R257">
        <v>2</v>
      </c>
      <c r="S257" s="2">
        <v>0</v>
      </c>
      <c r="T257" s="3">
        <v>1</v>
      </c>
      <c r="U257" s="4">
        <v>0</v>
      </c>
      <c r="V257" s="2">
        <v>0</v>
      </c>
      <c r="W257" s="3">
        <v>7</v>
      </c>
      <c r="X257" s="3">
        <v>0</v>
      </c>
      <c r="Y257" s="3">
        <v>26</v>
      </c>
      <c r="Z257" s="3">
        <v>1</v>
      </c>
      <c r="AA257" s="3">
        <v>0</v>
      </c>
      <c r="AB257" s="4">
        <v>0</v>
      </c>
      <c r="AD257">
        <f t="shared" si="3"/>
        <v>26</v>
      </c>
    </row>
    <row r="258" spans="1:30" x14ac:dyDescent="0.35">
      <c r="A258" t="s">
        <v>758</v>
      </c>
      <c r="B258">
        <v>35</v>
      </c>
      <c r="C258" t="s">
        <v>7</v>
      </c>
      <c r="D258" t="s">
        <v>8</v>
      </c>
      <c r="E258" t="s">
        <v>32</v>
      </c>
      <c r="G258" t="s">
        <v>35</v>
      </c>
      <c r="I258" t="s">
        <v>36</v>
      </c>
      <c r="K258" t="s">
        <v>37</v>
      </c>
      <c r="M258" t="s">
        <v>425</v>
      </c>
      <c r="O258">
        <v>0.99</v>
      </c>
      <c r="P258" t="s">
        <v>426</v>
      </c>
      <c r="Q258">
        <v>93.3</v>
      </c>
      <c r="R258">
        <v>1</v>
      </c>
      <c r="S258" s="2">
        <v>0</v>
      </c>
      <c r="T258" s="3">
        <v>9</v>
      </c>
      <c r="U258" s="4">
        <v>2</v>
      </c>
      <c r="V258" s="2">
        <v>1</v>
      </c>
      <c r="W258" s="3">
        <v>8</v>
      </c>
      <c r="X258" s="3">
        <v>3</v>
      </c>
      <c r="Y258" s="3">
        <v>1</v>
      </c>
      <c r="Z258" s="3">
        <v>9</v>
      </c>
      <c r="AA258" s="3">
        <v>1</v>
      </c>
      <c r="AB258" s="4">
        <v>1</v>
      </c>
      <c r="AD258">
        <f t="shared" si="3"/>
        <v>9</v>
      </c>
    </row>
    <row r="259" spans="1:30" x14ac:dyDescent="0.35">
      <c r="A259" t="s">
        <v>759</v>
      </c>
      <c r="B259">
        <v>35</v>
      </c>
      <c r="C259" t="s">
        <v>7</v>
      </c>
      <c r="D259" t="s">
        <v>8</v>
      </c>
      <c r="E259" t="s">
        <v>46</v>
      </c>
      <c r="G259" t="s">
        <v>364</v>
      </c>
      <c r="I259" t="s">
        <v>416</v>
      </c>
      <c r="K259" t="s">
        <v>678</v>
      </c>
      <c r="O259">
        <v>0.78</v>
      </c>
      <c r="P259" t="s">
        <v>760</v>
      </c>
      <c r="Q259">
        <v>99.6</v>
      </c>
      <c r="R259">
        <v>2</v>
      </c>
      <c r="S259" s="2">
        <v>0</v>
      </c>
      <c r="T259" s="3">
        <v>1</v>
      </c>
      <c r="U259" s="4">
        <v>0</v>
      </c>
      <c r="V259" s="2">
        <v>21</v>
      </c>
      <c r="W259" s="3">
        <v>11</v>
      </c>
      <c r="X259" s="3">
        <v>0</v>
      </c>
      <c r="Y259" s="3">
        <v>2</v>
      </c>
      <c r="Z259" s="3">
        <v>0</v>
      </c>
      <c r="AA259" s="3">
        <v>0</v>
      </c>
      <c r="AB259" s="4">
        <v>0</v>
      </c>
      <c r="AD259">
        <f t="shared" si="3"/>
        <v>21</v>
      </c>
    </row>
    <row r="260" spans="1:30" x14ac:dyDescent="0.35">
      <c r="A260" t="s">
        <v>761</v>
      </c>
      <c r="B260">
        <v>34</v>
      </c>
      <c r="C260" t="s">
        <v>7</v>
      </c>
      <c r="D260" t="s">
        <v>8</v>
      </c>
      <c r="E260" t="s">
        <v>46</v>
      </c>
      <c r="G260" t="s">
        <v>47</v>
      </c>
      <c r="I260" t="s">
        <v>61</v>
      </c>
      <c r="O260">
        <v>0.97</v>
      </c>
      <c r="P260" t="s">
        <v>339</v>
      </c>
      <c r="Q260">
        <v>93.7</v>
      </c>
      <c r="R260">
        <v>2</v>
      </c>
      <c r="S260" s="2">
        <v>25</v>
      </c>
      <c r="T260" s="3">
        <v>0</v>
      </c>
      <c r="U260" s="4">
        <v>0</v>
      </c>
      <c r="V260" s="2">
        <v>2</v>
      </c>
      <c r="W260" s="3">
        <v>0</v>
      </c>
      <c r="X260" s="3">
        <v>0</v>
      </c>
      <c r="Y260" s="3">
        <v>0</v>
      </c>
      <c r="Z260" s="3">
        <v>6</v>
      </c>
      <c r="AA260" s="3">
        <v>0</v>
      </c>
      <c r="AB260" s="4">
        <v>1</v>
      </c>
      <c r="AD260">
        <f t="shared" si="3"/>
        <v>25</v>
      </c>
    </row>
    <row r="261" spans="1:30" x14ac:dyDescent="0.35">
      <c r="A261" t="s">
        <v>762</v>
      </c>
      <c r="B261">
        <v>34</v>
      </c>
      <c r="C261" t="s">
        <v>7</v>
      </c>
      <c r="D261" t="s">
        <v>8</v>
      </c>
      <c r="E261" t="s">
        <v>46</v>
      </c>
      <c r="G261" t="s">
        <v>47</v>
      </c>
      <c r="I261" t="s">
        <v>61</v>
      </c>
      <c r="O261">
        <v>0.74</v>
      </c>
      <c r="P261" t="s">
        <v>660</v>
      </c>
      <c r="Q261">
        <v>92.1</v>
      </c>
      <c r="R261">
        <v>1</v>
      </c>
      <c r="S261" s="2">
        <v>0</v>
      </c>
      <c r="T261" s="3">
        <v>0</v>
      </c>
      <c r="U261" s="4">
        <v>0</v>
      </c>
      <c r="V261" s="2">
        <v>3</v>
      </c>
      <c r="W261" s="3">
        <v>23</v>
      </c>
      <c r="X261" s="3">
        <v>0</v>
      </c>
      <c r="Y261" s="3">
        <v>0</v>
      </c>
      <c r="Z261" s="3">
        <v>8</v>
      </c>
      <c r="AA261" s="3">
        <v>0</v>
      </c>
      <c r="AB261" s="4">
        <v>0</v>
      </c>
      <c r="AD261">
        <f t="shared" ref="AD261:AD324" si="4">MAX(S261:AB261)</f>
        <v>23</v>
      </c>
    </row>
    <row r="262" spans="1:30" x14ac:dyDescent="0.35">
      <c r="A262" t="s">
        <v>763</v>
      </c>
      <c r="B262">
        <v>34</v>
      </c>
      <c r="C262" t="s">
        <v>7</v>
      </c>
      <c r="D262" t="s">
        <v>8</v>
      </c>
      <c r="E262" t="s">
        <v>120</v>
      </c>
      <c r="O262">
        <v>0.53</v>
      </c>
      <c r="P262" t="s">
        <v>764</v>
      </c>
      <c r="Q262">
        <v>88.5</v>
      </c>
      <c r="R262">
        <v>1</v>
      </c>
      <c r="S262" s="2">
        <v>0</v>
      </c>
      <c r="T262" s="3">
        <v>0</v>
      </c>
      <c r="U262" s="4">
        <v>0</v>
      </c>
      <c r="V262" s="2">
        <v>0</v>
      </c>
      <c r="W262" s="3">
        <v>34</v>
      </c>
      <c r="X262" s="3">
        <v>0</v>
      </c>
      <c r="Y262" s="3">
        <v>0</v>
      </c>
      <c r="Z262" s="3">
        <v>0</v>
      </c>
      <c r="AA262" s="3">
        <v>0</v>
      </c>
      <c r="AB262" s="4">
        <v>0</v>
      </c>
      <c r="AD262">
        <f t="shared" si="4"/>
        <v>34</v>
      </c>
    </row>
    <row r="263" spans="1:30" x14ac:dyDescent="0.35">
      <c r="A263" t="s">
        <v>765</v>
      </c>
      <c r="B263">
        <v>33</v>
      </c>
      <c r="C263" t="s">
        <v>7</v>
      </c>
      <c r="D263" t="s">
        <v>8</v>
      </c>
      <c r="E263" t="s">
        <v>32</v>
      </c>
      <c r="G263" t="s">
        <v>35</v>
      </c>
      <c r="I263" t="s">
        <v>36</v>
      </c>
      <c r="K263" t="s">
        <v>37</v>
      </c>
      <c r="O263">
        <v>0.97</v>
      </c>
      <c r="P263" t="s">
        <v>401</v>
      </c>
      <c r="Q263">
        <v>93.7</v>
      </c>
      <c r="R263">
        <v>1</v>
      </c>
      <c r="S263" s="2">
        <v>5</v>
      </c>
      <c r="T263" s="3">
        <v>6</v>
      </c>
      <c r="U263" s="4">
        <v>3</v>
      </c>
      <c r="V263" s="2">
        <v>3</v>
      </c>
      <c r="W263" s="3">
        <v>1</v>
      </c>
      <c r="X263" s="3">
        <v>4</v>
      </c>
      <c r="Y263" s="3">
        <v>0</v>
      </c>
      <c r="Z263" s="3">
        <v>7</v>
      </c>
      <c r="AA263" s="3">
        <v>2</v>
      </c>
      <c r="AB263" s="4">
        <v>2</v>
      </c>
      <c r="AD263">
        <f t="shared" si="4"/>
        <v>7</v>
      </c>
    </row>
    <row r="264" spans="1:30" x14ac:dyDescent="0.35">
      <c r="A264" t="s">
        <v>766</v>
      </c>
      <c r="B264">
        <v>33</v>
      </c>
      <c r="C264" t="s">
        <v>7</v>
      </c>
      <c r="D264" t="s">
        <v>8</v>
      </c>
      <c r="E264" t="s">
        <v>46</v>
      </c>
      <c r="G264" t="s">
        <v>47</v>
      </c>
      <c r="I264" t="s">
        <v>61</v>
      </c>
      <c r="K264" t="s">
        <v>182</v>
      </c>
      <c r="M264" t="s">
        <v>661</v>
      </c>
      <c r="O264">
        <v>1</v>
      </c>
      <c r="P264" t="s">
        <v>767</v>
      </c>
      <c r="Q264">
        <v>100</v>
      </c>
      <c r="R264">
        <v>1</v>
      </c>
      <c r="S264" s="2">
        <v>0</v>
      </c>
      <c r="T264" s="3">
        <v>0</v>
      </c>
      <c r="U264" s="4">
        <v>0</v>
      </c>
      <c r="V264" s="2">
        <v>2</v>
      </c>
      <c r="W264" s="3">
        <v>5</v>
      </c>
      <c r="X264" s="3">
        <v>0</v>
      </c>
      <c r="Y264" s="3">
        <v>0</v>
      </c>
      <c r="Z264" s="3">
        <v>26</v>
      </c>
      <c r="AA264" s="3">
        <v>0</v>
      </c>
      <c r="AB264" s="4">
        <v>0</v>
      </c>
      <c r="AD264">
        <f t="shared" si="4"/>
        <v>26</v>
      </c>
    </row>
    <row r="265" spans="1:30" x14ac:dyDescent="0.35">
      <c r="A265" t="s">
        <v>768</v>
      </c>
      <c r="B265">
        <v>32</v>
      </c>
      <c r="C265" t="s">
        <v>7</v>
      </c>
      <c r="D265" t="s">
        <v>8</v>
      </c>
      <c r="E265" t="s">
        <v>46</v>
      </c>
      <c r="G265" t="s">
        <v>47</v>
      </c>
      <c r="I265" t="s">
        <v>61</v>
      </c>
      <c r="O265">
        <v>0.52</v>
      </c>
      <c r="P265" t="s">
        <v>769</v>
      </c>
      <c r="Q265">
        <v>89.3</v>
      </c>
      <c r="R265">
        <v>1</v>
      </c>
      <c r="S265" s="2">
        <v>0</v>
      </c>
      <c r="T265" s="3">
        <v>0</v>
      </c>
      <c r="U265" s="4">
        <v>0</v>
      </c>
      <c r="V265" s="2">
        <v>0</v>
      </c>
      <c r="W265" s="3">
        <v>29</v>
      </c>
      <c r="X265" s="3">
        <v>0</v>
      </c>
      <c r="Y265" s="3">
        <v>0</v>
      </c>
      <c r="Z265" s="3">
        <v>2</v>
      </c>
      <c r="AA265" s="3">
        <v>1</v>
      </c>
      <c r="AB265" s="4">
        <v>0</v>
      </c>
      <c r="AD265">
        <f t="shared" si="4"/>
        <v>29</v>
      </c>
    </row>
    <row r="266" spans="1:30" x14ac:dyDescent="0.35">
      <c r="A266" t="s">
        <v>770</v>
      </c>
      <c r="B266">
        <v>32</v>
      </c>
      <c r="C266" t="s">
        <v>7</v>
      </c>
      <c r="D266" t="s">
        <v>8</v>
      </c>
      <c r="E266" t="s">
        <v>290</v>
      </c>
      <c r="G266" t="s">
        <v>291</v>
      </c>
      <c r="M266" t="s">
        <v>292</v>
      </c>
      <c r="O266">
        <v>0.69</v>
      </c>
      <c r="P266" t="s">
        <v>293</v>
      </c>
      <c r="Q266">
        <v>96</v>
      </c>
      <c r="R266">
        <v>1</v>
      </c>
      <c r="S266" s="2">
        <v>0</v>
      </c>
      <c r="T266" s="3">
        <v>31</v>
      </c>
      <c r="U266" s="4">
        <v>0</v>
      </c>
      <c r="V266" s="2">
        <v>0</v>
      </c>
      <c r="W266" s="3">
        <v>0</v>
      </c>
      <c r="X266" s="3">
        <v>0</v>
      </c>
      <c r="Y266" s="3">
        <v>0</v>
      </c>
      <c r="Z266" s="3">
        <v>1</v>
      </c>
      <c r="AA266" s="3">
        <v>0</v>
      </c>
      <c r="AB266" s="4">
        <v>0</v>
      </c>
      <c r="AD266">
        <f t="shared" si="4"/>
        <v>31</v>
      </c>
    </row>
    <row r="267" spans="1:30" x14ac:dyDescent="0.35">
      <c r="A267" t="s">
        <v>771</v>
      </c>
      <c r="B267">
        <v>32</v>
      </c>
      <c r="C267" t="s">
        <v>7</v>
      </c>
      <c r="D267" t="s">
        <v>8</v>
      </c>
      <c r="E267" t="s">
        <v>46</v>
      </c>
      <c r="G267" t="s">
        <v>47</v>
      </c>
      <c r="I267" t="s">
        <v>61</v>
      </c>
      <c r="K267" t="s">
        <v>190</v>
      </c>
      <c r="M267" t="s">
        <v>484</v>
      </c>
      <c r="O267">
        <v>0.64</v>
      </c>
      <c r="P267" t="s">
        <v>485</v>
      </c>
      <c r="Q267">
        <v>91.7</v>
      </c>
      <c r="R267">
        <v>1</v>
      </c>
      <c r="S267" s="2">
        <v>2</v>
      </c>
      <c r="T267" s="3">
        <v>1</v>
      </c>
      <c r="U267" s="4">
        <v>4</v>
      </c>
      <c r="V267" s="2">
        <v>24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4">
        <v>1</v>
      </c>
      <c r="AD267">
        <f t="shared" si="4"/>
        <v>24</v>
      </c>
    </row>
    <row r="268" spans="1:30" x14ac:dyDescent="0.35">
      <c r="A268" t="s">
        <v>772</v>
      </c>
      <c r="B268">
        <v>31</v>
      </c>
      <c r="C268" t="s">
        <v>7</v>
      </c>
      <c r="D268" t="s">
        <v>8</v>
      </c>
      <c r="E268" t="s">
        <v>120</v>
      </c>
      <c r="G268" t="s">
        <v>121</v>
      </c>
      <c r="I268" t="s">
        <v>122</v>
      </c>
      <c r="K268" t="s">
        <v>123</v>
      </c>
      <c r="O268">
        <v>0.63</v>
      </c>
      <c r="P268" t="s">
        <v>324</v>
      </c>
      <c r="Q268">
        <v>86.6</v>
      </c>
      <c r="R268">
        <v>2</v>
      </c>
      <c r="S268" s="2">
        <v>0</v>
      </c>
      <c r="T268" s="3">
        <v>1</v>
      </c>
      <c r="U268" s="4">
        <v>22</v>
      </c>
      <c r="V268" s="2">
        <v>0</v>
      </c>
      <c r="W268" s="3">
        <v>7</v>
      </c>
      <c r="X268" s="3">
        <v>0</v>
      </c>
      <c r="Y268" s="3">
        <v>0</v>
      </c>
      <c r="Z268" s="3">
        <v>1</v>
      </c>
      <c r="AA268" s="3">
        <v>0</v>
      </c>
      <c r="AB268" s="4">
        <v>0</v>
      </c>
      <c r="AD268">
        <f t="shared" si="4"/>
        <v>22</v>
      </c>
    </row>
    <row r="269" spans="1:30" x14ac:dyDescent="0.35">
      <c r="A269" t="s">
        <v>773</v>
      </c>
      <c r="B269">
        <v>31</v>
      </c>
      <c r="C269" t="s">
        <v>7</v>
      </c>
      <c r="D269" t="s">
        <v>8</v>
      </c>
      <c r="E269" t="s">
        <v>46</v>
      </c>
      <c r="G269" t="s">
        <v>47</v>
      </c>
      <c r="I269" t="s">
        <v>61</v>
      </c>
      <c r="K269" t="s">
        <v>178</v>
      </c>
      <c r="M269" t="s">
        <v>714</v>
      </c>
      <c r="O269">
        <v>0.79</v>
      </c>
      <c r="P269" t="s">
        <v>715</v>
      </c>
      <c r="Q269">
        <v>96</v>
      </c>
      <c r="R269">
        <v>2</v>
      </c>
      <c r="S269" s="2">
        <v>0</v>
      </c>
      <c r="T269" s="3">
        <v>0</v>
      </c>
      <c r="U269" s="4">
        <v>1</v>
      </c>
      <c r="V269" s="2">
        <v>27</v>
      </c>
      <c r="W269" s="3">
        <v>1</v>
      </c>
      <c r="X269" s="3">
        <v>1</v>
      </c>
      <c r="Y269" s="3">
        <v>0</v>
      </c>
      <c r="Z269" s="3">
        <v>1</v>
      </c>
      <c r="AA269" s="3">
        <v>0</v>
      </c>
      <c r="AB269" s="4">
        <v>0</v>
      </c>
      <c r="AD269">
        <f t="shared" si="4"/>
        <v>27</v>
      </c>
    </row>
    <row r="270" spans="1:30" x14ac:dyDescent="0.35">
      <c r="A270" t="s">
        <v>774</v>
      </c>
      <c r="B270">
        <v>31</v>
      </c>
      <c r="C270" t="s">
        <v>7</v>
      </c>
      <c r="D270" t="s">
        <v>8</v>
      </c>
      <c r="O270">
        <v>1</v>
      </c>
      <c r="P270" t="s">
        <v>775</v>
      </c>
      <c r="Q270">
        <v>88.9</v>
      </c>
      <c r="R270">
        <v>2</v>
      </c>
      <c r="S270" s="2">
        <v>0</v>
      </c>
      <c r="T270" s="3">
        <v>0</v>
      </c>
      <c r="U270" s="4">
        <v>0</v>
      </c>
      <c r="V270" s="2">
        <v>0</v>
      </c>
      <c r="W270" s="3">
        <v>24</v>
      </c>
      <c r="X270" s="3">
        <v>0</v>
      </c>
      <c r="Y270" s="3">
        <v>0</v>
      </c>
      <c r="Z270" s="3">
        <v>7</v>
      </c>
      <c r="AA270" s="3">
        <v>0</v>
      </c>
      <c r="AB270" s="4">
        <v>0</v>
      </c>
      <c r="AD270">
        <f t="shared" si="4"/>
        <v>24</v>
      </c>
    </row>
    <row r="271" spans="1:30" x14ac:dyDescent="0.35">
      <c r="A271" t="s">
        <v>776</v>
      </c>
      <c r="B271">
        <v>31</v>
      </c>
      <c r="C271" t="s">
        <v>7</v>
      </c>
      <c r="D271" t="s">
        <v>8</v>
      </c>
      <c r="E271" t="s">
        <v>9</v>
      </c>
      <c r="G271" t="s">
        <v>10</v>
      </c>
      <c r="I271" t="s">
        <v>11</v>
      </c>
      <c r="K271" t="s">
        <v>249</v>
      </c>
      <c r="M271" t="s">
        <v>250</v>
      </c>
      <c r="O271">
        <v>1</v>
      </c>
      <c r="P271" t="s">
        <v>251</v>
      </c>
      <c r="Q271">
        <v>100</v>
      </c>
      <c r="R271">
        <v>1</v>
      </c>
      <c r="S271" s="2">
        <v>0</v>
      </c>
      <c r="T271" s="3">
        <v>0</v>
      </c>
      <c r="U271" s="4">
        <v>0</v>
      </c>
      <c r="V271" s="2">
        <v>0</v>
      </c>
      <c r="W271" s="3">
        <v>0</v>
      </c>
      <c r="X271" s="3">
        <v>30</v>
      </c>
      <c r="Y271" s="3">
        <v>0</v>
      </c>
      <c r="Z271" s="3">
        <v>0</v>
      </c>
      <c r="AA271" s="3">
        <v>0</v>
      </c>
      <c r="AB271" s="4">
        <v>1</v>
      </c>
      <c r="AD271">
        <f t="shared" si="4"/>
        <v>30</v>
      </c>
    </row>
    <row r="272" spans="1:30" x14ac:dyDescent="0.35">
      <c r="A272" t="s">
        <v>777</v>
      </c>
      <c r="B272">
        <v>30</v>
      </c>
      <c r="C272" t="s">
        <v>7</v>
      </c>
      <c r="D272" t="s">
        <v>8</v>
      </c>
      <c r="E272" t="s">
        <v>120</v>
      </c>
      <c r="G272" t="s">
        <v>121</v>
      </c>
      <c r="I272" t="s">
        <v>122</v>
      </c>
      <c r="K272" t="s">
        <v>123</v>
      </c>
      <c r="O272">
        <v>1</v>
      </c>
      <c r="P272" t="s">
        <v>125</v>
      </c>
      <c r="Q272">
        <v>90.9</v>
      </c>
      <c r="R272">
        <v>1</v>
      </c>
      <c r="S272" s="2">
        <v>0</v>
      </c>
      <c r="T272" s="3">
        <v>1</v>
      </c>
      <c r="U272" s="4">
        <v>1</v>
      </c>
      <c r="V272" s="2">
        <v>0</v>
      </c>
      <c r="W272" s="3">
        <v>0</v>
      </c>
      <c r="X272" s="3">
        <v>1</v>
      </c>
      <c r="Y272" s="3">
        <v>3</v>
      </c>
      <c r="Z272" s="3">
        <v>1</v>
      </c>
      <c r="AA272" s="3">
        <v>5</v>
      </c>
      <c r="AB272" s="4">
        <v>18</v>
      </c>
      <c r="AD272">
        <f t="shared" si="4"/>
        <v>18</v>
      </c>
    </row>
    <row r="273" spans="1:30" x14ac:dyDescent="0.35">
      <c r="A273" t="s">
        <v>778</v>
      </c>
      <c r="B273">
        <v>30</v>
      </c>
      <c r="C273" t="s">
        <v>7</v>
      </c>
      <c r="D273" t="s">
        <v>8</v>
      </c>
      <c r="O273">
        <v>0.99</v>
      </c>
      <c r="P273" t="s">
        <v>98</v>
      </c>
      <c r="Q273">
        <v>0</v>
      </c>
      <c r="R273">
        <v>1</v>
      </c>
      <c r="S273" s="2">
        <v>0</v>
      </c>
      <c r="T273" s="3">
        <v>0</v>
      </c>
      <c r="U273" s="4">
        <v>0</v>
      </c>
      <c r="V273" s="2">
        <v>0</v>
      </c>
      <c r="W273" s="3">
        <v>30</v>
      </c>
      <c r="X273" s="3">
        <v>0</v>
      </c>
      <c r="Y273" s="3">
        <v>0</v>
      </c>
      <c r="Z273" s="3">
        <v>0</v>
      </c>
      <c r="AA273" s="3">
        <v>0</v>
      </c>
      <c r="AB273" s="4">
        <v>0</v>
      </c>
      <c r="AD273">
        <f t="shared" si="4"/>
        <v>30</v>
      </c>
    </row>
    <row r="274" spans="1:30" x14ac:dyDescent="0.35">
      <c r="A274" t="s">
        <v>779</v>
      </c>
      <c r="B274">
        <v>30</v>
      </c>
      <c r="C274" t="s">
        <v>7</v>
      </c>
      <c r="D274" t="s">
        <v>8</v>
      </c>
      <c r="E274" t="s">
        <v>46</v>
      </c>
      <c r="G274" t="s">
        <v>47</v>
      </c>
      <c r="I274" t="s">
        <v>61</v>
      </c>
      <c r="K274" t="s">
        <v>94</v>
      </c>
      <c r="M274" t="s">
        <v>780</v>
      </c>
      <c r="O274">
        <v>0.64</v>
      </c>
      <c r="P274" t="s">
        <v>781</v>
      </c>
      <c r="Q274">
        <v>91.7</v>
      </c>
      <c r="R274">
        <v>1</v>
      </c>
      <c r="S274" s="2">
        <v>1</v>
      </c>
      <c r="T274" s="3">
        <v>0</v>
      </c>
      <c r="U274" s="4">
        <v>0</v>
      </c>
      <c r="V274" s="2">
        <v>3</v>
      </c>
      <c r="W274" s="3">
        <v>2</v>
      </c>
      <c r="X274" s="3">
        <v>4</v>
      </c>
      <c r="Y274" s="3">
        <v>14</v>
      </c>
      <c r="Z274" s="3">
        <v>6</v>
      </c>
      <c r="AA274" s="3">
        <v>0</v>
      </c>
      <c r="AB274" s="4">
        <v>0</v>
      </c>
      <c r="AD274">
        <f t="shared" si="4"/>
        <v>14</v>
      </c>
    </row>
    <row r="275" spans="1:30" x14ac:dyDescent="0.35">
      <c r="A275" t="s">
        <v>782</v>
      </c>
      <c r="B275">
        <v>30</v>
      </c>
      <c r="C275" t="s">
        <v>7</v>
      </c>
      <c r="D275" t="s">
        <v>8</v>
      </c>
      <c r="E275" t="s">
        <v>120</v>
      </c>
      <c r="G275" t="s">
        <v>121</v>
      </c>
      <c r="I275" t="s">
        <v>122</v>
      </c>
      <c r="K275" t="s">
        <v>123</v>
      </c>
      <c r="M275" t="s">
        <v>124</v>
      </c>
      <c r="O275">
        <v>0.7</v>
      </c>
      <c r="P275" t="s">
        <v>276</v>
      </c>
      <c r="Q275">
        <v>94.5</v>
      </c>
      <c r="R275">
        <v>1</v>
      </c>
      <c r="S275" s="2">
        <v>1</v>
      </c>
      <c r="T275" s="3">
        <v>1</v>
      </c>
      <c r="U275" s="4">
        <v>0</v>
      </c>
      <c r="V275" s="2">
        <v>0</v>
      </c>
      <c r="W275" s="3">
        <v>3</v>
      </c>
      <c r="X275" s="3">
        <v>5</v>
      </c>
      <c r="Y275" s="3">
        <v>17</v>
      </c>
      <c r="Z275" s="3">
        <v>3</v>
      </c>
      <c r="AA275" s="3">
        <v>0</v>
      </c>
      <c r="AB275" s="4">
        <v>0</v>
      </c>
      <c r="AD275">
        <f t="shared" si="4"/>
        <v>17</v>
      </c>
    </row>
    <row r="276" spans="1:30" x14ac:dyDescent="0.35">
      <c r="A276" t="s">
        <v>783</v>
      </c>
      <c r="B276">
        <v>29</v>
      </c>
      <c r="C276" t="s">
        <v>7</v>
      </c>
      <c r="D276" t="s">
        <v>8</v>
      </c>
      <c r="E276" t="s">
        <v>120</v>
      </c>
      <c r="G276" t="s">
        <v>121</v>
      </c>
      <c r="I276" t="s">
        <v>122</v>
      </c>
      <c r="K276" t="s">
        <v>123</v>
      </c>
      <c r="O276">
        <v>0.99</v>
      </c>
      <c r="P276" t="s">
        <v>276</v>
      </c>
      <c r="Q276">
        <v>93.7</v>
      </c>
      <c r="R276">
        <v>1</v>
      </c>
      <c r="S276" s="2">
        <v>0</v>
      </c>
      <c r="T276" s="3">
        <v>29</v>
      </c>
      <c r="U276" s="4">
        <v>0</v>
      </c>
      <c r="V276" s="2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4">
        <v>0</v>
      </c>
      <c r="AD276">
        <f t="shared" si="4"/>
        <v>29</v>
      </c>
    </row>
    <row r="277" spans="1:30" x14ac:dyDescent="0.35">
      <c r="A277" t="s">
        <v>784</v>
      </c>
      <c r="B277">
        <v>28</v>
      </c>
      <c r="C277" t="s">
        <v>7</v>
      </c>
      <c r="D277" t="s">
        <v>8</v>
      </c>
      <c r="O277">
        <v>1</v>
      </c>
      <c r="P277" t="s">
        <v>423</v>
      </c>
      <c r="Q277">
        <v>89.7</v>
      </c>
      <c r="R277">
        <v>3</v>
      </c>
      <c r="S277" s="2">
        <v>0</v>
      </c>
      <c r="T277" s="3">
        <v>0</v>
      </c>
      <c r="U277" s="4">
        <v>11</v>
      </c>
      <c r="V277" s="2">
        <v>1</v>
      </c>
      <c r="W277" s="3">
        <v>0</v>
      </c>
      <c r="X277" s="3">
        <v>0</v>
      </c>
      <c r="Y277" s="3">
        <v>0</v>
      </c>
      <c r="Z277" s="3">
        <v>16</v>
      </c>
      <c r="AA277" s="3">
        <v>0</v>
      </c>
      <c r="AB277" s="4">
        <v>0</v>
      </c>
      <c r="AD277">
        <f t="shared" si="4"/>
        <v>16</v>
      </c>
    </row>
    <row r="278" spans="1:30" x14ac:dyDescent="0.35">
      <c r="A278" t="s">
        <v>785</v>
      </c>
      <c r="B278">
        <v>28</v>
      </c>
      <c r="C278" t="s">
        <v>7</v>
      </c>
      <c r="D278" t="s">
        <v>8</v>
      </c>
      <c r="E278" t="s">
        <v>46</v>
      </c>
      <c r="G278" t="s">
        <v>364</v>
      </c>
      <c r="I278" t="s">
        <v>365</v>
      </c>
      <c r="K278" t="s">
        <v>366</v>
      </c>
      <c r="M278" t="s">
        <v>367</v>
      </c>
      <c r="O278">
        <v>1</v>
      </c>
      <c r="P278" t="s">
        <v>368</v>
      </c>
      <c r="Q278">
        <v>100</v>
      </c>
      <c r="R278">
        <v>3</v>
      </c>
      <c r="S278" s="2">
        <v>0</v>
      </c>
      <c r="T278" s="3">
        <v>13</v>
      </c>
      <c r="U278" s="4">
        <v>7</v>
      </c>
      <c r="V278" s="2">
        <v>0</v>
      </c>
      <c r="W278" s="3">
        <v>0</v>
      </c>
      <c r="X278" s="3">
        <v>0</v>
      </c>
      <c r="Y278" s="3">
        <v>5</v>
      </c>
      <c r="Z278" s="3">
        <v>3</v>
      </c>
      <c r="AA278" s="3">
        <v>0</v>
      </c>
      <c r="AB278" s="4">
        <v>0</v>
      </c>
      <c r="AD278">
        <f t="shared" si="4"/>
        <v>13</v>
      </c>
    </row>
    <row r="279" spans="1:30" x14ac:dyDescent="0.35">
      <c r="A279" t="s">
        <v>786</v>
      </c>
      <c r="B279">
        <v>28</v>
      </c>
      <c r="C279" t="s">
        <v>7</v>
      </c>
      <c r="D279" t="s">
        <v>8</v>
      </c>
      <c r="E279" t="s">
        <v>46</v>
      </c>
      <c r="G279" t="s">
        <v>47</v>
      </c>
      <c r="I279" t="s">
        <v>61</v>
      </c>
      <c r="K279" t="s">
        <v>238</v>
      </c>
      <c r="M279" t="s">
        <v>239</v>
      </c>
      <c r="O279">
        <v>1</v>
      </c>
      <c r="P279" t="s">
        <v>787</v>
      </c>
      <c r="Q279">
        <v>98</v>
      </c>
      <c r="R279">
        <v>1</v>
      </c>
      <c r="S279" s="2">
        <v>0</v>
      </c>
      <c r="T279" s="3">
        <v>0</v>
      </c>
      <c r="U279" s="4">
        <v>17</v>
      </c>
      <c r="V279" s="2">
        <v>1</v>
      </c>
      <c r="W279" s="3">
        <v>9</v>
      </c>
      <c r="X279" s="3">
        <v>1</v>
      </c>
      <c r="Y279" s="3">
        <v>0</v>
      </c>
      <c r="Z279" s="3">
        <v>0</v>
      </c>
      <c r="AA279" s="3">
        <v>0</v>
      </c>
      <c r="AB279" s="4">
        <v>0</v>
      </c>
      <c r="AD279">
        <f t="shared" si="4"/>
        <v>17</v>
      </c>
    </row>
    <row r="280" spans="1:30" x14ac:dyDescent="0.35">
      <c r="A280" t="s">
        <v>788</v>
      </c>
      <c r="B280">
        <v>28</v>
      </c>
      <c r="C280" t="s">
        <v>7</v>
      </c>
      <c r="D280" t="s">
        <v>8</v>
      </c>
      <c r="E280" t="s">
        <v>120</v>
      </c>
      <c r="G280" t="s">
        <v>121</v>
      </c>
      <c r="I280" t="s">
        <v>122</v>
      </c>
      <c r="K280" t="s">
        <v>123</v>
      </c>
      <c r="O280">
        <v>0.65</v>
      </c>
      <c r="P280" t="s">
        <v>220</v>
      </c>
      <c r="Q280">
        <v>87.7</v>
      </c>
      <c r="R280">
        <v>1</v>
      </c>
      <c r="S280" s="2">
        <v>0</v>
      </c>
      <c r="T280" s="3">
        <v>4</v>
      </c>
      <c r="U280" s="4">
        <v>6</v>
      </c>
      <c r="V280" s="2">
        <v>0</v>
      </c>
      <c r="W280" s="3">
        <v>0</v>
      </c>
      <c r="X280" s="3">
        <v>0</v>
      </c>
      <c r="Y280" s="3">
        <v>0</v>
      </c>
      <c r="Z280" s="3">
        <v>18</v>
      </c>
      <c r="AA280" s="3">
        <v>0</v>
      </c>
      <c r="AB280" s="4">
        <v>0</v>
      </c>
      <c r="AD280">
        <f t="shared" si="4"/>
        <v>18</v>
      </c>
    </row>
    <row r="281" spans="1:30" x14ac:dyDescent="0.35">
      <c r="A281" t="s">
        <v>789</v>
      </c>
      <c r="B281">
        <v>28</v>
      </c>
      <c r="C281" t="s">
        <v>7</v>
      </c>
      <c r="D281" t="s">
        <v>8</v>
      </c>
      <c r="E281" t="s">
        <v>46</v>
      </c>
      <c r="G281" t="s">
        <v>47</v>
      </c>
      <c r="I281" t="s">
        <v>61</v>
      </c>
      <c r="O281">
        <v>0.87</v>
      </c>
      <c r="P281" t="s">
        <v>90</v>
      </c>
      <c r="Q281">
        <v>90.1</v>
      </c>
      <c r="R281">
        <v>1</v>
      </c>
      <c r="S281" s="2">
        <v>0</v>
      </c>
      <c r="T281" s="3">
        <v>0</v>
      </c>
      <c r="U281" s="4">
        <v>0</v>
      </c>
      <c r="V281" s="2">
        <v>1</v>
      </c>
      <c r="W281" s="3">
        <v>15</v>
      </c>
      <c r="X281" s="3">
        <v>0</v>
      </c>
      <c r="Y281" s="3">
        <v>3</v>
      </c>
      <c r="Z281" s="3">
        <v>9</v>
      </c>
      <c r="AA281" s="3">
        <v>0</v>
      </c>
      <c r="AB281" s="4">
        <v>0</v>
      </c>
      <c r="AD281">
        <f t="shared" si="4"/>
        <v>15</v>
      </c>
    </row>
    <row r="282" spans="1:30" x14ac:dyDescent="0.35">
      <c r="A282" t="s">
        <v>790</v>
      </c>
      <c r="B282">
        <v>27</v>
      </c>
      <c r="C282" t="s">
        <v>7</v>
      </c>
      <c r="D282" t="s">
        <v>8</v>
      </c>
      <c r="E282" t="s">
        <v>32</v>
      </c>
      <c r="G282" t="s">
        <v>35</v>
      </c>
      <c r="I282" t="s">
        <v>36</v>
      </c>
      <c r="K282" t="s">
        <v>37</v>
      </c>
      <c r="O282">
        <v>0.87</v>
      </c>
      <c r="P282" t="s">
        <v>401</v>
      </c>
      <c r="Q282">
        <v>91.3</v>
      </c>
      <c r="R282">
        <v>1</v>
      </c>
      <c r="S282" s="2">
        <v>2</v>
      </c>
      <c r="T282" s="3">
        <v>2</v>
      </c>
      <c r="U282" s="4">
        <v>6</v>
      </c>
      <c r="V282" s="2">
        <v>1</v>
      </c>
      <c r="W282" s="3">
        <v>1</v>
      </c>
      <c r="X282" s="3">
        <v>5</v>
      </c>
      <c r="Y282" s="3">
        <v>2</v>
      </c>
      <c r="Z282" s="3">
        <v>3</v>
      </c>
      <c r="AA282" s="3">
        <v>4</v>
      </c>
      <c r="AB282" s="4">
        <v>1</v>
      </c>
      <c r="AD282">
        <f t="shared" si="4"/>
        <v>6</v>
      </c>
    </row>
    <row r="283" spans="1:30" x14ac:dyDescent="0.35">
      <c r="A283" t="s">
        <v>791</v>
      </c>
      <c r="B283">
        <v>27</v>
      </c>
      <c r="C283" t="s">
        <v>7</v>
      </c>
      <c r="D283" t="s">
        <v>8</v>
      </c>
      <c r="E283" t="s">
        <v>32</v>
      </c>
      <c r="G283" t="s">
        <v>35</v>
      </c>
      <c r="I283" t="s">
        <v>36</v>
      </c>
      <c r="K283" t="s">
        <v>37</v>
      </c>
      <c r="O283">
        <v>0.97</v>
      </c>
      <c r="P283" t="s">
        <v>401</v>
      </c>
      <c r="Q283">
        <v>93.7</v>
      </c>
      <c r="R283">
        <v>1</v>
      </c>
      <c r="S283" s="2">
        <v>3</v>
      </c>
      <c r="T283" s="3">
        <v>3</v>
      </c>
      <c r="U283" s="4">
        <v>3</v>
      </c>
      <c r="V283" s="2">
        <v>4</v>
      </c>
      <c r="W283" s="3">
        <v>3</v>
      </c>
      <c r="X283" s="3">
        <v>2</v>
      </c>
      <c r="Y283" s="3">
        <v>2</v>
      </c>
      <c r="Z283" s="3">
        <v>2</v>
      </c>
      <c r="AA283" s="3">
        <v>5</v>
      </c>
      <c r="AB283" s="4">
        <v>0</v>
      </c>
      <c r="AD283">
        <f t="shared" si="4"/>
        <v>5</v>
      </c>
    </row>
    <row r="284" spans="1:30" x14ac:dyDescent="0.35">
      <c r="A284" t="s">
        <v>792</v>
      </c>
      <c r="B284">
        <v>27</v>
      </c>
      <c r="C284" t="s">
        <v>7</v>
      </c>
      <c r="D284" t="s">
        <v>8</v>
      </c>
      <c r="O284">
        <v>0.99</v>
      </c>
      <c r="P284" t="s">
        <v>98</v>
      </c>
      <c r="Q284">
        <v>0</v>
      </c>
      <c r="R284">
        <v>1</v>
      </c>
      <c r="S284" s="2">
        <v>3</v>
      </c>
      <c r="T284" s="3">
        <v>0</v>
      </c>
      <c r="U284" s="4">
        <v>0</v>
      </c>
      <c r="V284" s="2">
        <v>0</v>
      </c>
      <c r="W284" s="3">
        <v>1</v>
      </c>
      <c r="X284" s="3">
        <v>1</v>
      </c>
      <c r="Y284" s="3">
        <v>0</v>
      </c>
      <c r="Z284" s="3">
        <v>22</v>
      </c>
      <c r="AA284" s="3">
        <v>0</v>
      </c>
      <c r="AB284" s="4">
        <v>0</v>
      </c>
      <c r="AD284">
        <f t="shared" si="4"/>
        <v>22</v>
      </c>
    </row>
    <row r="285" spans="1:30" x14ac:dyDescent="0.35">
      <c r="A285" t="s">
        <v>793</v>
      </c>
      <c r="B285">
        <v>27</v>
      </c>
      <c r="C285" t="s">
        <v>7</v>
      </c>
      <c r="D285" t="s">
        <v>8</v>
      </c>
      <c r="E285" t="s">
        <v>46</v>
      </c>
      <c r="G285" t="s">
        <v>47</v>
      </c>
      <c r="I285" t="s">
        <v>61</v>
      </c>
      <c r="K285" t="s">
        <v>190</v>
      </c>
      <c r="O285">
        <v>1</v>
      </c>
      <c r="P285" t="s">
        <v>794</v>
      </c>
      <c r="Q285">
        <v>97.2</v>
      </c>
      <c r="R285">
        <v>1</v>
      </c>
      <c r="S285" s="2">
        <v>0</v>
      </c>
      <c r="T285" s="3">
        <v>0</v>
      </c>
      <c r="U285" s="4">
        <v>0</v>
      </c>
      <c r="V285" s="2">
        <v>27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4">
        <v>0</v>
      </c>
      <c r="AD285">
        <f t="shared" si="4"/>
        <v>27</v>
      </c>
    </row>
    <row r="286" spans="1:30" x14ac:dyDescent="0.35">
      <c r="A286" t="s">
        <v>795</v>
      </c>
      <c r="B286">
        <v>26</v>
      </c>
      <c r="C286" t="s">
        <v>7</v>
      </c>
      <c r="D286" t="s">
        <v>8</v>
      </c>
      <c r="E286" t="s">
        <v>9</v>
      </c>
      <c r="O286">
        <v>0.93</v>
      </c>
      <c r="P286" t="s">
        <v>796</v>
      </c>
      <c r="Q286">
        <v>87.7</v>
      </c>
      <c r="R286">
        <v>5</v>
      </c>
      <c r="S286" s="2">
        <v>0</v>
      </c>
      <c r="T286" s="3">
        <v>0</v>
      </c>
      <c r="U286" s="4">
        <v>0</v>
      </c>
      <c r="V286" s="2">
        <v>0</v>
      </c>
      <c r="W286" s="3">
        <v>0</v>
      </c>
      <c r="X286" s="3">
        <v>24</v>
      </c>
      <c r="Y286" s="3">
        <v>2</v>
      </c>
      <c r="Z286" s="3">
        <v>0</v>
      </c>
      <c r="AA286" s="3">
        <v>0</v>
      </c>
      <c r="AB286" s="4">
        <v>0</v>
      </c>
      <c r="AD286">
        <f t="shared" si="4"/>
        <v>24</v>
      </c>
    </row>
    <row r="287" spans="1:30" x14ac:dyDescent="0.35">
      <c r="A287" t="s">
        <v>797</v>
      </c>
      <c r="B287">
        <v>26</v>
      </c>
      <c r="C287" t="s">
        <v>7</v>
      </c>
      <c r="D287" t="s">
        <v>8</v>
      </c>
      <c r="E287" t="s">
        <v>120</v>
      </c>
      <c r="G287" t="s">
        <v>121</v>
      </c>
      <c r="I287" t="s">
        <v>122</v>
      </c>
      <c r="K287" t="s">
        <v>123</v>
      </c>
      <c r="M287" t="s">
        <v>711</v>
      </c>
      <c r="O287">
        <v>0.89</v>
      </c>
      <c r="P287" t="s">
        <v>478</v>
      </c>
      <c r="Q287">
        <v>96.4</v>
      </c>
      <c r="R287">
        <v>1</v>
      </c>
      <c r="S287" s="2">
        <v>1</v>
      </c>
      <c r="T287" s="3">
        <v>0</v>
      </c>
      <c r="U287" s="4">
        <v>0</v>
      </c>
      <c r="V287" s="2">
        <v>0</v>
      </c>
      <c r="W287" s="3">
        <v>25</v>
      </c>
      <c r="X287" s="3">
        <v>0</v>
      </c>
      <c r="Y287" s="3">
        <v>0</v>
      </c>
      <c r="Z287" s="3">
        <v>0</v>
      </c>
      <c r="AA287" s="3">
        <v>0</v>
      </c>
      <c r="AB287" s="4">
        <v>0</v>
      </c>
      <c r="AD287">
        <f t="shared" si="4"/>
        <v>25</v>
      </c>
    </row>
    <row r="288" spans="1:30" x14ac:dyDescent="0.35">
      <c r="A288" t="s">
        <v>798</v>
      </c>
      <c r="B288">
        <v>25</v>
      </c>
      <c r="C288" t="s">
        <v>7</v>
      </c>
      <c r="D288" t="s">
        <v>8</v>
      </c>
      <c r="E288" t="s">
        <v>46</v>
      </c>
      <c r="G288" t="s">
        <v>364</v>
      </c>
      <c r="I288" t="s">
        <v>416</v>
      </c>
      <c r="K288" t="s">
        <v>678</v>
      </c>
      <c r="M288" t="s">
        <v>679</v>
      </c>
      <c r="O288">
        <v>0.69</v>
      </c>
      <c r="P288" t="s">
        <v>799</v>
      </c>
      <c r="Q288">
        <v>100</v>
      </c>
      <c r="R288">
        <v>1</v>
      </c>
      <c r="S288" s="2">
        <v>0</v>
      </c>
      <c r="T288" s="3">
        <v>0</v>
      </c>
      <c r="U288" s="4">
        <v>0</v>
      </c>
      <c r="V288" s="2">
        <v>21</v>
      </c>
      <c r="W288" s="3">
        <v>0</v>
      </c>
      <c r="X288" s="3">
        <v>1</v>
      </c>
      <c r="Y288" s="3">
        <v>0</v>
      </c>
      <c r="Z288" s="3">
        <v>3</v>
      </c>
      <c r="AA288" s="3">
        <v>0</v>
      </c>
      <c r="AB288" s="4">
        <v>0</v>
      </c>
      <c r="AD288">
        <f t="shared" si="4"/>
        <v>21</v>
      </c>
    </row>
    <row r="289" spans="1:30" x14ac:dyDescent="0.35">
      <c r="A289" t="s">
        <v>800</v>
      </c>
      <c r="B289">
        <v>24</v>
      </c>
      <c r="C289" t="s">
        <v>7</v>
      </c>
      <c r="D289" t="s">
        <v>8</v>
      </c>
      <c r="E289" t="s">
        <v>100</v>
      </c>
      <c r="G289" t="s">
        <v>101</v>
      </c>
      <c r="I289" t="s">
        <v>102</v>
      </c>
      <c r="K289" t="s">
        <v>103</v>
      </c>
      <c r="M289" t="s">
        <v>104</v>
      </c>
      <c r="O289">
        <v>0.98</v>
      </c>
      <c r="P289" t="s">
        <v>105</v>
      </c>
      <c r="Q289">
        <v>94.5</v>
      </c>
      <c r="R289">
        <v>1</v>
      </c>
      <c r="S289" s="2">
        <v>0</v>
      </c>
      <c r="T289" s="3">
        <v>0</v>
      </c>
      <c r="U289" s="4">
        <v>0</v>
      </c>
      <c r="V289" s="2">
        <v>17</v>
      </c>
      <c r="W289" s="3">
        <v>2</v>
      </c>
      <c r="X289" s="3">
        <v>0</v>
      </c>
      <c r="Y289" s="3">
        <v>0</v>
      </c>
      <c r="Z289" s="3">
        <v>5</v>
      </c>
      <c r="AA289" s="3">
        <v>0</v>
      </c>
      <c r="AB289" s="4">
        <v>0</v>
      </c>
      <c r="AD289">
        <f t="shared" si="4"/>
        <v>17</v>
      </c>
    </row>
    <row r="290" spans="1:30" x14ac:dyDescent="0.35">
      <c r="A290" t="s">
        <v>801</v>
      </c>
      <c r="B290">
        <v>23</v>
      </c>
      <c r="C290" t="s">
        <v>7</v>
      </c>
      <c r="D290" t="s">
        <v>8</v>
      </c>
      <c r="O290">
        <v>1</v>
      </c>
      <c r="P290" t="s">
        <v>328</v>
      </c>
      <c r="Q290">
        <v>89.3</v>
      </c>
      <c r="R290">
        <v>1</v>
      </c>
      <c r="S290" s="2">
        <v>0</v>
      </c>
      <c r="T290" s="3">
        <v>19</v>
      </c>
      <c r="U290" s="4">
        <v>1</v>
      </c>
      <c r="V290" s="2">
        <v>1</v>
      </c>
      <c r="W290" s="3">
        <v>1</v>
      </c>
      <c r="X290" s="3">
        <v>1</v>
      </c>
      <c r="Y290" s="3">
        <v>0</v>
      </c>
      <c r="Z290" s="3">
        <v>0</v>
      </c>
      <c r="AA290" s="3">
        <v>0</v>
      </c>
      <c r="AB290" s="4">
        <v>0</v>
      </c>
      <c r="AD290">
        <f t="shared" si="4"/>
        <v>19</v>
      </c>
    </row>
    <row r="291" spans="1:30" x14ac:dyDescent="0.35">
      <c r="A291" t="s">
        <v>802</v>
      </c>
      <c r="B291">
        <v>23</v>
      </c>
      <c r="C291" t="s">
        <v>7</v>
      </c>
      <c r="D291" t="s">
        <v>8</v>
      </c>
      <c r="E291" t="s">
        <v>46</v>
      </c>
      <c r="G291" t="s">
        <v>47</v>
      </c>
      <c r="I291" t="s">
        <v>61</v>
      </c>
      <c r="K291" t="s">
        <v>178</v>
      </c>
      <c r="M291" t="s">
        <v>714</v>
      </c>
      <c r="O291">
        <v>0.94</v>
      </c>
      <c r="P291" t="s">
        <v>715</v>
      </c>
      <c r="Q291">
        <v>96.8</v>
      </c>
      <c r="R291">
        <v>2</v>
      </c>
      <c r="S291" s="2">
        <v>0</v>
      </c>
      <c r="T291" s="3">
        <v>0</v>
      </c>
      <c r="U291" s="4">
        <v>0</v>
      </c>
      <c r="V291" s="2">
        <v>1</v>
      </c>
      <c r="W291" s="3">
        <v>13</v>
      </c>
      <c r="X291" s="3">
        <v>6</v>
      </c>
      <c r="Y291" s="3">
        <v>0</v>
      </c>
      <c r="Z291" s="3">
        <v>3</v>
      </c>
      <c r="AA291" s="3">
        <v>0</v>
      </c>
      <c r="AB291" s="4">
        <v>0</v>
      </c>
      <c r="AD291">
        <f t="shared" si="4"/>
        <v>13</v>
      </c>
    </row>
    <row r="292" spans="1:30" x14ac:dyDescent="0.35">
      <c r="A292" t="s">
        <v>803</v>
      </c>
      <c r="B292">
        <v>22</v>
      </c>
      <c r="C292" t="s">
        <v>7</v>
      </c>
      <c r="D292" t="s">
        <v>8</v>
      </c>
      <c r="O292">
        <v>1</v>
      </c>
      <c r="P292" t="s">
        <v>98</v>
      </c>
      <c r="Q292">
        <v>0</v>
      </c>
      <c r="R292">
        <v>1</v>
      </c>
      <c r="S292" s="2">
        <v>0</v>
      </c>
      <c r="T292" s="3">
        <v>0</v>
      </c>
      <c r="U292" s="4">
        <v>0</v>
      </c>
      <c r="V292" s="2">
        <v>0</v>
      </c>
      <c r="W292" s="3">
        <v>0</v>
      </c>
      <c r="X292" s="3">
        <v>0</v>
      </c>
      <c r="Y292" s="3">
        <v>21</v>
      </c>
      <c r="Z292" s="3">
        <v>0</v>
      </c>
      <c r="AA292" s="3">
        <v>0</v>
      </c>
      <c r="AB292" s="4">
        <v>1</v>
      </c>
      <c r="AD292">
        <f t="shared" si="4"/>
        <v>21</v>
      </c>
    </row>
    <row r="293" spans="1:30" x14ac:dyDescent="0.35">
      <c r="A293" t="s">
        <v>804</v>
      </c>
      <c r="B293">
        <v>22</v>
      </c>
      <c r="C293" t="s">
        <v>7</v>
      </c>
      <c r="D293" t="s">
        <v>8</v>
      </c>
      <c r="E293" t="s">
        <v>290</v>
      </c>
      <c r="G293" t="s">
        <v>291</v>
      </c>
      <c r="O293">
        <v>0.93</v>
      </c>
      <c r="P293" t="s">
        <v>293</v>
      </c>
      <c r="Q293">
        <v>93.3</v>
      </c>
      <c r="R293">
        <v>1</v>
      </c>
      <c r="S293" s="2">
        <v>0</v>
      </c>
      <c r="T293" s="3">
        <v>0</v>
      </c>
      <c r="U293" s="4">
        <v>0</v>
      </c>
      <c r="V293" s="2">
        <v>0</v>
      </c>
      <c r="W293" s="3">
        <v>19</v>
      </c>
      <c r="X293" s="3">
        <v>0</v>
      </c>
      <c r="Y293" s="3">
        <v>0</v>
      </c>
      <c r="Z293" s="3">
        <v>3</v>
      </c>
      <c r="AA293" s="3">
        <v>0</v>
      </c>
      <c r="AB293" s="4">
        <v>0</v>
      </c>
      <c r="AD293">
        <f t="shared" si="4"/>
        <v>19</v>
      </c>
    </row>
    <row r="294" spans="1:30" x14ac:dyDescent="0.35">
      <c r="A294" t="s">
        <v>805</v>
      </c>
      <c r="B294">
        <v>22</v>
      </c>
      <c r="C294" t="s">
        <v>7</v>
      </c>
      <c r="D294" t="s">
        <v>8</v>
      </c>
      <c r="O294">
        <v>0.95</v>
      </c>
      <c r="P294" t="s">
        <v>98</v>
      </c>
      <c r="Q294">
        <v>0</v>
      </c>
      <c r="R294">
        <v>1</v>
      </c>
      <c r="S294" s="2">
        <v>0</v>
      </c>
      <c r="T294" s="3">
        <v>0</v>
      </c>
      <c r="U294" s="4">
        <v>1</v>
      </c>
      <c r="V294" s="2">
        <v>0</v>
      </c>
      <c r="W294" s="3">
        <v>0</v>
      </c>
      <c r="X294" s="3">
        <v>21</v>
      </c>
      <c r="Y294" s="3">
        <v>0</v>
      </c>
      <c r="Z294" s="3">
        <v>0</v>
      </c>
      <c r="AA294" s="3">
        <v>0</v>
      </c>
      <c r="AB294" s="4">
        <v>0</v>
      </c>
      <c r="AD294">
        <f t="shared" si="4"/>
        <v>21</v>
      </c>
    </row>
    <row r="295" spans="1:30" x14ac:dyDescent="0.35">
      <c r="A295" t="s">
        <v>806</v>
      </c>
      <c r="B295">
        <v>22</v>
      </c>
      <c r="C295" t="s">
        <v>7</v>
      </c>
      <c r="D295" t="s">
        <v>8</v>
      </c>
      <c r="E295" t="s">
        <v>46</v>
      </c>
      <c r="G295" t="s">
        <v>47</v>
      </c>
      <c r="O295">
        <v>0.78</v>
      </c>
      <c r="P295" t="s">
        <v>769</v>
      </c>
      <c r="Q295">
        <v>89.3</v>
      </c>
      <c r="R295">
        <v>2</v>
      </c>
      <c r="S295" s="2">
        <v>0</v>
      </c>
      <c r="T295" s="3">
        <v>0</v>
      </c>
      <c r="U295" s="4">
        <v>1</v>
      </c>
      <c r="V295" s="2">
        <v>5</v>
      </c>
      <c r="W295" s="3">
        <v>0</v>
      </c>
      <c r="X295" s="3">
        <v>0</v>
      </c>
      <c r="Y295" s="3">
        <v>16</v>
      </c>
      <c r="Z295" s="3">
        <v>0</v>
      </c>
      <c r="AA295" s="3">
        <v>0</v>
      </c>
      <c r="AB295" s="4">
        <v>0</v>
      </c>
      <c r="AD295">
        <f t="shared" si="4"/>
        <v>16</v>
      </c>
    </row>
    <row r="296" spans="1:30" x14ac:dyDescent="0.35">
      <c r="A296" t="s">
        <v>807</v>
      </c>
      <c r="B296">
        <v>21</v>
      </c>
      <c r="C296" t="s">
        <v>7</v>
      </c>
      <c r="D296" t="s">
        <v>8</v>
      </c>
      <c r="E296" t="s">
        <v>9</v>
      </c>
      <c r="G296" t="s">
        <v>78</v>
      </c>
      <c r="I296" t="s">
        <v>79</v>
      </c>
      <c r="K296" t="s">
        <v>808</v>
      </c>
      <c r="M296" t="s">
        <v>809</v>
      </c>
      <c r="O296">
        <v>1</v>
      </c>
      <c r="P296" t="s">
        <v>810</v>
      </c>
      <c r="Q296">
        <v>100</v>
      </c>
      <c r="R296">
        <v>1</v>
      </c>
      <c r="S296" s="2">
        <v>3</v>
      </c>
      <c r="T296" s="3">
        <v>0</v>
      </c>
      <c r="U296" s="4">
        <v>0</v>
      </c>
      <c r="V296" s="2">
        <v>10</v>
      </c>
      <c r="W296" s="3">
        <v>6</v>
      </c>
      <c r="X296" s="3">
        <v>1</v>
      </c>
      <c r="Y296" s="3">
        <v>0</v>
      </c>
      <c r="Z296" s="3">
        <v>0</v>
      </c>
      <c r="AA296" s="3">
        <v>1</v>
      </c>
      <c r="AB296" s="4">
        <v>0</v>
      </c>
      <c r="AD296">
        <f t="shared" si="4"/>
        <v>10</v>
      </c>
    </row>
    <row r="297" spans="1:30" x14ac:dyDescent="0.35">
      <c r="A297" t="s">
        <v>811</v>
      </c>
      <c r="B297">
        <v>21</v>
      </c>
      <c r="C297" t="s">
        <v>7</v>
      </c>
      <c r="D297" t="s">
        <v>8</v>
      </c>
      <c r="E297" t="s">
        <v>46</v>
      </c>
      <c r="G297" t="s">
        <v>47</v>
      </c>
      <c r="I297" t="s">
        <v>61</v>
      </c>
      <c r="K297" t="s">
        <v>178</v>
      </c>
      <c r="M297" t="s">
        <v>186</v>
      </c>
      <c r="O297">
        <v>0.94</v>
      </c>
      <c r="P297" t="s">
        <v>187</v>
      </c>
      <c r="Q297">
        <v>95.3</v>
      </c>
      <c r="R297">
        <v>1</v>
      </c>
      <c r="S297" s="2">
        <v>0</v>
      </c>
      <c r="T297" s="3">
        <v>0</v>
      </c>
      <c r="U297" s="4">
        <v>0</v>
      </c>
      <c r="V297" s="2">
        <v>1</v>
      </c>
      <c r="W297" s="3">
        <v>6</v>
      </c>
      <c r="X297" s="3">
        <v>7</v>
      </c>
      <c r="Y297" s="3">
        <v>0</v>
      </c>
      <c r="Z297" s="3">
        <v>7</v>
      </c>
      <c r="AA297" s="3">
        <v>0</v>
      </c>
      <c r="AB297" s="4">
        <v>0</v>
      </c>
      <c r="AD297">
        <f t="shared" si="4"/>
        <v>7</v>
      </c>
    </row>
    <row r="298" spans="1:30" x14ac:dyDescent="0.35">
      <c r="A298" t="s">
        <v>812</v>
      </c>
      <c r="B298">
        <v>21</v>
      </c>
      <c r="C298" t="s">
        <v>7</v>
      </c>
      <c r="D298" t="s">
        <v>8</v>
      </c>
      <c r="E298" t="s">
        <v>32</v>
      </c>
      <c r="G298" t="s">
        <v>445</v>
      </c>
      <c r="I298" t="s">
        <v>446</v>
      </c>
      <c r="K298" t="s">
        <v>726</v>
      </c>
      <c r="O298">
        <v>0.54</v>
      </c>
      <c r="P298" t="s">
        <v>813</v>
      </c>
      <c r="Q298">
        <v>90.9</v>
      </c>
      <c r="R298">
        <v>1</v>
      </c>
      <c r="S298" s="2">
        <v>0</v>
      </c>
      <c r="T298" s="3">
        <v>0</v>
      </c>
      <c r="U298" s="4">
        <v>0</v>
      </c>
      <c r="V298" s="2">
        <v>0</v>
      </c>
      <c r="W298" s="3">
        <v>0</v>
      </c>
      <c r="X298" s="3">
        <v>21</v>
      </c>
      <c r="Y298" s="3">
        <v>0</v>
      </c>
      <c r="Z298" s="3">
        <v>0</v>
      </c>
      <c r="AA298" s="3">
        <v>0</v>
      </c>
      <c r="AB298" s="4">
        <v>0</v>
      </c>
      <c r="AD298">
        <f t="shared" si="4"/>
        <v>21</v>
      </c>
    </row>
    <row r="299" spans="1:30" x14ac:dyDescent="0.35">
      <c r="A299" t="s">
        <v>814</v>
      </c>
      <c r="B299">
        <v>20</v>
      </c>
      <c r="C299" t="s">
        <v>7</v>
      </c>
      <c r="D299" t="s">
        <v>8</v>
      </c>
      <c r="E299" t="s">
        <v>46</v>
      </c>
      <c r="G299" t="s">
        <v>47</v>
      </c>
      <c r="I299" t="s">
        <v>61</v>
      </c>
      <c r="O299">
        <v>0.55000000000000004</v>
      </c>
      <c r="P299" t="s">
        <v>578</v>
      </c>
      <c r="Q299">
        <v>90.9</v>
      </c>
      <c r="R299">
        <v>1</v>
      </c>
      <c r="S299" s="2">
        <v>1</v>
      </c>
      <c r="T299" s="3">
        <v>0</v>
      </c>
      <c r="U299" s="4">
        <v>0</v>
      </c>
      <c r="V299" s="2">
        <v>7</v>
      </c>
      <c r="W299" s="3">
        <v>0</v>
      </c>
      <c r="X299" s="3">
        <v>4</v>
      </c>
      <c r="Y299" s="3">
        <v>6</v>
      </c>
      <c r="Z299" s="3">
        <v>2</v>
      </c>
      <c r="AA299" s="3">
        <v>0</v>
      </c>
      <c r="AB299" s="4">
        <v>0</v>
      </c>
      <c r="AD299">
        <f t="shared" si="4"/>
        <v>7</v>
      </c>
    </row>
    <row r="300" spans="1:30" x14ac:dyDescent="0.35">
      <c r="A300" t="s">
        <v>815</v>
      </c>
      <c r="B300">
        <v>19</v>
      </c>
      <c r="C300" t="s">
        <v>7</v>
      </c>
      <c r="D300" t="s">
        <v>8</v>
      </c>
      <c r="O300">
        <v>1</v>
      </c>
      <c r="P300" t="s">
        <v>98</v>
      </c>
      <c r="Q300">
        <v>0</v>
      </c>
      <c r="R300">
        <v>1</v>
      </c>
      <c r="S300" s="2">
        <v>1</v>
      </c>
      <c r="T300" s="3">
        <v>0</v>
      </c>
      <c r="U300" s="4">
        <v>0</v>
      </c>
      <c r="V300" s="2">
        <v>0</v>
      </c>
      <c r="W300" s="3">
        <v>0</v>
      </c>
      <c r="X300" s="3">
        <v>11</v>
      </c>
      <c r="Y300" s="3">
        <v>7</v>
      </c>
      <c r="Z300" s="3">
        <v>0</v>
      </c>
      <c r="AA300" s="3">
        <v>0</v>
      </c>
      <c r="AB300" s="4">
        <v>0</v>
      </c>
      <c r="AD300">
        <f t="shared" si="4"/>
        <v>11</v>
      </c>
    </row>
    <row r="301" spans="1:30" x14ac:dyDescent="0.35">
      <c r="A301" t="s">
        <v>816</v>
      </c>
      <c r="B301">
        <v>19</v>
      </c>
      <c r="C301" t="s">
        <v>7</v>
      </c>
      <c r="D301" t="s">
        <v>8</v>
      </c>
      <c r="E301" t="s">
        <v>120</v>
      </c>
      <c r="G301" t="s">
        <v>121</v>
      </c>
      <c r="I301" t="s">
        <v>122</v>
      </c>
      <c r="K301" t="s">
        <v>123</v>
      </c>
      <c r="M301" t="s">
        <v>711</v>
      </c>
      <c r="O301">
        <v>0.92</v>
      </c>
      <c r="P301" t="s">
        <v>478</v>
      </c>
      <c r="Q301">
        <v>95.3</v>
      </c>
      <c r="R301">
        <v>1</v>
      </c>
      <c r="S301" s="2">
        <v>0</v>
      </c>
      <c r="T301" s="3">
        <v>0</v>
      </c>
      <c r="U301" s="4">
        <v>0</v>
      </c>
      <c r="V301" s="2">
        <v>6</v>
      </c>
      <c r="W301" s="3">
        <v>3</v>
      </c>
      <c r="X301" s="3">
        <v>0</v>
      </c>
      <c r="Y301" s="3">
        <v>0</v>
      </c>
      <c r="Z301" s="3">
        <v>10</v>
      </c>
      <c r="AA301" s="3">
        <v>0</v>
      </c>
      <c r="AB301" s="4">
        <v>0</v>
      </c>
      <c r="AD301">
        <f t="shared" si="4"/>
        <v>10</v>
      </c>
    </row>
    <row r="302" spans="1:30" x14ac:dyDescent="0.35">
      <c r="A302" t="s">
        <v>817</v>
      </c>
      <c r="B302">
        <v>19</v>
      </c>
      <c r="C302" t="s">
        <v>7</v>
      </c>
      <c r="D302" t="s">
        <v>24</v>
      </c>
      <c r="E302" t="s">
        <v>25</v>
      </c>
      <c r="G302" t="s">
        <v>631</v>
      </c>
      <c r="I302" t="s">
        <v>632</v>
      </c>
      <c r="K302" t="s">
        <v>633</v>
      </c>
      <c r="M302" t="s">
        <v>634</v>
      </c>
      <c r="O302">
        <v>1</v>
      </c>
      <c r="P302" t="s">
        <v>635</v>
      </c>
      <c r="Q302">
        <v>92.1</v>
      </c>
      <c r="R302">
        <v>1</v>
      </c>
      <c r="S302" s="2">
        <v>0</v>
      </c>
      <c r="T302" s="3">
        <v>0</v>
      </c>
      <c r="U302" s="4">
        <v>0</v>
      </c>
      <c r="V302" s="2">
        <v>0</v>
      </c>
      <c r="W302" s="3">
        <v>19</v>
      </c>
      <c r="X302" s="3">
        <v>0</v>
      </c>
      <c r="Y302" s="3">
        <v>0</v>
      </c>
      <c r="Z302" s="3">
        <v>0</v>
      </c>
      <c r="AA302" s="3">
        <v>0</v>
      </c>
      <c r="AB302" s="4">
        <v>0</v>
      </c>
      <c r="AD302">
        <f t="shared" si="4"/>
        <v>19</v>
      </c>
    </row>
    <row r="303" spans="1:30" x14ac:dyDescent="0.35">
      <c r="A303" t="s">
        <v>818</v>
      </c>
      <c r="B303">
        <v>18</v>
      </c>
      <c r="C303" t="s">
        <v>7</v>
      </c>
      <c r="D303" t="s">
        <v>8</v>
      </c>
      <c r="E303" t="s">
        <v>46</v>
      </c>
      <c r="G303" t="s">
        <v>47</v>
      </c>
      <c r="I303" t="s">
        <v>61</v>
      </c>
      <c r="K303" t="s">
        <v>178</v>
      </c>
      <c r="M303" t="s">
        <v>186</v>
      </c>
      <c r="O303">
        <v>1</v>
      </c>
      <c r="P303" t="s">
        <v>187</v>
      </c>
      <c r="Q303">
        <v>95.3</v>
      </c>
      <c r="R303">
        <v>1</v>
      </c>
      <c r="S303" s="2">
        <v>0</v>
      </c>
      <c r="T303" s="3">
        <v>0</v>
      </c>
      <c r="U303" s="4">
        <v>0</v>
      </c>
      <c r="V303" s="2">
        <v>0</v>
      </c>
      <c r="W303" s="3">
        <v>0</v>
      </c>
      <c r="X303" s="3">
        <v>0</v>
      </c>
      <c r="Y303" s="3">
        <v>17</v>
      </c>
      <c r="Z303" s="3">
        <v>0</v>
      </c>
      <c r="AA303" s="3">
        <v>0</v>
      </c>
      <c r="AB303" s="4">
        <v>1</v>
      </c>
      <c r="AD303">
        <f t="shared" si="4"/>
        <v>17</v>
      </c>
    </row>
    <row r="304" spans="1:30" x14ac:dyDescent="0.35">
      <c r="A304" t="s">
        <v>819</v>
      </c>
      <c r="B304">
        <v>17</v>
      </c>
      <c r="C304" t="s">
        <v>7</v>
      </c>
      <c r="D304" t="s">
        <v>8</v>
      </c>
      <c r="E304" t="s">
        <v>165</v>
      </c>
      <c r="G304" t="s">
        <v>166</v>
      </c>
      <c r="I304" t="s">
        <v>167</v>
      </c>
      <c r="K304" t="s">
        <v>168</v>
      </c>
      <c r="M304" t="s">
        <v>820</v>
      </c>
      <c r="O304">
        <v>0.56000000000000005</v>
      </c>
      <c r="P304" t="s">
        <v>821</v>
      </c>
      <c r="Q304">
        <v>88.9</v>
      </c>
      <c r="R304">
        <v>1</v>
      </c>
      <c r="S304" s="2">
        <v>0</v>
      </c>
      <c r="T304" s="3">
        <v>0</v>
      </c>
      <c r="U304" s="4">
        <v>0</v>
      </c>
      <c r="V304" s="2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6</v>
      </c>
      <c r="AB304" s="4">
        <v>11</v>
      </c>
      <c r="AD304">
        <f t="shared" si="4"/>
        <v>11</v>
      </c>
    </row>
    <row r="305" spans="1:30" x14ac:dyDescent="0.35">
      <c r="A305" t="s">
        <v>822</v>
      </c>
      <c r="B305">
        <v>17</v>
      </c>
      <c r="C305" t="s">
        <v>7</v>
      </c>
      <c r="D305" t="s">
        <v>8</v>
      </c>
      <c r="E305" t="s">
        <v>9</v>
      </c>
      <c r="G305" t="s">
        <v>10</v>
      </c>
      <c r="I305" t="s">
        <v>107</v>
      </c>
      <c r="K305" t="s">
        <v>108</v>
      </c>
      <c r="M305" t="s">
        <v>109</v>
      </c>
      <c r="O305">
        <v>1</v>
      </c>
      <c r="P305" t="s">
        <v>823</v>
      </c>
      <c r="Q305">
        <v>100</v>
      </c>
      <c r="R305">
        <v>1</v>
      </c>
      <c r="S305" s="2">
        <v>0</v>
      </c>
      <c r="T305" s="3">
        <v>0</v>
      </c>
      <c r="U305" s="4">
        <v>0</v>
      </c>
      <c r="V305" s="2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4">
        <v>17</v>
      </c>
      <c r="AD305">
        <f t="shared" si="4"/>
        <v>17</v>
      </c>
    </row>
    <row r="306" spans="1:30" x14ac:dyDescent="0.35">
      <c r="A306" t="s">
        <v>824</v>
      </c>
      <c r="B306">
        <v>17</v>
      </c>
      <c r="C306" t="s">
        <v>7</v>
      </c>
      <c r="D306" t="s">
        <v>8</v>
      </c>
      <c r="E306" t="s">
        <v>46</v>
      </c>
      <c r="G306" t="s">
        <v>47</v>
      </c>
      <c r="I306" t="s">
        <v>61</v>
      </c>
      <c r="O306">
        <v>0.85</v>
      </c>
      <c r="P306" t="s">
        <v>370</v>
      </c>
      <c r="Q306">
        <v>88.5</v>
      </c>
      <c r="R306">
        <v>1</v>
      </c>
      <c r="S306" s="2">
        <v>0</v>
      </c>
      <c r="T306" s="3">
        <v>0</v>
      </c>
      <c r="U306" s="4">
        <v>16</v>
      </c>
      <c r="V306" s="2">
        <v>0</v>
      </c>
      <c r="W306" s="3">
        <v>0</v>
      </c>
      <c r="X306" s="3">
        <v>0</v>
      </c>
      <c r="Y306" s="3">
        <v>0</v>
      </c>
      <c r="Z306" s="3">
        <v>1</v>
      </c>
      <c r="AA306" s="3">
        <v>0</v>
      </c>
      <c r="AB306" s="4">
        <v>0</v>
      </c>
      <c r="AD306">
        <f t="shared" si="4"/>
        <v>16</v>
      </c>
    </row>
    <row r="307" spans="1:30" x14ac:dyDescent="0.35">
      <c r="A307" t="s">
        <v>825</v>
      </c>
      <c r="B307">
        <v>17</v>
      </c>
      <c r="C307" t="s">
        <v>7</v>
      </c>
      <c r="D307" t="s">
        <v>8</v>
      </c>
      <c r="E307" t="s">
        <v>120</v>
      </c>
      <c r="G307" t="s">
        <v>121</v>
      </c>
      <c r="I307" t="s">
        <v>122</v>
      </c>
      <c r="K307" t="s">
        <v>123</v>
      </c>
      <c r="O307">
        <v>1</v>
      </c>
      <c r="P307" t="s">
        <v>518</v>
      </c>
      <c r="Q307">
        <v>95.3</v>
      </c>
      <c r="R307">
        <v>1</v>
      </c>
      <c r="S307" s="2">
        <v>0</v>
      </c>
      <c r="T307" s="3">
        <v>4</v>
      </c>
      <c r="U307" s="4">
        <v>1</v>
      </c>
      <c r="V307" s="2">
        <v>7</v>
      </c>
      <c r="W307" s="3">
        <v>3</v>
      </c>
      <c r="X307" s="3">
        <v>0</v>
      </c>
      <c r="Y307" s="3">
        <v>1</v>
      </c>
      <c r="Z307" s="3">
        <v>1</v>
      </c>
      <c r="AA307" s="3">
        <v>0</v>
      </c>
      <c r="AB307" s="4">
        <v>0</v>
      </c>
      <c r="AD307">
        <f t="shared" si="4"/>
        <v>7</v>
      </c>
    </row>
    <row r="308" spans="1:30" x14ac:dyDescent="0.35">
      <c r="A308" t="s">
        <v>826</v>
      </c>
      <c r="B308">
        <v>17</v>
      </c>
      <c r="C308" t="s">
        <v>7</v>
      </c>
      <c r="D308" t="s">
        <v>8</v>
      </c>
      <c r="O308">
        <v>0.99</v>
      </c>
      <c r="P308" t="s">
        <v>98</v>
      </c>
      <c r="Q308">
        <v>0</v>
      </c>
      <c r="R308">
        <v>1</v>
      </c>
      <c r="S308" s="2">
        <v>0</v>
      </c>
      <c r="T308" s="3">
        <v>0</v>
      </c>
      <c r="U308" s="4">
        <v>0</v>
      </c>
      <c r="V308" s="2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17</v>
      </c>
      <c r="AB308" s="4">
        <v>0</v>
      </c>
      <c r="AD308">
        <f t="shared" si="4"/>
        <v>17</v>
      </c>
    </row>
    <row r="309" spans="1:30" x14ac:dyDescent="0.35">
      <c r="A309" t="s">
        <v>827</v>
      </c>
      <c r="B309">
        <v>17</v>
      </c>
      <c r="C309" t="s">
        <v>7</v>
      </c>
      <c r="D309" t="s">
        <v>8</v>
      </c>
      <c r="O309">
        <v>1</v>
      </c>
      <c r="P309" t="s">
        <v>98</v>
      </c>
      <c r="Q309">
        <v>0</v>
      </c>
      <c r="R309">
        <v>1</v>
      </c>
      <c r="S309" s="2">
        <v>0</v>
      </c>
      <c r="T309" s="3">
        <v>0</v>
      </c>
      <c r="U309" s="4">
        <v>0</v>
      </c>
      <c r="V309" s="2">
        <v>0</v>
      </c>
      <c r="W309" s="3">
        <v>0</v>
      </c>
      <c r="X309" s="3">
        <v>0</v>
      </c>
      <c r="Y309" s="3">
        <v>0</v>
      </c>
      <c r="Z309" s="3">
        <v>17</v>
      </c>
      <c r="AA309" s="3">
        <v>0</v>
      </c>
      <c r="AB309" s="4">
        <v>0</v>
      </c>
      <c r="AD309">
        <f t="shared" si="4"/>
        <v>17</v>
      </c>
    </row>
    <row r="310" spans="1:30" x14ac:dyDescent="0.35">
      <c r="A310" t="s">
        <v>828</v>
      </c>
      <c r="B310">
        <v>16</v>
      </c>
      <c r="C310" t="s">
        <v>7</v>
      </c>
      <c r="D310" t="s">
        <v>8</v>
      </c>
      <c r="E310" t="s">
        <v>46</v>
      </c>
      <c r="G310" t="s">
        <v>47</v>
      </c>
      <c r="I310" t="s">
        <v>61</v>
      </c>
      <c r="K310" t="s">
        <v>561</v>
      </c>
      <c r="M310" t="s">
        <v>562</v>
      </c>
      <c r="O310">
        <v>1</v>
      </c>
      <c r="P310" t="s">
        <v>563</v>
      </c>
      <c r="Q310">
        <v>100</v>
      </c>
      <c r="R310">
        <v>1</v>
      </c>
      <c r="S310" s="2">
        <v>0</v>
      </c>
      <c r="T310" s="3">
        <v>0</v>
      </c>
      <c r="U310" s="4">
        <v>3</v>
      </c>
      <c r="V310" s="2">
        <v>4</v>
      </c>
      <c r="W310" s="3">
        <v>9</v>
      </c>
      <c r="X310" s="3">
        <v>0</v>
      </c>
      <c r="Y310" s="3">
        <v>0</v>
      </c>
      <c r="Z310" s="3">
        <v>0</v>
      </c>
      <c r="AA310" s="3">
        <v>0</v>
      </c>
      <c r="AB310" s="4">
        <v>0</v>
      </c>
      <c r="AD310">
        <f t="shared" si="4"/>
        <v>9</v>
      </c>
    </row>
    <row r="311" spans="1:30" x14ac:dyDescent="0.35">
      <c r="A311" t="s">
        <v>829</v>
      </c>
      <c r="B311">
        <v>16</v>
      </c>
      <c r="C311" t="s">
        <v>7</v>
      </c>
      <c r="D311" t="s">
        <v>8</v>
      </c>
      <c r="E311" t="s">
        <v>46</v>
      </c>
      <c r="O311">
        <v>0.76</v>
      </c>
      <c r="P311" t="s">
        <v>830</v>
      </c>
      <c r="Q311">
        <v>89.4</v>
      </c>
      <c r="R311">
        <v>2</v>
      </c>
      <c r="S311" s="2">
        <v>0</v>
      </c>
      <c r="T311" s="3">
        <v>0</v>
      </c>
      <c r="U311" s="4">
        <v>0</v>
      </c>
      <c r="V311" s="2">
        <v>10</v>
      </c>
      <c r="W311" s="3">
        <v>5</v>
      </c>
      <c r="X311" s="3">
        <v>0</v>
      </c>
      <c r="Y311" s="3">
        <v>0</v>
      </c>
      <c r="Z311" s="3">
        <v>1</v>
      </c>
      <c r="AA311" s="3">
        <v>0</v>
      </c>
      <c r="AB311" s="4">
        <v>0</v>
      </c>
      <c r="AD311">
        <f t="shared" si="4"/>
        <v>10</v>
      </c>
    </row>
    <row r="312" spans="1:30" x14ac:dyDescent="0.35">
      <c r="A312" t="s">
        <v>831</v>
      </c>
      <c r="B312">
        <v>16</v>
      </c>
      <c r="C312" t="s">
        <v>7</v>
      </c>
      <c r="D312" t="s">
        <v>8</v>
      </c>
      <c r="E312" t="s">
        <v>46</v>
      </c>
      <c r="G312" t="s">
        <v>47</v>
      </c>
      <c r="I312" t="s">
        <v>61</v>
      </c>
      <c r="K312" t="s">
        <v>210</v>
      </c>
      <c r="M312" t="s">
        <v>211</v>
      </c>
      <c r="O312">
        <v>1</v>
      </c>
      <c r="P312" t="s">
        <v>832</v>
      </c>
      <c r="Q312">
        <v>99.6</v>
      </c>
      <c r="R312">
        <v>1</v>
      </c>
      <c r="S312" s="2">
        <v>0</v>
      </c>
      <c r="T312" s="3">
        <v>0</v>
      </c>
      <c r="U312" s="4">
        <v>0</v>
      </c>
      <c r="V312" s="2">
        <v>0</v>
      </c>
      <c r="W312" s="3">
        <v>12</v>
      </c>
      <c r="X312" s="3">
        <v>4</v>
      </c>
      <c r="Y312" s="3">
        <v>0</v>
      </c>
      <c r="Z312" s="3">
        <v>0</v>
      </c>
      <c r="AA312" s="3">
        <v>0</v>
      </c>
      <c r="AB312" s="4">
        <v>0</v>
      </c>
      <c r="AD312">
        <f t="shared" si="4"/>
        <v>12</v>
      </c>
    </row>
    <row r="313" spans="1:30" x14ac:dyDescent="0.35">
      <c r="A313" t="s">
        <v>833</v>
      </c>
      <c r="B313">
        <v>16</v>
      </c>
      <c r="C313" t="s">
        <v>7</v>
      </c>
      <c r="D313" t="s">
        <v>8</v>
      </c>
      <c r="E313" t="s">
        <v>18</v>
      </c>
      <c r="G313" t="s">
        <v>19</v>
      </c>
      <c r="I313" t="s">
        <v>20</v>
      </c>
      <c r="K313" t="s">
        <v>21</v>
      </c>
      <c r="M313" t="s">
        <v>429</v>
      </c>
      <c r="O313">
        <v>1</v>
      </c>
      <c r="P313" t="s">
        <v>430</v>
      </c>
      <c r="Q313">
        <v>96</v>
      </c>
      <c r="R313">
        <v>1</v>
      </c>
      <c r="S313" s="2">
        <v>8</v>
      </c>
      <c r="T313" s="3">
        <v>0</v>
      </c>
      <c r="U313" s="4">
        <v>1</v>
      </c>
      <c r="V313" s="2">
        <v>1</v>
      </c>
      <c r="W313" s="3">
        <v>3</v>
      </c>
      <c r="X313" s="3">
        <v>0</v>
      </c>
      <c r="Y313" s="3">
        <v>0</v>
      </c>
      <c r="Z313" s="3">
        <v>1</v>
      </c>
      <c r="AA313" s="3">
        <v>0</v>
      </c>
      <c r="AB313" s="4">
        <v>2</v>
      </c>
      <c r="AD313">
        <f t="shared" si="4"/>
        <v>8</v>
      </c>
    </row>
    <row r="314" spans="1:30" x14ac:dyDescent="0.35">
      <c r="A314" t="s">
        <v>834</v>
      </c>
      <c r="B314">
        <v>15</v>
      </c>
      <c r="C314" t="s">
        <v>7</v>
      </c>
      <c r="D314" t="s">
        <v>24</v>
      </c>
      <c r="E314" t="s">
        <v>25</v>
      </c>
      <c r="G314" t="s">
        <v>40</v>
      </c>
      <c r="I314" t="s">
        <v>41</v>
      </c>
      <c r="K314" t="s">
        <v>52</v>
      </c>
      <c r="M314" t="s">
        <v>835</v>
      </c>
      <c r="O314">
        <v>1</v>
      </c>
      <c r="P314" t="s">
        <v>836</v>
      </c>
      <c r="Q314">
        <v>100</v>
      </c>
      <c r="R314">
        <v>2</v>
      </c>
      <c r="S314" s="2">
        <v>2</v>
      </c>
      <c r="T314" s="3">
        <v>0</v>
      </c>
      <c r="U314" s="4">
        <v>0</v>
      </c>
      <c r="V314" s="2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4">
        <v>13</v>
      </c>
      <c r="AD314">
        <f t="shared" si="4"/>
        <v>13</v>
      </c>
    </row>
    <row r="315" spans="1:30" x14ac:dyDescent="0.35">
      <c r="A315" t="s">
        <v>837</v>
      </c>
      <c r="B315">
        <v>15</v>
      </c>
      <c r="C315" t="s">
        <v>7</v>
      </c>
      <c r="D315" t="s">
        <v>8</v>
      </c>
      <c r="E315" t="s">
        <v>46</v>
      </c>
      <c r="G315" t="s">
        <v>47</v>
      </c>
      <c r="I315" t="s">
        <v>61</v>
      </c>
      <c r="O315">
        <v>0.86</v>
      </c>
      <c r="P315" t="s">
        <v>838</v>
      </c>
      <c r="Q315">
        <v>91.3</v>
      </c>
      <c r="R315">
        <v>4</v>
      </c>
      <c r="S315" s="2">
        <v>0</v>
      </c>
      <c r="T315" s="3">
        <v>0</v>
      </c>
      <c r="U315" s="4">
        <v>0</v>
      </c>
      <c r="V315" s="2">
        <v>15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4">
        <v>0</v>
      </c>
      <c r="AD315">
        <f t="shared" si="4"/>
        <v>15</v>
      </c>
    </row>
    <row r="316" spans="1:30" x14ac:dyDescent="0.35">
      <c r="A316" t="s">
        <v>839</v>
      </c>
      <c r="B316">
        <v>15</v>
      </c>
      <c r="C316" t="s">
        <v>7</v>
      </c>
      <c r="D316" t="s">
        <v>8</v>
      </c>
      <c r="E316" t="s">
        <v>46</v>
      </c>
      <c r="G316" t="s">
        <v>47</v>
      </c>
      <c r="I316" t="s">
        <v>61</v>
      </c>
      <c r="O316">
        <v>0.94</v>
      </c>
      <c r="P316" t="s">
        <v>339</v>
      </c>
      <c r="Q316">
        <v>90.9</v>
      </c>
      <c r="R316">
        <v>2</v>
      </c>
      <c r="S316" s="2">
        <v>0</v>
      </c>
      <c r="T316" s="3">
        <v>0</v>
      </c>
      <c r="U316" s="4">
        <v>0</v>
      </c>
      <c r="V316" s="2">
        <v>5</v>
      </c>
      <c r="W316" s="3">
        <v>4</v>
      </c>
      <c r="X316" s="3">
        <v>0</v>
      </c>
      <c r="Y316" s="3">
        <v>3</v>
      </c>
      <c r="Z316" s="3">
        <v>3</v>
      </c>
      <c r="AA316" s="3">
        <v>0</v>
      </c>
      <c r="AB316" s="4">
        <v>0</v>
      </c>
      <c r="AD316">
        <f t="shared" si="4"/>
        <v>5</v>
      </c>
    </row>
    <row r="317" spans="1:30" x14ac:dyDescent="0.35">
      <c r="A317" t="s">
        <v>840</v>
      </c>
      <c r="B317">
        <v>15</v>
      </c>
      <c r="C317" t="s">
        <v>7</v>
      </c>
      <c r="D317" t="s">
        <v>8</v>
      </c>
      <c r="E317" t="s">
        <v>46</v>
      </c>
      <c r="O317">
        <v>0.64</v>
      </c>
      <c r="P317" t="s">
        <v>127</v>
      </c>
      <c r="Q317">
        <v>87</v>
      </c>
      <c r="R317">
        <v>1</v>
      </c>
      <c r="S317" s="2">
        <v>1</v>
      </c>
      <c r="T317" s="3">
        <v>0</v>
      </c>
      <c r="U317" s="4">
        <v>0</v>
      </c>
      <c r="V317" s="2">
        <v>0</v>
      </c>
      <c r="W317" s="3">
        <v>0</v>
      </c>
      <c r="X317" s="3">
        <v>0</v>
      </c>
      <c r="Y317" s="3">
        <v>14</v>
      </c>
      <c r="Z317" s="3">
        <v>0</v>
      </c>
      <c r="AA317" s="3">
        <v>0</v>
      </c>
      <c r="AB317" s="4">
        <v>0</v>
      </c>
      <c r="AD317">
        <f t="shared" si="4"/>
        <v>14</v>
      </c>
    </row>
    <row r="318" spans="1:30" x14ac:dyDescent="0.35">
      <c r="A318" t="s">
        <v>841</v>
      </c>
      <c r="B318">
        <v>14</v>
      </c>
      <c r="C318" t="s">
        <v>7</v>
      </c>
      <c r="D318" t="s">
        <v>8</v>
      </c>
      <c r="E318" t="s">
        <v>120</v>
      </c>
      <c r="G318" t="s">
        <v>121</v>
      </c>
      <c r="I318" t="s">
        <v>122</v>
      </c>
      <c r="K318" t="s">
        <v>123</v>
      </c>
      <c r="M318" t="s">
        <v>124</v>
      </c>
      <c r="O318">
        <v>0.69</v>
      </c>
      <c r="P318" t="s">
        <v>125</v>
      </c>
      <c r="Q318">
        <v>94.9</v>
      </c>
      <c r="R318">
        <v>1</v>
      </c>
      <c r="S318" s="2">
        <v>0</v>
      </c>
      <c r="T318" s="3">
        <v>2</v>
      </c>
      <c r="U318" s="4">
        <v>8</v>
      </c>
      <c r="V318" s="2">
        <v>3</v>
      </c>
      <c r="W318" s="3">
        <v>0</v>
      </c>
      <c r="X318" s="3">
        <v>0</v>
      </c>
      <c r="Y318" s="3">
        <v>0</v>
      </c>
      <c r="Z318" s="3">
        <v>1</v>
      </c>
      <c r="AA318" s="3">
        <v>0</v>
      </c>
      <c r="AB318" s="4">
        <v>0</v>
      </c>
      <c r="AD318">
        <f t="shared" si="4"/>
        <v>8</v>
      </c>
    </row>
    <row r="319" spans="1:30" x14ac:dyDescent="0.35">
      <c r="A319" t="s">
        <v>842</v>
      </c>
      <c r="B319">
        <v>14</v>
      </c>
      <c r="C319" t="s">
        <v>7</v>
      </c>
      <c r="D319" t="s">
        <v>8</v>
      </c>
      <c r="E319" t="s">
        <v>46</v>
      </c>
      <c r="G319" t="s">
        <v>47</v>
      </c>
      <c r="I319" t="s">
        <v>69</v>
      </c>
      <c r="K319" t="s">
        <v>70</v>
      </c>
      <c r="M319" t="s">
        <v>459</v>
      </c>
      <c r="O319">
        <v>0.98</v>
      </c>
      <c r="P319" t="s">
        <v>460</v>
      </c>
      <c r="Q319">
        <v>95.7</v>
      </c>
      <c r="R319">
        <v>3</v>
      </c>
      <c r="S319" s="2">
        <v>0</v>
      </c>
      <c r="T319" s="3">
        <v>3</v>
      </c>
      <c r="U319" s="4">
        <v>6</v>
      </c>
      <c r="V319" s="2">
        <v>0</v>
      </c>
      <c r="W319" s="3">
        <v>1</v>
      </c>
      <c r="X319" s="3">
        <v>4</v>
      </c>
      <c r="Y319" s="3">
        <v>0</v>
      </c>
      <c r="Z319" s="3">
        <v>0</v>
      </c>
      <c r="AA319" s="3">
        <v>0</v>
      </c>
      <c r="AB319" s="4">
        <v>0</v>
      </c>
      <c r="AD319">
        <f t="shared" si="4"/>
        <v>6</v>
      </c>
    </row>
    <row r="320" spans="1:30" x14ac:dyDescent="0.35">
      <c r="A320" t="s">
        <v>843</v>
      </c>
      <c r="B320">
        <v>14</v>
      </c>
      <c r="C320" t="s">
        <v>7</v>
      </c>
      <c r="D320" t="s">
        <v>8</v>
      </c>
      <c r="E320" t="s">
        <v>46</v>
      </c>
      <c r="G320" t="s">
        <v>47</v>
      </c>
      <c r="I320" t="s">
        <v>61</v>
      </c>
      <c r="O320">
        <v>0.91</v>
      </c>
      <c r="P320" t="s">
        <v>335</v>
      </c>
      <c r="Q320">
        <v>91.7</v>
      </c>
      <c r="R320">
        <v>1</v>
      </c>
      <c r="S320" s="2">
        <v>0</v>
      </c>
      <c r="T320" s="3">
        <v>0</v>
      </c>
      <c r="U320" s="4">
        <v>10</v>
      </c>
      <c r="V320" s="2">
        <v>2</v>
      </c>
      <c r="W320" s="3">
        <v>1</v>
      </c>
      <c r="X320" s="3">
        <v>0</v>
      </c>
      <c r="Y320" s="3">
        <v>0</v>
      </c>
      <c r="Z320" s="3">
        <v>1</v>
      </c>
      <c r="AA320" s="3">
        <v>0</v>
      </c>
      <c r="AB320" s="4">
        <v>0</v>
      </c>
      <c r="AD320">
        <f t="shared" si="4"/>
        <v>10</v>
      </c>
    </row>
    <row r="321" spans="1:30" x14ac:dyDescent="0.35">
      <c r="A321" t="s">
        <v>844</v>
      </c>
      <c r="B321">
        <v>14</v>
      </c>
      <c r="C321" t="s">
        <v>7</v>
      </c>
      <c r="D321" t="s">
        <v>8</v>
      </c>
      <c r="E321" t="s">
        <v>32</v>
      </c>
      <c r="G321" t="s">
        <v>35</v>
      </c>
      <c r="I321" t="s">
        <v>36</v>
      </c>
      <c r="O321">
        <v>0.63</v>
      </c>
      <c r="P321" t="s">
        <v>845</v>
      </c>
      <c r="Q321">
        <v>87</v>
      </c>
      <c r="R321">
        <v>1</v>
      </c>
      <c r="S321" s="2">
        <v>1</v>
      </c>
      <c r="T321" s="3">
        <v>0</v>
      </c>
      <c r="U321" s="4">
        <v>0</v>
      </c>
      <c r="V321" s="2">
        <v>1</v>
      </c>
      <c r="W321" s="3">
        <v>0</v>
      </c>
      <c r="X321" s="3">
        <v>0</v>
      </c>
      <c r="Y321" s="3">
        <v>0</v>
      </c>
      <c r="Z321" s="3">
        <v>12</v>
      </c>
      <c r="AA321" s="3">
        <v>0</v>
      </c>
      <c r="AB321" s="4">
        <v>0</v>
      </c>
      <c r="AD321">
        <f t="shared" si="4"/>
        <v>12</v>
      </c>
    </row>
    <row r="322" spans="1:30" x14ac:dyDescent="0.35">
      <c r="A322" t="s">
        <v>846</v>
      </c>
      <c r="B322">
        <v>14</v>
      </c>
      <c r="C322" t="s">
        <v>7</v>
      </c>
      <c r="D322" t="s">
        <v>8</v>
      </c>
      <c r="E322" t="s">
        <v>46</v>
      </c>
      <c r="G322" t="s">
        <v>47</v>
      </c>
      <c r="I322" t="s">
        <v>69</v>
      </c>
      <c r="K322" t="s">
        <v>70</v>
      </c>
      <c r="M322" t="s">
        <v>459</v>
      </c>
      <c r="O322">
        <v>0.99</v>
      </c>
      <c r="P322" t="s">
        <v>460</v>
      </c>
      <c r="Q322">
        <v>97.6</v>
      </c>
      <c r="R322">
        <v>2</v>
      </c>
      <c r="S322" s="2">
        <v>0</v>
      </c>
      <c r="T322" s="3">
        <v>0</v>
      </c>
      <c r="U322" s="4">
        <v>0</v>
      </c>
      <c r="V322" s="2">
        <v>0</v>
      </c>
      <c r="W322" s="3">
        <v>0</v>
      </c>
      <c r="X322" s="3">
        <v>0</v>
      </c>
      <c r="Y322" s="3">
        <v>0</v>
      </c>
      <c r="Z322" s="3">
        <v>12</v>
      </c>
      <c r="AA322" s="3">
        <v>0</v>
      </c>
      <c r="AB322" s="4">
        <v>2</v>
      </c>
      <c r="AD322">
        <f t="shared" si="4"/>
        <v>12</v>
      </c>
    </row>
    <row r="323" spans="1:30" x14ac:dyDescent="0.35">
      <c r="A323" t="s">
        <v>847</v>
      </c>
      <c r="B323">
        <v>14</v>
      </c>
      <c r="C323" t="s">
        <v>7</v>
      </c>
      <c r="D323" t="s">
        <v>8</v>
      </c>
      <c r="E323" t="s">
        <v>46</v>
      </c>
      <c r="G323" t="s">
        <v>47</v>
      </c>
      <c r="I323" t="s">
        <v>61</v>
      </c>
      <c r="O323">
        <v>0.69</v>
      </c>
      <c r="P323" t="s">
        <v>127</v>
      </c>
      <c r="Q323">
        <v>92.9</v>
      </c>
      <c r="R323">
        <v>1</v>
      </c>
      <c r="S323" s="2">
        <v>4</v>
      </c>
      <c r="T323" s="3">
        <v>0</v>
      </c>
      <c r="U323" s="4">
        <v>1</v>
      </c>
      <c r="V323" s="2">
        <v>1</v>
      </c>
      <c r="W323" s="3">
        <v>5</v>
      </c>
      <c r="X323" s="3">
        <v>0</v>
      </c>
      <c r="Y323" s="3">
        <v>0</v>
      </c>
      <c r="Z323" s="3">
        <v>3</v>
      </c>
      <c r="AA323" s="3">
        <v>0</v>
      </c>
      <c r="AB323" s="4">
        <v>0</v>
      </c>
      <c r="AD323">
        <f t="shared" si="4"/>
        <v>5</v>
      </c>
    </row>
    <row r="324" spans="1:30" x14ac:dyDescent="0.35">
      <c r="A324" t="s">
        <v>848</v>
      </c>
      <c r="B324">
        <v>14</v>
      </c>
      <c r="C324" t="s">
        <v>7</v>
      </c>
      <c r="D324" t="s">
        <v>8</v>
      </c>
      <c r="E324" t="s">
        <v>394</v>
      </c>
      <c r="G324" t="s">
        <v>395</v>
      </c>
      <c r="I324" t="s">
        <v>396</v>
      </c>
      <c r="K324" t="s">
        <v>397</v>
      </c>
      <c r="M324" t="s">
        <v>398</v>
      </c>
      <c r="O324">
        <v>0.92</v>
      </c>
      <c r="P324" t="s">
        <v>849</v>
      </c>
      <c r="Q324">
        <v>92.9</v>
      </c>
      <c r="R324">
        <v>1</v>
      </c>
      <c r="S324" s="2">
        <v>0</v>
      </c>
      <c r="T324" s="3">
        <v>0</v>
      </c>
      <c r="U324" s="4">
        <v>0</v>
      </c>
      <c r="V324" s="2">
        <v>0</v>
      </c>
      <c r="W324" s="3">
        <v>1</v>
      </c>
      <c r="X324" s="3">
        <v>12</v>
      </c>
      <c r="Y324" s="3">
        <v>0</v>
      </c>
      <c r="Z324" s="3">
        <v>0</v>
      </c>
      <c r="AA324" s="3">
        <v>1</v>
      </c>
      <c r="AB324" s="4">
        <v>0</v>
      </c>
      <c r="AD324">
        <f t="shared" si="4"/>
        <v>12</v>
      </c>
    </row>
    <row r="325" spans="1:30" x14ac:dyDescent="0.35">
      <c r="A325" t="s">
        <v>850</v>
      </c>
      <c r="B325">
        <v>13</v>
      </c>
      <c r="C325" t="s">
        <v>7</v>
      </c>
      <c r="D325" t="s">
        <v>8</v>
      </c>
      <c r="E325" t="s">
        <v>32</v>
      </c>
      <c r="G325" t="s">
        <v>35</v>
      </c>
      <c r="I325" t="s">
        <v>36</v>
      </c>
      <c r="K325" t="s">
        <v>851</v>
      </c>
      <c r="M325" t="s">
        <v>852</v>
      </c>
      <c r="O325">
        <v>0.94</v>
      </c>
      <c r="P325" t="s">
        <v>853</v>
      </c>
      <c r="Q325">
        <v>89.3</v>
      </c>
      <c r="R325">
        <v>1</v>
      </c>
      <c r="S325" s="2">
        <v>0</v>
      </c>
      <c r="T325" s="3">
        <v>0</v>
      </c>
      <c r="U325" s="4">
        <v>0</v>
      </c>
      <c r="V325" s="2">
        <v>4</v>
      </c>
      <c r="W325" s="3">
        <v>4</v>
      </c>
      <c r="X325" s="3">
        <v>5</v>
      </c>
      <c r="Y325" s="3">
        <v>0</v>
      </c>
      <c r="Z325" s="3">
        <v>0</v>
      </c>
      <c r="AA325" s="3">
        <v>0</v>
      </c>
      <c r="AB325" s="4">
        <v>0</v>
      </c>
      <c r="AD325">
        <f t="shared" ref="AD325:AD388" si="5">MAX(S325:AB325)</f>
        <v>5</v>
      </c>
    </row>
    <row r="326" spans="1:30" x14ac:dyDescent="0.35">
      <c r="A326" t="s">
        <v>854</v>
      </c>
      <c r="B326">
        <v>13</v>
      </c>
      <c r="C326" t="s">
        <v>7</v>
      </c>
      <c r="D326" t="s">
        <v>8</v>
      </c>
      <c r="E326" t="s">
        <v>46</v>
      </c>
      <c r="G326" t="s">
        <v>47</v>
      </c>
      <c r="I326" t="s">
        <v>61</v>
      </c>
      <c r="K326" t="s">
        <v>190</v>
      </c>
      <c r="O326">
        <v>0.79</v>
      </c>
      <c r="P326" t="s">
        <v>274</v>
      </c>
      <c r="Q326">
        <v>93.7</v>
      </c>
      <c r="R326">
        <v>6</v>
      </c>
      <c r="S326" s="2">
        <v>0</v>
      </c>
      <c r="T326" s="3">
        <v>0</v>
      </c>
      <c r="U326" s="4">
        <v>0</v>
      </c>
      <c r="V326" s="2">
        <v>0</v>
      </c>
      <c r="W326" s="3">
        <v>0</v>
      </c>
      <c r="X326" s="3">
        <v>0</v>
      </c>
      <c r="Y326" s="3">
        <v>13</v>
      </c>
      <c r="Z326" s="3">
        <v>0</v>
      </c>
      <c r="AA326" s="3">
        <v>0</v>
      </c>
      <c r="AB326" s="4">
        <v>0</v>
      </c>
      <c r="AD326">
        <f t="shared" si="5"/>
        <v>13</v>
      </c>
    </row>
    <row r="327" spans="1:30" x14ac:dyDescent="0.35">
      <c r="A327" t="s">
        <v>855</v>
      </c>
      <c r="B327">
        <v>13</v>
      </c>
      <c r="C327" t="s">
        <v>7</v>
      </c>
      <c r="D327" t="s">
        <v>8</v>
      </c>
      <c r="E327" t="s">
        <v>18</v>
      </c>
      <c r="G327" t="s">
        <v>19</v>
      </c>
      <c r="I327" t="s">
        <v>20</v>
      </c>
      <c r="K327" t="s">
        <v>21</v>
      </c>
      <c r="M327" t="s">
        <v>235</v>
      </c>
      <c r="O327">
        <v>0.85</v>
      </c>
      <c r="P327" t="s">
        <v>856</v>
      </c>
      <c r="Q327">
        <v>89.7</v>
      </c>
      <c r="R327">
        <v>1</v>
      </c>
      <c r="S327" s="2">
        <v>0</v>
      </c>
      <c r="T327" s="3">
        <v>0</v>
      </c>
      <c r="U327" s="4">
        <v>0</v>
      </c>
      <c r="V327" s="2">
        <v>0</v>
      </c>
      <c r="W327" s="3">
        <v>13</v>
      </c>
      <c r="X327" s="3">
        <v>0</v>
      </c>
      <c r="Y327" s="3">
        <v>0</v>
      </c>
      <c r="Z327" s="3">
        <v>0</v>
      </c>
      <c r="AA327" s="3">
        <v>0</v>
      </c>
      <c r="AB327" s="4">
        <v>0</v>
      </c>
      <c r="AD327">
        <f t="shared" si="5"/>
        <v>13</v>
      </c>
    </row>
    <row r="328" spans="1:30" x14ac:dyDescent="0.35">
      <c r="A328" t="s">
        <v>857</v>
      </c>
      <c r="B328">
        <v>13</v>
      </c>
      <c r="C328" t="s">
        <v>7</v>
      </c>
      <c r="D328" t="s">
        <v>8</v>
      </c>
      <c r="E328" t="s">
        <v>46</v>
      </c>
      <c r="G328" t="s">
        <v>47</v>
      </c>
      <c r="I328" t="s">
        <v>61</v>
      </c>
      <c r="K328" t="s">
        <v>858</v>
      </c>
      <c r="M328" t="s">
        <v>859</v>
      </c>
      <c r="O328">
        <v>0.74</v>
      </c>
      <c r="P328" t="s">
        <v>860</v>
      </c>
      <c r="Q328">
        <v>97.2</v>
      </c>
      <c r="R328">
        <v>1</v>
      </c>
      <c r="S328" s="2">
        <v>0</v>
      </c>
      <c r="T328" s="3">
        <v>0</v>
      </c>
      <c r="U328" s="4">
        <v>0</v>
      </c>
      <c r="V328" s="2">
        <v>0</v>
      </c>
      <c r="W328" s="3">
        <v>0</v>
      </c>
      <c r="X328" s="3">
        <v>0</v>
      </c>
      <c r="Y328" s="3">
        <v>0</v>
      </c>
      <c r="Z328" s="3">
        <v>13</v>
      </c>
      <c r="AA328" s="3">
        <v>0</v>
      </c>
      <c r="AB328" s="4">
        <v>0</v>
      </c>
      <c r="AD328">
        <f t="shared" si="5"/>
        <v>13</v>
      </c>
    </row>
    <row r="329" spans="1:30" x14ac:dyDescent="0.35">
      <c r="A329" t="s">
        <v>861</v>
      </c>
      <c r="B329">
        <v>12</v>
      </c>
      <c r="C329" t="s">
        <v>7</v>
      </c>
      <c r="D329" t="s">
        <v>8</v>
      </c>
      <c r="O329">
        <v>1</v>
      </c>
      <c r="P329" t="s">
        <v>862</v>
      </c>
      <c r="Q329">
        <v>87.7</v>
      </c>
      <c r="R329">
        <v>1</v>
      </c>
      <c r="S329" s="2">
        <v>0</v>
      </c>
      <c r="T329" s="3">
        <v>0</v>
      </c>
      <c r="U329" s="4">
        <v>0</v>
      </c>
      <c r="V329" s="2">
        <v>0</v>
      </c>
      <c r="W329" s="3">
        <v>11</v>
      </c>
      <c r="X329" s="3">
        <v>0</v>
      </c>
      <c r="Y329" s="3">
        <v>0</v>
      </c>
      <c r="Z329" s="3">
        <v>1</v>
      </c>
      <c r="AA329" s="3">
        <v>0</v>
      </c>
      <c r="AB329" s="4">
        <v>0</v>
      </c>
      <c r="AD329">
        <f t="shared" si="5"/>
        <v>11</v>
      </c>
    </row>
    <row r="330" spans="1:30" x14ac:dyDescent="0.35">
      <c r="A330" t="s">
        <v>863</v>
      </c>
      <c r="B330">
        <v>12</v>
      </c>
      <c r="C330" t="s">
        <v>7</v>
      </c>
      <c r="D330" t="s">
        <v>8</v>
      </c>
      <c r="O330">
        <v>0.9</v>
      </c>
      <c r="P330" t="s">
        <v>98</v>
      </c>
      <c r="Q330">
        <v>0</v>
      </c>
      <c r="R330">
        <v>1</v>
      </c>
      <c r="S330" s="2">
        <v>0</v>
      </c>
      <c r="T330" s="3">
        <v>0</v>
      </c>
      <c r="U330" s="4">
        <v>0</v>
      </c>
      <c r="V330" s="2">
        <v>0</v>
      </c>
      <c r="W330" s="3">
        <v>0</v>
      </c>
      <c r="X330" s="3">
        <v>11</v>
      </c>
      <c r="Y330" s="3">
        <v>0</v>
      </c>
      <c r="Z330" s="3">
        <v>0</v>
      </c>
      <c r="AA330" s="3">
        <v>1</v>
      </c>
      <c r="AB330" s="4">
        <v>0</v>
      </c>
      <c r="AD330">
        <f t="shared" si="5"/>
        <v>11</v>
      </c>
    </row>
    <row r="331" spans="1:30" x14ac:dyDescent="0.35">
      <c r="A331" t="s">
        <v>864</v>
      </c>
      <c r="B331">
        <v>12</v>
      </c>
      <c r="C331" t="s">
        <v>7</v>
      </c>
      <c r="D331" t="s">
        <v>8</v>
      </c>
      <c r="O331">
        <v>1</v>
      </c>
      <c r="P331" t="s">
        <v>98</v>
      </c>
      <c r="Q331">
        <v>0</v>
      </c>
      <c r="R331">
        <v>1</v>
      </c>
      <c r="S331" s="2">
        <v>0</v>
      </c>
      <c r="T331" s="3">
        <v>0</v>
      </c>
      <c r="U331" s="4">
        <v>0</v>
      </c>
      <c r="V331" s="2">
        <v>0</v>
      </c>
      <c r="W331" s="3">
        <v>0</v>
      </c>
      <c r="X331" s="3">
        <v>1</v>
      </c>
      <c r="Y331" s="3">
        <v>0</v>
      </c>
      <c r="Z331" s="3">
        <v>0</v>
      </c>
      <c r="AA331" s="3">
        <v>5</v>
      </c>
      <c r="AB331" s="4">
        <v>6</v>
      </c>
      <c r="AD331">
        <f t="shared" si="5"/>
        <v>6</v>
      </c>
    </row>
    <row r="332" spans="1:30" x14ac:dyDescent="0.35">
      <c r="A332" t="s">
        <v>865</v>
      </c>
      <c r="B332">
        <v>12</v>
      </c>
      <c r="C332" t="s">
        <v>7</v>
      </c>
      <c r="D332" t="s">
        <v>8</v>
      </c>
      <c r="E332" t="s">
        <v>46</v>
      </c>
      <c r="G332" t="s">
        <v>47</v>
      </c>
      <c r="I332" t="s">
        <v>61</v>
      </c>
      <c r="K332" t="s">
        <v>190</v>
      </c>
      <c r="O332">
        <v>0.5</v>
      </c>
      <c r="P332" t="s">
        <v>687</v>
      </c>
      <c r="Q332">
        <v>93.3</v>
      </c>
      <c r="R332">
        <v>1</v>
      </c>
      <c r="S332" s="2">
        <v>0</v>
      </c>
      <c r="T332" s="3">
        <v>0</v>
      </c>
      <c r="U332" s="4">
        <v>0</v>
      </c>
      <c r="V332" s="2">
        <v>0</v>
      </c>
      <c r="W332" s="3">
        <v>11</v>
      </c>
      <c r="X332" s="3">
        <v>0</v>
      </c>
      <c r="Y332" s="3">
        <v>0</v>
      </c>
      <c r="Z332" s="3">
        <v>0</v>
      </c>
      <c r="AA332" s="3">
        <v>1</v>
      </c>
      <c r="AB332" s="4">
        <v>0</v>
      </c>
      <c r="AD332">
        <f t="shared" si="5"/>
        <v>11</v>
      </c>
    </row>
    <row r="333" spans="1:30" x14ac:dyDescent="0.35">
      <c r="A333" t="s">
        <v>866</v>
      </c>
      <c r="B333">
        <v>12</v>
      </c>
      <c r="C333" t="s">
        <v>7</v>
      </c>
      <c r="D333" t="s">
        <v>8</v>
      </c>
      <c r="E333" t="s">
        <v>46</v>
      </c>
      <c r="G333" t="s">
        <v>47</v>
      </c>
      <c r="I333" t="s">
        <v>61</v>
      </c>
      <c r="K333" t="s">
        <v>210</v>
      </c>
      <c r="M333" t="s">
        <v>211</v>
      </c>
      <c r="O333">
        <v>0.7</v>
      </c>
      <c r="P333" t="s">
        <v>645</v>
      </c>
      <c r="Q333">
        <v>93.3</v>
      </c>
      <c r="R333">
        <v>3</v>
      </c>
      <c r="S333" s="2">
        <v>0</v>
      </c>
      <c r="T333" s="3">
        <v>0</v>
      </c>
      <c r="U333" s="4">
        <v>0</v>
      </c>
      <c r="V333" s="2">
        <v>0</v>
      </c>
      <c r="W333" s="3">
        <v>0</v>
      </c>
      <c r="X333" s="3">
        <v>0</v>
      </c>
      <c r="Y333" s="3">
        <v>0</v>
      </c>
      <c r="Z333" s="3">
        <v>12</v>
      </c>
      <c r="AA333" s="3">
        <v>0</v>
      </c>
      <c r="AB333" s="4">
        <v>0</v>
      </c>
      <c r="AD333">
        <f t="shared" si="5"/>
        <v>12</v>
      </c>
    </row>
    <row r="334" spans="1:30" x14ac:dyDescent="0.35">
      <c r="A334" t="s">
        <v>867</v>
      </c>
      <c r="B334">
        <v>12</v>
      </c>
      <c r="C334" t="s">
        <v>7</v>
      </c>
      <c r="D334" t="s">
        <v>8</v>
      </c>
      <c r="E334" t="s">
        <v>46</v>
      </c>
      <c r="G334" t="s">
        <v>47</v>
      </c>
      <c r="I334" t="s">
        <v>61</v>
      </c>
      <c r="K334" t="s">
        <v>561</v>
      </c>
      <c r="O334">
        <v>0.82</v>
      </c>
      <c r="P334" t="s">
        <v>868</v>
      </c>
      <c r="Q334">
        <v>96.8</v>
      </c>
      <c r="R334">
        <v>1</v>
      </c>
      <c r="S334" s="2">
        <v>0</v>
      </c>
      <c r="T334" s="3">
        <v>0</v>
      </c>
      <c r="U334" s="4">
        <v>0</v>
      </c>
      <c r="V334" s="2">
        <v>3</v>
      </c>
      <c r="W334" s="3">
        <v>0</v>
      </c>
      <c r="X334" s="3">
        <v>0</v>
      </c>
      <c r="Y334" s="3">
        <v>0</v>
      </c>
      <c r="Z334" s="3">
        <v>9</v>
      </c>
      <c r="AA334" s="3">
        <v>0</v>
      </c>
      <c r="AB334" s="4">
        <v>0</v>
      </c>
      <c r="AD334">
        <f t="shared" si="5"/>
        <v>9</v>
      </c>
    </row>
    <row r="335" spans="1:30" x14ac:dyDescent="0.35">
      <c r="A335" t="s">
        <v>869</v>
      </c>
      <c r="B335">
        <v>11</v>
      </c>
      <c r="C335" t="s">
        <v>7</v>
      </c>
      <c r="D335" t="s">
        <v>8</v>
      </c>
      <c r="E335" t="s">
        <v>46</v>
      </c>
      <c r="G335" t="s">
        <v>47</v>
      </c>
      <c r="I335" t="s">
        <v>61</v>
      </c>
      <c r="K335" t="s">
        <v>190</v>
      </c>
      <c r="M335" t="s">
        <v>870</v>
      </c>
      <c r="O335">
        <v>0.64</v>
      </c>
      <c r="P335" t="s">
        <v>794</v>
      </c>
      <c r="Q335">
        <v>93.7</v>
      </c>
      <c r="R335">
        <v>1</v>
      </c>
      <c r="S335" s="2">
        <v>0</v>
      </c>
      <c r="T335" s="3">
        <v>0</v>
      </c>
      <c r="U335" s="4">
        <v>0</v>
      </c>
      <c r="V335" s="2">
        <v>0</v>
      </c>
      <c r="W335" s="3">
        <v>0</v>
      </c>
      <c r="X335" s="3">
        <v>0</v>
      </c>
      <c r="Y335" s="3">
        <v>0</v>
      </c>
      <c r="Z335" s="3">
        <v>11</v>
      </c>
      <c r="AA335" s="3">
        <v>0</v>
      </c>
      <c r="AB335" s="4">
        <v>0</v>
      </c>
      <c r="AD335">
        <f t="shared" si="5"/>
        <v>11</v>
      </c>
    </row>
    <row r="336" spans="1:30" x14ac:dyDescent="0.35">
      <c r="A336" t="s">
        <v>871</v>
      </c>
      <c r="B336">
        <v>11</v>
      </c>
      <c r="C336" t="s">
        <v>7</v>
      </c>
      <c r="D336" t="s">
        <v>8</v>
      </c>
      <c r="E336" t="s">
        <v>32</v>
      </c>
      <c r="G336" t="s">
        <v>35</v>
      </c>
      <c r="I336" t="s">
        <v>36</v>
      </c>
      <c r="O336">
        <v>0.72</v>
      </c>
      <c r="P336" t="s">
        <v>92</v>
      </c>
      <c r="Q336">
        <v>86.2</v>
      </c>
      <c r="R336">
        <v>1</v>
      </c>
      <c r="S336" s="2">
        <v>5</v>
      </c>
      <c r="T336" s="3">
        <v>0</v>
      </c>
      <c r="U336" s="4">
        <v>5</v>
      </c>
      <c r="V336" s="2">
        <v>1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4">
        <v>0</v>
      </c>
      <c r="AD336">
        <f t="shared" si="5"/>
        <v>5</v>
      </c>
    </row>
    <row r="337" spans="1:30" x14ac:dyDescent="0.35">
      <c r="A337" t="s">
        <v>872</v>
      </c>
      <c r="B337">
        <v>11</v>
      </c>
      <c r="C337" t="s">
        <v>7</v>
      </c>
      <c r="D337" t="s">
        <v>8</v>
      </c>
      <c r="E337" t="s">
        <v>32</v>
      </c>
      <c r="G337" t="s">
        <v>35</v>
      </c>
      <c r="I337" t="s">
        <v>36</v>
      </c>
      <c r="K337" t="s">
        <v>194</v>
      </c>
      <c r="M337" t="s">
        <v>600</v>
      </c>
      <c r="O337">
        <v>1</v>
      </c>
      <c r="P337" t="s">
        <v>601</v>
      </c>
      <c r="Q337">
        <v>100</v>
      </c>
      <c r="R337">
        <v>1</v>
      </c>
      <c r="S337" s="2">
        <v>1</v>
      </c>
      <c r="T337" s="3">
        <v>1</v>
      </c>
      <c r="U337" s="4">
        <v>0</v>
      </c>
      <c r="V337" s="2">
        <v>1</v>
      </c>
      <c r="W337" s="3">
        <v>0</v>
      </c>
      <c r="X337" s="3">
        <v>0</v>
      </c>
      <c r="Y337" s="3">
        <v>0</v>
      </c>
      <c r="Z337" s="3">
        <v>7</v>
      </c>
      <c r="AA337" s="3">
        <v>0</v>
      </c>
      <c r="AB337" s="4">
        <v>1</v>
      </c>
      <c r="AD337">
        <f t="shared" si="5"/>
        <v>7</v>
      </c>
    </row>
    <row r="338" spans="1:30" x14ac:dyDescent="0.35">
      <c r="A338" t="s">
        <v>873</v>
      </c>
      <c r="B338">
        <v>11</v>
      </c>
      <c r="C338" t="s">
        <v>7</v>
      </c>
      <c r="D338" t="s">
        <v>8</v>
      </c>
      <c r="O338">
        <v>0.99</v>
      </c>
      <c r="P338" t="s">
        <v>98</v>
      </c>
      <c r="Q338">
        <v>0</v>
      </c>
      <c r="R338">
        <v>1</v>
      </c>
      <c r="S338" s="2">
        <v>0</v>
      </c>
      <c r="T338" s="3">
        <v>0</v>
      </c>
      <c r="U338" s="4">
        <v>11</v>
      </c>
      <c r="V338" s="2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4">
        <v>0</v>
      </c>
      <c r="AD338">
        <f t="shared" si="5"/>
        <v>11</v>
      </c>
    </row>
    <row r="339" spans="1:30" x14ac:dyDescent="0.35">
      <c r="A339" t="s">
        <v>874</v>
      </c>
      <c r="B339">
        <v>10</v>
      </c>
      <c r="C339" t="s">
        <v>7</v>
      </c>
      <c r="D339" t="s">
        <v>8</v>
      </c>
      <c r="O339">
        <v>1</v>
      </c>
      <c r="P339" t="s">
        <v>457</v>
      </c>
      <c r="Q339">
        <v>87</v>
      </c>
      <c r="R339">
        <v>1</v>
      </c>
      <c r="S339" s="2">
        <v>0</v>
      </c>
      <c r="T339" s="3">
        <v>9</v>
      </c>
      <c r="U339" s="4">
        <v>0</v>
      </c>
      <c r="V339" s="2">
        <v>0</v>
      </c>
      <c r="W339" s="3">
        <v>0</v>
      </c>
      <c r="X339" s="3">
        <v>0</v>
      </c>
      <c r="Y339" s="3">
        <v>0</v>
      </c>
      <c r="Z339" s="3">
        <v>1</v>
      </c>
      <c r="AA339" s="3">
        <v>0</v>
      </c>
      <c r="AB339" s="4">
        <v>0</v>
      </c>
      <c r="AD339">
        <f t="shared" si="5"/>
        <v>9</v>
      </c>
    </row>
    <row r="340" spans="1:30" x14ac:dyDescent="0.35">
      <c r="A340" t="s">
        <v>875</v>
      </c>
      <c r="B340">
        <v>10</v>
      </c>
      <c r="C340" t="s">
        <v>7</v>
      </c>
      <c r="D340" t="s">
        <v>8</v>
      </c>
      <c r="E340" t="s">
        <v>32</v>
      </c>
      <c r="G340" t="s">
        <v>35</v>
      </c>
      <c r="I340" t="s">
        <v>36</v>
      </c>
      <c r="K340" t="s">
        <v>37</v>
      </c>
      <c r="O340">
        <v>0.97</v>
      </c>
      <c r="P340" t="s">
        <v>401</v>
      </c>
      <c r="Q340">
        <v>93.7</v>
      </c>
      <c r="R340">
        <v>1</v>
      </c>
      <c r="S340" s="2">
        <v>0</v>
      </c>
      <c r="T340" s="3">
        <v>1</v>
      </c>
      <c r="U340" s="4">
        <v>2</v>
      </c>
      <c r="V340" s="2">
        <v>2</v>
      </c>
      <c r="W340" s="3">
        <v>1</v>
      </c>
      <c r="X340" s="3">
        <v>2</v>
      </c>
      <c r="Y340" s="3">
        <v>1</v>
      </c>
      <c r="Z340" s="3">
        <v>1</v>
      </c>
      <c r="AA340" s="3">
        <v>0</v>
      </c>
      <c r="AB340" s="4">
        <v>0</v>
      </c>
      <c r="AD340">
        <f t="shared" si="5"/>
        <v>2</v>
      </c>
    </row>
    <row r="341" spans="1:30" x14ac:dyDescent="0.35">
      <c r="A341" t="s">
        <v>876</v>
      </c>
      <c r="B341">
        <v>10</v>
      </c>
      <c r="C341" t="s">
        <v>7</v>
      </c>
      <c r="D341" t="s">
        <v>8</v>
      </c>
      <c r="E341" t="s">
        <v>9</v>
      </c>
      <c r="G341" t="s">
        <v>10</v>
      </c>
      <c r="I341" t="s">
        <v>877</v>
      </c>
      <c r="M341" t="s">
        <v>878</v>
      </c>
      <c r="O341">
        <v>0.93</v>
      </c>
      <c r="P341" t="s">
        <v>879</v>
      </c>
      <c r="Q341">
        <v>94.1</v>
      </c>
      <c r="R341">
        <v>1</v>
      </c>
      <c r="S341" s="2">
        <v>1</v>
      </c>
      <c r="T341" s="3">
        <v>0</v>
      </c>
      <c r="U341" s="4">
        <v>0</v>
      </c>
      <c r="V341" s="2">
        <v>9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4">
        <v>0</v>
      </c>
      <c r="AD341">
        <f t="shared" si="5"/>
        <v>9</v>
      </c>
    </row>
    <row r="342" spans="1:30" x14ac:dyDescent="0.35">
      <c r="A342" t="s">
        <v>880</v>
      </c>
      <c r="B342">
        <v>10</v>
      </c>
      <c r="C342" t="s">
        <v>7</v>
      </c>
      <c r="D342" t="s">
        <v>8</v>
      </c>
      <c r="E342" t="s">
        <v>120</v>
      </c>
      <c r="G342" t="s">
        <v>121</v>
      </c>
      <c r="I342" t="s">
        <v>122</v>
      </c>
      <c r="K342" t="s">
        <v>123</v>
      </c>
      <c r="O342">
        <v>0.92</v>
      </c>
      <c r="P342" t="s">
        <v>881</v>
      </c>
      <c r="Q342">
        <v>85.5</v>
      </c>
      <c r="R342">
        <v>1</v>
      </c>
      <c r="S342" s="2">
        <v>0</v>
      </c>
      <c r="T342" s="3">
        <v>0</v>
      </c>
      <c r="U342" s="4">
        <v>0</v>
      </c>
      <c r="V342" s="2">
        <v>0</v>
      </c>
      <c r="W342" s="3">
        <v>2</v>
      </c>
      <c r="X342" s="3">
        <v>0</v>
      </c>
      <c r="Y342" s="3">
        <v>8</v>
      </c>
      <c r="Z342" s="3">
        <v>0</v>
      </c>
      <c r="AA342" s="3">
        <v>0</v>
      </c>
      <c r="AB342" s="4">
        <v>0</v>
      </c>
      <c r="AD342">
        <f t="shared" si="5"/>
        <v>8</v>
      </c>
    </row>
    <row r="343" spans="1:30" x14ac:dyDescent="0.35">
      <c r="A343" t="s">
        <v>882</v>
      </c>
      <c r="B343">
        <v>10</v>
      </c>
      <c r="C343" t="s">
        <v>7</v>
      </c>
      <c r="D343" t="s">
        <v>8</v>
      </c>
      <c r="E343" t="s">
        <v>290</v>
      </c>
      <c r="G343" t="s">
        <v>556</v>
      </c>
      <c r="M343" t="s">
        <v>557</v>
      </c>
      <c r="O343">
        <v>0.65</v>
      </c>
      <c r="P343" t="s">
        <v>558</v>
      </c>
      <c r="Q343">
        <v>96</v>
      </c>
      <c r="R343">
        <v>1</v>
      </c>
      <c r="S343" s="2">
        <v>3</v>
      </c>
      <c r="T343" s="3">
        <v>0</v>
      </c>
      <c r="U343" s="4">
        <v>0</v>
      </c>
      <c r="V343" s="2">
        <v>0</v>
      </c>
      <c r="W343" s="3">
        <v>7</v>
      </c>
      <c r="X343" s="3">
        <v>0</v>
      </c>
      <c r="Y343" s="3">
        <v>0</v>
      </c>
      <c r="Z343" s="3">
        <v>0</v>
      </c>
      <c r="AA343" s="3">
        <v>0</v>
      </c>
      <c r="AB343" s="4">
        <v>0</v>
      </c>
      <c r="AD343">
        <f t="shared" si="5"/>
        <v>7</v>
      </c>
    </row>
    <row r="344" spans="1:30" x14ac:dyDescent="0.35">
      <c r="A344" t="s">
        <v>883</v>
      </c>
      <c r="B344">
        <v>10</v>
      </c>
      <c r="C344" t="s">
        <v>7</v>
      </c>
      <c r="D344" t="s">
        <v>8</v>
      </c>
      <c r="E344" t="s">
        <v>9</v>
      </c>
      <c r="G344" t="s">
        <v>138</v>
      </c>
      <c r="I344" t="s">
        <v>139</v>
      </c>
      <c r="K344" t="s">
        <v>140</v>
      </c>
      <c r="O344">
        <v>0.85</v>
      </c>
      <c r="P344" t="s">
        <v>141</v>
      </c>
      <c r="Q344">
        <v>92.5</v>
      </c>
      <c r="R344">
        <v>1</v>
      </c>
      <c r="S344" s="2">
        <v>0</v>
      </c>
      <c r="T344" s="3">
        <v>0</v>
      </c>
      <c r="U344" s="4">
        <v>0</v>
      </c>
      <c r="V344" s="2">
        <v>2</v>
      </c>
      <c r="W344" s="3">
        <v>0</v>
      </c>
      <c r="X344" s="3">
        <v>0</v>
      </c>
      <c r="Y344" s="3">
        <v>0</v>
      </c>
      <c r="Z344" s="3">
        <v>8</v>
      </c>
      <c r="AA344" s="3">
        <v>0</v>
      </c>
      <c r="AB344" s="4">
        <v>0</v>
      </c>
      <c r="AD344">
        <f t="shared" si="5"/>
        <v>8</v>
      </c>
    </row>
    <row r="345" spans="1:30" x14ac:dyDescent="0.35">
      <c r="A345" t="s">
        <v>884</v>
      </c>
      <c r="B345">
        <v>10</v>
      </c>
      <c r="C345" t="s">
        <v>7</v>
      </c>
      <c r="D345" t="s">
        <v>8</v>
      </c>
      <c r="E345" t="s">
        <v>46</v>
      </c>
      <c r="G345" t="s">
        <v>47</v>
      </c>
      <c r="I345" t="s">
        <v>61</v>
      </c>
      <c r="K345" t="s">
        <v>190</v>
      </c>
      <c r="M345" t="s">
        <v>273</v>
      </c>
      <c r="O345">
        <v>0.55000000000000004</v>
      </c>
      <c r="P345" t="s">
        <v>222</v>
      </c>
      <c r="Q345">
        <v>95.3</v>
      </c>
      <c r="R345">
        <v>4</v>
      </c>
      <c r="S345" s="2">
        <v>0</v>
      </c>
      <c r="T345" s="3">
        <v>0</v>
      </c>
      <c r="U345" s="4">
        <v>0</v>
      </c>
      <c r="V345" s="2">
        <v>5</v>
      </c>
      <c r="W345" s="3">
        <v>3</v>
      </c>
      <c r="X345" s="3">
        <v>0</v>
      </c>
      <c r="Y345" s="3">
        <v>0</v>
      </c>
      <c r="Z345" s="3">
        <v>2</v>
      </c>
      <c r="AA345" s="3">
        <v>0</v>
      </c>
      <c r="AB345" s="4">
        <v>0</v>
      </c>
      <c r="AD345">
        <f t="shared" si="5"/>
        <v>5</v>
      </c>
    </row>
    <row r="346" spans="1:30" x14ac:dyDescent="0.35">
      <c r="A346" t="s">
        <v>885</v>
      </c>
      <c r="B346">
        <v>10</v>
      </c>
      <c r="C346" t="s">
        <v>7</v>
      </c>
      <c r="D346" t="s">
        <v>8</v>
      </c>
      <c r="E346" t="s">
        <v>46</v>
      </c>
      <c r="G346" t="s">
        <v>47</v>
      </c>
      <c r="I346" t="s">
        <v>69</v>
      </c>
      <c r="K346" t="s">
        <v>70</v>
      </c>
      <c r="O346">
        <v>0.53</v>
      </c>
      <c r="P346" t="s">
        <v>354</v>
      </c>
      <c r="Q346">
        <v>90.1</v>
      </c>
      <c r="R346">
        <v>1</v>
      </c>
      <c r="S346" s="2">
        <v>0</v>
      </c>
      <c r="T346" s="3">
        <v>0</v>
      </c>
      <c r="U346" s="4">
        <v>0</v>
      </c>
      <c r="V346" s="2">
        <v>0</v>
      </c>
      <c r="W346" s="3">
        <v>0</v>
      </c>
      <c r="X346" s="3">
        <v>1</v>
      </c>
      <c r="Y346" s="3">
        <v>0</v>
      </c>
      <c r="Z346" s="3">
        <v>9</v>
      </c>
      <c r="AA346" s="3">
        <v>0</v>
      </c>
      <c r="AB346" s="4">
        <v>0</v>
      </c>
      <c r="AD346">
        <f t="shared" si="5"/>
        <v>9</v>
      </c>
    </row>
    <row r="347" spans="1:30" x14ac:dyDescent="0.35">
      <c r="A347" t="s">
        <v>886</v>
      </c>
      <c r="B347">
        <v>10</v>
      </c>
      <c r="C347" t="s">
        <v>7</v>
      </c>
      <c r="D347" t="s">
        <v>8</v>
      </c>
      <c r="E347" t="s">
        <v>120</v>
      </c>
      <c r="G347" t="s">
        <v>121</v>
      </c>
      <c r="I347" t="s">
        <v>122</v>
      </c>
      <c r="K347" t="s">
        <v>123</v>
      </c>
      <c r="M347" t="s">
        <v>887</v>
      </c>
      <c r="O347">
        <v>1</v>
      </c>
      <c r="P347" t="s">
        <v>888</v>
      </c>
      <c r="Q347">
        <v>99.6</v>
      </c>
      <c r="R347">
        <v>1</v>
      </c>
      <c r="S347" s="2">
        <v>0</v>
      </c>
      <c r="T347" s="3">
        <v>0</v>
      </c>
      <c r="U347" s="4">
        <v>0</v>
      </c>
      <c r="V347" s="2">
        <v>0</v>
      </c>
      <c r="W347" s="3">
        <v>10</v>
      </c>
      <c r="X347" s="3">
        <v>0</v>
      </c>
      <c r="Y347" s="3">
        <v>0</v>
      </c>
      <c r="Z347" s="3">
        <v>0</v>
      </c>
      <c r="AA347" s="3">
        <v>0</v>
      </c>
      <c r="AB347" s="4">
        <v>0</v>
      </c>
      <c r="AD347">
        <f t="shared" si="5"/>
        <v>10</v>
      </c>
    </row>
    <row r="348" spans="1:30" x14ac:dyDescent="0.35">
      <c r="A348" t="s">
        <v>889</v>
      </c>
      <c r="B348">
        <v>10</v>
      </c>
      <c r="C348" t="s">
        <v>7</v>
      </c>
      <c r="D348" t="s">
        <v>8</v>
      </c>
      <c r="E348" t="s">
        <v>46</v>
      </c>
      <c r="G348" t="s">
        <v>703</v>
      </c>
      <c r="I348" t="s">
        <v>704</v>
      </c>
      <c r="K348" t="s">
        <v>705</v>
      </c>
      <c r="M348" t="s">
        <v>890</v>
      </c>
      <c r="O348">
        <v>0.92</v>
      </c>
      <c r="P348" t="s">
        <v>891</v>
      </c>
      <c r="Q348">
        <v>98</v>
      </c>
      <c r="R348">
        <v>1</v>
      </c>
      <c r="S348" s="2">
        <v>0</v>
      </c>
      <c r="T348" s="3">
        <v>3</v>
      </c>
      <c r="U348" s="4">
        <v>2</v>
      </c>
      <c r="V348" s="2">
        <v>1</v>
      </c>
      <c r="W348" s="3">
        <v>0</v>
      </c>
      <c r="X348" s="3">
        <v>0</v>
      </c>
      <c r="Y348" s="3">
        <v>1</v>
      </c>
      <c r="Z348" s="3">
        <v>3</v>
      </c>
      <c r="AA348" s="3">
        <v>0</v>
      </c>
      <c r="AB348" s="4">
        <v>0</v>
      </c>
      <c r="AD348">
        <f t="shared" si="5"/>
        <v>3</v>
      </c>
    </row>
    <row r="349" spans="1:30" x14ac:dyDescent="0.35">
      <c r="A349" t="s">
        <v>892</v>
      </c>
      <c r="B349">
        <v>9</v>
      </c>
      <c r="C349" t="s">
        <v>7</v>
      </c>
      <c r="D349" t="s">
        <v>8</v>
      </c>
      <c r="E349" t="s">
        <v>46</v>
      </c>
      <c r="G349" t="s">
        <v>47</v>
      </c>
      <c r="O349">
        <v>0.64</v>
      </c>
      <c r="P349" t="s">
        <v>321</v>
      </c>
      <c r="Q349">
        <v>88.1</v>
      </c>
      <c r="R349">
        <v>2</v>
      </c>
      <c r="S349" s="2">
        <v>0</v>
      </c>
      <c r="T349" s="3">
        <v>0</v>
      </c>
      <c r="U349" s="4">
        <v>0</v>
      </c>
      <c r="V349" s="2">
        <v>1</v>
      </c>
      <c r="W349" s="3">
        <v>0</v>
      </c>
      <c r="X349" s="3">
        <v>2</v>
      </c>
      <c r="Y349" s="3">
        <v>0</v>
      </c>
      <c r="Z349" s="3">
        <v>6</v>
      </c>
      <c r="AA349" s="3">
        <v>0</v>
      </c>
      <c r="AB349" s="4">
        <v>0</v>
      </c>
      <c r="AD349">
        <f t="shared" si="5"/>
        <v>6</v>
      </c>
    </row>
    <row r="350" spans="1:30" x14ac:dyDescent="0.35">
      <c r="A350" t="s">
        <v>893</v>
      </c>
      <c r="B350">
        <v>9</v>
      </c>
      <c r="C350" t="s">
        <v>7</v>
      </c>
      <c r="D350" t="s">
        <v>8</v>
      </c>
      <c r="E350" t="s">
        <v>32</v>
      </c>
      <c r="G350" t="s">
        <v>35</v>
      </c>
      <c r="I350" t="s">
        <v>36</v>
      </c>
      <c r="K350" t="s">
        <v>37</v>
      </c>
      <c r="M350" t="s">
        <v>480</v>
      </c>
      <c r="O350">
        <v>0.51</v>
      </c>
      <c r="P350" t="s">
        <v>401</v>
      </c>
      <c r="Q350">
        <v>94.8</v>
      </c>
      <c r="R350">
        <v>1</v>
      </c>
      <c r="S350" s="2">
        <v>0</v>
      </c>
      <c r="T350" s="3">
        <v>5</v>
      </c>
      <c r="U350" s="4">
        <v>2</v>
      </c>
      <c r="V350" s="2">
        <v>1</v>
      </c>
      <c r="W350" s="3">
        <v>0</v>
      </c>
      <c r="X350" s="3">
        <v>0</v>
      </c>
      <c r="Y350" s="3">
        <v>1</v>
      </c>
      <c r="Z350" s="3">
        <v>0</v>
      </c>
      <c r="AA350" s="3">
        <v>0</v>
      </c>
      <c r="AB350" s="4">
        <v>0</v>
      </c>
      <c r="AD350">
        <f t="shared" si="5"/>
        <v>5</v>
      </c>
    </row>
    <row r="351" spans="1:30" x14ac:dyDescent="0.35">
      <c r="A351" t="s">
        <v>894</v>
      </c>
      <c r="B351">
        <v>9</v>
      </c>
      <c r="C351" t="s">
        <v>7</v>
      </c>
      <c r="D351" t="s">
        <v>8</v>
      </c>
      <c r="E351" t="s">
        <v>46</v>
      </c>
      <c r="O351">
        <v>0.51</v>
      </c>
      <c r="P351" t="s">
        <v>741</v>
      </c>
      <c r="Q351">
        <v>88.5</v>
      </c>
      <c r="R351">
        <v>1</v>
      </c>
      <c r="S351" s="2">
        <v>0</v>
      </c>
      <c r="T351" s="3">
        <v>0</v>
      </c>
      <c r="U351" s="4">
        <v>1</v>
      </c>
      <c r="V351" s="2">
        <v>0</v>
      </c>
      <c r="W351" s="3">
        <v>0</v>
      </c>
      <c r="X351" s="3">
        <v>5</v>
      </c>
      <c r="Y351" s="3">
        <v>0</v>
      </c>
      <c r="Z351" s="3">
        <v>2</v>
      </c>
      <c r="AA351" s="3">
        <v>1</v>
      </c>
      <c r="AB351" s="4">
        <v>0</v>
      </c>
      <c r="AD351">
        <f t="shared" si="5"/>
        <v>5</v>
      </c>
    </row>
    <row r="352" spans="1:30" x14ac:dyDescent="0.35">
      <c r="A352" t="s">
        <v>895</v>
      </c>
      <c r="B352">
        <v>9</v>
      </c>
      <c r="C352" t="s">
        <v>7</v>
      </c>
      <c r="D352" t="s">
        <v>8</v>
      </c>
      <c r="E352" t="s">
        <v>46</v>
      </c>
      <c r="O352">
        <v>0.59</v>
      </c>
      <c r="P352" t="s">
        <v>896</v>
      </c>
      <c r="Q352">
        <v>88.1</v>
      </c>
      <c r="R352">
        <v>2</v>
      </c>
      <c r="S352" s="2">
        <v>0</v>
      </c>
      <c r="T352" s="3">
        <v>0</v>
      </c>
      <c r="U352" s="4">
        <v>0</v>
      </c>
      <c r="V352" s="2">
        <v>0</v>
      </c>
      <c r="W352" s="3">
        <v>0</v>
      </c>
      <c r="X352" s="3">
        <v>9</v>
      </c>
      <c r="Y352" s="3">
        <v>0</v>
      </c>
      <c r="Z352" s="3">
        <v>0</v>
      </c>
      <c r="AA352" s="3">
        <v>0</v>
      </c>
      <c r="AB352" s="4">
        <v>0</v>
      </c>
      <c r="AD352">
        <f t="shared" si="5"/>
        <v>9</v>
      </c>
    </row>
    <row r="353" spans="1:30" x14ac:dyDescent="0.35">
      <c r="A353" t="s">
        <v>897</v>
      </c>
      <c r="B353">
        <v>9</v>
      </c>
      <c r="C353" t="s">
        <v>7</v>
      </c>
      <c r="D353" t="s">
        <v>8</v>
      </c>
      <c r="E353" t="s">
        <v>120</v>
      </c>
      <c r="G353" t="s">
        <v>121</v>
      </c>
      <c r="I353" t="s">
        <v>122</v>
      </c>
      <c r="K353" t="s">
        <v>123</v>
      </c>
      <c r="O353">
        <v>0.63</v>
      </c>
      <c r="P353" t="s">
        <v>98</v>
      </c>
      <c r="Q353">
        <v>0</v>
      </c>
      <c r="R353">
        <v>1</v>
      </c>
      <c r="S353" s="2">
        <v>0</v>
      </c>
      <c r="T353" s="3">
        <v>0</v>
      </c>
      <c r="U353" s="4">
        <v>3</v>
      </c>
      <c r="V353" s="2">
        <v>0</v>
      </c>
      <c r="W353" s="3">
        <v>1</v>
      </c>
      <c r="X353" s="3">
        <v>0</v>
      </c>
      <c r="Y353" s="3">
        <v>0</v>
      </c>
      <c r="Z353" s="3">
        <v>5</v>
      </c>
      <c r="AA353" s="3">
        <v>0</v>
      </c>
      <c r="AB353" s="4">
        <v>0</v>
      </c>
      <c r="AD353">
        <f t="shared" si="5"/>
        <v>5</v>
      </c>
    </row>
    <row r="354" spans="1:30" x14ac:dyDescent="0.35">
      <c r="A354" t="s">
        <v>898</v>
      </c>
      <c r="B354">
        <v>9</v>
      </c>
      <c r="C354" t="s">
        <v>7</v>
      </c>
      <c r="D354" t="s">
        <v>8</v>
      </c>
      <c r="E354" t="s">
        <v>46</v>
      </c>
      <c r="G354" t="s">
        <v>47</v>
      </c>
      <c r="I354" t="s">
        <v>61</v>
      </c>
      <c r="O354">
        <v>0.83</v>
      </c>
      <c r="P354" t="s">
        <v>899</v>
      </c>
      <c r="Q354">
        <v>92.1</v>
      </c>
      <c r="R354">
        <v>1</v>
      </c>
      <c r="S354" s="2">
        <v>0</v>
      </c>
      <c r="T354" s="3">
        <v>0</v>
      </c>
      <c r="U354" s="4">
        <v>0</v>
      </c>
      <c r="V354" s="2">
        <v>8</v>
      </c>
      <c r="W354" s="3">
        <v>0</v>
      </c>
      <c r="X354" s="3">
        <v>1</v>
      </c>
      <c r="Y354" s="3">
        <v>0</v>
      </c>
      <c r="Z354" s="3">
        <v>0</v>
      </c>
      <c r="AA354" s="3">
        <v>0</v>
      </c>
      <c r="AB354" s="4">
        <v>0</v>
      </c>
      <c r="AD354">
        <f t="shared" si="5"/>
        <v>8</v>
      </c>
    </row>
    <row r="355" spans="1:30" x14ac:dyDescent="0.35">
      <c r="A355" t="s">
        <v>900</v>
      </c>
      <c r="B355">
        <v>9</v>
      </c>
      <c r="C355" t="s">
        <v>7</v>
      </c>
      <c r="D355" t="s">
        <v>8</v>
      </c>
      <c r="E355" t="s">
        <v>652</v>
      </c>
      <c r="G355" t="s">
        <v>901</v>
      </c>
      <c r="O355">
        <v>0.5</v>
      </c>
      <c r="P355" t="s">
        <v>98</v>
      </c>
      <c r="Q355">
        <v>0</v>
      </c>
      <c r="R355">
        <v>1</v>
      </c>
      <c r="S355" s="2">
        <v>0</v>
      </c>
      <c r="T355" s="3">
        <v>0</v>
      </c>
      <c r="U355" s="4">
        <v>0</v>
      </c>
      <c r="V355" s="2">
        <v>0</v>
      </c>
      <c r="W355" s="3">
        <v>9</v>
      </c>
      <c r="X355" s="3">
        <v>0</v>
      </c>
      <c r="Y355" s="3">
        <v>0</v>
      </c>
      <c r="Z355" s="3">
        <v>0</v>
      </c>
      <c r="AA355" s="3">
        <v>0</v>
      </c>
      <c r="AB355" s="4">
        <v>0</v>
      </c>
      <c r="AD355">
        <f t="shared" si="5"/>
        <v>9</v>
      </c>
    </row>
    <row r="356" spans="1:30" x14ac:dyDescent="0.35">
      <c r="A356" t="s">
        <v>902</v>
      </c>
      <c r="B356">
        <v>9</v>
      </c>
      <c r="C356" t="s">
        <v>7</v>
      </c>
      <c r="D356" t="s">
        <v>8</v>
      </c>
      <c r="E356" t="s">
        <v>46</v>
      </c>
      <c r="G356" t="s">
        <v>47</v>
      </c>
      <c r="I356" t="s">
        <v>61</v>
      </c>
      <c r="K356" t="s">
        <v>721</v>
      </c>
      <c r="M356" t="s">
        <v>722</v>
      </c>
      <c r="O356">
        <v>0.64</v>
      </c>
      <c r="P356" t="s">
        <v>723</v>
      </c>
      <c r="Q356">
        <v>94.8</v>
      </c>
      <c r="R356">
        <v>1</v>
      </c>
      <c r="S356" s="2">
        <v>0</v>
      </c>
      <c r="T356" s="3">
        <v>0</v>
      </c>
      <c r="U356" s="4">
        <v>0</v>
      </c>
      <c r="V356" s="2">
        <v>0</v>
      </c>
      <c r="W356" s="3">
        <v>1</v>
      </c>
      <c r="X356" s="3">
        <v>2</v>
      </c>
      <c r="Y356" s="3">
        <v>2</v>
      </c>
      <c r="Z356" s="3">
        <v>0</v>
      </c>
      <c r="AA356" s="3">
        <v>0</v>
      </c>
      <c r="AB356" s="4">
        <v>4</v>
      </c>
      <c r="AD356">
        <f t="shared" si="5"/>
        <v>4</v>
      </c>
    </row>
    <row r="357" spans="1:30" x14ac:dyDescent="0.35">
      <c r="A357" t="s">
        <v>903</v>
      </c>
      <c r="B357">
        <v>9</v>
      </c>
      <c r="C357" t="s">
        <v>7</v>
      </c>
      <c r="D357" t="s">
        <v>8</v>
      </c>
      <c r="E357" t="s">
        <v>9</v>
      </c>
      <c r="G357" t="s">
        <v>10</v>
      </c>
      <c r="I357" t="s">
        <v>682</v>
      </c>
      <c r="K357" t="s">
        <v>683</v>
      </c>
      <c r="M357" t="s">
        <v>684</v>
      </c>
      <c r="O357">
        <v>0.81</v>
      </c>
      <c r="P357" t="s">
        <v>685</v>
      </c>
      <c r="Q357">
        <v>95.7</v>
      </c>
      <c r="R357">
        <v>1</v>
      </c>
      <c r="S357" s="2">
        <v>0</v>
      </c>
      <c r="T357" s="3">
        <v>0</v>
      </c>
      <c r="U357" s="4">
        <v>0</v>
      </c>
      <c r="V357" s="2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5</v>
      </c>
      <c r="AB357" s="4">
        <v>4</v>
      </c>
      <c r="AD357">
        <f t="shared" si="5"/>
        <v>5</v>
      </c>
    </row>
    <row r="358" spans="1:30" x14ac:dyDescent="0.35">
      <c r="A358" t="s">
        <v>904</v>
      </c>
      <c r="B358">
        <v>9</v>
      </c>
      <c r="C358" t="s">
        <v>7</v>
      </c>
      <c r="D358" t="s">
        <v>8</v>
      </c>
      <c r="E358" t="s">
        <v>387</v>
      </c>
      <c r="G358" t="s">
        <v>905</v>
      </c>
      <c r="M358" t="s">
        <v>906</v>
      </c>
      <c r="O358">
        <v>0.86</v>
      </c>
      <c r="P358" t="s">
        <v>907</v>
      </c>
      <c r="Q358">
        <v>90.5</v>
      </c>
      <c r="R358">
        <v>1</v>
      </c>
      <c r="S358" s="2">
        <v>0</v>
      </c>
      <c r="T358" s="3">
        <v>0</v>
      </c>
      <c r="U358" s="4">
        <v>0</v>
      </c>
      <c r="V358" s="2">
        <v>1</v>
      </c>
      <c r="W358" s="3">
        <v>0</v>
      </c>
      <c r="X358" s="3">
        <v>0</v>
      </c>
      <c r="Y358" s="3">
        <v>0</v>
      </c>
      <c r="Z358" s="3">
        <v>0</v>
      </c>
      <c r="AA358" s="3">
        <v>3</v>
      </c>
      <c r="AB358" s="4">
        <v>5</v>
      </c>
      <c r="AD358">
        <f t="shared" si="5"/>
        <v>5</v>
      </c>
    </row>
    <row r="359" spans="1:30" x14ac:dyDescent="0.35">
      <c r="A359" t="s">
        <v>908</v>
      </c>
      <c r="B359">
        <v>9</v>
      </c>
      <c r="C359" t="s">
        <v>7</v>
      </c>
      <c r="D359" t="s">
        <v>24</v>
      </c>
      <c r="E359" t="s">
        <v>25</v>
      </c>
      <c r="G359" t="s">
        <v>40</v>
      </c>
      <c r="I359" t="s">
        <v>56</v>
      </c>
      <c r="K359" t="s">
        <v>466</v>
      </c>
      <c r="M359" t="s">
        <v>467</v>
      </c>
      <c r="O359">
        <v>0.91</v>
      </c>
      <c r="P359" t="s">
        <v>468</v>
      </c>
      <c r="Q359">
        <v>96.5</v>
      </c>
      <c r="R359">
        <v>1</v>
      </c>
      <c r="S359" s="2">
        <v>0</v>
      </c>
      <c r="T359" s="3">
        <v>0</v>
      </c>
      <c r="U359" s="4">
        <v>6</v>
      </c>
      <c r="V359" s="2">
        <v>1</v>
      </c>
      <c r="W359" s="3">
        <v>2</v>
      </c>
      <c r="X359" s="3">
        <v>0</v>
      </c>
      <c r="Y359" s="3">
        <v>0</v>
      </c>
      <c r="Z359" s="3">
        <v>0</v>
      </c>
      <c r="AA359" s="3">
        <v>0</v>
      </c>
      <c r="AB359" s="4">
        <v>0</v>
      </c>
      <c r="AD359">
        <f t="shared" si="5"/>
        <v>6</v>
      </c>
    </row>
    <row r="360" spans="1:30" x14ac:dyDescent="0.35">
      <c r="A360" t="s">
        <v>909</v>
      </c>
      <c r="B360">
        <v>8</v>
      </c>
      <c r="C360" t="s">
        <v>7</v>
      </c>
      <c r="D360" t="s">
        <v>8</v>
      </c>
      <c r="E360" t="s">
        <v>32</v>
      </c>
      <c r="G360" t="s">
        <v>35</v>
      </c>
      <c r="I360" t="s">
        <v>36</v>
      </c>
      <c r="K360" t="s">
        <v>37</v>
      </c>
      <c r="O360">
        <v>0.97</v>
      </c>
      <c r="P360" t="s">
        <v>401</v>
      </c>
      <c r="Q360">
        <v>91.7</v>
      </c>
      <c r="R360">
        <v>1</v>
      </c>
      <c r="S360" s="2">
        <v>2</v>
      </c>
      <c r="T360" s="3">
        <v>0</v>
      </c>
      <c r="U360" s="4">
        <v>1</v>
      </c>
      <c r="V360" s="2">
        <v>0</v>
      </c>
      <c r="W360" s="3">
        <v>0</v>
      </c>
      <c r="X360" s="3">
        <v>1</v>
      </c>
      <c r="Y360" s="3">
        <v>0</v>
      </c>
      <c r="Z360" s="3">
        <v>0</v>
      </c>
      <c r="AA360" s="3">
        <v>3</v>
      </c>
      <c r="AB360" s="4">
        <v>1</v>
      </c>
      <c r="AD360">
        <f t="shared" si="5"/>
        <v>3</v>
      </c>
    </row>
    <row r="361" spans="1:30" x14ac:dyDescent="0.35">
      <c r="A361" t="s">
        <v>910</v>
      </c>
      <c r="B361">
        <v>8</v>
      </c>
      <c r="C361" t="s">
        <v>7</v>
      </c>
      <c r="D361" t="s">
        <v>8</v>
      </c>
      <c r="E361" t="s">
        <v>120</v>
      </c>
      <c r="G361" t="s">
        <v>121</v>
      </c>
      <c r="I361" t="s">
        <v>122</v>
      </c>
      <c r="K361" t="s">
        <v>123</v>
      </c>
      <c r="O361">
        <v>1</v>
      </c>
      <c r="P361" t="s">
        <v>324</v>
      </c>
      <c r="Q361">
        <v>92.9</v>
      </c>
      <c r="R361">
        <v>1</v>
      </c>
      <c r="S361" s="2">
        <v>0</v>
      </c>
      <c r="T361" s="3">
        <v>0</v>
      </c>
      <c r="U361" s="4">
        <v>0</v>
      </c>
      <c r="V361" s="2">
        <v>0</v>
      </c>
      <c r="W361" s="3">
        <v>8</v>
      </c>
      <c r="X361" s="3">
        <v>0</v>
      </c>
      <c r="Y361" s="3">
        <v>0</v>
      </c>
      <c r="Z361" s="3">
        <v>0</v>
      </c>
      <c r="AA361" s="3">
        <v>0</v>
      </c>
      <c r="AB361" s="4">
        <v>0</v>
      </c>
      <c r="AD361">
        <f t="shared" si="5"/>
        <v>8</v>
      </c>
    </row>
    <row r="362" spans="1:30" x14ac:dyDescent="0.35">
      <c r="A362" t="s">
        <v>911</v>
      </c>
      <c r="B362">
        <v>8</v>
      </c>
      <c r="C362" t="s">
        <v>7</v>
      </c>
      <c r="D362" t="s">
        <v>24</v>
      </c>
      <c r="E362" t="s">
        <v>25</v>
      </c>
      <c r="G362" t="s">
        <v>631</v>
      </c>
      <c r="I362" t="s">
        <v>632</v>
      </c>
      <c r="K362" t="s">
        <v>633</v>
      </c>
      <c r="M362" t="s">
        <v>634</v>
      </c>
      <c r="O362">
        <v>1</v>
      </c>
      <c r="P362" t="s">
        <v>635</v>
      </c>
      <c r="Q362">
        <v>99.2</v>
      </c>
      <c r="R362">
        <v>1</v>
      </c>
      <c r="S362" s="2">
        <v>0</v>
      </c>
      <c r="T362" s="3">
        <v>0</v>
      </c>
      <c r="U362" s="4">
        <v>0</v>
      </c>
      <c r="V362" s="2">
        <v>1</v>
      </c>
      <c r="W362" s="3">
        <v>0</v>
      </c>
      <c r="X362" s="3">
        <v>0</v>
      </c>
      <c r="Y362" s="3">
        <v>0</v>
      </c>
      <c r="Z362" s="3">
        <v>7</v>
      </c>
      <c r="AA362" s="3">
        <v>0</v>
      </c>
      <c r="AB362" s="4">
        <v>0</v>
      </c>
      <c r="AD362">
        <f t="shared" si="5"/>
        <v>7</v>
      </c>
    </row>
    <row r="363" spans="1:30" x14ac:dyDescent="0.35">
      <c r="A363" t="s">
        <v>912</v>
      </c>
      <c r="B363">
        <v>8</v>
      </c>
      <c r="C363" t="s">
        <v>7</v>
      </c>
      <c r="D363" t="s">
        <v>8</v>
      </c>
      <c r="E363" t="s">
        <v>32</v>
      </c>
      <c r="G363" t="s">
        <v>35</v>
      </c>
      <c r="I363" t="s">
        <v>36</v>
      </c>
      <c r="K363" t="s">
        <v>37</v>
      </c>
      <c r="M363" t="s">
        <v>913</v>
      </c>
      <c r="O363">
        <v>0.56999999999999995</v>
      </c>
      <c r="P363" t="s">
        <v>401</v>
      </c>
      <c r="Q363">
        <v>93.7</v>
      </c>
      <c r="R363">
        <v>1</v>
      </c>
      <c r="S363" s="2">
        <v>0</v>
      </c>
      <c r="T363" s="3">
        <v>2</v>
      </c>
      <c r="U363" s="4">
        <v>0</v>
      </c>
      <c r="V363" s="2">
        <v>0</v>
      </c>
      <c r="W363" s="3">
        <v>3</v>
      </c>
      <c r="X363" s="3">
        <v>0</v>
      </c>
      <c r="Y363" s="3">
        <v>0</v>
      </c>
      <c r="Z363" s="3">
        <v>1</v>
      </c>
      <c r="AA363" s="3">
        <v>0</v>
      </c>
      <c r="AB363" s="4">
        <v>2</v>
      </c>
      <c r="AD363">
        <f t="shared" si="5"/>
        <v>3</v>
      </c>
    </row>
    <row r="364" spans="1:30" x14ac:dyDescent="0.35">
      <c r="A364" t="s">
        <v>914</v>
      </c>
      <c r="B364">
        <v>8</v>
      </c>
      <c r="C364" t="s">
        <v>7</v>
      </c>
      <c r="D364" t="s">
        <v>8</v>
      </c>
      <c r="E364" t="s">
        <v>120</v>
      </c>
      <c r="G364" t="s">
        <v>121</v>
      </c>
      <c r="I364" t="s">
        <v>122</v>
      </c>
      <c r="K364" t="s">
        <v>123</v>
      </c>
      <c r="M364" t="s">
        <v>124</v>
      </c>
      <c r="O364">
        <v>0.56000000000000005</v>
      </c>
      <c r="P364" t="s">
        <v>220</v>
      </c>
      <c r="Q364">
        <v>92.5</v>
      </c>
      <c r="R364">
        <v>1</v>
      </c>
      <c r="S364" s="2">
        <v>0</v>
      </c>
      <c r="T364" s="3">
        <v>0</v>
      </c>
      <c r="U364" s="4">
        <v>0</v>
      </c>
      <c r="V364" s="2">
        <v>8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4">
        <v>0</v>
      </c>
      <c r="AD364">
        <f t="shared" si="5"/>
        <v>8</v>
      </c>
    </row>
    <row r="365" spans="1:30" x14ac:dyDescent="0.35">
      <c r="A365" t="s">
        <v>915</v>
      </c>
      <c r="B365">
        <v>8</v>
      </c>
      <c r="C365" t="s">
        <v>7</v>
      </c>
      <c r="D365" t="s">
        <v>8</v>
      </c>
      <c r="O365">
        <v>0.98</v>
      </c>
      <c r="P365" t="s">
        <v>98</v>
      </c>
      <c r="Q365">
        <v>0</v>
      </c>
      <c r="R365">
        <v>1</v>
      </c>
      <c r="S365" s="2">
        <v>0</v>
      </c>
      <c r="T365" s="3">
        <v>0</v>
      </c>
      <c r="U365" s="4">
        <v>0</v>
      </c>
      <c r="V365" s="2">
        <v>0</v>
      </c>
      <c r="W365" s="3">
        <v>8</v>
      </c>
      <c r="X365" s="3">
        <v>0</v>
      </c>
      <c r="Y365" s="3">
        <v>0</v>
      </c>
      <c r="Z365" s="3">
        <v>0</v>
      </c>
      <c r="AA365" s="3">
        <v>0</v>
      </c>
      <c r="AB365" s="4">
        <v>0</v>
      </c>
      <c r="AD365">
        <f t="shared" si="5"/>
        <v>8</v>
      </c>
    </row>
    <row r="366" spans="1:30" x14ac:dyDescent="0.35">
      <c r="A366" t="s">
        <v>916</v>
      </c>
      <c r="B366">
        <v>8</v>
      </c>
      <c r="C366" t="s">
        <v>7</v>
      </c>
      <c r="D366" t="s">
        <v>8</v>
      </c>
      <c r="E366" t="s">
        <v>9</v>
      </c>
      <c r="G366" t="s">
        <v>10</v>
      </c>
      <c r="O366">
        <v>0.97</v>
      </c>
      <c r="P366" t="s">
        <v>685</v>
      </c>
      <c r="Q366">
        <v>90.9</v>
      </c>
      <c r="R366">
        <v>1</v>
      </c>
      <c r="S366" s="2">
        <v>0</v>
      </c>
      <c r="T366" s="3">
        <v>0</v>
      </c>
      <c r="U366" s="4">
        <v>0</v>
      </c>
      <c r="V366" s="2">
        <v>0</v>
      </c>
      <c r="W366" s="3">
        <v>0</v>
      </c>
      <c r="X366" s="3">
        <v>2</v>
      </c>
      <c r="Y366" s="3">
        <v>2</v>
      </c>
      <c r="Z366" s="3">
        <v>4</v>
      </c>
      <c r="AA366" s="3">
        <v>0</v>
      </c>
      <c r="AB366" s="4">
        <v>0</v>
      </c>
      <c r="AD366">
        <f t="shared" si="5"/>
        <v>4</v>
      </c>
    </row>
    <row r="367" spans="1:30" x14ac:dyDescent="0.35">
      <c r="A367" t="s">
        <v>917</v>
      </c>
      <c r="B367">
        <v>8</v>
      </c>
      <c r="C367" t="s">
        <v>7</v>
      </c>
      <c r="D367" t="s">
        <v>8</v>
      </c>
      <c r="E367" t="s">
        <v>46</v>
      </c>
      <c r="G367" t="s">
        <v>47</v>
      </c>
      <c r="I367" t="s">
        <v>61</v>
      </c>
      <c r="O367">
        <v>0.73</v>
      </c>
      <c r="P367" t="s">
        <v>381</v>
      </c>
      <c r="Q367">
        <v>90.1</v>
      </c>
      <c r="R367">
        <v>2</v>
      </c>
      <c r="S367" s="2">
        <v>0</v>
      </c>
      <c r="T367" s="3">
        <v>0</v>
      </c>
      <c r="U367" s="4">
        <v>0</v>
      </c>
      <c r="V367" s="2">
        <v>7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4">
        <v>1</v>
      </c>
      <c r="AD367">
        <f t="shared" si="5"/>
        <v>7</v>
      </c>
    </row>
    <row r="368" spans="1:30" x14ac:dyDescent="0.35">
      <c r="A368" t="s">
        <v>918</v>
      </c>
      <c r="B368">
        <v>8</v>
      </c>
      <c r="C368" t="s">
        <v>7</v>
      </c>
      <c r="D368" t="s">
        <v>8</v>
      </c>
      <c r="E368" t="s">
        <v>32</v>
      </c>
      <c r="G368" t="s">
        <v>35</v>
      </c>
      <c r="I368" t="s">
        <v>36</v>
      </c>
      <c r="K368" t="s">
        <v>919</v>
      </c>
      <c r="M368" t="s">
        <v>920</v>
      </c>
      <c r="O368">
        <v>0.67</v>
      </c>
      <c r="P368" t="s">
        <v>921</v>
      </c>
      <c r="Q368">
        <v>97.6</v>
      </c>
      <c r="R368">
        <v>1</v>
      </c>
      <c r="S368" s="2">
        <v>0</v>
      </c>
      <c r="T368" s="3">
        <v>0</v>
      </c>
      <c r="U368" s="4">
        <v>0</v>
      </c>
      <c r="V368" s="2">
        <v>6</v>
      </c>
      <c r="W368" s="3">
        <v>0</v>
      </c>
      <c r="X368" s="3">
        <v>1</v>
      </c>
      <c r="Y368" s="3">
        <v>0</v>
      </c>
      <c r="Z368" s="3">
        <v>0</v>
      </c>
      <c r="AA368" s="3">
        <v>0</v>
      </c>
      <c r="AB368" s="4">
        <v>1</v>
      </c>
      <c r="AD368">
        <f t="shared" si="5"/>
        <v>6</v>
      </c>
    </row>
    <row r="369" spans="1:30" x14ac:dyDescent="0.35">
      <c r="A369" t="s">
        <v>922</v>
      </c>
      <c r="B369">
        <v>8</v>
      </c>
      <c r="C369" t="s">
        <v>7</v>
      </c>
      <c r="D369" t="s">
        <v>8</v>
      </c>
      <c r="E369" t="s">
        <v>32</v>
      </c>
      <c r="G369" t="s">
        <v>35</v>
      </c>
      <c r="I369" t="s">
        <v>36</v>
      </c>
      <c r="K369" t="s">
        <v>37</v>
      </c>
      <c r="M369" t="s">
        <v>480</v>
      </c>
      <c r="O369">
        <v>0.5</v>
      </c>
      <c r="P369" t="s">
        <v>401</v>
      </c>
      <c r="Q369">
        <v>90.5</v>
      </c>
      <c r="R369">
        <v>1</v>
      </c>
      <c r="S369" s="2">
        <v>0</v>
      </c>
      <c r="T369" s="3">
        <v>1</v>
      </c>
      <c r="U369" s="4">
        <v>3</v>
      </c>
      <c r="V369" s="2">
        <v>0</v>
      </c>
      <c r="W369" s="3">
        <v>1</v>
      </c>
      <c r="X369" s="3">
        <v>2</v>
      </c>
      <c r="Y369" s="3">
        <v>0</v>
      </c>
      <c r="Z369" s="3">
        <v>0</v>
      </c>
      <c r="AA369" s="3">
        <v>1</v>
      </c>
      <c r="AB369" s="4">
        <v>0</v>
      </c>
      <c r="AD369">
        <f t="shared" si="5"/>
        <v>3</v>
      </c>
    </row>
    <row r="370" spans="1:30" x14ac:dyDescent="0.35">
      <c r="A370" t="s">
        <v>923</v>
      </c>
      <c r="B370">
        <v>8</v>
      </c>
      <c r="C370" t="s">
        <v>7</v>
      </c>
      <c r="D370" t="s">
        <v>8</v>
      </c>
      <c r="E370" t="s">
        <v>9</v>
      </c>
      <c r="G370" t="s">
        <v>10</v>
      </c>
      <c r="I370" t="s">
        <v>131</v>
      </c>
      <c r="K370" t="s">
        <v>132</v>
      </c>
      <c r="M370" t="s">
        <v>133</v>
      </c>
      <c r="O370">
        <v>0.94</v>
      </c>
      <c r="P370" t="s">
        <v>924</v>
      </c>
      <c r="Q370">
        <v>96</v>
      </c>
      <c r="R370">
        <v>3</v>
      </c>
      <c r="S370" s="2">
        <v>0</v>
      </c>
      <c r="T370" s="3">
        <v>0</v>
      </c>
      <c r="U370" s="4">
        <v>0</v>
      </c>
      <c r="V370" s="2">
        <v>0</v>
      </c>
      <c r="W370" s="3">
        <v>0</v>
      </c>
      <c r="X370" s="3">
        <v>2</v>
      </c>
      <c r="Y370" s="3">
        <v>0</v>
      </c>
      <c r="Z370" s="3">
        <v>0</v>
      </c>
      <c r="AA370" s="3">
        <v>0</v>
      </c>
      <c r="AB370" s="4">
        <v>6</v>
      </c>
      <c r="AD370">
        <f t="shared" si="5"/>
        <v>6</v>
      </c>
    </row>
    <row r="371" spans="1:30" x14ac:dyDescent="0.35">
      <c r="A371" t="s">
        <v>925</v>
      </c>
      <c r="B371">
        <v>8</v>
      </c>
      <c r="C371" t="s">
        <v>7</v>
      </c>
      <c r="D371" t="s">
        <v>8</v>
      </c>
      <c r="E371" t="s">
        <v>46</v>
      </c>
      <c r="G371" t="s">
        <v>47</v>
      </c>
      <c r="I371" t="s">
        <v>61</v>
      </c>
      <c r="K371" t="s">
        <v>157</v>
      </c>
      <c r="O371">
        <v>0.77</v>
      </c>
      <c r="P371" t="s">
        <v>158</v>
      </c>
      <c r="Q371">
        <v>93.3</v>
      </c>
      <c r="R371">
        <v>1</v>
      </c>
      <c r="S371" s="2">
        <v>0</v>
      </c>
      <c r="T371" s="3">
        <v>0</v>
      </c>
      <c r="U371" s="4">
        <v>0</v>
      </c>
      <c r="V371" s="2">
        <v>0</v>
      </c>
      <c r="W371" s="3">
        <v>6</v>
      </c>
      <c r="X371" s="3">
        <v>2</v>
      </c>
      <c r="Y371" s="3">
        <v>0</v>
      </c>
      <c r="Z371" s="3">
        <v>0</v>
      </c>
      <c r="AA371" s="3">
        <v>0</v>
      </c>
      <c r="AB371" s="4">
        <v>0</v>
      </c>
      <c r="AD371">
        <f t="shared" si="5"/>
        <v>6</v>
      </c>
    </row>
    <row r="372" spans="1:30" x14ac:dyDescent="0.35">
      <c r="A372" t="s">
        <v>926</v>
      </c>
      <c r="B372">
        <v>7</v>
      </c>
      <c r="C372" t="s">
        <v>7</v>
      </c>
      <c r="D372" t="s">
        <v>8</v>
      </c>
      <c r="O372">
        <v>0.86</v>
      </c>
      <c r="P372" t="s">
        <v>98</v>
      </c>
      <c r="Q372">
        <v>0</v>
      </c>
      <c r="R372">
        <v>1</v>
      </c>
      <c r="S372" s="2">
        <v>0</v>
      </c>
      <c r="T372" s="3">
        <v>0</v>
      </c>
      <c r="U372" s="4">
        <v>0</v>
      </c>
      <c r="V372" s="2">
        <v>0</v>
      </c>
      <c r="W372" s="3">
        <v>0</v>
      </c>
      <c r="X372" s="3">
        <v>7</v>
      </c>
      <c r="Y372" s="3">
        <v>0</v>
      </c>
      <c r="Z372" s="3">
        <v>0</v>
      </c>
      <c r="AA372" s="3">
        <v>0</v>
      </c>
      <c r="AB372" s="4">
        <v>0</v>
      </c>
      <c r="AD372">
        <f t="shared" si="5"/>
        <v>7</v>
      </c>
    </row>
    <row r="373" spans="1:30" x14ac:dyDescent="0.35">
      <c r="A373" t="s">
        <v>927</v>
      </c>
      <c r="B373">
        <v>7</v>
      </c>
      <c r="C373" t="s">
        <v>7</v>
      </c>
      <c r="D373" t="s">
        <v>8</v>
      </c>
      <c r="E373" t="s">
        <v>32</v>
      </c>
      <c r="G373" t="s">
        <v>35</v>
      </c>
      <c r="I373" t="s">
        <v>36</v>
      </c>
      <c r="K373" t="s">
        <v>37</v>
      </c>
      <c r="O373">
        <v>0.84</v>
      </c>
      <c r="P373" t="s">
        <v>401</v>
      </c>
      <c r="Q373">
        <v>89.3</v>
      </c>
      <c r="R373">
        <v>1</v>
      </c>
      <c r="S373" s="2">
        <v>2</v>
      </c>
      <c r="T373" s="3">
        <v>1</v>
      </c>
      <c r="U373" s="4">
        <v>2</v>
      </c>
      <c r="V373" s="2">
        <v>2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4">
        <v>0</v>
      </c>
      <c r="AD373">
        <f t="shared" si="5"/>
        <v>2</v>
      </c>
    </row>
    <row r="374" spans="1:30" x14ac:dyDescent="0.35">
      <c r="A374" t="s">
        <v>928</v>
      </c>
      <c r="B374">
        <v>7</v>
      </c>
      <c r="C374" t="s">
        <v>7</v>
      </c>
      <c r="D374" t="s">
        <v>8</v>
      </c>
      <c r="E374" t="s">
        <v>32</v>
      </c>
      <c r="G374" t="s">
        <v>35</v>
      </c>
      <c r="I374" t="s">
        <v>36</v>
      </c>
      <c r="K374" t="s">
        <v>37</v>
      </c>
      <c r="O374">
        <v>0.79</v>
      </c>
      <c r="P374" t="s">
        <v>401</v>
      </c>
      <c r="Q374">
        <v>89.7</v>
      </c>
      <c r="R374">
        <v>1</v>
      </c>
      <c r="S374" s="2">
        <v>0</v>
      </c>
      <c r="T374" s="3">
        <v>0</v>
      </c>
      <c r="U374" s="4">
        <v>0</v>
      </c>
      <c r="V374" s="2">
        <v>2</v>
      </c>
      <c r="W374" s="3">
        <v>3</v>
      </c>
      <c r="X374" s="3">
        <v>0</v>
      </c>
      <c r="Y374" s="3">
        <v>1</v>
      </c>
      <c r="Z374" s="3">
        <v>0</v>
      </c>
      <c r="AA374" s="3">
        <v>1</v>
      </c>
      <c r="AB374" s="4">
        <v>0</v>
      </c>
      <c r="AD374">
        <f t="shared" si="5"/>
        <v>3</v>
      </c>
    </row>
    <row r="375" spans="1:30" x14ac:dyDescent="0.35">
      <c r="A375" t="s">
        <v>929</v>
      </c>
      <c r="B375">
        <v>7</v>
      </c>
      <c r="C375" t="s">
        <v>7</v>
      </c>
      <c r="D375" t="s">
        <v>8</v>
      </c>
      <c r="E375" t="s">
        <v>46</v>
      </c>
      <c r="G375" t="s">
        <v>47</v>
      </c>
      <c r="I375" t="s">
        <v>61</v>
      </c>
      <c r="O375">
        <v>0.73</v>
      </c>
      <c r="P375" t="s">
        <v>321</v>
      </c>
      <c r="Q375">
        <v>90.5</v>
      </c>
      <c r="R375">
        <v>1</v>
      </c>
      <c r="S375" s="2">
        <v>0</v>
      </c>
      <c r="T375" s="3">
        <v>0</v>
      </c>
      <c r="U375" s="4">
        <v>0</v>
      </c>
      <c r="V375" s="2">
        <v>1</v>
      </c>
      <c r="W375" s="3">
        <v>6</v>
      </c>
      <c r="X375" s="3">
        <v>0</v>
      </c>
      <c r="Y375" s="3">
        <v>0</v>
      </c>
      <c r="Z375" s="3">
        <v>0</v>
      </c>
      <c r="AA375" s="3">
        <v>0</v>
      </c>
      <c r="AB375" s="4">
        <v>0</v>
      </c>
      <c r="AD375">
        <f t="shared" si="5"/>
        <v>6</v>
      </c>
    </row>
    <row r="376" spans="1:30" x14ac:dyDescent="0.35">
      <c r="A376" t="s">
        <v>930</v>
      </c>
      <c r="B376">
        <v>7</v>
      </c>
      <c r="C376" t="s">
        <v>7</v>
      </c>
      <c r="D376" t="s">
        <v>8</v>
      </c>
      <c r="E376" t="s">
        <v>46</v>
      </c>
      <c r="G376" t="s">
        <v>47</v>
      </c>
      <c r="I376" t="s">
        <v>61</v>
      </c>
      <c r="K376" t="s">
        <v>190</v>
      </c>
      <c r="M376" t="s">
        <v>931</v>
      </c>
      <c r="O376">
        <v>1</v>
      </c>
      <c r="P376" t="s">
        <v>932</v>
      </c>
      <c r="Q376">
        <v>100</v>
      </c>
      <c r="R376">
        <v>1</v>
      </c>
      <c r="S376" s="2">
        <v>0</v>
      </c>
      <c r="T376" s="3">
        <v>0</v>
      </c>
      <c r="U376" s="4">
        <v>0</v>
      </c>
      <c r="V376" s="2">
        <v>0</v>
      </c>
      <c r="W376" s="3">
        <v>7</v>
      </c>
      <c r="X376" s="3">
        <v>0</v>
      </c>
      <c r="Y376" s="3">
        <v>0</v>
      </c>
      <c r="Z376" s="3">
        <v>0</v>
      </c>
      <c r="AA376" s="3">
        <v>0</v>
      </c>
      <c r="AB376" s="4">
        <v>0</v>
      </c>
      <c r="AD376">
        <f t="shared" si="5"/>
        <v>7</v>
      </c>
    </row>
    <row r="377" spans="1:30" x14ac:dyDescent="0.35">
      <c r="A377" t="s">
        <v>933</v>
      </c>
      <c r="B377">
        <v>7</v>
      </c>
      <c r="C377" t="s">
        <v>7</v>
      </c>
      <c r="D377" t="s">
        <v>8</v>
      </c>
      <c r="E377" t="s">
        <v>120</v>
      </c>
      <c r="O377">
        <v>0.75</v>
      </c>
      <c r="P377" t="s">
        <v>98</v>
      </c>
      <c r="Q377">
        <v>0</v>
      </c>
      <c r="R377">
        <v>1</v>
      </c>
      <c r="S377" s="2">
        <v>0</v>
      </c>
      <c r="T377" s="3">
        <v>0</v>
      </c>
      <c r="U377" s="4">
        <v>0</v>
      </c>
      <c r="V377" s="2">
        <v>0</v>
      </c>
      <c r="W377" s="3">
        <v>0</v>
      </c>
      <c r="X377" s="3">
        <v>3</v>
      </c>
      <c r="Y377" s="3">
        <v>4</v>
      </c>
      <c r="Z377" s="3">
        <v>0</v>
      </c>
      <c r="AA377" s="3">
        <v>0</v>
      </c>
      <c r="AB377" s="4">
        <v>0</v>
      </c>
      <c r="AD377">
        <f t="shared" si="5"/>
        <v>4</v>
      </c>
    </row>
    <row r="378" spans="1:30" x14ac:dyDescent="0.35">
      <c r="A378" t="s">
        <v>934</v>
      </c>
      <c r="B378">
        <v>7</v>
      </c>
      <c r="C378" t="s">
        <v>7</v>
      </c>
      <c r="D378" t="s">
        <v>8</v>
      </c>
      <c r="E378" t="s">
        <v>46</v>
      </c>
      <c r="G378" t="s">
        <v>47</v>
      </c>
      <c r="I378" t="s">
        <v>61</v>
      </c>
      <c r="K378" t="s">
        <v>561</v>
      </c>
      <c r="O378">
        <v>0.97</v>
      </c>
      <c r="P378" t="s">
        <v>935</v>
      </c>
      <c r="Q378">
        <v>95.7</v>
      </c>
      <c r="R378">
        <v>1</v>
      </c>
      <c r="S378" s="2">
        <v>0</v>
      </c>
      <c r="T378" s="3">
        <v>0</v>
      </c>
      <c r="U378" s="4">
        <v>0</v>
      </c>
      <c r="V378" s="2">
        <v>2</v>
      </c>
      <c r="W378" s="3">
        <v>3</v>
      </c>
      <c r="X378" s="3">
        <v>1</v>
      </c>
      <c r="Y378" s="3">
        <v>1</v>
      </c>
      <c r="Z378" s="3">
        <v>0</v>
      </c>
      <c r="AA378" s="3">
        <v>0</v>
      </c>
      <c r="AB378" s="4">
        <v>0</v>
      </c>
      <c r="AD378">
        <f t="shared" si="5"/>
        <v>3</v>
      </c>
    </row>
    <row r="379" spans="1:30" x14ac:dyDescent="0.35">
      <c r="A379" t="s">
        <v>936</v>
      </c>
      <c r="B379">
        <v>7</v>
      </c>
      <c r="C379" t="s">
        <v>7</v>
      </c>
      <c r="D379" t="s">
        <v>8</v>
      </c>
      <c r="E379" t="s">
        <v>46</v>
      </c>
      <c r="G379" t="s">
        <v>47</v>
      </c>
      <c r="I379" t="s">
        <v>61</v>
      </c>
      <c r="K379" t="s">
        <v>210</v>
      </c>
      <c r="M379" t="s">
        <v>211</v>
      </c>
      <c r="O379">
        <v>1</v>
      </c>
      <c r="P379" t="s">
        <v>360</v>
      </c>
      <c r="Q379">
        <v>99.2</v>
      </c>
      <c r="R379">
        <v>1</v>
      </c>
      <c r="S379" s="2">
        <v>0</v>
      </c>
      <c r="T379" s="3">
        <v>0</v>
      </c>
      <c r="U379" s="4">
        <v>0</v>
      </c>
      <c r="V379" s="2">
        <v>0</v>
      </c>
      <c r="W379" s="3">
        <v>7</v>
      </c>
      <c r="X379" s="3">
        <v>0</v>
      </c>
      <c r="Y379" s="3">
        <v>0</v>
      </c>
      <c r="Z379" s="3">
        <v>0</v>
      </c>
      <c r="AA379" s="3">
        <v>0</v>
      </c>
      <c r="AB379" s="4">
        <v>0</v>
      </c>
      <c r="AD379">
        <f t="shared" si="5"/>
        <v>7</v>
      </c>
    </row>
    <row r="380" spans="1:30" x14ac:dyDescent="0.35">
      <c r="A380" t="s">
        <v>937</v>
      </c>
      <c r="B380">
        <v>7</v>
      </c>
      <c r="C380" t="s">
        <v>7</v>
      </c>
      <c r="D380" t="s">
        <v>8</v>
      </c>
      <c r="E380" t="s">
        <v>32</v>
      </c>
      <c r="G380" t="s">
        <v>35</v>
      </c>
      <c r="I380" t="s">
        <v>36</v>
      </c>
      <c r="K380" t="s">
        <v>37</v>
      </c>
      <c r="O380">
        <v>0.91</v>
      </c>
      <c r="P380" t="s">
        <v>401</v>
      </c>
      <c r="Q380">
        <v>92.1</v>
      </c>
      <c r="R380">
        <v>1</v>
      </c>
      <c r="S380" s="2">
        <v>0</v>
      </c>
      <c r="T380" s="3">
        <v>0</v>
      </c>
      <c r="U380" s="4">
        <v>0</v>
      </c>
      <c r="V380" s="2">
        <v>2</v>
      </c>
      <c r="W380" s="3">
        <v>0</v>
      </c>
      <c r="X380" s="3">
        <v>3</v>
      </c>
      <c r="Y380" s="3">
        <v>0</v>
      </c>
      <c r="Z380" s="3">
        <v>1</v>
      </c>
      <c r="AA380" s="3">
        <v>0</v>
      </c>
      <c r="AB380" s="4">
        <v>1</v>
      </c>
      <c r="AD380">
        <f t="shared" si="5"/>
        <v>3</v>
      </c>
    </row>
    <row r="381" spans="1:30" x14ac:dyDescent="0.35">
      <c r="A381" t="s">
        <v>938</v>
      </c>
      <c r="B381">
        <v>7</v>
      </c>
      <c r="C381" t="s">
        <v>7</v>
      </c>
      <c r="D381" t="s">
        <v>8</v>
      </c>
      <c r="E381" t="s">
        <v>46</v>
      </c>
      <c r="G381" t="s">
        <v>47</v>
      </c>
      <c r="I381" t="s">
        <v>61</v>
      </c>
      <c r="O381">
        <v>0.89</v>
      </c>
      <c r="P381" t="s">
        <v>62</v>
      </c>
      <c r="Q381">
        <v>91.3</v>
      </c>
      <c r="R381">
        <v>1</v>
      </c>
      <c r="S381" s="2">
        <v>0</v>
      </c>
      <c r="T381" s="3">
        <v>0</v>
      </c>
      <c r="U381" s="4">
        <v>0</v>
      </c>
      <c r="V381" s="2">
        <v>0</v>
      </c>
      <c r="W381" s="3">
        <v>0</v>
      </c>
      <c r="X381" s="3">
        <v>0</v>
      </c>
      <c r="Y381" s="3">
        <v>0</v>
      </c>
      <c r="Z381" s="3">
        <v>6</v>
      </c>
      <c r="AA381" s="3">
        <v>1</v>
      </c>
      <c r="AB381" s="4">
        <v>0</v>
      </c>
      <c r="AD381">
        <f t="shared" si="5"/>
        <v>6</v>
      </c>
    </row>
    <row r="382" spans="1:30" x14ac:dyDescent="0.35">
      <c r="A382" t="s">
        <v>939</v>
      </c>
      <c r="B382">
        <v>7</v>
      </c>
      <c r="C382" t="s">
        <v>7</v>
      </c>
      <c r="D382" t="s">
        <v>8</v>
      </c>
      <c r="E382" t="s">
        <v>46</v>
      </c>
      <c r="G382" t="s">
        <v>47</v>
      </c>
      <c r="I382" t="s">
        <v>61</v>
      </c>
      <c r="K382" t="s">
        <v>190</v>
      </c>
      <c r="M382" t="s">
        <v>273</v>
      </c>
      <c r="O382">
        <v>0.89</v>
      </c>
      <c r="P382" t="s">
        <v>343</v>
      </c>
      <c r="Q382">
        <v>96.8</v>
      </c>
      <c r="R382">
        <v>1</v>
      </c>
      <c r="S382" s="2">
        <v>0</v>
      </c>
      <c r="T382" s="3">
        <v>0</v>
      </c>
      <c r="U382" s="4">
        <v>0</v>
      </c>
      <c r="V382" s="2">
        <v>0</v>
      </c>
      <c r="W382" s="3">
        <v>6</v>
      </c>
      <c r="X382" s="3">
        <v>0</v>
      </c>
      <c r="Y382" s="3">
        <v>1</v>
      </c>
      <c r="Z382" s="3">
        <v>0</v>
      </c>
      <c r="AA382" s="3">
        <v>0</v>
      </c>
      <c r="AB382" s="4">
        <v>0</v>
      </c>
      <c r="AD382">
        <f t="shared" si="5"/>
        <v>6</v>
      </c>
    </row>
    <row r="383" spans="1:30" x14ac:dyDescent="0.35">
      <c r="A383" t="s">
        <v>940</v>
      </c>
      <c r="B383">
        <v>7</v>
      </c>
      <c r="C383" t="s">
        <v>7</v>
      </c>
      <c r="D383" t="s">
        <v>8</v>
      </c>
      <c r="E383" t="s">
        <v>46</v>
      </c>
      <c r="G383" t="s">
        <v>364</v>
      </c>
      <c r="I383" t="s">
        <v>365</v>
      </c>
      <c r="K383" t="s">
        <v>366</v>
      </c>
      <c r="M383" t="s">
        <v>367</v>
      </c>
      <c r="O383">
        <v>0.97</v>
      </c>
      <c r="P383" t="s">
        <v>941</v>
      </c>
      <c r="Q383">
        <v>100</v>
      </c>
      <c r="R383">
        <v>7</v>
      </c>
      <c r="S383" s="2">
        <v>0</v>
      </c>
      <c r="T383" s="3">
        <v>3</v>
      </c>
      <c r="U383" s="4">
        <v>0</v>
      </c>
      <c r="V383" s="2">
        <v>0</v>
      </c>
      <c r="W383" s="3">
        <v>0</v>
      </c>
      <c r="X383" s="3">
        <v>3</v>
      </c>
      <c r="Y383" s="3">
        <v>0</v>
      </c>
      <c r="Z383" s="3">
        <v>1</v>
      </c>
      <c r="AA383" s="3">
        <v>0</v>
      </c>
      <c r="AB383" s="4">
        <v>0</v>
      </c>
      <c r="AD383">
        <f t="shared" si="5"/>
        <v>3</v>
      </c>
    </row>
    <row r="384" spans="1:30" x14ac:dyDescent="0.35">
      <c r="A384" t="s">
        <v>942</v>
      </c>
      <c r="B384">
        <v>6</v>
      </c>
      <c r="C384" t="s">
        <v>7</v>
      </c>
      <c r="D384" t="s">
        <v>8</v>
      </c>
      <c r="O384">
        <v>1</v>
      </c>
      <c r="P384" t="s">
        <v>943</v>
      </c>
      <c r="Q384">
        <v>86.2</v>
      </c>
      <c r="R384">
        <v>2</v>
      </c>
      <c r="S384" s="2">
        <v>0</v>
      </c>
      <c r="T384" s="3">
        <v>0</v>
      </c>
      <c r="U384" s="4">
        <v>0</v>
      </c>
      <c r="V384" s="2">
        <v>1</v>
      </c>
      <c r="W384" s="3">
        <v>0</v>
      </c>
      <c r="X384" s="3">
        <v>4</v>
      </c>
      <c r="Y384" s="3">
        <v>1</v>
      </c>
      <c r="Z384" s="3">
        <v>0</v>
      </c>
      <c r="AA384" s="3">
        <v>0</v>
      </c>
      <c r="AB384" s="4">
        <v>0</v>
      </c>
      <c r="AD384">
        <f t="shared" si="5"/>
        <v>4</v>
      </c>
    </row>
    <row r="385" spans="1:30" x14ac:dyDescent="0.35">
      <c r="A385" t="s">
        <v>944</v>
      </c>
      <c r="B385">
        <v>6</v>
      </c>
      <c r="C385" t="s">
        <v>7</v>
      </c>
      <c r="D385" t="s">
        <v>8</v>
      </c>
      <c r="E385" t="s">
        <v>258</v>
      </c>
      <c r="G385" t="s">
        <v>258</v>
      </c>
      <c r="H385" t="s">
        <v>351</v>
      </c>
      <c r="I385" t="s">
        <v>945</v>
      </c>
      <c r="K385" t="s">
        <v>946</v>
      </c>
      <c r="M385" t="s">
        <v>947</v>
      </c>
      <c r="O385">
        <v>0.57999999999999996</v>
      </c>
      <c r="P385" t="s">
        <v>896</v>
      </c>
      <c r="Q385">
        <v>88.5</v>
      </c>
      <c r="R385">
        <v>2</v>
      </c>
      <c r="S385" s="2">
        <v>0</v>
      </c>
      <c r="T385" s="3">
        <v>0</v>
      </c>
      <c r="U385" s="4">
        <v>0</v>
      </c>
      <c r="V385" s="2">
        <v>0</v>
      </c>
      <c r="W385" s="3">
        <v>2</v>
      </c>
      <c r="X385" s="3">
        <v>2</v>
      </c>
      <c r="Y385" s="3">
        <v>1</v>
      </c>
      <c r="Z385" s="3">
        <v>0</v>
      </c>
      <c r="AA385" s="3">
        <v>0</v>
      </c>
      <c r="AB385" s="4">
        <v>1</v>
      </c>
      <c r="AD385">
        <f t="shared" si="5"/>
        <v>2</v>
      </c>
    </row>
    <row r="386" spans="1:30" x14ac:dyDescent="0.35">
      <c r="A386" t="s">
        <v>948</v>
      </c>
      <c r="B386">
        <v>6</v>
      </c>
      <c r="C386" t="s">
        <v>7</v>
      </c>
      <c r="D386" t="s">
        <v>8</v>
      </c>
      <c r="E386" t="s">
        <v>120</v>
      </c>
      <c r="G386" t="s">
        <v>121</v>
      </c>
      <c r="I386" t="s">
        <v>122</v>
      </c>
      <c r="K386" t="s">
        <v>123</v>
      </c>
      <c r="O386">
        <v>0.52</v>
      </c>
      <c r="P386" t="s">
        <v>125</v>
      </c>
      <c r="Q386">
        <v>87</v>
      </c>
      <c r="R386">
        <v>1</v>
      </c>
      <c r="S386" s="2">
        <v>1</v>
      </c>
      <c r="T386" s="3">
        <v>0</v>
      </c>
      <c r="U386" s="4">
        <v>0</v>
      </c>
      <c r="V386" s="2">
        <v>0</v>
      </c>
      <c r="W386" s="3">
        <v>2</v>
      </c>
      <c r="X386" s="3">
        <v>1</v>
      </c>
      <c r="Y386" s="3">
        <v>1</v>
      </c>
      <c r="Z386" s="3">
        <v>1</v>
      </c>
      <c r="AA386" s="3">
        <v>0</v>
      </c>
      <c r="AB386" s="4">
        <v>0</v>
      </c>
      <c r="AD386">
        <f t="shared" si="5"/>
        <v>2</v>
      </c>
    </row>
    <row r="387" spans="1:30" x14ac:dyDescent="0.35">
      <c r="A387" t="s">
        <v>949</v>
      </c>
      <c r="B387">
        <v>6</v>
      </c>
      <c r="C387" t="s">
        <v>7</v>
      </c>
      <c r="D387" t="s">
        <v>8</v>
      </c>
      <c r="E387" t="s">
        <v>9</v>
      </c>
      <c r="G387" t="s">
        <v>10</v>
      </c>
      <c r="I387" t="s">
        <v>107</v>
      </c>
      <c r="K387" t="s">
        <v>108</v>
      </c>
      <c r="M387" t="s">
        <v>109</v>
      </c>
      <c r="O387">
        <v>0.75</v>
      </c>
      <c r="P387" t="s">
        <v>950</v>
      </c>
      <c r="Q387">
        <v>95.7</v>
      </c>
      <c r="R387">
        <v>1</v>
      </c>
      <c r="S387" s="2">
        <v>0</v>
      </c>
      <c r="T387" s="3">
        <v>2</v>
      </c>
      <c r="U387" s="4">
        <v>0</v>
      </c>
      <c r="V387" s="2">
        <v>2</v>
      </c>
      <c r="W387" s="3">
        <v>0</v>
      </c>
      <c r="X387" s="3">
        <v>0</v>
      </c>
      <c r="Y387" s="3">
        <v>1</v>
      </c>
      <c r="Z387" s="3">
        <v>0</v>
      </c>
      <c r="AA387" s="3">
        <v>1</v>
      </c>
      <c r="AB387" s="4">
        <v>0</v>
      </c>
      <c r="AD387">
        <f t="shared" si="5"/>
        <v>2</v>
      </c>
    </row>
    <row r="388" spans="1:30" x14ac:dyDescent="0.35">
      <c r="A388" t="s">
        <v>951</v>
      </c>
      <c r="B388">
        <v>6</v>
      </c>
      <c r="C388" t="s">
        <v>7</v>
      </c>
      <c r="D388" t="s">
        <v>8</v>
      </c>
      <c r="E388" t="s">
        <v>120</v>
      </c>
      <c r="G388" t="s">
        <v>121</v>
      </c>
      <c r="I388" t="s">
        <v>122</v>
      </c>
      <c r="K388" t="s">
        <v>123</v>
      </c>
      <c r="O388">
        <v>0.5</v>
      </c>
      <c r="P388" t="s">
        <v>224</v>
      </c>
      <c r="Q388">
        <v>86.2</v>
      </c>
      <c r="R388">
        <v>2</v>
      </c>
      <c r="S388" s="2">
        <v>1</v>
      </c>
      <c r="T388" s="3">
        <v>4</v>
      </c>
      <c r="U388" s="4">
        <v>0</v>
      </c>
      <c r="V388" s="2">
        <v>1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4">
        <v>0</v>
      </c>
      <c r="AD388">
        <f t="shared" si="5"/>
        <v>4</v>
      </c>
    </row>
    <row r="389" spans="1:30" x14ac:dyDescent="0.35">
      <c r="A389" t="s">
        <v>952</v>
      </c>
      <c r="B389">
        <v>6</v>
      </c>
      <c r="C389" t="s">
        <v>7</v>
      </c>
      <c r="D389" t="s">
        <v>8</v>
      </c>
      <c r="E389" t="s">
        <v>9</v>
      </c>
      <c r="G389" t="s">
        <v>10</v>
      </c>
      <c r="I389" t="s">
        <v>107</v>
      </c>
      <c r="K389" t="s">
        <v>108</v>
      </c>
      <c r="M389" t="s">
        <v>953</v>
      </c>
      <c r="O389">
        <v>1</v>
      </c>
      <c r="P389" t="s">
        <v>954</v>
      </c>
      <c r="Q389">
        <v>100</v>
      </c>
      <c r="R389">
        <v>1</v>
      </c>
      <c r="S389" s="2">
        <v>0</v>
      </c>
      <c r="T389" s="3">
        <v>0</v>
      </c>
      <c r="U389" s="4">
        <v>0</v>
      </c>
      <c r="V389" s="2">
        <v>0</v>
      </c>
      <c r="W389" s="3">
        <v>0</v>
      </c>
      <c r="X389" s="3">
        <v>6</v>
      </c>
      <c r="Y389" s="3">
        <v>0</v>
      </c>
      <c r="Z389" s="3">
        <v>0</v>
      </c>
      <c r="AA389" s="3">
        <v>0</v>
      </c>
      <c r="AB389" s="4">
        <v>0</v>
      </c>
      <c r="AD389">
        <f t="shared" ref="AD389:AD452" si="6">MAX(S389:AB389)</f>
        <v>6</v>
      </c>
    </row>
    <row r="390" spans="1:30" x14ac:dyDescent="0.35">
      <c r="A390" t="s">
        <v>955</v>
      </c>
      <c r="B390">
        <v>6</v>
      </c>
      <c r="C390" t="s">
        <v>7</v>
      </c>
      <c r="D390" t="s">
        <v>8</v>
      </c>
      <c r="E390" t="s">
        <v>32</v>
      </c>
      <c r="O390">
        <v>1</v>
      </c>
      <c r="P390" t="s">
        <v>956</v>
      </c>
      <c r="Q390">
        <v>87.4</v>
      </c>
      <c r="R390">
        <v>1</v>
      </c>
      <c r="S390" s="2">
        <v>0</v>
      </c>
      <c r="T390" s="3">
        <v>0</v>
      </c>
      <c r="U390" s="4">
        <v>0</v>
      </c>
      <c r="V390" s="2">
        <v>0</v>
      </c>
      <c r="W390" s="3">
        <v>0</v>
      </c>
      <c r="X390" s="3">
        <v>3</v>
      </c>
      <c r="Y390" s="3">
        <v>0</v>
      </c>
      <c r="Z390" s="3">
        <v>0</v>
      </c>
      <c r="AA390" s="3">
        <v>3</v>
      </c>
      <c r="AB390" s="4">
        <v>0</v>
      </c>
      <c r="AD390">
        <f t="shared" si="6"/>
        <v>3</v>
      </c>
    </row>
    <row r="391" spans="1:30" x14ac:dyDescent="0.35">
      <c r="A391" t="s">
        <v>957</v>
      </c>
      <c r="B391">
        <v>6</v>
      </c>
      <c r="C391" t="s">
        <v>7</v>
      </c>
      <c r="D391" t="s">
        <v>8</v>
      </c>
      <c r="E391" t="s">
        <v>46</v>
      </c>
      <c r="G391" t="s">
        <v>47</v>
      </c>
      <c r="I391" t="s">
        <v>61</v>
      </c>
      <c r="O391">
        <v>0.77</v>
      </c>
      <c r="P391" t="s">
        <v>321</v>
      </c>
      <c r="Q391">
        <v>93.7</v>
      </c>
      <c r="R391">
        <v>1</v>
      </c>
      <c r="S391" s="2">
        <v>0</v>
      </c>
      <c r="T391" s="3">
        <v>0</v>
      </c>
      <c r="U391" s="4">
        <v>0</v>
      </c>
      <c r="V391" s="2">
        <v>6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4">
        <v>0</v>
      </c>
      <c r="AD391">
        <f t="shared" si="6"/>
        <v>6</v>
      </c>
    </row>
    <row r="392" spans="1:30" x14ac:dyDescent="0.35">
      <c r="A392" t="s">
        <v>958</v>
      </c>
      <c r="B392">
        <v>6</v>
      </c>
      <c r="C392" t="s">
        <v>7</v>
      </c>
      <c r="D392" t="s">
        <v>8</v>
      </c>
      <c r="E392" t="s">
        <v>46</v>
      </c>
      <c r="G392" t="s">
        <v>47</v>
      </c>
      <c r="I392" t="s">
        <v>61</v>
      </c>
      <c r="O392">
        <v>0.91</v>
      </c>
      <c r="P392" t="s">
        <v>959</v>
      </c>
      <c r="Q392">
        <v>92.1</v>
      </c>
      <c r="R392">
        <v>2</v>
      </c>
      <c r="S392" s="2">
        <v>0</v>
      </c>
      <c r="T392" s="3">
        <v>0</v>
      </c>
      <c r="U392" s="4">
        <v>0</v>
      </c>
      <c r="V392" s="2">
        <v>0</v>
      </c>
      <c r="W392" s="3">
        <v>0</v>
      </c>
      <c r="X392" s="3">
        <v>6</v>
      </c>
      <c r="Y392" s="3">
        <v>0</v>
      </c>
      <c r="Z392" s="3">
        <v>0</v>
      </c>
      <c r="AA392" s="3">
        <v>0</v>
      </c>
      <c r="AB392" s="4">
        <v>0</v>
      </c>
      <c r="AD392">
        <f t="shared" si="6"/>
        <v>6</v>
      </c>
    </row>
    <row r="393" spans="1:30" x14ac:dyDescent="0.35">
      <c r="A393" t="s">
        <v>960</v>
      </c>
      <c r="B393">
        <v>6</v>
      </c>
      <c r="C393" t="s">
        <v>7</v>
      </c>
      <c r="D393" t="s">
        <v>8</v>
      </c>
      <c r="E393" t="s">
        <v>46</v>
      </c>
      <c r="G393" t="s">
        <v>47</v>
      </c>
      <c r="I393" t="s">
        <v>61</v>
      </c>
      <c r="O393">
        <v>0.83</v>
      </c>
      <c r="P393" t="s">
        <v>961</v>
      </c>
      <c r="Q393">
        <v>91.3</v>
      </c>
      <c r="R393">
        <v>4</v>
      </c>
      <c r="S393" s="2">
        <v>0</v>
      </c>
      <c r="T393" s="3">
        <v>0</v>
      </c>
      <c r="U393" s="4">
        <v>0</v>
      </c>
      <c r="V393" s="2">
        <v>3</v>
      </c>
      <c r="W393" s="3">
        <v>0</v>
      </c>
      <c r="X393" s="3">
        <v>0</v>
      </c>
      <c r="Y393" s="3">
        <v>0</v>
      </c>
      <c r="Z393" s="3">
        <v>3</v>
      </c>
      <c r="AA393" s="3">
        <v>0</v>
      </c>
      <c r="AB393" s="4">
        <v>0</v>
      </c>
      <c r="AD393">
        <f t="shared" si="6"/>
        <v>3</v>
      </c>
    </row>
    <row r="394" spans="1:30" x14ac:dyDescent="0.35">
      <c r="A394" t="s">
        <v>962</v>
      </c>
      <c r="B394">
        <v>5</v>
      </c>
      <c r="C394" t="s">
        <v>7</v>
      </c>
      <c r="D394" t="s">
        <v>8</v>
      </c>
      <c r="O394">
        <v>0.97</v>
      </c>
      <c r="P394" t="s">
        <v>98</v>
      </c>
      <c r="Q394">
        <v>0</v>
      </c>
      <c r="R394">
        <v>1</v>
      </c>
      <c r="S394" s="2">
        <v>0</v>
      </c>
      <c r="T394" s="3">
        <v>0</v>
      </c>
      <c r="U394" s="4">
        <v>0</v>
      </c>
      <c r="V394" s="2">
        <v>0</v>
      </c>
      <c r="W394" s="3">
        <v>5</v>
      </c>
      <c r="X394" s="3">
        <v>0</v>
      </c>
      <c r="Y394" s="3">
        <v>0</v>
      </c>
      <c r="Z394" s="3">
        <v>0</v>
      </c>
      <c r="AA394" s="3">
        <v>0</v>
      </c>
      <c r="AB394" s="4">
        <v>0</v>
      </c>
      <c r="AD394">
        <f t="shared" si="6"/>
        <v>5</v>
      </c>
    </row>
    <row r="395" spans="1:30" x14ac:dyDescent="0.35">
      <c r="A395" t="s">
        <v>963</v>
      </c>
      <c r="B395">
        <v>5</v>
      </c>
      <c r="C395" t="s">
        <v>7</v>
      </c>
      <c r="D395" t="s">
        <v>8</v>
      </c>
      <c r="E395" t="s">
        <v>32</v>
      </c>
      <c r="G395" t="s">
        <v>35</v>
      </c>
      <c r="I395" t="s">
        <v>36</v>
      </c>
      <c r="K395" t="s">
        <v>37</v>
      </c>
      <c r="M395" t="s">
        <v>480</v>
      </c>
      <c r="O395">
        <v>0.61</v>
      </c>
      <c r="P395" t="s">
        <v>401</v>
      </c>
      <c r="Q395">
        <v>90.9</v>
      </c>
      <c r="R395">
        <v>1</v>
      </c>
      <c r="S395" s="2">
        <v>0</v>
      </c>
      <c r="T395" s="3">
        <v>0</v>
      </c>
      <c r="U395" s="4">
        <v>0</v>
      </c>
      <c r="V395" s="2">
        <v>1</v>
      </c>
      <c r="W395" s="3">
        <v>1</v>
      </c>
      <c r="X395" s="3">
        <v>2</v>
      </c>
      <c r="Y395" s="3">
        <v>1</v>
      </c>
      <c r="Z395" s="3">
        <v>0</v>
      </c>
      <c r="AA395" s="3">
        <v>0</v>
      </c>
      <c r="AB395" s="4">
        <v>0</v>
      </c>
      <c r="AD395">
        <f t="shared" si="6"/>
        <v>2</v>
      </c>
    </row>
    <row r="396" spans="1:30" x14ac:dyDescent="0.35">
      <c r="A396" t="s">
        <v>964</v>
      </c>
      <c r="B396">
        <v>5</v>
      </c>
      <c r="C396" t="s">
        <v>7</v>
      </c>
      <c r="D396" t="s">
        <v>8</v>
      </c>
      <c r="E396" t="s">
        <v>965</v>
      </c>
      <c r="M396" t="s">
        <v>966</v>
      </c>
      <c r="O396">
        <v>0.76</v>
      </c>
      <c r="P396" t="s">
        <v>967</v>
      </c>
      <c r="Q396">
        <v>93.7</v>
      </c>
      <c r="R396">
        <v>1</v>
      </c>
      <c r="S396" s="2">
        <v>0</v>
      </c>
      <c r="T396" s="3">
        <v>0</v>
      </c>
      <c r="U396" s="4">
        <v>0</v>
      </c>
      <c r="V396" s="2">
        <v>0</v>
      </c>
      <c r="W396" s="3">
        <v>0</v>
      </c>
      <c r="X396" s="3">
        <v>0</v>
      </c>
      <c r="Y396" s="3">
        <v>5</v>
      </c>
      <c r="Z396" s="3">
        <v>0</v>
      </c>
      <c r="AA396" s="3">
        <v>0</v>
      </c>
      <c r="AB396" s="4">
        <v>0</v>
      </c>
      <c r="AD396">
        <f t="shared" si="6"/>
        <v>5</v>
      </c>
    </row>
    <row r="397" spans="1:30" x14ac:dyDescent="0.35">
      <c r="A397" t="s">
        <v>968</v>
      </c>
      <c r="B397">
        <v>5</v>
      </c>
      <c r="C397" t="s">
        <v>7</v>
      </c>
      <c r="D397" t="s">
        <v>8</v>
      </c>
      <c r="E397" t="s">
        <v>46</v>
      </c>
      <c r="O397">
        <v>0.72</v>
      </c>
      <c r="P397" t="s">
        <v>98</v>
      </c>
      <c r="Q397">
        <v>0</v>
      </c>
      <c r="R397">
        <v>1</v>
      </c>
      <c r="S397" s="2">
        <v>0</v>
      </c>
      <c r="T397" s="3">
        <v>0</v>
      </c>
      <c r="U397" s="4">
        <v>0</v>
      </c>
      <c r="V397" s="2">
        <v>0</v>
      </c>
      <c r="W397" s="3">
        <v>1</v>
      </c>
      <c r="X397" s="3">
        <v>0</v>
      </c>
      <c r="Y397" s="3">
        <v>0</v>
      </c>
      <c r="Z397" s="3">
        <v>4</v>
      </c>
      <c r="AA397" s="3">
        <v>0</v>
      </c>
      <c r="AB397" s="4">
        <v>0</v>
      </c>
      <c r="AD397">
        <f t="shared" si="6"/>
        <v>4</v>
      </c>
    </row>
    <row r="398" spans="1:30" x14ac:dyDescent="0.35">
      <c r="A398" t="s">
        <v>969</v>
      </c>
      <c r="B398">
        <v>5</v>
      </c>
      <c r="C398" t="s">
        <v>7</v>
      </c>
      <c r="D398" t="s">
        <v>8</v>
      </c>
      <c r="E398" t="s">
        <v>46</v>
      </c>
      <c r="G398" t="s">
        <v>47</v>
      </c>
      <c r="I398" t="s">
        <v>61</v>
      </c>
      <c r="O398">
        <v>0.6</v>
      </c>
      <c r="P398" t="s">
        <v>970</v>
      </c>
      <c r="Q398">
        <v>87</v>
      </c>
      <c r="R398">
        <v>2</v>
      </c>
      <c r="S398" s="2">
        <v>0</v>
      </c>
      <c r="T398" s="3">
        <v>0</v>
      </c>
      <c r="U398" s="4">
        <v>0</v>
      </c>
      <c r="V398" s="2">
        <v>0</v>
      </c>
      <c r="W398" s="3">
        <v>0</v>
      </c>
      <c r="X398" s="3">
        <v>2</v>
      </c>
      <c r="Y398" s="3">
        <v>0</v>
      </c>
      <c r="Z398" s="3">
        <v>0</v>
      </c>
      <c r="AA398" s="3">
        <v>2</v>
      </c>
      <c r="AB398" s="4">
        <v>1</v>
      </c>
      <c r="AD398">
        <f t="shared" si="6"/>
        <v>2</v>
      </c>
    </row>
    <row r="399" spans="1:30" x14ac:dyDescent="0.35">
      <c r="A399" t="s">
        <v>971</v>
      </c>
      <c r="B399">
        <v>5</v>
      </c>
      <c r="C399" t="s">
        <v>7</v>
      </c>
      <c r="D399" t="s">
        <v>8</v>
      </c>
      <c r="E399" t="s">
        <v>32</v>
      </c>
      <c r="G399" t="s">
        <v>35</v>
      </c>
      <c r="I399" t="s">
        <v>36</v>
      </c>
      <c r="K399" t="s">
        <v>37</v>
      </c>
      <c r="O399">
        <v>0.94</v>
      </c>
      <c r="P399" t="s">
        <v>401</v>
      </c>
      <c r="Q399">
        <v>93.7</v>
      </c>
      <c r="R399">
        <v>1</v>
      </c>
      <c r="S399" s="2">
        <v>0</v>
      </c>
      <c r="T399" s="3">
        <v>0</v>
      </c>
      <c r="U399" s="4">
        <v>0</v>
      </c>
      <c r="V399" s="2">
        <v>1</v>
      </c>
      <c r="W399" s="3">
        <v>0</v>
      </c>
      <c r="X399" s="3">
        <v>0</v>
      </c>
      <c r="Y399" s="3">
        <v>1</v>
      </c>
      <c r="Z399" s="3">
        <v>2</v>
      </c>
      <c r="AA399" s="3">
        <v>0</v>
      </c>
      <c r="AB399" s="4">
        <v>1</v>
      </c>
      <c r="AD399">
        <f t="shared" si="6"/>
        <v>2</v>
      </c>
    </row>
    <row r="400" spans="1:30" x14ac:dyDescent="0.35">
      <c r="A400" t="s">
        <v>972</v>
      </c>
      <c r="B400">
        <v>5</v>
      </c>
      <c r="C400" t="s">
        <v>7</v>
      </c>
      <c r="D400" t="s">
        <v>8</v>
      </c>
      <c r="E400" t="s">
        <v>9</v>
      </c>
      <c r="G400" t="s">
        <v>243</v>
      </c>
      <c r="I400" t="s">
        <v>594</v>
      </c>
      <c r="K400" t="s">
        <v>973</v>
      </c>
      <c r="M400" t="s">
        <v>974</v>
      </c>
      <c r="O400">
        <v>0.74</v>
      </c>
      <c r="P400" t="s">
        <v>975</v>
      </c>
      <c r="Q400">
        <v>94.5</v>
      </c>
      <c r="R400">
        <v>1</v>
      </c>
      <c r="S400" s="2">
        <v>0</v>
      </c>
      <c r="T400" s="3">
        <v>0</v>
      </c>
      <c r="U400" s="4">
        <v>1</v>
      </c>
      <c r="V400" s="2">
        <v>1</v>
      </c>
      <c r="W400" s="3">
        <v>1</v>
      </c>
      <c r="X400" s="3">
        <v>0</v>
      </c>
      <c r="Y400" s="3">
        <v>0</v>
      </c>
      <c r="Z400" s="3">
        <v>2</v>
      </c>
      <c r="AA400" s="3">
        <v>0</v>
      </c>
      <c r="AB400" s="4">
        <v>0</v>
      </c>
      <c r="AD400">
        <f t="shared" si="6"/>
        <v>2</v>
      </c>
    </row>
    <row r="401" spans="1:30" x14ac:dyDescent="0.35">
      <c r="A401" t="s">
        <v>976</v>
      </c>
      <c r="B401">
        <v>5</v>
      </c>
      <c r="C401" t="s">
        <v>7</v>
      </c>
      <c r="D401" t="s">
        <v>8</v>
      </c>
      <c r="E401" t="s">
        <v>32</v>
      </c>
      <c r="G401" t="s">
        <v>35</v>
      </c>
      <c r="I401" t="s">
        <v>36</v>
      </c>
      <c r="K401" t="s">
        <v>37</v>
      </c>
      <c r="O401">
        <v>1</v>
      </c>
      <c r="P401" t="s">
        <v>401</v>
      </c>
      <c r="Q401">
        <v>92.5</v>
      </c>
      <c r="R401">
        <v>1</v>
      </c>
      <c r="S401" s="2">
        <v>1</v>
      </c>
      <c r="T401" s="3">
        <v>0</v>
      </c>
      <c r="U401" s="4">
        <v>0</v>
      </c>
      <c r="V401" s="2">
        <v>0</v>
      </c>
      <c r="W401" s="3">
        <v>0</v>
      </c>
      <c r="X401" s="3">
        <v>3</v>
      </c>
      <c r="Y401" s="3">
        <v>0</v>
      </c>
      <c r="Z401" s="3">
        <v>0</v>
      </c>
      <c r="AA401" s="3">
        <v>1</v>
      </c>
      <c r="AB401" s="4">
        <v>0</v>
      </c>
      <c r="AD401">
        <f t="shared" si="6"/>
        <v>3</v>
      </c>
    </row>
    <row r="402" spans="1:30" x14ac:dyDescent="0.35">
      <c r="A402" t="s">
        <v>977</v>
      </c>
      <c r="B402">
        <v>5</v>
      </c>
      <c r="C402" t="s">
        <v>7</v>
      </c>
      <c r="D402" t="s">
        <v>8</v>
      </c>
      <c r="E402" t="s">
        <v>120</v>
      </c>
      <c r="O402">
        <v>0.66</v>
      </c>
      <c r="P402" t="s">
        <v>125</v>
      </c>
      <c r="Q402">
        <v>87.7</v>
      </c>
      <c r="R402">
        <v>2</v>
      </c>
      <c r="S402" s="2">
        <v>0</v>
      </c>
      <c r="T402" s="3">
        <v>0</v>
      </c>
      <c r="U402" s="4">
        <v>0</v>
      </c>
      <c r="V402" s="2">
        <v>1</v>
      </c>
      <c r="W402" s="3">
        <v>0</v>
      </c>
      <c r="X402" s="3">
        <v>4</v>
      </c>
      <c r="Y402" s="3">
        <v>0</v>
      </c>
      <c r="Z402" s="3">
        <v>0</v>
      </c>
      <c r="AA402" s="3">
        <v>0</v>
      </c>
      <c r="AB402" s="4">
        <v>0</v>
      </c>
      <c r="AD402">
        <f t="shared" si="6"/>
        <v>4</v>
      </c>
    </row>
    <row r="403" spans="1:30" x14ac:dyDescent="0.35">
      <c r="A403" t="s">
        <v>978</v>
      </c>
      <c r="B403">
        <v>5</v>
      </c>
      <c r="C403" t="s">
        <v>7</v>
      </c>
      <c r="D403" t="s">
        <v>8</v>
      </c>
      <c r="E403" t="s">
        <v>46</v>
      </c>
      <c r="G403" t="s">
        <v>364</v>
      </c>
      <c r="I403" t="s">
        <v>416</v>
      </c>
      <c r="K403" t="s">
        <v>979</v>
      </c>
      <c r="M403" t="s">
        <v>980</v>
      </c>
      <c r="O403">
        <v>1</v>
      </c>
      <c r="P403" t="s">
        <v>981</v>
      </c>
      <c r="Q403">
        <v>100</v>
      </c>
      <c r="R403">
        <v>16</v>
      </c>
      <c r="S403" s="2">
        <v>1</v>
      </c>
      <c r="T403" s="3">
        <v>1</v>
      </c>
      <c r="U403" s="4">
        <v>1</v>
      </c>
      <c r="V403" s="2">
        <v>0</v>
      </c>
      <c r="W403" s="3">
        <v>0</v>
      </c>
      <c r="X403" s="3">
        <v>2</v>
      </c>
      <c r="Y403" s="3">
        <v>0</v>
      </c>
      <c r="Z403" s="3">
        <v>0</v>
      </c>
      <c r="AA403" s="3">
        <v>0</v>
      </c>
      <c r="AB403" s="4">
        <v>0</v>
      </c>
      <c r="AD403">
        <f t="shared" si="6"/>
        <v>2</v>
      </c>
    </row>
    <row r="404" spans="1:30" x14ac:dyDescent="0.35">
      <c r="A404" t="s">
        <v>982</v>
      </c>
      <c r="B404">
        <v>5</v>
      </c>
      <c r="C404" t="s">
        <v>7</v>
      </c>
      <c r="D404" t="s">
        <v>8</v>
      </c>
      <c r="O404">
        <v>1</v>
      </c>
      <c r="P404" t="s">
        <v>521</v>
      </c>
      <c r="Q404">
        <v>86.6</v>
      </c>
      <c r="R404">
        <v>12</v>
      </c>
      <c r="S404" s="2">
        <v>0</v>
      </c>
      <c r="T404" s="3">
        <v>5</v>
      </c>
      <c r="U404" s="4">
        <v>0</v>
      </c>
      <c r="V404" s="2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4">
        <v>0</v>
      </c>
      <c r="AD404">
        <f t="shared" si="6"/>
        <v>5</v>
      </c>
    </row>
    <row r="405" spans="1:30" x14ac:dyDescent="0.35">
      <c r="A405" t="s">
        <v>983</v>
      </c>
      <c r="B405">
        <v>5</v>
      </c>
      <c r="C405" t="s">
        <v>7</v>
      </c>
      <c r="D405" t="s">
        <v>8</v>
      </c>
      <c r="E405" t="s">
        <v>9</v>
      </c>
      <c r="G405" t="s">
        <v>243</v>
      </c>
      <c r="I405" t="s">
        <v>594</v>
      </c>
      <c r="K405" t="s">
        <v>595</v>
      </c>
      <c r="M405" t="s">
        <v>984</v>
      </c>
      <c r="O405">
        <v>0.71</v>
      </c>
      <c r="P405" t="s">
        <v>985</v>
      </c>
      <c r="Q405">
        <v>100</v>
      </c>
      <c r="R405">
        <v>2</v>
      </c>
      <c r="S405" s="2">
        <v>0</v>
      </c>
      <c r="T405" s="3">
        <v>0</v>
      </c>
      <c r="U405" s="4">
        <v>1</v>
      </c>
      <c r="V405" s="2">
        <v>0</v>
      </c>
      <c r="W405" s="3">
        <v>3</v>
      </c>
      <c r="X405" s="3">
        <v>0</v>
      </c>
      <c r="Y405" s="3">
        <v>1</v>
      </c>
      <c r="Z405" s="3">
        <v>0</v>
      </c>
      <c r="AA405" s="3">
        <v>0</v>
      </c>
      <c r="AB405" s="4">
        <v>0</v>
      </c>
      <c r="AD405">
        <f t="shared" si="6"/>
        <v>3</v>
      </c>
    </row>
    <row r="406" spans="1:30" x14ac:dyDescent="0.35">
      <c r="A406" t="s">
        <v>986</v>
      </c>
      <c r="B406">
        <v>5</v>
      </c>
      <c r="C406" t="s">
        <v>7</v>
      </c>
      <c r="D406" t="s">
        <v>8</v>
      </c>
      <c r="E406" t="s">
        <v>32</v>
      </c>
      <c r="G406" t="s">
        <v>35</v>
      </c>
      <c r="I406" t="s">
        <v>36</v>
      </c>
      <c r="K406" t="s">
        <v>37</v>
      </c>
      <c r="M406" t="s">
        <v>913</v>
      </c>
      <c r="O406">
        <v>0.8</v>
      </c>
      <c r="P406" t="s">
        <v>401</v>
      </c>
      <c r="Q406">
        <v>92.1</v>
      </c>
      <c r="R406">
        <v>1</v>
      </c>
      <c r="S406" s="2">
        <v>2</v>
      </c>
      <c r="T406" s="3">
        <v>0</v>
      </c>
      <c r="U406" s="4">
        <v>0</v>
      </c>
      <c r="V406" s="2">
        <v>1</v>
      </c>
      <c r="W406" s="3">
        <v>0</v>
      </c>
      <c r="X406" s="3">
        <v>0</v>
      </c>
      <c r="Y406" s="3">
        <v>0</v>
      </c>
      <c r="Z406" s="3">
        <v>1</v>
      </c>
      <c r="AA406" s="3">
        <v>0</v>
      </c>
      <c r="AB406" s="4">
        <v>1</v>
      </c>
      <c r="AD406">
        <f t="shared" si="6"/>
        <v>2</v>
      </c>
    </row>
    <row r="407" spans="1:30" x14ac:dyDescent="0.35">
      <c r="A407" t="s">
        <v>987</v>
      </c>
      <c r="B407">
        <v>5</v>
      </c>
      <c r="C407" t="s">
        <v>7</v>
      </c>
      <c r="D407" t="s">
        <v>8</v>
      </c>
      <c r="E407" t="s">
        <v>46</v>
      </c>
      <c r="G407" t="s">
        <v>47</v>
      </c>
      <c r="I407" t="s">
        <v>61</v>
      </c>
      <c r="K407" t="s">
        <v>210</v>
      </c>
      <c r="M407" t="s">
        <v>988</v>
      </c>
      <c r="O407">
        <v>0.85</v>
      </c>
      <c r="P407" t="s">
        <v>989</v>
      </c>
      <c r="Q407">
        <v>94.1</v>
      </c>
      <c r="R407">
        <v>7</v>
      </c>
      <c r="S407" s="2">
        <v>0</v>
      </c>
      <c r="T407" s="3">
        <v>0</v>
      </c>
      <c r="U407" s="4">
        <v>0</v>
      </c>
      <c r="V407" s="2">
        <v>0</v>
      </c>
      <c r="W407" s="3">
        <v>5</v>
      </c>
      <c r="X407" s="3">
        <v>0</v>
      </c>
      <c r="Y407" s="3">
        <v>0</v>
      </c>
      <c r="Z407" s="3">
        <v>0</v>
      </c>
      <c r="AA407" s="3">
        <v>0</v>
      </c>
      <c r="AB407" s="4">
        <v>0</v>
      </c>
      <c r="AD407">
        <f t="shared" si="6"/>
        <v>5</v>
      </c>
    </row>
    <row r="408" spans="1:30" x14ac:dyDescent="0.35">
      <c r="A408" t="s">
        <v>990</v>
      </c>
      <c r="B408">
        <v>4</v>
      </c>
      <c r="C408" t="s">
        <v>7</v>
      </c>
      <c r="D408" t="s">
        <v>8</v>
      </c>
      <c r="E408" t="s">
        <v>120</v>
      </c>
      <c r="G408" t="s">
        <v>121</v>
      </c>
      <c r="I408" t="s">
        <v>122</v>
      </c>
      <c r="K408" t="s">
        <v>123</v>
      </c>
      <c r="O408">
        <v>1</v>
      </c>
      <c r="P408" t="s">
        <v>478</v>
      </c>
      <c r="Q408">
        <v>94.9</v>
      </c>
      <c r="R408">
        <v>1</v>
      </c>
      <c r="S408" s="2">
        <v>0</v>
      </c>
      <c r="T408" s="3">
        <v>0</v>
      </c>
      <c r="U408" s="4">
        <v>1</v>
      </c>
      <c r="V408" s="2">
        <v>0</v>
      </c>
      <c r="W408" s="3">
        <v>3</v>
      </c>
      <c r="X408" s="3">
        <v>0</v>
      </c>
      <c r="Y408" s="3">
        <v>0</v>
      </c>
      <c r="Z408" s="3">
        <v>0</v>
      </c>
      <c r="AA408" s="3">
        <v>0</v>
      </c>
      <c r="AB408" s="4">
        <v>0</v>
      </c>
      <c r="AD408">
        <f t="shared" si="6"/>
        <v>3</v>
      </c>
    </row>
    <row r="409" spans="1:30" x14ac:dyDescent="0.35">
      <c r="A409" t="s">
        <v>991</v>
      </c>
      <c r="B409">
        <v>4</v>
      </c>
      <c r="C409" t="s">
        <v>7</v>
      </c>
      <c r="D409" t="s">
        <v>8</v>
      </c>
      <c r="E409" t="s">
        <v>46</v>
      </c>
      <c r="O409">
        <v>0.84</v>
      </c>
      <c r="P409" t="s">
        <v>254</v>
      </c>
      <c r="Q409">
        <v>89.7</v>
      </c>
      <c r="R409">
        <v>2</v>
      </c>
      <c r="S409" s="2">
        <v>0</v>
      </c>
      <c r="T409" s="3">
        <v>0</v>
      </c>
      <c r="U409" s="4">
        <v>0</v>
      </c>
      <c r="V409" s="2">
        <v>0</v>
      </c>
      <c r="W409" s="3">
        <v>0</v>
      </c>
      <c r="X409" s="3">
        <v>4</v>
      </c>
      <c r="Y409" s="3">
        <v>0</v>
      </c>
      <c r="Z409" s="3">
        <v>0</v>
      </c>
      <c r="AA409" s="3">
        <v>0</v>
      </c>
      <c r="AB409" s="4">
        <v>0</v>
      </c>
      <c r="AD409">
        <f t="shared" si="6"/>
        <v>4</v>
      </c>
    </row>
    <row r="410" spans="1:30" x14ac:dyDescent="0.35">
      <c r="A410" t="s">
        <v>992</v>
      </c>
      <c r="B410">
        <v>4</v>
      </c>
      <c r="C410" t="s">
        <v>7</v>
      </c>
      <c r="D410" t="s">
        <v>8</v>
      </c>
      <c r="E410" t="s">
        <v>120</v>
      </c>
      <c r="G410" t="s">
        <v>121</v>
      </c>
      <c r="I410" t="s">
        <v>122</v>
      </c>
      <c r="K410" t="s">
        <v>123</v>
      </c>
      <c r="O410">
        <v>0.5</v>
      </c>
      <c r="P410" t="s">
        <v>993</v>
      </c>
      <c r="Q410">
        <v>87.7</v>
      </c>
      <c r="R410">
        <v>1</v>
      </c>
      <c r="S410" s="2">
        <v>0</v>
      </c>
      <c r="T410" s="3">
        <v>0</v>
      </c>
      <c r="U410" s="4">
        <v>0</v>
      </c>
      <c r="V410" s="2">
        <v>0</v>
      </c>
      <c r="W410" s="3">
        <v>4</v>
      </c>
      <c r="X410" s="3">
        <v>0</v>
      </c>
      <c r="Y410" s="3">
        <v>0</v>
      </c>
      <c r="Z410" s="3">
        <v>0</v>
      </c>
      <c r="AA410" s="3">
        <v>0</v>
      </c>
      <c r="AB410" s="4">
        <v>0</v>
      </c>
      <c r="AD410">
        <f t="shared" si="6"/>
        <v>4</v>
      </c>
    </row>
    <row r="411" spans="1:30" x14ac:dyDescent="0.35">
      <c r="A411" t="s">
        <v>994</v>
      </c>
      <c r="B411">
        <v>4</v>
      </c>
      <c r="C411" t="s">
        <v>7</v>
      </c>
      <c r="D411" t="s">
        <v>8</v>
      </c>
      <c r="E411" t="s">
        <v>290</v>
      </c>
      <c r="G411" t="s">
        <v>556</v>
      </c>
      <c r="M411" t="s">
        <v>566</v>
      </c>
      <c r="O411">
        <v>0.56000000000000005</v>
      </c>
      <c r="P411" t="s">
        <v>558</v>
      </c>
      <c r="Q411">
        <v>94.5</v>
      </c>
      <c r="R411">
        <v>1</v>
      </c>
      <c r="S411" s="2">
        <v>3</v>
      </c>
      <c r="T411" s="3">
        <v>0</v>
      </c>
      <c r="U411" s="4">
        <v>0</v>
      </c>
      <c r="V411" s="2">
        <v>0</v>
      </c>
      <c r="W411" s="3">
        <v>0</v>
      </c>
      <c r="X411" s="3">
        <v>1</v>
      </c>
      <c r="Y411" s="3">
        <v>0</v>
      </c>
      <c r="Z411" s="3">
        <v>0</v>
      </c>
      <c r="AA411" s="3">
        <v>0</v>
      </c>
      <c r="AB411" s="4">
        <v>0</v>
      </c>
      <c r="AD411">
        <f t="shared" si="6"/>
        <v>3</v>
      </c>
    </row>
    <row r="412" spans="1:30" x14ac:dyDescent="0.35">
      <c r="A412" t="s">
        <v>995</v>
      </c>
      <c r="B412">
        <v>4</v>
      </c>
      <c r="C412" t="s">
        <v>7</v>
      </c>
      <c r="D412" t="s">
        <v>8</v>
      </c>
      <c r="O412">
        <v>1</v>
      </c>
      <c r="P412" t="s">
        <v>536</v>
      </c>
      <c r="Q412">
        <v>89.3</v>
      </c>
      <c r="R412">
        <v>1</v>
      </c>
      <c r="S412" s="2">
        <v>4</v>
      </c>
      <c r="T412" s="3">
        <v>0</v>
      </c>
      <c r="U412" s="4">
        <v>0</v>
      </c>
      <c r="V412" s="2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4">
        <v>0</v>
      </c>
      <c r="AD412">
        <f t="shared" si="6"/>
        <v>4</v>
      </c>
    </row>
    <row r="413" spans="1:30" x14ac:dyDescent="0.35">
      <c r="A413" t="s">
        <v>996</v>
      </c>
      <c r="B413">
        <v>4</v>
      </c>
      <c r="C413" t="s">
        <v>7</v>
      </c>
      <c r="D413" t="s">
        <v>8</v>
      </c>
      <c r="E413" t="s">
        <v>46</v>
      </c>
      <c r="G413" t="s">
        <v>47</v>
      </c>
      <c r="I413" t="s">
        <v>61</v>
      </c>
      <c r="O413">
        <v>0.9</v>
      </c>
      <c r="P413" t="s">
        <v>321</v>
      </c>
      <c r="Q413">
        <v>90.5</v>
      </c>
      <c r="R413">
        <v>1</v>
      </c>
      <c r="S413" s="2">
        <v>0</v>
      </c>
      <c r="T413" s="3">
        <v>0</v>
      </c>
      <c r="U413" s="4">
        <v>0</v>
      </c>
      <c r="V413" s="2">
        <v>0</v>
      </c>
      <c r="W413" s="3">
        <v>0</v>
      </c>
      <c r="X413" s="3">
        <v>4</v>
      </c>
      <c r="Y413" s="3">
        <v>0</v>
      </c>
      <c r="Z413" s="3">
        <v>0</v>
      </c>
      <c r="AA413" s="3">
        <v>0</v>
      </c>
      <c r="AB413" s="4">
        <v>0</v>
      </c>
      <c r="AD413">
        <f t="shared" si="6"/>
        <v>4</v>
      </c>
    </row>
    <row r="414" spans="1:30" x14ac:dyDescent="0.35">
      <c r="A414" t="s">
        <v>997</v>
      </c>
      <c r="B414">
        <v>4</v>
      </c>
      <c r="C414" t="s">
        <v>7</v>
      </c>
      <c r="D414" t="s">
        <v>8</v>
      </c>
      <c r="E414" t="s">
        <v>46</v>
      </c>
      <c r="G414" t="s">
        <v>47</v>
      </c>
      <c r="I414" t="s">
        <v>61</v>
      </c>
      <c r="K414" t="s">
        <v>190</v>
      </c>
      <c r="M414" t="s">
        <v>998</v>
      </c>
      <c r="O414">
        <v>0.98</v>
      </c>
      <c r="P414" t="s">
        <v>999</v>
      </c>
      <c r="Q414">
        <v>96</v>
      </c>
      <c r="R414">
        <v>1</v>
      </c>
      <c r="S414" s="2">
        <v>0</v>
      </c>
      <c r="T414" s="3">
        <v>0</v>
      </c>
      <c r="U414" s="4">
        <v>1</v>
      </c>
      <c r="V414" s="2">
        <v>2</v>
      </c>
      <c r="W414" s="3">
        <v>0</v>
      </c>
      <c r="X414" s="3">
        <v>0</v>
      </c>
      <c r="Y414" s="3">
        <v>1</v>
      </c>
      <c r="Z414" s="3">
        <v>0</v>
      </c>
      <c r="AA414" s="3">
        <v>0</v>
      </c>
      <c r="AB414" s="4">
        <v>0</v>
      </c>
      <c r="AD414">
        <f t="shared" si="6"/>
        <v>2</v>
      </c>
    </row>
    <row r="415" spans="1:30" x14ac:dyDescent="0.35">
      <c r="A415" t="s">
        <v>1000</v>
      </c>
      <c r="B415">
        <v>4</v>
      </c>
      <c r="C415" t="s">
        <v>7</v>
      </c>
      <c r="D415" t="s">
        <v>8</v>
      </c>
      <c r="E415" t="s">
        <v>46</v>
      </c>
      <c r="G415" t="s">
        <v>47</v>
      </c>
      <c r="I415" t="s">
        <v>61</v>
      </c>
      <c r="K415" t="s">
        <v>561</v>
      </c>
      <c r="O415">
        <v>1</v>
      </c>
      <c r="P415" t="s">
        <v>1001</v>
      </c>
      <c r="Q415">
        <v>92.5</v>
      </c>
      <c r="R415">
        <v>1</v>
      </c>
      <c r="S415" s="2">
        <v>1</v>
      </c>
      <c r="T415" s="3">
        <v>0</v>
      </c>
      <c r="U415" s="4">
        <v>0</v>
      </c>
      <c r="V415" s="2">
        <v>3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4">
        <v>0</v>
      </c>
      <c r="AD415">
        <f t="shared" si="6"/>
        <v>3</v>
      </c>
    </row>
    <row r="416" spans="1:30" x14ac:dyDescent="0.35">
      <c r="A416" t="s">
        <v>1002</v>
      </c>
      <c r="B416">
        <v>4</v>
      </c>
      <c r="C416" t="s">
        <v>7</v>
      </c>
      <c r="D416" t="s">
        <v>8</v>
      </c>
      <c r="E416" t="s">
        <v>46</v>
      </c>
      <c r="G416" t="s">
        <v>47</v>
      </c>
      <c r="I416" t="s">
        <v>61</v>
      </c>
      <c r="K416" t="s">
        <v>190</v>
      </c>
      <c r="M416" t="s">
        <v>273</v>
      </c>
      <c r="O416">
        <v>0.9</v>
      </c>
      <c r="P416" t="s">
        <v>543</v>
      </c>
      <c r="Q416">
        <v>95.7</v>
      </c>
      <c r="R416">
        <v>3</v>
      </c>
      <c r="S416" s="2">
        <v>0</v>
      </c>
      <c r="T416" s="3">
        <v>0</v>
      </c>
      <c r="U416" s="4">
        <v>4</v>
      </c>
      <c r="V416" s="2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4">
        <v>0</v>
      </c>
      <c r="AD416">
        <f t="shared" si="6"/>
        <v>4</v>
      </c>
    </row>
    <row r="417" spans="1:30" x14ac:dyDescent="0.35">
      <c r="A417" t="s">
        <v>1003</v>
      </c>
      <c r="B417">
        <v>4</v>
      </c>
      <c r="C417" t="s">
        <v>7</v>
      </c>
      <c r="D417" t="s">
        <v>8</v>
      </c>
      <c r="E417" t="s">
        <v>9</v>
      </c>
      <c r="G417" t="s">
        <v>10</v>
      </c>
      <c r="I417" t="s">
        <v>682</v>
      </c>
      <c r="K417" t="s">
        <v>683</v>
      </c>
      <c r="M417" t="s">
        <v>1004</v>
      </c>
      <c r="O417">
        <v>0.52</v>
      </c>
      <c r="P417" t="s">
        <v>1005</v>
      </c>
      <c r="Q417">
        <v>95.7</v>
      </c>
      <c r="R417">
        <v>2</v>
      </c>
      <c r="S417" s="2">
        <v>0</v>
      </c>
      <c r="T417" s="3">
        <v>0</v>
      </c>
      <c r="U417" s="4">
        <v>0</v>
      </c>
      <c r="V417" s="2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3</v>
      </c>
      <c r="AB417" s="4">
        <v>1</v>
      </c>
      <c r="AD417">
        <f t="shared" si="6"/>
        <v>3</v>
      </c>
    </row>
    <row r="418" spans="1:30" x14ac:dyDescent="0.35">
      <c r="A418" t="s">
        <v>1006</v>
      </c>
      <c r="B418">
        <v>4</v>
      </c>
      <c r="C418" t="s">
        <v>7</v>
      </c>
      <c r="D418" t="s">
        <v>8</v>
      </c>
      <c r="E418" t="s">
        <v>32</v>
      </c>
      <c r="G418" t="s">
        <v>35</v>
      </c>
      <c r="I418" t="s">
        <v>36</v>
      </c>
      <c r="K418" t="s">
        <v>1007</v>
      </c>
      <c r="M418" t="s">
        <v>1008</v>
      </c>
      <c r="O418">
        <v>1</v>
      </c>
      <c r="P418" t="s">
        <v>1009</v>
      </c>
      <c r="Q418">
        <v>95.3</v>
      </c>
      <c r="R418">
        <v>1</v>
      </c>
      <c r="S418" s="2">
        <v>0</v>
      </c>
      <c r="T418" s="3">
        <v>0</v>
      </c>
      <c r="U418" s="4">
        <v>1</v>
      </c>
      <c r="V418" s="2">
        <v>0</v>
      </c>
      <c r="W418" s="3">
        <v>2</v>
      </c>
      <c r="X418" s="3">
        <v>0</v>
      </c>
      <c r="Y418" s="3">
        <v>0</v>
      </c>
      <c r="Z418" s="3">
        <v>1</v>
      </c>
      <c r="AA418" s="3">
        <v>0</v>
      </c>
      <c r="AB418" s="4">
        <v>0</v>
      </c>
      <c r="AD418">
        <f t="shared" si="6"/>
        <v>2</v>
      </c>
    </row>
    <row r="419" spans="1:30" x14ac:dyDescent="0.35">
      <c r="A419" t="s">
        <v>1010</v>
      </c>
      <c r="B419">
        <v>4</v>
      </c>
      <c r="C419" t="s">
        <v>7</v>
      </c>
      <c r="D419" t="s">
        <v>8</v>
      </c>
      <c r="E419" t="s">
        <v>46</v>
      </c>
      <c r="G419" t="s">
        <v>47</v>
      </c>
      <c r="I419" t="s">
        <v>61</v>
      </c>
      <c r="O419">
        <v>0.68</v>
      </c>
      <c r="P419" t="s">
        <v>354</v>
      </c>
      <c r="Q419">
        <v>89.7</v>
      </c>
      <c r="R419">
        <v>1</v>
      </c>
      <c r="S419" s="2">
        <v>0</v>
      </c>
      <c r="T419" s="3">
        <v>4</v>
      </c>
      <c r="U419" s="4">
        <v>0</v>
      </c>
      <c r="V419" s="2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4">
        <v>0</v>
      </c>
      <c r="AD419">
        <f t="shared" si="6"/>
        <v>4</v>
      </c>
    </row>
    <row r="420" spans="1:30" x14ac:dyDescent="0.35">
      <c r="A420" t="s">
        <v>1011</v>
      </c>
      <c r="B420">
        <v>4</v>
      </c>
      <c r="C420" t="s">
        <v>7</v>
      </c>
      <c r="D420" t="s">
        <v>8</v>
      </c>
      <c r="E420" t="s">
        <v>46</v>
      </c>
      <c r="G420" t="s">
        <v>64</v>
      </c>
      <c r="I420" t="s">
        <v>65</v>
      </c>
      <c r="K420" t="s">
        <v>66</v>
      </c>
      <c r="O420">
        <v>1</v>
      </c>
      <c r="P420" t="s">
        <v>1012</v>
      </c>
      <c r="Q420">
        <v>92.9</v>
      </c>
      <c r="R420">
        <v>1</v>
      </c>
      <c r="S420" s="2">
        <v>0</v>
      </c>
      <c r="T420" s="3">
        <v>0</v>
      </c>
      <c r="U420" s="4">
        <v>1</v>
      </c>
      <c r="V420" s="2">
        <v>3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4">
        <v>0</v>
      </c>
      <c r="AD420">
        <f t="shared" si="6"/>
        <v>3</v>
      </c>
    </row>
    <row r="421" spans="1:30" x14ac:dyDescent="0.35">
      <c r="A421" t="s">
        <v>1013</v>
      </c>
      <c r="B421">
        <v>4</v>
      </c>
      <c r="C421" t="s">
        <v>7</v>
      </c>
      <c r="D421" t="s">
        <v>8</v>
      </c>
      <c r="E421" t="s">
        <v>46</v>
      </c>
      <c r="G421" t="s">
        <v>47</v>
      </c>
      <c r="I421" t="s">
        <v>61</v>
      </c>
      <c r="K421" t="s">
        <v>190</v>
      </c>
      <c r="M421" t="s">
        <v>931</v>
      </c>
      <c r="O421">
        <v>0.7</v>
      </c>
      <c r="P421" t="s">
        <v>1014</v>
      </c>
      <c r="Q421">
        <v>96</v>
      </c>
      <c r="R421">
        <v>1</v>
      </c>
      <c r="S421" s="2">
        <v>0</v>
      </c>
      <c r="T421" s="3">
        <v>0</v>
      </c>
      <c r="U421" s="4">
        <v>0</v>
      </c>
      <c r="V421" s="2">
        <v>2</v>
      </c>
      <c r="W421" s="3">
        <v>2</v>
      </c>
      <c r="X421" s="3">
        <v>0</v>
      </c>
      <c r="Y421" s="3">
        <v>0</v>
      </c>
      <c r="Z421" s="3">
        <v>0</v>
      </c>
      <c r="AA421" s="3">
        <v>0</v>
      </c>
      <c r="AB421" s="4">
        <v>0</v>
      </c>
      <c r="AD421">
        <f t="shared" si="6"/>
        <v>2</v>
      </c>
    </row>
    <row r="422" spans="1:30" x14ac:dyDescent="0.35">
      <c r="A422" t="s">
        <v>1015</v>
      </c>
      <c r="B422">
        <v>4</v>
      </c>
      <c r="C422" t="s">
        <v>7</v>
      </c>
      <c r="D422" t="s">
        <v>8</v>
      </c>
      <c r="E422" t="s">
        <v>46</v>
      </c>
      <c r="G422" t="s">
        <v>47</v>
      </c>
      <c r="I422" t="s">
        <v>61</v>
      </c>
      <c r="K422" t="s">
        <v>238</v>
      </c>
      <c r="M422" t="s">
        <v>239</v>
      </c>
      <c r="O422">
        <v>0.5</v>
      </c>
      <c r="P422" t="s">
        <v>339</v>
      </c>
      <c r="Q422">
        <v>96</v>
      </c>
      <c r="R422">
        <v>1</v>
      </c>
      <c r="S422" s="2">
        <v>0</v>
      </c>
      <c r="T422" s="3">
        <v>0</v>
      </c>
      <c r="U422" s="4">
        <v>0</v>
      </c>
      <c r="V422" s="2">
        <v>4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4">
        <v>0</v>
      </c>
      <c r="AD422">
        <f t="shared" si="6"/>
        <v>4</v>
      </c>
    </row>
    <row r="423" spans="1:30" x14ac:dyDescent="0.35">
      <c r="A423" t="s">
        <v>1016</v>
      </c>
      <c r="B423">
        <v>4</v>
      </c>
      <c r="C423" t="s">
        <v>7</v>
      </c>
      <c r="D423" t="s">
        <v>8</v>
      </c>
      <c r="E423" t="s">
        <v>46</v>
      </c>
      <c r="G423" t="s">
        <v>47</v>
      </c>
      <c r="I423" t="s">
        <v>61</v>
      </c>
      <c r="O423">
        <v>0.7</v>
      </c>
      <c r="P423" t="s">
        <v>339</v>
      </c>
      <c r="Q423">
        <v>90.1</v>
      </c>
      <c r="R423">
        <v>2</v>
      </c>
      <c r="S423" s="2">
        <v>0</v>
      </c>
      <c r="T423" s="3">
        <v>0</v>
      </c>
      <c r="U423" s="4">
        <v>0</v>
      </c>
      <c r="V423" s="2">
        <v>2</v>
      </c>
      <c r="W423" s="3">
        <v>0</v>
      </c>
      <c r="X423" s="3">
        <v>0</v>
      </c>
      <c r="Y423" s="3">
        <v>1</v>
      </c>
      <c r="Z423" s="3">
        <v>1</v>
      </c>
      <c r="AA423" s="3">
        <v>0</v>
      </c>
      <c r="AB423" s="4">
        <v>0</v>
      </c>
      <c r="AD423">
        <f t="shared" si="6"/>
        <v>2</v>
      </c>
    </row>
    <row r="424" spans="1:30" x14ac:dyDescent="0.35">
      <c r="A424" t="s">
        <v>1017</v>
      </c>
      <c r="B424">
        <v>3</v>
      </c>
      <c r="C424" t="s">
        <v>7</v>
      </c>
      <c r="D424" t="s">
        <v>8</v>
      </c>
      <c r="E424" t="s">
        <v>32</v>
      </c>
      <c r="G424" t="s">
        <v>35</v>
      </c>
      <c r="I424" t="s">
        <v>36</v>
      </c>
      <c r="K424" t="s">
        <v>37</v>
      </c>
      <c r="O424">
        <v>0.93</v>
      </c>
      <c r="P424" t="s">
        <v>401</v>
      </c>
      <c r="Q424">
        <v>92.9</v>
      </c>
      <c r="R424">
        <v>1</v>
      </c>
      <c r="S424" s="2">
        <v>0</v>
      </c>
      <c r="T424" s="3">
        <v>0</v>
      </c>
      <c r="U424" s="4">
        <v>0</v>
      </c>
      <c r="V424" s="2">
        <v>0</v>
      </c>
      <c r="W424" s="3">
        <v>0</v>
      </c>
      <c r="X424" s="3">
        <v>0</v>
      </c>
      <c r="Y424" s="3">
        <v>0</v>
      </c>
      <c r="Z424" s="3">
        <v>1</v>
      </c>
      <c r="AA424" s="3">
        <v>0</v>
      </c>
      <c r="AB424" s="4">
        <v>2</v>
      </c>
      <c r="AD424">
        <f t="shared" si="6"/>
        <v>2</v>
      </c>
    </row>
    <row r="425" spans="1:30" x14ac:dyDescent="0.35">
      <c r="A425" t="s">
        <v>1018</v>
      </c>
      <c r="B425">
        <v>3</v>
      </c>
      <c r="C425" t="s">
        <v>7</v>
      </c>
      <c r="D425" t="s">
        <v>8</v>
      </c>
      <c r="E425" t="s">
        <v>120</v>
      </c>
      <c r="G425" t="s">
        <v>121</v>
      </c>
      <c r="I425" t="s">
        <v>122</v>
      </c>
      <c r="K425" t="s">
        <v>123</v>
      </c>
      <c r="O425">
        <v>0.8</v>
      </c>
      <c r="P425" t="s">
        <v>98</v>
      </c>
      <c r="Q425">
        <v>0</v>
      </c>
      <c r="R425">
        <v>1</v>
      </c>
      <c r="S425" s="2">
        <v>3</v>
      </c>
      <c r="T425" s="3">
        <v>0</v>
      </c>
      <c r="U425" s="4">
        <v>0</v>
      </c>
      <c r="V425" s="2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4">
        <v>0</v>
      </c>
      <c r="AD425">
        <f t="shared" si="6"/>
        <v>3</v>
      </c>
    </row>
    <row r="426" spans="1:30" x14ac:dyDescent="0.35">
      <c r="A426" t="s">
        <v>1019</v>
      </c>
      <c r="B426">
        <v>3</v>
      </c>
      <c r="C426" t="s">
        <v>7</v>
      </c>
      <c r="D426" t="s">
        <v>8</v>
      </c>
      <c r="E426" t="s">
        <v>46</v>
      </c>
      <c r="O426">
        <v>0.5</v>
      </c>
      <c r="P426" t="s">
        <v>1020</v>
      </c>
      <c r="Q426">
        <v>88.1</v>
      </c>
      <c r="R426">
        <v>1</v>
      </c>
      <c r="S426" s="2">
        <v>0</v>
      </c>
      <c r="T426" s="3">
        <v>0</v>
      </c>
      <c r="U426" s="4">
        <v>0</v>
      </c>
      <c r="V426" s="2">
        <v>0</v>
      </c>
      <c r="W426" s="3">
        <v>3</v>
      </c>
      <c r="X426" s="3">
        <v>0</v>
      </c>
      <c r="Y426" s="3">
        <v>0</v>
      </c>
      <c r="Z426" s="3">
        <v>0</v>
      </c>
      <c r="AA426" s="3">
        <v>0</v>
      </c>
      <c r="AB426" s="4">
        <v>0</v>
      </c>
      <c r="AD426">
        <f t="shared" si="6"/>
        <v>3</v>
      </c>
    </row>
    <row r="427" spans="1:30" x14ac:dyDescent="0.35">
      <c r="A427" t="s">
        <v>1021</v>
      </c>
      <c r="B427">
        <v>3</v>
      </c>
      <c r="C427" t="s">
        <v>7</v>
      </c>
      <c r="D427" t="s">
        <v>8</v>
      </c>
      <c r="O427">
        <v>1</v>
      </c>
      <c r="P427" t="s">
        <v>98</v>
      </c>
      <c r="Q427">
        <v>0</v>
      </c>
      <c r="R427">
        <v>1</v>
      </c>
      <c r="S427" s="2">
        <v>0</v>
      </c>
      <c r="T427" s="3">
        <v>0</v>
      </c>
      <c r="U427" s="4">
        <v>0</v>
      </c>
      <c r="V427" s="2">
        <v>0</v>
      </c>
      <c r="W427" s="3">
        <v>0</v>
      </c>
      <c r="X427" s="3">
        <v>3</v>
      </c>
      <c r="Y427" s="3">
        <v>0</v>
      </c>
      <c r="Z427" s="3">
        <v>0</v>
      </c>
      <c r="AA427" s="3">
        <v>0</v>
      </c>
      <c r="AB427" s="4">
        <v>0</v>
      </c>
      <c r="AD427">
        <f t="shared" si="6"/>
        <v>3</v>
      </c>
    </row>
    <row r="428" spans="1:30" x14ac:dyDescent="0.35">
      <c r="A428" t="s">
        <v>1022</v>
      </c>
      <c r="B428">
        <v>3</v>
      </c>
      <c r="C428" t="s">
        <v>7</v>
      </c>
      <c r="D428" t="s">
        <v>8</v>
      </c>
      <c r="E428" t="s">
        <v>32</v>
      </c>
      <c r="G428" t="s">
        <v>35</v>
      </c>
      <c r="I428" t="s">
        <v>36</v>
      </c>
      <c r="K428" t="s">
        <v>143</v>
      </c>
      <c r="O428">
        <v>0.79</v>
      </c>
      <c r="P428" t="s">
        <v>692</v>
      </c>
      <c r="Q428">
        <v>90.5</v>
      </c>
      <c r="R428">
        <v>1</v>
      </c>
      <c r="S428" s="2">
        <v>0</v>
      </c>
      <c r="T428" s="3">
        <v>0</v>
      </c>
      <c r="U428" s="4">
        <v>0</v>
      </c>
      <c r="V428" s="2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4">
        <v>3</v>
      </c>
      <c r="AD428">
        <f t="shared" si="6"/>
        <v>3</v>
      </c>
    </row>
    <row r="429" spans="1:30" x14ac:dyDescent="0.35">
      <c r="A429" t="s">
        <v>1023</v>
      </c>
      <c r="B429">
        <v>3</v>
      </c>
      <c r="C429" t="s">
        <v>7</v>
      </c>
      <c r="D429" t="s">
        <v>8</v>
      </c>
      <c r="E429" t="s">
        <v>46</v>
      </c>
      <c r="G429" t="s">
        <v>47</v>
      </c>
      <c r="I429" t="s">
        <v>61</v>
      </c>
      <c r="K429" t="s">
        <v>190</v>
      </c>
      <c r="M429" t="s">
        <v>273</v>
      </c>
      <c r="O429">
        <v>0.98</v>
      </c>
      <c r="P429" t="s">
        <v>1024</v>
      </c>
      <c r="Q429">
        <v>98.8</v>
      </c>
      <c r="R429">
        <v>1</v>
      </c>
      <c r="S429" s="2">
        <v>0</v>
      </c>
      <c r="T429" s="3">
        <v>0</v>
      </c>
      <c r="U429" s="4">
        <v>0</v>
      </c>
      <c r="V429" s="2">
        <v>2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4">
        <v>1</v>
      </c>
      <c r="AD429">
        <f t="shared" si="6"/>
        <v>2</v>
      </c>
    </row>
    <row r="430" spans="1:30" x14ac:dyDescent="0.35">
      <c r="A430" t="s">
        <v>1025</v>
      </c>
      <c r="B430">
        <v>3</v>
      </c>
      <c r="C430" t="s">
        <v>7</v>
      </c>
      <c r="D430" t="s">
        <v>8</v>
      </c>
      <c r="E430" t="s">
        <v>120</v>
      </c>
      <c r="G430" t="s">
        <v>121</v>
      </c>
      <c r="I430" t="s">
        <v>122</v>
      </c>
      <c r="K430" t="s">
        <v>123</v>
      </c>
      <c r="M430" t="s">
        <v>219</v>
      </c>
      <c r="O430">
        <v>0.56000000000000005</v>
      </c>
      <c r="P430" t="s">
        <v>276</v>
      </c>
      <c r="Q430">
        <v>92.5</v>
      </c>
      <c r="R430">
        <v>1</v>
      </c>
      <c r="S430" s="2">
        <v>0</v>
      </c>
      <c r="T430" s="3">
        <v>0</v>
      </c>
      <c r="U430" s="4">
        <v>0</v>
      </c>
      <c r="V430" s="2">
        <v>1</v>
      </c>
      <c r="W430" s="3">
        <v>2</v>
      </c>
      <c r="X430" s="3">
        <v>0</v>
      </c>
      <c r="Y430" s="3">
        <v>0</v>
      </c>
      <c r="Z430" s="3">
        <v>0</v>
      </c>
      <c r="AA430" s="3">
        <v>0</v>
      </c>
      <c r="AB430" s="4">
        <v>0</v>
      </c>
      <c r="AD430">
        <f t="shared" si="6"/>
        <v>2</v>
      </c>
    </row>
    <row r="431" spans="1:30" x14ac:dyDescent="0.35">
      <c r="A431" t="s">
        <v>1026</v>
      </c>
      <c r="B431">
        <v>3</v>
      </c>
      <c r="C431" t="s">
        <v>7</v>
      </c>
      <c r="D431" t="s">
        <v>8</v>
      </c>
      <c r="E431" t="s">
        <v>9</v>
      </c>
      <c r="G431" t="s">
        <v>78</v>
      </c>
      <c r="I431" t="s">
        <v>79</v>
      </c>
      <c r="K431" t="s">
        <v>808</v>
      </c>
      <c r="M431" t="s">
        <v>809</v>
      </c>
      <c r="O431">
        <v>1</v>
      </c>
      <c r="P431" t="s">
        <v>1027</v>
      </c>
      <c r="Q431">
        <v>98.8</v>
      </c>
      <c r="R431">
        <v>1</v>
      </c>
      <c r="S431" s="2">
        <v>0</v>
      </c>
      <c r="T431" s="3">
        <v>0</v>
      </c>
      <c r="U431" s="4">
        <v>2</v>
      </c>
      <c r="V431" s="2">
        <v>0</v>
      </c>
      <c r="W431" s="3">
        <v>1</v>
      </c>
      <c r="X431" s="3">
        <v>0</v>
      </c>
      <c r="Y431" s="3">
        <v>0</v>
      </c>
      <c r="Z431" s="3">
        <v>0</v>
      </c>
      <c r="AA431" s="3">
        <v>0</v>
      </c>
      <c r="AB431" s="4">
        <v>0</v>
      </c>
      <c r="AD431">
        <f t="shared" si="6"/>
        <v>2</v>
      </c>
    </row>
    <row r="432" spans="1:30" x14ac:dyDescent="0.35">
      <c r="A432" t="s">
        <v>1028</v>
      </c>
      <c r="B432">
        <v>3</v>
      </c>
      <c r="C432" t="s">
        <v>7</v>
      </c>
      <c r="D432" t="s">
        <v>24</v>
      </c>
      <c r="E432" t="s">
        <v>25</v>
      </c>
      <c r="G432" t="s">
        <v>40</v>
      </c>
      <c r="I432" t="s">
        <v>56</v>
      </c>
      <c r="K432" t="s">
        <v>57</v>
      </c>
      <c r="M432" t="s">
        <v>58</v>
      </c>
      <c r="O432">
        <v>1</v>
      </c>
      <c r="P432" t="s">
        <v>1029</v>
      </c>
      <c r="Q432">
        <v>86.1</v>
      </c>
      <c r="R432">
        <v>1</v>
      </c>
      <c r="S432" s="2">
        <v>0</v>
      </c>
      <c r="T432" s="3">
        <v>0</v>
      </c>
      <c r="U432" s="4">
        <v>0</v>
      </c>
      <c r="V432" s="2">
        <v>1</v>
      </c>
      <c r="W432" s="3">
        <v>0</v>
      </c>
      <c r="X432" s="3">
        <v>0</v>
      </c>
      <c r="Y432" s="3">
        <v>0</v>
      </c>
      <c r="Z432" s="3">
        <v>0</v>
      </c>
      <c r="AA432" s="3">
        <v>2</v>
      </c>
      <c r="AB432" s="4">
        <v>0</v>
      </c>
      <c r="AD432">
        <f t="shared" si="6"/>
        <v>2</v>
      </c>
    </row>
    <row r="433" spans="1:30" x14ac:dyDescent="0.35">
      <c r="A433" t="s">
        <v>1030</v>
      </c>
      <c r="B433">
        <v>3</v>
      </c>
      <c r="C433" t="s">
        <v>7</v>
      </c>
      <c r="D433" t="s">
        <v>8</v>
      </c>
      <c r="E433" t="s">
        <v>32</v>
      </c>
      <c r="G433" t="s">
        <v>35</v>
      </c>
      <c r="I433" t="s">
        <v>36</v>
      </c>
      <c r="K433" t="s">
        <v>1007</v>
      </c>
      <c r="M433" t="s">
        <v>1008</v>
      </c>
      <c r="O433">
        <v>0.97</v>
      </c>
      <c r="P433" t="s">
        <v>1009</v>
      </c>
      <c r="Q433">
        <v>94.9</v>
      </c>
      <c r="R433">
        <v>1</v>
      </c>
      <c r="S433" s="2">
        <v>0</v>
      </c>
      <c r="T433" s="3">
        <v>0</v>
      </c>
      <c r="U433" s="4">
        <v>0</v>
      </c>
      <c r="V433" s="2">
        <v>0</v>
      </c>
      <c r="W433" s="3">
        <v>2</v>
      </c>
      <c r="X433" s="3">
        <v>0</v>
      </c>
      <c r="Y433" s="3">
        <v>0</v>
      </c>
      <c r="Z433" s="3">
        <v>1</v>
      </c>
      <c r="AA433" s="3">
        <v>0</v>
      </c>
      <c r="AB433" s="4">
        <v>0</v>
      </c>
      <c r="AD433">
        <f t="shared" si="6"/>
        <v>2</v>
      </c>
    </row>
    <row r="434" spans="1:30" x14ac:dyDescent="0.35">
      <c r="A434" t="s">
        <v>1031</v>
      </c>
      <c r="B434">
        <v>3</v>
      </c>
      <c r="C434" t="s">
        <v>7</v>
      </c>
      <c r="D434" t="s">
        <v>24</v>
      </c>
      <c r="E434" t="s">
        <v>25</v>
      </c>
      <c r="G434" t="s">
        <v>40</v>
      </c>
      <c r="I434" t="s">
        <v>56</v>
      </c>
      <c r="K434" t="s">
        <v>466</v>
      </c>
      <c r="M434" t="s">
        <v>550</v>
      </c>
      <c r="O434">
        <v>1</v>
      </c>
      <c r="P434" t="s">
        <v>551</v>
      </c>
      <c r="Q434">
        <v>99.6</v>
      </c>
      <c r="R434">
        <v>1</v>
      </c>
      <c r="S434" s="2">
        <v>3</v>
      </c>
      <c r="T434" s="3">
        <v>0</v>
      </c>
      <c r="U434" s="4">
        <v>0</v>
      </c>
      <c r="V434" s="2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4">
        <v>0</v>
      </c>
      <c r="AD434">
        <f t="shared" si="6"/>
        <v>3</v>
      </c>
    </row>
    <row r="435" spans="1:30" x14ac:dyDescent="0.35">
      <c r="A435" t="s">
        <v>1032</v>
      </c>
      <c r="B435">
        <v>3</v>
      </c>
      <c r="C435" t="s">
        <v>7</v>
      </c>
      <c r="D435" t="s">
        <v>8</v>
      </c>
      <c r="E435" t="s">
        <v>32</v>
      </c>
      <c r="G435" t="s">
        <v>35</v>
      </c>
      <c r="I435" t="s">
        <v>36</v>
      </c>
      <c r="K435" t="s">
        <v>194</v>
      </c>
      <c r="M435" t="s">
        <v>600</v>
      </c>
      <c r="O435">
        <v>1</v>
      </c>
      <c r="P435" t="s">
        <v>1033</v>
      </c>
      <c r="Q435">
        <v>96.4</v>
      </c>
      <c r="R435">
        <v>2</v>
      </c>
      <c r="S435" s="2">
        <v>0</v>
      </c>
      <c r="T435" s="3">
        <v>1</v>
      </c>
      <c r="U435" s="4">
        <v>0</v>
      </c>
      <c r="V435" s="2">
        <v>0</v>
      </c>
      <c r="W435" s="3">
        <v>0</v>
      </c>
      <c r="X435" s="3">
        <v>1</v>
      </c>
      <c r="Y435" s="3">
        <v>0</v>
      </c>
      <c r="Z435" s="3">
        <v>1</v>
      </c>
      <c r="AA435" s="3">
        <v>0</v>
      </c>
      <c r="AB435" s="4">
        <v>0</v>
      </c>
      <c r="AD435">
        <f t="shared" si="6"/>
        <v>1</v>
      </c>
    </row>
    <row r="436" spans="1:30" x14ac:dyDescent="0.35">
      <c r="A436" t="s">
        <v>1034</v>
      </c>
      <c r="B436">
        <v>3</v>
      </c>
      <c r="C436" t="s">
        <v>7</v>
      </c>
      <c r="D436" t="s">
        <v>8</v>
      </c>
      <c r="E436" t="s">
        <v>46</v>
      </c>
      <c r="G436" t="s">
        <v>47</v>
      </c>
      <c r="I436" t="s">
        <v>61</v>
      </c>
      <c r="K436" t="s">
        <v>561</v>
      </c>
      <c r="O436">
        <v>1</v>
      </c>
      <c r="P436" t="s">
        <v>563</v>
      </c>
      <c r="Q436">
        <v>95.7</v>
      </c>
      <c r="R436">
        <v>2</v>
      </c>
      <c r="S436" s="2">
        <v>0</v>
      </c>
      <c r="T436" s="3">
        <v>0</v>
      </c>
      <c r="U436" s="4">
        <v>0</v>
      </c>
      <c r="V436" s="2">
        <v>0</v>
      </c>
      <c r="W436" s="3">
        <v>0</v>
      </c>
      <c r="X436" s="3">
        <v>0</v>
      </c>
      <c r="Y436" s="3">
        <v>3</v>
      </c>
      <c r="Z436" s="3">
        <v>0</v>
      </c>
      <c r="AA436" s="3">
        <v>0</v>
      </c>
      <c r="AB436" s="4">
        <v>0</v>
      </c>
      <c r="AD436">
        <f t="shared" si="6"/>
        <v>3</v>
      </c>
    </row>
    <row r="437" spans="1:30" x14ac:dyDescent="0.35">
      <c r="A437" t="s">
        <v>1035</v>
      </c>
      <c r="B437">
        <v>3</v>
      </c>
      <c r="C437" t="s">
        <v>7</v>
      </c>
      <c r="D437" t="s">
        <v>8</v>
      </c>
      <c r="E437" t="s">
        <v>9</v>
      </c>
      <c r="G437" t="s">
        <v>138</v>
      </c>
      <c r="I437" t="s">
        <v>345</v>
      </c>
      <c r="K437" t="s">
        <v>1036</v>
      </c>
      <c r="M437" t="s">
        <v>1037</v>
      </c>
      <c r="O437">
        <v>1</v>
      </c>
      <c r="P437" t="s">
        <v>1038</v>
      </c>
      <c r="Q437">
        <v>100</v>
      </c>
      <c r="R437">
        <v>20</v>
      </c>
      <c r="S437" s="2">
        <v>0</v>
      </c>
      <c r="T437" s="3">
        <v>0</v>
      </c>
      <c r="U437" s="4">
        <v>0</v>
      </c>
      <c r="V437" s="2">
        <v>0</v>
      </c>
      <c r="W437" s="3">
        <v>1</v>
      </c>
      <c r="X437" s="3">
        <v>0</v>
      </c>
      <c r="Y437" s="3">
        <v>0</v>
      </c>
      <c r="Z437" s="3">
        <v>2</v>
      </c>
      <c r="AA437" s="3">
        <v>0</v>
      </c>
      <c r="AB437" s="4">
        <v>0</v>
      </c>
      <c r="AD437">
        <f t="shared" si="6"/>
        <v>2</v>
      </c>
    </row>
    <row r="438" spans="1:30" x14ac:dyDescent="0.35">
      <c r="A438" t="s">
        <v>1039</v>
      </c>
      <c r="B438">
        <v>3</v>
      </c>
      <c r="C438" t="s">
        <v>7</v>
      </c>
      <c r="D438" t="s">
        <v>8</v>
      </c>
      <c r="E438" t="s">
        <v>46</v>
      </c>
      <c r="G438" t="s">
        <v>47</v>
      </c>
      <c r="I438" t="s">
        <v>61</v>
      </c>
      <c r="K438" t="s">
        <v>561</v>
      </c>
      <c r="O438">
        <v>0.98</v>
      </c>
      <c r="P438" t="s">
        <v>1040</v>
      </c>
      <c r="Q438">
        <v>96.4</v>
      </c>
      <c r="R438">
        <v>1</v>
      </c>
      <c r="S438" s="2">
        <v>0</v>
      </c>
      <c r="T438" s="3">
        <v>0</v>
      </c>
      <c r="U438" s="4">
        <v>0</v>
      </c>
      <c r="V438" s="2">
        <v>1</v>
      </c>
      <c r="W438" s="3">
        <v>0</v>
      </c>
      <c r="X438" s="3">
        <v>0</v>
      </c>
      <c r="Y438" s="3">
        <v>2</v>
      </c>
      <c r="Z438" s="3">
        <v>0</v>
      </c>
      <c r="AA438" s="3">
        <v>0</v>
      </c>
      <c r="AB438" s="4">
        <v>0</v>
      </c>
      <c r="AD438">
        <f t="shared" si="6"/>
        <v>2</v>
      </c>
    </row>
    <row r="439" spans="1:30" x14ac:dyDescent="0.35">
      <c r="A439" t="s">
        <v>1041</v>
      </c>
      <c r="B439">
        <v>3</v>
      </c>
      <c r="C439" t="s">
        <v>7</v>
      </c>
      <c r="D439" t="s">
        <v>8</v>
      </c>
      <c r="E439" t="s">
        <v>46</v>
      </c>
      <c r="G439" t="s">
        <v>47</v>
      </c>
      <c r="I439" t="s">
        <v>61</v>
      </c>
      <c r="K439" t="s">
        <v>561</v>
      </c>
      <c r="O439">
        <v>0.97</v>
      </c>
      <c r="P439" t="s">
        <v>1042</v>
      </c>
      <c r="Q439">
        <v>96</v>
      </c>
      <c r="R439">
        <v>2</v>
      </c>
      <c r="S439" s="2">
        <v>0</v>
      </c>
      <c r="T439" s="3">
        <v>0</v>
      </c>
      <c r="U439" s="4">
        <v>0</v>
      </c>
      <c r="V439" s="2">
        <v>1</v>
      </c>
      <c r="W439" s="3">
        <v>0</v>
      </c>
      <c r="X439" s="3">
        <v>1</v>
      </c>
      <c r="Y439" s="3">
        <v>1</v>
      </c>
      <c r="Z439" s="3">
        <v>0</v>
      </c>
      <c r="AA439" s="3">
        <v>0</v>
      </c>
      <c r="AB439" s="4">
        <v>0</v>
      </c>
      <c r="AD439">
        <f t="shared" si="6"/>
        <v>1</v>
      </c>
    </row>
    <row r="440" spans="1:30" x14ac:dyDescent="0.35">
      <c r="A440" t="s">
        <v>1043</v>
      </c>
      <c r="B440">
        <v>3</v>
      </c>
      <c r="C440" t="s">
        <v>7</v>
      </c>
      <c r="D440" t="s">
        <v>8</v>
      </c>
      <c r="E440" t="s">
        <v>9</v>
      </c>
      <c r="G440" t="s">
        <v>172</v>
      </c>
      <c r="I440" t="s">
        <v>173</v>
      </c>
      <c r="K440" t="s">
        <v>590</v>
      </c>
      <c r="M440" t="s">
        <v>591</v>
      </c>
      <c r="O440">
        <v>1</v>
      </c>
      <c r="P440" t="s">
        <v>592</v>
      </c>
      <c r="Q440">
        <v>100</v>
      </c>
      <c r="R440">
        <v>1</v>
      </c>
      <c r="S440" s="2">
        <v>0</v>
      </c>
      <c r="T440" s="3">
        <v>0</v>
      </c>
      <c r="U440" s="4">
        <v>2</v>
      </c>
      <c r="V440" s="2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4">
        <v>1</v>
      </c>
      <c r="AD440">
        <f t="shared" si="6"/>
        <v>2</v>
      </c>
    </row>
    <row r="441" spans="1:30" x14ac:dyDescent="0.35">
      <c r="A441" t="s">
        <v>1044</v>
      </c>
      <c r="B441">
        <v>3</v>
      </c>
      <c r="C441" t="s">
        <v>7</v>
      </c>
      <c r="D441" t="s">
        <v>8</v>
      </c>
      <c r="E441" t="s">
        <v>46</v>
      </c>
      <c r="G441" t="s">
        <v>47</v>
      </c>
      <c r="O441">
        <v>0.7</v>
      </c>
      <c r="P441" t="s">
        <v>1045</v>
      </c>
      <c r="Q441">
        <v>88.1</v>
      </c>
      <c r="R441">
        <v>1</v>
      </c>
      <c r="S441" s="2">
        <v>0</v>
      </c>
      <c r="T441" s="3">
        <v>0</v>
      </c>
      <c r="U441" s="4">
        <v>0</v>
      </c>
      <c r="V441" s="2">
        <v>0</v>
      </c>
      <c r="W441" s="3">
        <v>1</v>
      </c>
      <c r="X441" s="3">
        <v>0</v>
      </c>
      <c r="Y441" s="3">
        <v>0</v>
      </c>
      <c r="Z441" s="3">
        <v>2</v>
      </c>
      <c r="AA441" s="3">
        <v>0</v>
      </c>
      <c r="AB441" s="4">
        <v>0</v>
      </c>
      <c r="AD441">
        <f t="shared" si="6"/>
        <v>2</v>
      </c>
    </row>
    <row r="442" spans="1:30" x14ac:dyDescent="0.35">
      <c r="A442" t="s">
        <v>1046</v>
      </c>
      <c r="B442">
        <v>3</v>
      </c>
      <c r="C442" t="s">
        <v>7</v>
      </c>
      <c r="D442" t="s">
        <v>8</v>
      </c>
      <c r="E442" t="s">
        <v>258</v>
      </c>
      <c r="G442" t="s">
        <v>258</v>
      </c>
      <c r="H442" t="s">
        <v>1047</v>
      </c>
      <c r="I442" t="s">
        <v>1048</v>
      </c>
      <c r="K442" t="s">
        <v>1049</v>
      </c>
      <c r="M442" t="s">
        <v>1050</v>
      </c>
      <c r="O442">
        <v>1</v>
      </c>
      <c r="P442" t="s">
        <v>1051</v>
      </c>
      <c r="Q442">
        <v>96</v>
      </c>
      <c r="R442">
        <v>1</v>
      </c>
      <c r="S442" s="2">
        <v>0</v>
      </c>
      <c r="T442" s="3">
        <v>0</v>
      </c>
      <c r="U442" s="4">
        <v>0</v>
      </c>
      <c r="V442" s="2">
        <v>0</v>
      </c>
      <c r="W442" s="3">
        <v>0</v>
      </c>
      <c r="X442" s="3">
        <v>0</v>
      </c>
      <c r="Y442" s="3">
        <v>0</v>
      </c>
      <c r="Z442" s="3">
        <v>3</v>
      </c>
      <c r="AA442" s="3">
        <v>0</v>
      </c>
      <c r="AB442" s="4">
        <v>0</v>
      </c>
      <c r="AD442">
        <f t="shared" si="6"/>
        <v>3</v>
      </c>
    </row>
    <row r="443" spans="1:30" x14ac:dyDescent="0.35">
      <c r="A443" t="s">
        <v>1052</v>
      </c>
      <c r="B443">
        <v>2</v>
      </c>
      <c r="C443" t="s">
        <v>7</v>
      </c>
      <c r="D443" t="s">
        <v>8</v>
      </c>
      <c r="E443" t="s">
        <v>9</v>
      </c>
      <c r="G443" t="s">
        <v>10</v>
      </c>
      <c r="I443" t="s">
        <v>682</v>
      </c>
      <c r="K443" t="s">
        <v>683</v>
      </c>
      <c r="M443" t="s">
        <v>1053</v>
      </c>
      <c r="O443">
        <v>0.75</v>
      </c>
      <c r="P443" t="s">
        <v>1054</v>
      </c>
      <c r="Q443">
        <v>96.8</v>
      </c>
      <c r="R443">
        <v>1</v>
      </c>
      <c r="S443" s="2">
        <v>0</v>
      </c>
      <c r="T443" s="3">
        <v>0</v>
      </c>
      <c r="U443" s="4">
        <v>0</v>
      </c>
      <c r="V443" s="2">
        <v>0</v>
      </c>
      <c r="W443" s="3">
        <v>0</v>
      </c>
      <c r="X443" s="3">
        <v>2</v>
      </c>
      <c r="Y443" s="3">
        <v>0</v>
      </c>
      <c r="Z443" s="3">
        <v>0</v>
      </c>
      <c r="AA443" s="3">
        <v>0</v>
      </c>
      <c r="AB443" s="4">
        <v>0</v>
      </c>
      <c r="AD443">
        <f t="shared" si="6"/>
        <v>2</v>
      </c>
    </row>
    <row r="444" spans="1:30" x14ac:dyDescent="0.35">
      <c r="A444" t="s">
        <v>1055</v>
      </c>
      <c r="B444">
        <v>2</v>
      </c>
      <c r="C444" t="s">
        <v>7</v>
      </c>
      <c r="D444" t="s">
        <v>8</v>
      </c>
      <c r="E444" t="s">
        <v>100</v>
      </c>
      <c r="G444" t="s">
        <v>101</v>
      </c>
      <c r="I444" t="s">
        <v>102</v>
      </c>
      <c r="K444" t="s">
        <v>103</v>
      </c>
      <c r="M444" t="s">
        <v>104</v>
      </c>
      <c r="O444">
        <v>1</v>
      </c>
      <c r="P444" t="s">
        <v>105</v>
      </c>
      <c r="Q444">
        <v>94.5</v>
      </c>
      <c r="R444">
        <v>1</v>
      </c>
      <c r="S444" s="2">
        <v>0</v>
      </c>
      <c r="T444" s="3">
        <v>0</v>
      </c>
      <c r="U444" s="4">
        <v>0</v>
      </c>
      <c r="V444" s="2">
        <v>0</v>
      </c>
      <c r="W444" s="3">
        <v>2</v>
      </c>
      <c r="X444" s="3">
        <v>0</v>
      </c>
      <c r="Y444" s="3">
        <v>0</v>
      </c>
      <c r="Z444" s="3">
        <v>0</v>
      </c>
      <c r="AA444" s="3">
        <v>0</v>
      </c>
      <c r="AB444" s="4">
        <v>0</v>
      </c>
      <c r="AD444">
        <f t="shared" si="6"/>
        <v>2</v>
      </c>
    </row>
    <row r="445" spans="1:30" x14ac:dyDescent="0.35">
      <c r="A445" t="s">
        <v>1056</v>
      </c>
      <c r="B445">
        <v>2</v>
      </c>
      <c r="C445" t="s">
        <v>7</v>
      </c>
      <c r="D445" t="s">
        <v>8</v>
      </c>
      <c r="E445" t="s">
        <v>120</v>
      </c>
      <c r="O445">
        <v>0.56000000000000005</v>
      </c>
      <c r="P445" t="s">
        <v>1057</v>
      </c>
      <c r="Q445">
        <v>87</v>
      </c>
      <c r="R445">
        <v>1</v>
      </c>
      <c r="S445" s="2">
        <v>0</v>
      </c>
      <c r="T445" s="3">
        <v>0</v>
      </c>
      <c r="U445" s="4">
        <v>0</v>
      </c>
      <c r="V445" s="2">
        <v>0</v>
      </c>
      <c r="W445" s="3">
        <v>0</v>
      </c>
      <c r="X445" s="3">
        <v>2</v>
      </c>
      <c r="Y445" s="3">
        <v>0</v>
      </c>
      <c r="Z445" s="3">
        <v>0</v>
      </c>
      <c r="AA445" s="3">
        <v>0</v>
      </c>
      <c r="AB445" s="4">
        <v>0</v>
      </c>
      <c r="AD445">
        <f t="shared" si="6"/>
        <v>2</v>
      </c>
    </row>
    <row r="446" spans="1:30" x14ac:dyDescent="0.35">
      <c r="A446" t="s">
        <v>1058</v>
      </c>
      <c r="B446">
        <v>2</v>
      </c>
      <c r="C446" t="s">
        <v>7</v>
      </c>
      <c r="D446" t="s">
        <v>8</v>
      </c>
      <c r="E446" t="s">
        <v>120</v>
      </c>
      <c r="G446" t="s">
        <v>1059</v>
      </c>
      <c r="I446" t="s">
        <v>1060</v>
      </c>
      <c r="K446" t="s">
        <v>1061</v>
      </c>
      <c r="M446" t="s">
        <v>1062</v>
      </c>
      <c r="O446">
        <v>0.81</v>
      </c>
      <c r="P446" t="s">
        <v>1063</v>
      </c>
      <c r="Q446">
        <v>95.3</v>
      </c>
      <c r="R446">
        <v>1</v>
      </c>
      <c r="S446" s="2">
        <v>0</v>
      </c>
      <c r="T446" s="3">
        <v>0</v>
      </c>
      <c r="U446" s="4">
        <v>0</v>
      </c>
      <c r="V446" s="2">
        <v>0</v>
      </c>
      <c r="W446" s="3">
        <v>0</v>
      </c>
      <c r="X446" s="3">
        <v>2</v>
      </c>
      <c r="Y446" s="3">
        <v>0</v>
      </c>
      <c r="Z446" s="3">
        <v>0</v>
      </c>
      <c r="AA446" s="3">
        <v>0</v>
      </c>
      <c r="AB446" s="4">
        <v>0</v>
      </c>
      <c r="AD446">
        <f t="shared" si="6"/>
        <v>2</v>
      </c>
    </row>
    <row r="447" spans="1:30" x14ac:dyDescent="0.35">
      <c r="A447" t="s">
        <v>1064</v>
      </c>
      <c r="B447">
        <v>2</v>
      </c>
      <c r="C447" t="s">
        <v>7</v>
      </c>
      <c r="D447" t="s">
        <v>8</v>
      </c>
      <c r="E447" t="s">
        <v>46</v>
      </c>
      <c r="G447" t="s">
        <v>47</v>
      </c>
      <c r="O447">
        <v>0.88</v>
      </c>
      <c r="P447" t="s">
        <v>578</v>
      </c>
      <c r="Q447">
        <v>90.9</v>
      </c>
      <c r="R447">
        <v>1</v>
      </c>
      <c r="S447" s="2">
        <v>0</v>
      </c>
      <c r="T447" s="3">
        <v>2</v>
      </c>
      <c r="U447" s="4">
        <v>0</v>
      </c>
      <c r="V447" s="2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4">
        <v>0</v>
      </c>
      <c r="AD447">
        <f t="shared" si="6"/>
        <v>2</v>
      </c>
    </row>
    <row r="448" spans="1:30" x14ac:dyDescent="0.35">
      <c r="A448" t="s">
        <v>1065</v>
      </c>
      <c r="B448">
        <v>2</v>
      </c>
      <c r="C448" t="s">
        <v>7</v>
      </c>
      <c r="D448" t="s">
        <v>8</v>
      </c>
      <c r="E448" t="s">
        <v>9</v>
      </c>
      <c r="O448">
        <v>0.8</v>
      </c>
      <c r="P448" t="s">
        <v>98</v>
      </c>
      <c r="Q448">
        <v>0</v>
      </c>
      <c r="R448">
        <v>1</v>
      </c>
      <c r="S448" s="2">
        <v>0</v>
      </c>
      <c r="T448" s="3">
        <v>0</v>
      </c>
      <c r="U448" s="4">
        <v>0</v>
      </c>
      <c r="V448" s="2">
        <v>1</v>
      </c>
      <c r="W448" s="3">
        <v>0</v>
      </c>
      <c r="X448" s="3">
        <v>0</v>
      </c>
      <c r="Y448" s="3">
        <v>1</v>
      </c>
      <c r="Z448" s="3">
        <v>0</v>
      </c>
      <c r="AA448" s="3">
        <v>0</v>
      </c>
      <c r="AB448" s="4">
        <v>0</v>
      </c>
      <c r="AD448">
        <f t="shared" si="6"/>
        <v>1</v>
      </c>
    </row>
    <row r="449" spans="1:30" x14ac:dyDescent="0.35">
      <c r="A449" t="s">
        <v>1066</v>
      </c>
      <c r="B449">
        <v>2</v>
      </c>
      <c r="C449" t="s">
        <v>7</v>
      </c>
      <c r="D449" t="s">
        <v>8</v>
      </c>
      <c r="E449" t="s">
        <v>9</v>
      </c>
      <c r="G449" t="s">
        <v>243</v>
      </c>
      <c r="I449" t="s">
        <v>594</v>
      </c>
      <c r="K449" t="s">
        <v>595</v>
      </c>
      <c r="M449" t="s">
        <v>596</v>
      </c>
      <c r="O449">
        <v>0.51</v>
      </c>
      <c r="P449" t="s">
        <v>597</v>
      </c>
      <c r="Q449">
        <v>98.8</v>
      </c>
      <c r="R449">
        <v>3</v>
      </c>
      <c r="S449" s="2">
        <v>0</v>
      </c>
      <c r="T449" s="3">
        <v>0</v>
      </c>
      <c r="U449" s="4">
        <v>2</v>
      </c>
      <c r="V449" s="2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4">
        <v>0</v>
      </c>
      <c r="AD449">
        <f t="shared" si="6"/>
        <v>2</v>
      </c>
    </row>
    <row r="450" spans="1:30" x14ac:dyDescent="0.35">
      <c r="A450" t="s">
        <v>1067</v>
      </c>
      <c r="B450">
        <v>2</v>
      </c>
      <c r="C450" t="s">
        <v>7</v>
      </c>
      <c r="D450" t="s">
        <v>8</v>
      </c>
      <c r="E450" t="s">
        <v>32</v>
      </c>
      <c r="G450" t="s">
        <v>35</v>
      </c>
      <c r="I450" t="s">
        <v>36</v>
      </c>
      <c r="K450" t="s">
        <v>1007</v>
      </c>
      <c r="M450" t="s">
        <v>1068</v>
      </c>
      <c r="O450">
        <v>0.99</v>
      </c>
      <c r="P450" t="s">
        <v>1069</v>
      </c>
      <c r="Q450">
        <v>97.2</v>
      </c>
      <c r="R450">
        <v>1</v>
      </c>
      <c r="S450" s="2">
        <v>0</v>
      </c>
      <c r="T450" s="3">
        <v>1</v>
      </c>
      <c r="U450" s="4">
        <v>0</v>
      </c>
      <c r="V450" s="2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1</v>
      </c>
      <c r="AB450" s="4">
        <v>0</v>
      </c>
      <c r="AD450">
        <f t="shared" si="6"/>
        <v>1</v>
      </c>
    </row>
    <row r="451" spans="1:30" x14ac:dyDescent="0.35">
      <c r="A451" t="s">
        <v>1070</v>
      </c>
      <c r="B451">
        <v>2</v>
      </c>
      <c r="C451" t="s">
        <v>7</v>
      </c>
      <c r="D451" t="s">
        <v>8</v>
      </c>
      <c r="E451" t="s">
        <v>46</v>
      </c>
      <c r="G451" t="s">
        <v>47</v>
      </c>
      <c r="I451" t="s">
        <v>61</v>
      </c>
      <c r="K451" t="s">
        <v>561</v>
      </c>
      <c r="O451">
        <v>0.98</v>
      </c>
      <c r="P451" t="s">
        <v>576</v>
      </c>
      <c r="Q451">
        <v>93.7</v>
      </c>
      <c r="R451">
        <v>2</v>
      </c>
      <c r="S451" s="2">
        <v>2</v>
      </c>
      <c r="T451" s="3">
        <v>0</v>
      </c>
      <c r="U451" s="4">
        <v>0</v>
      </c>
      <c r="V451" s="2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4">
        <v>0</v>
      </c>
      <c r="AD451">
        <f t="shared" si="6"/>
        <v>2</v>
      </c>
    </row>
    <row r="452" spans="1:30" x14ac:dyDescent="0.35">
      <c r="A452" t="s">
        <v>1071</v>
      </c>
      <c r="B452">
        <v>2</v>
      </c>
      <c r="C452" t="s">
        <v>7</v>
      </c>
      <c r="D452" t="s">
        <v>8</v>
      </c>
      <c r="E452" t="s">
        <v>46</v>
      </c>
      <c r="G452" t="s">
        <v>47</v>
      </c>
      <c r="I452" t="s">
        <v>61</v>
      </c>
      <c r="K452" t="s">
        <v>561</v>
      </c>
      <c r="M452" t="s">
        <v>562</v>
      </c>
      <c r="O452">
        <v>0.53</v>
      </c>
      <c r="P452" t="s">
        <v>1072</v>
      </c>
      <c r="Q452">
        <v>95.7</v>
      </c>
      <c r="R452">
        <v>1</v>
      </c>
      <c r="S452" s="2">
        <v>0</v>
      </c>
      <c r="T452" s="3">
        <v>0</v>
      </c>
      <c r="U452" s="4">
        <v>0</v>
      </c>
      <c r="V452" s="2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2</v>
      </c>
      <c r="AB452" s="4">
        <v>0</v>
      </c>
      <c r="AD452">
        <f t="shared" si="6"/>
        <v>2</v>
      </c>
    </row>
    <row r="453" spans="1:30" x14ac:dyDescent="0.35">
      <c r="A453" t="s">
        <v>1073</v>
      </c>
      <c r="B453">
        <v>2</v>
      </c>
      <c r="C453" t="s">
        <v>7</v>
      </c>
      <c r="D453" t="s">
        <v>8</v>
      </c>
      <c r="E453" t="s">
        <v>46</v>
      </c>
      <c r="G453" t="s">
        <v>47</v>
      </c>
      <c r="I453" t="s">
        <v>61</v>
      </c>
      <c r="K453" t="s">
        <v>561</v>
      </c>
      <c r="O453">
        <v>0.99</v>
      </c>
      <c r="P453" t="s">
        <v>1074</v>
      </c>
      <c r="Q453">
        <v>95.7</v>
      </c>
      <c r="R453">
        <v>2</v>
      </c>
      <c r="S453" s="2">
        <v>0</v>
      </c>
      <c r="T453" s="3">
        <v>0</v>
      </c>
      <c r="U453" s="4">
        <v>0</v>
      </c>
      <c r="V453" s="2">
        <v>1</v>
      </c>
      <c r="W453" s="3">
        <v>0</v>
      </c>
      <c r="X453" s="3">
        <v>1</v>
      </c>
      <c r="Y453" s="3">
        <v>0</v>
      </c>
      <c r="Z453" s="3">
        <v>0</v>
      </c>
      <c r="AA453" s="3">
        <v>0</v>
      </c>
      <c r="AB453" s="4">
        <v>0</v>
      </c>
      <c r="AD453">
        <f>MAX(S453:AB453)</f>
        <v>1</v>
      </c>
    </row>
    <row r="454" spans="1:30" x14ac:dyDescent="0.35">
      <c r="A454" t="s">
        <v>1075</v>
      </c>
      <c r="B454">
        <v>2</v>
      </c>
      <c r="C454" t="s">
        <v>7</v>
      </c>
      <c r="D454" t="s">
        <v>8</v>
      </c>
      <c r="E454" t="s">
        <v>46</v>
      </c>
      <c r="G454" t="s">
        <v>47</v>
      </c>
      <c r="O454">
        <v>0.67</v>
      </c>
      <c r="P454" t="s">
        <v>1076</v>
      </c>
      <c r="Q454">
        <v>91.3</v>
      </c>
      <c r="R454">
        <v>1</v>
      </c>
      <c r="S454" s="5">
        <v>0</v>
      </c>
      <c r="T454" s="6">
        <v>0</v>
      </c>
      <c r="U454" s="7">
        <v>0</v>
      </c>
      <c r="V454" s="5">
        <v>0</v>
      </c>
      <c r="W454" s="6">
        <v>1</v>
      </c>
      <c r="X454" s="6">
        <v>0</v>
      </c>
      <c r="Y454" s="6">
        <v>0</v>
      </c>
      <c r="Z454" s="6">
        <v>1</v>
      </c>
      <c r="AA454" s="6">
        <v>0</v>
      </c>
      <c r="AB454" s="7">
        <v>0</v>
      </c>
      <c r="AD454">
        <f>MAX(S454:AB454)</f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P34"/>
  <sheetViews>
    <sheetView zoomScale="90" zoomScaleNormal="90" workbookViewId="0">
      <selection activeCell="K32" sqref="K32"/>
    </sheetView>
  </sheetViews>
  <sheetFormatPr defaultRowHeight="14.5" x14ac:dyDescent="0.35"/>
  <cols>
    <col min="1" max="1" width="26.1796875" customWidth="1"/>
    <col min="2" max="4" width="10.81640625" customWidth="1"/>
    <col min="10" max="10" width="20.81640625" customWidth="1"/>
    <col min="11" max="11" width="10.453125" bestFit="1" customWidth="1"/>
  </cols>
  <sheetData>
    <row r="1" spans="1:16" x14ac:dyDescent="0.35">
      <c r="B1" t="s">
        <v>1963</v>
      </c>
      <c r="C1" t="s">
        <v>1964</v>
      </c>
      <c r="D1" t="s">
        <v>1965</v>
      </c>
      <c r="E1" t="s">
        <v>1963</v>
      </c>
      <c r="F1" t="s">
        <v>1964</v>
      </c>
      <c r="G1" t="s">
        <v>1965</v>
      </c>
    </row>
    <row r="2" spans="1:16" x14ac:dyDescent="0.35">
      <c r="A2" t="s">
        <v>1475</v>
      </c>
      <c r="B2">
        <v>19605</v>
      </c>
      <c r="C2">
        <v>15848</v>
      </c>
      <c r="D2">
        <v>23245</v>
      </c>
      <c r="J2" t="s">
        <v>1493</v>
      </c>
      <c r="K2" s="34">
        <f t="shared" ref="K2:M3" si="0">B3</f>
        <v>20517124</v>
      </c>
      <c r="L2" s="34">
        <f t="shared" si="0"/>
        <v>3562698</v>
      </c>
      <c r="M2" s="34">
        <f t="shared" si="0"/>
        <v>8402118</v>
      </c>
    </row>
    <row r="3" spans="1:16" x14ac:dyDescent="0.35">
      <c r="A3" t="s">
        <v>1472</v>
      </c>
      <c r="B3">
        <v>20517124</v>
      </c>
      <c r="C3">
        <v>3562698</v>
      </c>
      <c r="D3">
        <v>8402118</v>
      </c>
      <c r="J3" s="25" t="s">
        <v>1484</v>
      </c>
      <c r="K3" s="34">
        <f t="shared" si="0"/>
        <v>19700062</v>
      </c>
      <c r="L3" s="34">
        <f t="shared" si="0"/>
        <v>3518077</v>
      </c>
      <c r="M3" s="34">
        <f t="shared" si="0"/>
        <v>8222559</v>
      </c>
      <c r="N3" s="11">
        <f>K3/K$2</f>
        <v>0.96017658225392599</v>
      </c>
      <c r="O3" s="11">
        <f>L3/L$2</f>
        <v>0.98747550311589705</v>
      </c>
      <c r="P3" s="11">
        <f>M3/M$2</f>
        <v>0.97862931703649003</v>
      </c>
    </row>
    <row r="4" spans="1:16" x14ac:dyDescent="0.35">
      <c r="A4" t="s">
        <v>1484</v>
      </c>
      <c r="B4">
        <v>19700062</v>
      </c>
      <c r="C4">
        <v>3518077</v>
      </c>
      <c r="D4">
        <v>8222559</v>
      </c>
      <c r="E4" s="11">
        <f>B4/B$3</f>
        <v>0.96017658225392599</v>
      </c>
      <c r="F4" s="11">
        <f t="shared" ref="F4:F16" si="1">C4/C$3</f>
        <v>0.98747550311589705</v>
      </c>
      <c r="G4" s="11">
        <f t="shared" ref="G4:G16" si="2">D4/D$3</f>
        <v>0.97862931703649003</v>
      </c>
      <c r="J4" s="25" t="s">
        <v>1485</v>
      </c>
      <c r="K4" s="34">
        <f>B9</f>
        <v>66318</v>
      </c>
      <c r="L4" s="34">
        <f>C9</f>
        <v>15118</v>
      </c>
      <c r="M4" s="34">
        <f>D9</f>
        <v>77026</v>
      </c>
      <c r="N4" s="11">
        <f t="shared" ref="N4:N11" si="3">K4/K$3</f>
        <v>3.3663853443709974E-3</v>
      </c>
      <c r="O4" s="11">
        <f t="shared" ref="O4:O11" si="4">L4/L$3</f>
        <v>4.2972339718545102E-3</v>
      </c>
      <c r="P4" s="11">
        <f t="shared" ref="P4:P11" si="5">M4/M$3</f>
        <v>9.3676433334196809E-3</v>
      </c>
    </row>
    <row r="5" spans="1:16" x14ac:dyDescent="0.35">
      <c r="A5" t="s">
        <v>1469</v>
      </c>
      <c r="B5">
        <v>238307</v>
      </c>
      <c r="C5">
        <v>962</v>
      </c>
      <c r="D5">
        <v>28396</v>
      </c>
      <c r="E5" s="11">
        <f t="shared" ref="E5:E16" si="6">B5/B$3</f>
        <v>1.1615029474891314E-2</v>
      </c>
      <c r="F5" s="11">
        <f t="shared" si="1"/>
        <v>2.7002008028746753E-4</v>
      </c>
      <c r="G5" s="11">
        <f t="shared" si="2"/>
        <v>3.3796240424140674E-3</v>
      </c>
      <c r="J5" s="25" t="s">
        <v>1486</v>
      </c>
      <c r="K5" s="34">
        <f t="shared" ref="K5:K11" si="7">B10</f>
        <v>72763</v>
      </c>
      <c r="L5" s="34">
        <f t="shared" ref="L5:L11" si="8">C10</f>
        <v>12650</v>
      </c>
      <c r="M5" s="34">
        <f t="shared" ref="M5:M11" si="9">D10</f>
        <v>11615</v>
      </c>
      <c r="N5" s="11">
        <f t="shared" si="3"/>
        <v>3.6935416751480276E-3</v>
      </c>
      <c r="O5" s="11">
        <f t="shared" si="4"/>
        <v>3.5957143632728904E-3</v>
      </c>
      <c r="P5" s="11">
        <f t="shared" si="5"/>
        <v>1.4125772767334354E-3</v>
      </c>
    </row>
    <row r="6" spans="1:16" x14ac:dyDescent="0.35">
      <c r="A6" t="s">
        <v>1470</v>
      </c>
      <c r="B6">
        <v>134009</v>
      </c>
      <c r="C6">
        <v>46</v>
      </c>
      <c r="D6">
        <v>7436</v>
      </c>
      <c r="E6" s="11">
        <f t="shared" si="6"/>
        <v>6.5315684595950189E-3</v>
      </c>
      <c r="F6" s="11">
        <f t="shared" si="1"/>
        <v>1.2911563090668926E-5</v>
      </c>
      <c r="G6" s="11">
        <f t="shared" si="2"/>
        <v>8.8501494504123846E-4</v>
      </c>
      <c r="J6" s="25" t="s">
        <v>1487</v>
      </c>
      <c r="K6" s="34">
        <f t="shared" si="7"/>
        <v>17655</v>
      </c>
      <c r="L6" s="34">
        <f t="shared" si="8"/>
        <v>715</v>
      </c>
      <c r="M6" s="34">
        <f t="shared" si="9"/>
        <v>10485</v>
      </c>
      <c r="N6" s="11">
        <f t="shared" si="3"/>
        <v>8.9619007290433908E-4</v>
      </c>
      <c r="O6" s="11">
        <f t="shared" si="4"/>
        <v>2.0323602922846771E-4</v>
      </c>
      <c r="P6" s="11">
        <f t="shared" si="5"/>
        <v>1.2751504732285898E-3</v>
      </c>
    </row>
    <row r="7" spans="1:16" x14ac:dyDescent="0.35">
      <c r="A7" t="s">
        <v>1483</v>
      </c>
      <c r="B7">
        <v>104293</v>
      </c>
      <c r="C7">
        <v>909</v>
      </c>
      <c r="D7">
        <v>19487</v>
      </c>
      <c r="E7" s="11">
        <f t="shared" si="6"/>
        <v>5.0832173164231014E-3</v>
      </c>
      <c r="F7" s="11">
        <f t="shared" si="1"/>
        <v>2.5514371411778378E-4</v>
      </c>
      <c r="G7" s="11">
        <f t="shared" si="2"/>
        <v>2.3192961584210079E-3</v>
      </c>
      <c r="J7" s="25" t="s">
        <v>1488</v>
      </c>
      <c r="K7" s="34">
        <f t="shared" si="7"/>
        <v>34950</v>
      </c>
      <c r="L7" s="34">
        <f t="shared" si="8"/>
        <v>1488</v>
      </c>
      <c r="M7" s="34">
        <f t="shared" si="9"/>
        <v>4043</v>
      </c>
      <c r="N7" s="11">
        <f t="shared" si="3"/>
        <v>1.774106091645803E-3</v>
      </c>
      <c r="O7" s="11">
        <f t="shared" si="4"/>
        <v>4.2295833775099294E-4</v>
      </c>
      <c r="P7" s="11">
        <f t="shared" si="5"/>
        <v>4.916960766106999E-4</v>
      </c>
    </row>
    <row r="8" spans="1:16" x14ac:dyDescent="0.35">
      <c r="A8" t="s">
        <v>1471</v>
      </c>
      <c r="B8">
        <v>5</v>
      </c>
      <c r="C8">
        <v>7</v>
      </c>
      <c r="D8">
        <v>1473</v>
      </c>
      <c r="E8" s="11">
        <f t="shared" si="6"/>
        <v>2.4369887319489808E-7</v>
      </c>
      <c r="F8" s="11">
        <f t="shared" si="1"/>
        <v>1.9648030790148367E-6</v>
      </c>
      <c r="G8" s="11">
        <f t="shared" si="2"/>
        <v>1.7531293895182144E-4</v>
      </c>
      <c r="J8" s="25" t="s">
        <v>1489</v>
      </c>
      <c r="K8" s="34">
        <f t="shared" si="7"/>
        <v>19292</v>
      </c>
      <c r="L8" s="34">
        <f t="shared" si="8"/>
        <v>11136</v>
      </c>
      <c r="M8" s="34">
        <f t="shared" si="9"/>
        <v>21155</v>
      </c>
      <c r="N8" s="11">
        <f t="shared" si="3"/>
        <v>9.7928625808385789E-4</v>
      </c>
      <c r="O8" s="11">
        <f t="shared" si="4"/>
        <v>3.1653656244590438E-3</v>
      </c>
      <c r="P8" s="11">
        <f t="shared" si="5"/>
        <v>2.5728000249070878E-3</v>
      </c>
    </row>
    <row r="9" spans="1:16" x14ac:dyDescent="0.35">
      <c r="A9" t="s">
        <v>1485</v>
      </c>
      <c r="B9">
        <v>66318</v>
      </c>
      <c r="C9">
        <v>15118</v>
      </c>
      <c r="D9">
        <v>77026</v>
      </c>
      <c r="E9" s="11">
        <f t="shared" si="6"/>
        <v>3.23232437450785E-3</v>
      </c>
      <c r="F9" s="11">
        <f t="shared" si="1"/>
        <v>4.2434132783637571E-3</v>
      </c>
      <c r="G9" s="11">
        <f t="shared" si="2"/>
        <v>9.1674503976259328E-3</v>
      </c>
      <c r="J9" s="25" t="s">
        <v>1490</v>
      </c>
      <c r="K9" s="34">
        <f t="shared" si="7"/>
        <v>18425</v>
      </c>
      <c r="L9" s="34">
        <f t="shared" si="8"/>
        <v>1128</v>
      </c>
      <c r="M9" s="34">
        <f t="shared" si="9"/>
        <v>7107</v>
      </c>
      <c r="N9" s="11">
        <f t="shared" si="3"/>
        <v>9.3527624430826662E-4</v>
      </c>
      <c r="O9" s="11">
        <f t="shared" si="4"/>
        <v>3.2062970764994625E-4</v>
      </c>
      <c r="P9" s="11">
        <f t="shared" si="5"/>
        <v>8.6432946239729021E-4</v>
      </c>
    </row>
    <row r="10" spans="1:16" x14ac:dyDescent="0.35">
      <c r="A10" t="s">
        <v>1486</v>
      </c>
      <c r="B10">
        <v>72763</v>
      </c>
      <c r="C10">
        <v>12650</v>
      </c>
      <c r="D10">
        <v>11615</v>
      </c>
      <c r="E10" s="11">
        <f t="shared" si="6"/>
        <v>3.5464522220560739E-3</v>
      </c>
      <c r="F10" s="11">
        <f t="shared" si="1"/>
        <v>3.5506798499339545E-3</v>
      </c>
      <c r="G10" s="11">
        <f t="shared" si="2"/>
        <v>1.3823895355909071E-3</v>
      </c>
      <c r="J10" s="25" t="s">
        <v>1491</v>
      </c>
      <c r="K10" s="34">
        <f t="shared" si="7"/>
        <v>117494</v>
      </c>
      <c r="L10" s="34">
        <f t="shared" si="8"/>
        <v>0</v>
      </c>
      <c r="M10" s="34">
        <f t="shared" si="9"/>
        <v>7540</v>
      </c>
      <c r="N10" s="11">
        <f t="shared" si="3"/>
        <v>5.9641436661468372E-3</v>
      </c>
      <c r="O10" s="11">
        <f t="shared" si="4"/>
        <v>0</v>
      </c>
      <c r="P10" s="11">
        <f t="shared" si="5"/>
        <v>9.1698946763410266E-4</v>
      </c>
    </row>
    <row r="11" spans="1:16" x14ac:dyDescent="0.35">
      <c r="A11" t="s">
        <v>1487</v>
      </c>
      <c r="B11">
        <v>17655</v>
      </c>
      <c r="C11">
        <v>715</v>
      </c>
      <c r="D11">
        <v>10485</v>
      </c>
      <c r="E11" s="11">
        <f t="shared" si="6"/>
        <v>8.6050072125118512E-4</v>
      </c>
      <c r="F11" s="11">
        <f t="shared" si="1"/>
        <v>2.0069060021365829E-4</v>
      </c>
      <c r="G11" s="11">
        <f t="shared" si="2"/>
        <v>1.2478996367344519E-3</v>
      </c>
      <c r="J11" s="25" t="s">
        <v>1492</v>
      </c>
      <c r="K11" s="34">
        <f t="shared" si="7"/>
        <v>97699</v>
      </c>
      <c r="L11" s="34">
        <f t="shared" si="8"/>
        <v>1273</v>
      </c>
      <c r="M11" s="34">
        <f t="shared" si="9"/>
        <v>3204</v>
      </c>
      <c r="N11" s="11">
        <f t="shared" si="3"/>
        <v>4.9593244934965182E-3</v>
      </c>
      <c r="O11" s="11">
        <f t="shared" si="4"/>
        <v>3.6184540588509004E-4</v>
      </c>
      <c r="P11" s="11">
        <f t="shared" si="5"/>
        <v>3.8965971542435874E-4</v>
      </c>
    </row>
    <row r="12" spans="1:16" x14ac:dyDescent="0.35">
      <c r="A12" t="s">
        <v>1488</v>
      </c>
      <c r="B12">
        <v>34950</v>
      </c>
      <c r="C12">
        <v>1488</v>
      </c>
      <c r="D12">
        <v>4043</v>
      </c>
      <c r="E12" s="11">
        <f t="shared" si="6"/>
        <v>1.7034551236323376E-3</v>
      </c>
      <c r="F12" s="11">
        <f t="shared" si="1"/>
        <v>4.1766099736772523E-4</v>
      </c>
      <c r="G12" s="11">
        <f t="shared" si="2"/>
        <v>4.8118819564305093E-4</v>
      </c>
    </row>
    <row r="13" spans="1:16" x14ac:dyDescent="0.35">
      <c r="A13" t="s">
        <v>1489</v>
      </c>
      <c r="B13">
        <v>19292</v>
      </c>
      <c r="C13">
        <v>11136</v>
      </c>
      <c r="D13">
        <v>21155</v>
      </c>
      <c r="E13" s="11">
        <f t="shared" si="6"/>
        <v>9.402877323351947E-4</v>
      </c>
      <c r="F13" s="11">
        <f t="shared" si="1"/>
        <v>3.1257210125584601E-3</v>
      </c>
      <c r="G13" s="11">
        <f t="shared" si="2"/>
        <v>2.5178175312462882E-3</v>
      </c>
      <c r="J13" s="25" t="s">
        <v>1494</v>
      </c>
      <c r="K13">
        <f>SUM(K3:K11)</f>
        <v>20144658</v>
      </c>
      <c r="L13">
        <f>SUM(L3:L11)</f>
        <v>3561585</v>
      </c>
      <c r="M13">
        <f>SUM(M3:M11)</f>
        <v>8364734</v>
      </c>
      <c r="N13" s="11">
        <f>K13/K$2</f>
        <v>0.98184609109931786</v>
      </c>
      <c r="O13" s="11">
        <f>L13/L$2</f>
        <v>0.99968759631043669</v>
      </c>
      <c r="P13" s="11">
        <f>M13/M$2</f>
        <v>0.9955506456824339</v>
      </c>
    </row>
    <row r="14" spans="1:16" x14ac:dyDescent="0.35">
      <c r="A14" t="s">
        <v>1490</v>
      </c>
      <c r="B14">
        <v>18425</v>
      </c>
      <c r="C14">
        <v>1128</v>
      </c>
      <c r="D14">
        <v>7107</v>
      </c>
      <c r="E14" s="11">
        <f t="shared" si="6"/>
        <v>8.9803034772319938E-4</v>
      </c>
      <c r="F14" s="11">
        <f t="shared" si="1"/>
        <v>3.1661398187553366E-4</v>
      </c>
      <c r="G14" s="11">
        <f t="shared" si="2"/>
        <v>8.4585815148037675E-4</v>
      </c>
      <c r="J14" s="25" t="str">
        <f>A5</f>
        <v>looked downstream</v>
      </c>
      <c r="K14" s="25">
        <f t="shared" ref="K14:P17" si="10">B5</f>
        <v>238307</v>
      </c>
      <c r="L14" s="25">
        <f t="shared" si="10"/>
        <v>962</v>
      </c>
      <c r="M14" s="25">
        <f t="shared" si="10"/>
        <v>28396</v>
      </c>
      <c r="N14" s="11">
        <f t="shared" si="10"/>
        <v>1.1615029474891314E-2</v>
      </c>
      <c r="O14" s="11">
        <f t="shared" si="10"/>
        <v>2.7002008028746753E-4</v>
      </c>
      <c r="P14" s="11">
        <f t="shared" si="10"/>
        <v>3.3796240424140674E-3</v>
      </c>
    </row>
    <row r="15" spans="1:16" x14ac:dyDescent="0.35">
      <c r="A15" t="s">
        <v>1491</v>
      </c>
      <c r="B15">
        <v>117494</v>
      </c>
      <c r="C15">
        <v>0</v>
      </c>
      <c r="D15">
        <v>7540</v>
      </c>
      <c r="E15" s="11">
        <f t="shared" si="6"/>
        <v>5.7266310814322709E-3</v>
      </c>
      <c r="F15" s="11">
        <f t="shared" si="1"/>
        <v>0</v>
      </c>
      <c r="G15" s="11">
        <f t="shared" si="2"/>
        <v>8.9739277644041652E-4</v>
      </c>
      <c r="J15" s="25" t="str">
        <f>A6</f>
        <v>single good downstream</v>
      </c>
      <c r="K15" s="25">
        <f t="shared" si="10"/>
        <v>134009</v>
      </c>
      <c r="L15" s="25">
        <f t="shared" si="10"/>
        <v>46</v>
      </c>
      <c r="M15" s="25">
        <f t="shared" si="10"/>
        <v>7436</v>
      </c>
      <c r="N15" s="11">
        <f t="shared" si="10"/>
        <v>6.5315684595950189E-3</v>
      </c>
      <c r="O15" s="11">
        <f t="shared" si="10"/>
        <v>1.2911563090668926E-5</v>
      </c>
      <c r="P15" s="11">
        <f t="shared" si="10"/>
        <v>8.8501494504123846E-4</v>
      </c>
    </row>
    <row r="16" spans="1:16" x14ac:dyDescent="0.35">
      <c r="A16" t="s">
        <v>1492</v>
      </c>
      <c r="B16">
        <v>97699</v>
      </c>
      <c r="C16">
        <v>1273</v>
      </c>
      <c r="D16">
        <v>3204</v>
      </c>
      <c r="E16" s="11">
        <f t="shared" si="6"/>
        <v>4.7618272424536697E-3</v>
      </c>
      <c r="F16" s="11">
        <f t="shared" si="1"/>
        <v>3.5731347422655527E-4</v>
      </c>
      <c r="G16" s="11">
        <f t="shared" si="2"/>
        <v>3.8133242118237328E-4</v>
      </c>
      <c r="J16" s="25" t="str">
        <f>A7</f>
        <v>chose in proportion by depth</v>
      </c>
      <c r="K16" s="25">
        <f t="shared" si="10"/>
        <v>104293</v>
      </c>
      <c r="L16" s="25">
        <f t="shared" si="10"/>
        <v>909</v>
      </c>
      <c r="M16" s="25">
        <f t="shared" si="10"/>
        <v>19487</v>
      </c>
      <c r="N16" s="11">
        <f t="shared" si="10"/>
        <v>5.0832173164231014E-3</v>
      </c>
      <c r="O16" s="11">
        <f t="shared" si="10"/>
        <v>2.5514371411778378E-4</v>
      </c>
      <c r="P16" s="11">
        <f t="shared" si="10"/>
        <v>2.3192961584210079E-3</v>
      </c>
    </row>
    <row r="17" spans="1:16" x14ac:dyDescent="0.35">
      <c r="J17" s="25" t="str">
        <f>A8</f>
        <v>chose longest downstream</v>
      </c>
      <c r="K17" s="25">
        <f t="shared" si="10"/>
        <v>5</v>
      </c>
      <c r="L17" s="25">
        <f t="shared" si="10"/>
        <v>7</v>
      </c>
      <c r="M17" s="25">
        <f t="shared" si="10"/>
        <v>1473</v>
      </c>
      <c r="N17" s="11">
        <f t="shared" si="10"/>
        <v>2.4369887319489808E-7</v>
      </c>
      <c r="O17" s="11">
        <f t="shared" si="10"/>
        <v>1.9648030790148367E-6</v>
      </c>
      <c r="P17" s="11">
        <f t="shared" si="10"/>
        <v>1.7531293895182144E-4</v>
      </c>
    </row>
    <row r="18" spans="1:16" x14ac:dyDescent="0.35">
      <c r="A18" t="s">
        <v>1474</v>
      </c>
      <c r="B18">
        <f>SUM(B9:B16)</f>
        <v>444596</v>
      </c>
      <c r="C18">
        <f>SUM(C9:C16)</f>
        <v>43508</v>
      </c>
      <c r="D18">
        <f>SUM(D9:D16)</f>
        <v>142175</v>
      </c>
      <c r="E18" s="11">
        <f t="shared" ref="E18:G20" si="11">B18/B$3</f>
        <v>2.1669508845391781E-2</v>
      </c>
      <c r="F18" s="11">
        <f t="shared" si="11"/>
        <v>1.2212093194539643E-2</v>
      </c>
      <c r="G18" s="11">
        <f t="shared" si="11"/>
        <v>1.6921328645943798E-2</v>
      </c>
      <c r="K18" s="34"/>
    </row>
    <row r="19" spans="1:16" x14ac:dyDescent="0.35">
      <c r="A19" t="s">
        <v>1473</v>
      </c>
      <c r="B19">
        <f>B18+B4</f>
        <v>20144658</v>
      </c>
      <c r="C19">
        <f>C18+C4</f>
        <v>3561585</v>
      </c>
      <c r="D19">
        <f>D18+D4</f>
        <v>8364734</v>
      </c>
      <c r="E19" s="11">
        <f t="shared" si="11"/>
        <v>0.98184609109931786</v>
      </c>
      <c r="F19" s="11">
        <f t="shared" si="11"/>
        <v>0.99968759631043669</v>
      </c>
      <c r="G19" s="11">
        <f t="shared" si="11"/>
        <v>0.9955506456824339</v>
      </c>
      <c r="K19" s="34"/>
    </row>
    <row r="20" spans="1:16" x14ac:dyDescent="0.35">
      <c r="A20" t="s">
        <v>1495</v>
      </c>
      <c r="B20">
        <f>B19+B6</f>
        <v>20278667</v>
      </c>
      <c r="C20">
        <f>C19+C6</f>
        <v>3561631</v>
      </c>
      <c r="D20">
        <f>D19+D6</f>
        <v>8372170</v>
      </c>
      <c r="E20" s="11">
        <f t="shared" si="11"/>
        <v>0.98837765955891288</v>
      </c>
      <c r="F20" s="11">
        <f t="shared" si="11"/>
        <v>0.99970050787352727</v>
      </c>
      <c r="G20" s="11">
        <f t="shared" si="11"/>
        <v>0.99643566062747513</v>
      </c>
      <c r="K20" s="34"/>
    </row>
    <row r="21" spans="1:16" x14ac:dyDescent="0.35">
      <c r="K21" s="34"/>
    </row>
    <row r="22" spans="1:16" x14ac:dyDescent="0.35">
      <c r="B22">
        <f>18.5+25.6</f>
        <v>44.1</v>
      </c>
      <c r="C22">
        <f>21.7+12</f>
        <v>33.700000000000003</v>
      </c>
      <c r="D22">
        <f>33+40.1</f>
        <v>73.099999999999994</v>
      </c>
      <c r="K22" s="34"/>
    </row>
    <row r="23" spans="1:16" x14ac:dyDescent="0.35">
      <c r="K23" s="34"/>
    </row>
    <row r="24" spans="1:16" x14ac:dyDescent="0.35">
      <c r="I24" s="11"/>
      <c r="J24" s="11"/>
      <c r="K24" s="56"/>
    </row>
    <row r="25" spans="1:16" x14ac:dyDescent="0.35">
      <c r="I25" s="11"/>
      <c r="J25" s="11"/>
      <c r="K25" s="56"/>
    </row>
    <row r="26" spans="1:16" x14ac:dyDescent="0.35">
      <c r="I26" s="11"/>
      <c r="J26" s="11"/>
      <c r="K26" s="56"/>
    </row>
    <row r="27" spans="1:16" x14ac:dyDescent="0.35">
      <c r="K27" s="34"/>
    </row>
    <row r="28" spans="1:16" x14ac:dyDescent="0.35">
      <c r="K28" s="34"/>
    </row>
    <row r="29" spans="1:16" x14ac:dyDescent="0.35">
      <c r="K29" s="34"/>
    </row>
    <row r="30" spans="1:16" x14ac:dyDescent="0.35">
      <c r="K30" s="34"/>
    </row>
    <row r="31" spans="1:16" x14ac:dyDescent="0.35">
      <c r="K31" s="34"/>
    </row>
    <row r="32" spans="1:16" x14ac:dyDescent="0.35">
      <c r="K32" s="34"/>
    </row>
    <row r="33" spans="11:11" x14ac:dyDescent="0.35">
      <c r="K33" s="34"/>
    </row>
    <row r="34" spans="11:11" x14ac:dyDescent="0.35">
      <c r="K34" s="34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opLeftCell="A4" zoomScale="90" zoomScaleNormal="90" workbookViewId="0">
      <selection activeCell="F1" sqref="F1"/>
    </sheetView>
  </sheetViews>
  <sheetFormatPr defaultRowHeight="14.5" x14ac:dyDescent="0.35"/>
  <cols>
    <col min="3" max="3" width="2.81640625" customWidth="1"/>
    <col min="4" max="4" width="59.81640625" style="9" customWidth="1"/>
    <col min="5" max="5" width="9.1796875" style="9"/>
    <col min="6" max="6" width="39.81640625" style="9" customWidth="1"/>
    <col min="8" max="8" width="21.81640625" customWidth="1"/>
    <col min="9" max="9" width="18.81640625" customWidth="1"/>
    <col min="14" max="14" width="3.1796875" customWidth="1"/>
    <col min="15" max="15" width="59.81640625" customWidth="1"/>
    <col min="16" max="16" width="50.1796875" customWidth="1"/>
  </cols>
  <sheetData>
    <row r="1" spans="1:15" x14ac:dyDescent="0.35">
      <c r="A1" t="s">
        <v>1526</v>
      </c>
      <c r="H1" t="s">
        <v>1527</v>
      </c>
      <c r="L1" t="s">
        <v>1524</v>
      </c>
    </row>
    <row r="2" spans="1:15" x14ac:dyDescent="0.35">
      <c r="A2" t="s">
        <v>0</v>
      </c>
      <c r="B2" t="s">
        <v>1</v>
      </c>
      <c r="D2" s="9" t="s">
        <v>3</v>
      </c>
      <c r="L2" t="s">
        <v>0</v>
      </c>
      <c r="M2" t="s">
        <v>1</v>
      </c>
      <c r="O2" t="s">
        <v>3</v>
      </c>
    </row>
    <row r="3" spans="1:15" x14ac:dyDescent="0.35">
      <c r="A3" t="s">
        <v>6</v>
      </c>
      <c r="B3">
        <v>14578</v>
      </c>
      <c r="C3" t="str">
        <f t="shared" ref="C3:C34" si="0">A3&amp;";size="&amp;B3&amp;";"</f>
        <v>OTU_1;size=14578;</v>
      </c>
      <c r="D3" s="9" t="s">
        <v>14</v>
      </c>
      <c r="E3" s="9">
        <f>VLOOKUP(C3,$H$3:$J$105,3,FALSE)</f>
        <v>100</v>
      </c>
      <c r="F3" s="9" t="str">
        <f>VLOOKUP(VLOOKUP(C3,$H$3:$I$105,2,FALSE),$N$3:$O$222,2,FALSE)</f>
        <v>Desulfuromonas_acetexigens_(T)_(U23140)</v>
      </c>
      <c r="G3" t="s">
        <v>1630</v>
      </c>
      <c r="H3" t="s">
        <v>1531</v>
      </c>
      <c r="I3" t="s">
        <v>1532</v>
      </c>
      <c r="J3">
        <v>100</v>
      </c>
      <c r="L3" t="s">
        <v>6</v>
      </c>
      <c r="M3">
        <v>29019</v>
      </c>
      <c r="N3" t="str">
        <f>L3&amp;";size="&amp;M3&amp;";"</f>
        <v>OTU_1;size=29019;</v>
      </c>
      <c r="O3" t="s">
        <v>14</v>
      </c>
    </row>
    <row r="4" spans="1:15" x14ac:dyDescent="0.35">
      <c r="A4" t="s">
        <v>15</v>
      </c>
      <c r="B4">
        <v>7816</v>
      </c>
      <c r="C4" t="str">
        <f t="shared" si="0"/>
        <v>OTU_2;size=7816;</v>
      </c>
      <c r="D4" s="9" t="s">
        <v>16</v>
      </c>
      <c r="E4" s="9">
        <f t="shared" ref="E4:E67" si="1">VLOOKUP(C4,$H$3:$J$105,3,FALSE)</f>
        <v>100</v>
      </c>
      <c r="F4" s="9" t="str">
        <f t="shared" ref="F4:F67" si="2">VLOOKUP(VLOOKUP(C4,$H$3:$I$105,2,FALSE),$N$3:$O$222,2,FALSE)</f>
        <v>Thermodesulfovibrio_aggregans_(T)_TGE-P1_(AB021302)</v>
      </c>
      <c r="G4" t="s">
        <v>1630</v>
      </c>
      <c r="H4" t="s">
        <v>1529</v>
      </c>
      <c r="I4" t="s">
        <v>1530</v>
      </c>
      <c r="J4">
        <v>100</v>
      </c>
      <c r="L4" t="s">
        <v>15</v>
      </c>
      <c r="M4">
        <v>17154</v>
      </c>
      <c r="N4" t="str">
        <f t="shared" ref="N4:N67" si="3">L4&amp;";size="&amp;M4&amp;";"</f>
        <v>OTU_2;size=17154;</v>
      </c>
      <c r="O4" t="s">
        <v>16</v>
      </c>
    </row>
    <row r="5" spans="1:15" x14ac:dyDescent="0.35">
      <c r="A5" t="s">
        <v>51</v>
      </c>
      <c r="B5">
        <v>3953</v>
      </c>
      <c r="C5" t="str">
        <f t="shared" si="0"/>
        <v>OTU_6;size=3953;</v>
      </c>
      <c r="D5" s="9" t="s">
        <v>67</v>
      </c>
      <c r="E5" s="9">
        <f t="shared" si="1"/>
        <v>100</v>
      </c>
      <c r="F5" s="9" t="str">
        <f t="shared" si="2"/>
        <v>Lysinibacillus_sp._LAM612_(KF443809)</v>
      </c>
      <c r="G5" t="s">
        <v>1630</v>
      </c>
      <c r="H5" t="s">
        <v>1533</v>
      </c>
      <c r="I5" t="s">
        <v>1534</v>
      </c>
      <c r="J5">
        <v>100</v>
      </c>
      <c r="L5" t="s">
        <v>17</v>
      </c>
      <c r="M5">
        <v>7770</v>
      </c>
      <c r="N5" t="str">
        <f t="shared" si="3"/>
        <v>OTU_3;size=7770;</v>
      </c>
      <c r="O5" t="s">
        <v>30</v>
      </c>
    </row>
    <row r="6" spans="1:15" x14ac:dyDescent="0.35">
      <c r="A6" t="s">
        <v>17</v>
      </c>
      <c r="B6">
        <v>3374</v>
      </c>
      <c r="C6" t="str">
        <f t="shared" si="0"/>
        <v>OTU_3;size=3374;</v>
      </c>
      <c r="D6" s="9" t="s">
        <v>22</v>
      </c>
      <c r="E6" s="9">
        <f t="shared" si="1"/>
        <v>100</v>
      </c>
      <c r="F6" s="9" t="str">
        <f t="shared" si="2"/>
        <v>Treponema_zuelzerae_(T)_type_strain:_DSM_1903;_2_(FR749929)</v>
      </c>
      <c r="G6" t="s">
        <v>1630</v>
      </c>
      <c r="H6" t="s">
        <v>1645</v>
      </c>
      <c r="I6" t="s">
        <v>1538</v>
      </c>
      <c r="J6">
        <v>100</v>
      </c>
      <c r="L6" t="s">
        <v>23</v>
      </c>
      <c r="M6">
        <v>7140</v>
      </c>
      <c r="N6" t="str">
        <f t="shared" si="3"/>
        <v>OTU_4;size=7140;</v>
      </c>
      <c r="O6" t="s">
        <v>22</v>
      </c>
    </row>
    <row r="7" spans="1:15" x14ac:dyDescent="0.35">
      <c r="A7" t="s">
        <v>23</v>
      </c>
      <c r="B7">
        <v>2955</v>
      </c>
      <c r="C7" t="str">
        <f t="shared" si="0"/>
        <v>OTU_4;size=2955;</v>
      </c>
      <c r="D7" s="9" t="s">
        <v>54</v>
      </c>
      <c r="E7" s="9">
        <f t="shared" si="1"/>
        <v>100</v>
      </c>
      <c r="F7" s="9" t="str">
        <f t="shared" si="2"/>
        <v>Methanosarcina_siciliae_type_strain:_DSM3028_(FR733698)</v>
      </c>
      <c r="G7" t="s">
        <v>1630</v>
      </c>
      <c r="H7" t="s">
        <v>1649</v>
      </c>
      <c r="I7" t="s">
        <v>1528</v>
      </c>
      <c r="J7">
        <v>100</v>
      </c>
      <c r="L7" t="s">
        <v>34</v>
      </c>
      <c r="M7">
        <v>5861</v>
      </c>
      <c r="N7" t="str">
        <f t="shared" si="3"/>
        <v>OTU_5;size=5861;</v>
      </c>
      <c r="O7" t="s">
        <v>33</v>
      </c>
    </row>
    <row r="8" spans="1:15" x14ac:dyDescent="0.35">
      <c r="A8" t="s">
        <v>34</v>
      </c>
      <c r="B8">
        <v>2485</v>
      </c>
      <c r="C8" t="str">
        <f t="shared" si="0"/>
        <v>OTU_5;size=2485;</v>
      </c>
      <c r="D8" s="9" t="s">
        <v>30</v>
      </c>
      <c r="E8" s="9">
        <f t="shared" si="1"/>
        <v>100</v>
      </c>
      <c r="F8" s="9" t="str">
        <f t="shared" si="2"/>
        <v>Methanobacterium_subterraneum_(T)_A8p,_DSM_11074_(X99044)</v>
      </c>
      <c r="G8" t="s">
        <v>1630</v>
      </c>
      <c r="H8" t="s">
        <v>1647</v>
      </c>
      <c r="I8" t="s">
        <v>1537</v>
      </c>
      <c r="J8">
        <v>100</v>
      </c>
      <c r="L8" t="s">
        <v>51</v>
      </c>
      <c r="M8">
        <v>4395</v>
      </c>
      <c r="N8" t="str">
        <f t="shared" si="3"/>
        <v>OTU_6;size=4395;</v>
      </c>
      <c r="O8" t="s">
        <v>38</v>
      </c>
    </row>
    <row r="9" spans="1:15" x14ac:dyDescent="0.35">
      <c r="A9" t="s">
        <v>39</v>
      </c>
      <c r="B9">
        <v>2216</v>
      </c>
      <c r="C9" t="str">
        <f t="shared" si="0"/>
        <v>OTU_7;size=2216;</v>
      </c>
      <c r="D9" s="9" t="s">
        <v>48</v>
      </c>
      <c r="E9" s="9">
        <f t="shared" si="1"/>
        <v>100</v>
      </c>
      <c r="F9" s="9" t="str">
        <f t="shared" si="2"/>
        <v>Thermacetogenium_phaeum_(T)_PB_(AB020336)</v>
      </c>
      <c r="G9" t="s">
        <v>1630</v>
      </c>
      <c r="H9" t="s">
        <v>1535</v>
      </c>
      <c r="I9" t="s">
        <v>1536</v>
      </c>
      <c r="J9">
        <v>100</v>
      </c>
      <c r="L9" t="s">
        <v>39</v>
      </c>
      <c r="M9">
        <v>4380</v>
      </c>
      <c r="N9" t="str">
        <f t="shared" si="3"/>
        <v>OTU_7;size=4380;</v>
      </c>
      <c r="O9" t="s">
        <v>44</v>
      </c>
    </row>
    <row r="10" spans="1:15" x14ac:dyDescent="0.35">
      <c r="A10" t="s">
        <v>31</v>
      </c>
      <c r="B10">
        <v>2134</v>
      </c>
      <c r="C10" t="str">
        <f t="shared" si="0"/>
        <v>OTU_8;size=2134;</v>
      </c>
      <c r="D10" s="9" t="s">
        <v>44</v>
      </c>
      <c r="E10" s="9">
        <f t="shared" si="1"/>
        <v>100</v>
      </c>
      <c r="F10" s="9" t="str">
        <f t="shared" si="2"/>
        <v>Methanosaeta_harundinacea_(T)_8Ac_(AY817738)</v>
      </c>
      <c r="G10" t="s">
        <v>1630</v>
      </c>
      <c r="H10" t="s">
        <v>1648</v>
      </c>
      <c r="I10" t="s">
        <v>1541</v>
      </c>
      <c r="J10">
        <v>100</v>
      </c>
      <c r="L10" t="s">
        <v>31</v>
      </c>
      <c r="M10">
        <v>4066</v>
      </c>
      <c r="N10" t="str">
        <f t="shared" si="3"/>
        <v>OTU_8;size=4066;</v>
      </c>
      <c r="O10" t="s">
        <v>50</v>
      </c>
    </row>
    <row r="11" spans="1:15" x14ac:dyDescent="0.35">
      <c r="A11" t="s">
        <v>63</v>
      </c>
      <c r="B11">
        <v>1812</v>
      </c>
      <c r="C11" t="str">
        <f t="shared" si="0"/>
        <v>OTU_9;size=1812;</v>
      </c>
      <c r="D11" s="9" t="s">
        <v>38</v>
      </c>
      <c r="E11" s="9">
        <f t="shared" si="1"/>
        <v>100</v>
      </c>
      <c r="F11" s="9" t="str">
        <f t="shared" si="2"/>
        <v>Parabacteroides_distasonis_(T)_JCM_5825_(AB238922)</v>
      </c>
      <c r="G11" t="s">
        <v>1630</v>
      </c>
      <c r="H11" t="s">
        <v>1650</v>
      </c>
      <c r="I11" t="s">
        <v>1542</v>
      </c>
      <c r="J11">
        <v>100</v>
      </c>
      <c r="L11" t="s">
        <v>49</v>
      </c>
      <c r="M11">
        <v>3371</v>
      </c>
      <c r="N11" t="str">
        <f t="shared" si="3"/>
        <v>OTU_10;size=3371;</v>
      </c>
      <c r="O11" t="s">
        <v>59</v>
      </c>
    </row>
    <row r="12" spans="1:15" x14ac:dyDescent="0.35">
      <c r="A12" t="s">
        <v>49</v>
      </c>
      <c r="B12">
        <v>1220</v>
      </c>
      <c r="C12" t="str">
        <f t="shared" si="0"/>
        <v>OTU_10;size=1220;</v>
      </c>
      <c r="D12" s="9" t="s">
        <v>33</v>
      </c>
      <c r="E12" s="9">
        <f t="shared" si="1"/>
        <v>100</v>
      </c>
      <c r="F12" s="9" t="str">
        <f t="shared" si="2"/>
        <v>Cytophaga_fermentans_(T)_ATCC_19072_(M58766)</v>
      </c>
      <c r="G12" t="s">
        <v>1630</v>
      </c>
      <c r="H12" t="s">
        <v>1651</v>
      </c>
      <c r="I12" t="s">
        <v>1543</v>
      </c>
      <c r="J12">
        <v>100</v>
      </c>
      <c r="L12" t="s">
        <v>63</v>
      </c>
      <c r="M12">
        <v>3304</v>
      </c>
      <c r="N12" t="str">
        <f t="shared" si="3"/>
        <v>OTU_9;size=3304;</v>
      </c>
      <c r="O12" t="s">
        <v>48</v>
      </c>
    </row>
    <row r="13" spans="1:15" x14ac:dyDescent="0.35">
      <c r="A13" t="s">
        <v>45</v>
      </c>
      <c r="B13">
        <v>1169</v>
      </c>
      <c r="C13" t="str">
        <f t="shared" si="0"/>
        <v>OTU_11;size=1169;</v>
      </c>
      <c r="D13" s="9" t="s">
        <v>62</v>
      </c>
      <c r="E13" s="9">
        <f t="shared" si="1"/>
        <v>100</v>
      </c>
      <c r="F13" s="9" t="str">
        <f t="shared" si="2"/>
        <v>Desulfotomaculum_acetoxidans_(T)_DSM_771_(Y11566)</v>
      </c>
      <c r="G13" t="s">
        <v>1630</v>
      </c>
      <c r="H13" t="s">
        <v>1548</v>
      </c>
      <c r="I13" t="s">
        <v>1549</v>
      </c>
      <c r="J13">
        <v>100</v>
      </c>
      <c r="L13" t="s">
        <v>45</v>
      </c>
      <c r="M13">
        <v>3112</v>
      </c>
      <c r="N13" t="str">
        <f t="shared" si="3"/>
        <v>OTU_11;size=3112;</v>
      </c>
      <c r="O13" t="s">
        <v>73</v>
      </c>
    </row>
    <row r="14" spans="1:15" x14ac:dyDescent="0.35">
      <c r="A14" t="s">
        <v>77</v>
      </c>
      <c r="B14">
        <v>1166</v>
      </c>
      <c r="C14" t="str">
        <f t="shared" si="0"/>
        <v>OTU_12;size=1166;</v>
      </c>
      <c r="D14" s="9" t="s">
        <v>112</v>
      </c>
      <c r="E14" s="9">
        <f t="shared" si="1"/>
        <v>100</v>
      </c>
      <c r="F14" s="9" t="str">
        <f t="shared" si="2"/>
        <v>Pontibacter_sp._JC215_A10_(HG008901)</v>
      </c>
      <c r="G14" t="s">
        <v>1630</v>
      </c>
      <c r="H14" t="s">
        <v>1539</v>
      </c>
      <c r="I14" t="s">
        <v>1540</v>
      </c>
      <c r="J14">
        <v>100</v>
      </c>
      <c r="L14" t="s">
        <v>77</v>
      </c>
      <c r="M14">
        <v>2884</v>
      </c>
      <c r="N14" t="str">
        <f t="shared" si="3"/>
        <v>OTU_12;size=2884;</v>
      </c>
      <c r="O14" t="s">
        <v>71</v>
      </c>
    </row>
    <row r="15" spans="1:15" x14ac:dyDescent="0.35">
      <c r="A15" t="s">
        <v>68</v>
      </c>
      <c r="B15">
        <v>942</v>
      </c>
      <c r="C15" t="str">
        <f t="shared" si="0"/>
        <v>OTU_13;size=942;</v>
      </c>
      <c r="D15" s="9" t="s">
        <v>90</v>
      </c>
      <c r="E15" s="9">
        <f t="shared" si="1"/>
        <v>100</v>
      </c>
      <c r="F15" s="9" t="str">
        <f t="shared" si="2"/>
        <v>Clostridium_hungatei_(T)_AD;_ATCC_700212_(AF020429)</v>
      </c>
      <c r="G15" t="s">
        <v>1630</v>
      </c>
      <c r="H15" t="s">
        <v>1544</v>
      </c>
      <c r="I15" t="s">
        <v>1545</v>
      </c>
      <c r="J15">
        <v>100</v>
      </c>
      <c r="L15" t="s">
        <v>68</v>
      </c>
      <c r="M15">
        <v>2686</v>
      </c>
      <c r="N15" t="str">
        <f t="shared" si="3"/>
        <v>OTU_13;size=2686;</v>
      </c>
      <c r="O15" t="s">
        <v>76</v>
      </c>
    </row>
    <row r="16" spans="1:15" x14ac:dyDescent="0.35">
      <c r="A16" t="s">
        <v>55</v>
      </c>
      <c r="B16">
        <v>847</v>
      </c>
      <c r="C16" t="str">
        <f t="shared" si="0"/>
        <v>OTU_14;size=847;</v>
      </c>
      <c r="D16" s="9" t="s">
        <v>127</v>
      </c>
      <c r="E16" s="9">
        <f t="shared" si="1"/>
        <v>100</v>
      </c>
      <c r="F16" s="9" t="str">
        <f t="shared" si="2"/>
        <v>Moorella_humiferrea_(T)_64_FGQ_(GQ872425)</v>
      </c>
      <c r="G16" t="s">
        <v>1630</v>
      </c>
      <c r="H16" t="s">
        <v>1552</v>
      </c>
      <c r="I16" t="s">
        <v>1553</v>
      </c>
      <c r="J16">
        <v>100</v>
      </c>
      <c r="L16" t="s">
        <v>60</v>
      </c>
      <c r="M16">
        <v>2475</v>
      </c>
      <c r="N16" t="str">
        <f t="shared" si="3"/>
        <v>OTU_15;size=2475;</v>
      </c>
      <c r="O16" t="s">
        <v>62</v>
      </c>
    </row>
    <row r="17" spans="1:15" x14ac:dyDescent="0.35">
      <c r="A17" t="s">
        <v>60</v>
      </c>
      <c r="B17">
        <v>771</v>
      </c>
      <c r="C17" t="str">
        <f t="shared" si="0"/>
        <v>OTU_15;size=771;</v>
      </c>
      <c r="D17" s="9" t="s">
        <v>50</v>
      </c>
      <c r="E17" s="9">
        <f t="shared" si="1"/>
        <v>100</v>
      </c>
      <c r="F17" s="9" t="str">
        <f t="shared" si="2"/>
        <v>candidate_division_OP1_clone_OPB14_(AF027045)</v>
      </c>
      <c r="G17" t="s">
        <v>1630</v>
      </c>
      <c r="H17" t="s">
        <v>1550</v>
      </c>
      <c r="I17" t="s">
        <v>1551</v>
      </c>
      <c r="J17">
        <v>100</v>
      </c>
      <c r="L17" t="s">
        <v>55</v>
      </c>
      <c r="M17">
        <v>2412</v>
      </c>
      <c r="N17" t="str">
        <f t="shared" si="3"/>
        <v>OTU_14;size=2412;</v>
      </c>
      <c r="O17" t="s">
        <v>82</v>
      </c>
    </row>
    <row r="18" spans="1:15" x14ac:dyDescent="0.35">
      <c r="A18" t="s">
        <v>72</v>
      </c>
      <c r="B18">
        <v>754</v>
      </c>
      <c r="C18" t="str">
        <f t="shared" si="0"/>
        <v>OTU_16;size=754;</v>
      </c>
      <c r="D18" s="9" t="s">
        <v>86</v>
      </c>
      <c r="E18" s="9">
        <f t="shared" si="1"/>
        <v>100</v>
      </c>
      <c r="F18" s="9" t="str">
        <f t="shared" si="2"/>
        <v>Natronincola_peptidivorans_(T)_Z-7031_(EF382661)</v>
      </c>
      <c r="G18" t="s">
        <v>1630</v>
      </c>
      <c r="H18" t="s">
        <v>1546</v>
      </c>
      <c r="I18" t="s">
        <v>1547</v>
      </c>
      <c r="J18">
        <v>100</v>
      </c>
      <c r="L18" t="s">
        <v>72</v>
      </c>
      <c r="M18">
        <v>1749</v>
      </c>
      <c r="N18" t="str">
        <f t="shared" si="3"/>
        <v>OTU_16;size=1749;</v>
      </c>
      <c r="O18" t="s">
        <v>88</v>
      </c>
    </row>
    <row r="19" spans="1:15" x14ac:dyDescent="0.35">
      <c r="A19" t="s">
        <v>97</v>
      </c>
      <c r="B19">
        <v>634</v>
      </c>
      <c r="C19" t="str">
        <f t="shared" si="0"/>
        <v>OTU_17;size=634;</v>
      </c>
      <c r="D19" s="9" t="s">
        <v>110</v>
      </c>
      <c r="E19" s="9">
        <f t="shared" si="1"/>
        <v>100</v>
      </c>
      <c r="F19" s="9" t="str">
        <f t="shared" si="2"/>
        <v>Desulfovibrio_oxamicus_(T)_DSM_1925_(DQ122124)</v>
      </c>
      <c r="G19" t="s">
        <v>1630</v>
      </c>
      <c r="H19" t="s">
        <v>1555</v>
      </c>
      <c r="I19" t="s">
        <v>1556</v>
      </c>
      <c r="J19">
        <v>100</v>
      </c>
      <c r="L19" t="s">
        <v>97</v>
      </c>
      <c r="M19">
        <v>1477</v>
      </c>
      <c r="N19" t="str">
        <f t="shared" si="3"/>
        <v>OTU_17;size=1477;</v>
      </c>
      <c r="O19" t="s">
        <v>92</v>
      </c>
    </row>
    <row r="20" spans="1:15" x14ac:dyDescent="0.35">
      <c r="A20" t="s">
        <v>74</v>
      </c>
      <c r="B20">
        <v>556</v>
      </c>
      <c r="C20" t="str">
        <f t="shared" si="0"/>
        <v>OTU_18;size=556;</v>
      </c>
      <c r="D20" s="9" t="s">
        <v>1631</v>
      </c>
      <c r="E20" s="9">
        <f t="shared" si="1"/>
        <v>100</v>
      </c>
      <c r="F20" s="9" t="str">
        <f t="shared" si="2"/>
        <v>-</v>
      </c>
      <c r="G20" t="s">
        <v>1630</v>
      </c>
      <c r="H20" t="s">
        <v>1557</v>
      </c>
      <c r="I20" t="s">
        <v>1558</v>
      </c>
      <c r="J20">
        <v>100</v>
      </c>
      <c r="L20" t="s">
        <v>135</v>
      </c>
      <c r="M20">
        <v>1313</v>
      </c>
      <c r="N20" t="str">
        <f t="shared" si="3"/>
        <v>OTU_19;size=1313;</v>
      </c>
      <c r="O20" t="s">
        <v>86</v>
      </c>
    </row>
    <row r="21" spans="1:15" x14ac:dyDescent="0.35">
      <c r="A21" t="s">
        <v>99</v>
      </c>
      <c r="B21">
        <v>508</v>
      </c>
      <c r="C21" t="str">
        <f t="shared" si="0"/>
        <v>OTU_20;size=508;</v>
      </c>
      <c r="D21" s="9" t="s">
        <v>82</v>
      </c>
      <c r="E21" s="9">
        <f t="shared" si="1"/>
        <v>100</v>
      </c>
      <c r="F21" s="9" t="str">
        <f t="shared" si="2"/>
        <v>Sulfurospirillum_alkalitolerans_HTRB-L1_(GQ863490)</v>
      </c>
      <c r="G21" t="s">
        <v>1630</v>
      </c>
      <c r="H21" t="s">
        <v>1646</v>
      </c>
      <c r="I21" t="s">
        <v>1554</v>
      </c>
      <c r="J21">
        <v>100</v>
      </c>
      <c r="L21" t="s">
        <v>74</v>
      </c>
      <c r="M21">
        <v>1303</v>
      </c>
      <c r="N21" t="str">
        <f t="shared" si="3"/>
        <v>OTU_18;size=1303;</v>
      </c>
      <c r="O21" t="s">
        <v>54</v>
      </c>
    </row>
    <row r="22" spans="1:15" x14ac:dyDescent="0.35">
      <c r="A22" t="s">
        <v>135</v>
      </c>
      <c r="B22">
        <v>506</v>
      </c>
      <c r="C22" t="str">
        <f t="shared" si="0"/>
        <v>OTU_19;size=506;</v>
      </c>
      <c r="D22" s="9" t="s">
        <v>71</v>
      </c>
      <c r="E22" s="9">
        <f t="shared" si="1"/>
        <v>100</v>
      </c>
      <c r="F22" s="9" t="str">
        <f t="shared" si="2"/>
        <v>Syntrophaceticus_schinkii_(T)_Sp3_(EU386162)</v>
      </c>
      <c r="G22" t="s">
        <v>1630</v>
      </c>
      <c r="H22" t="s">
        <v>1562</v>
      </c>
      <c r="I22" t="s">
        <v>1563</v>
      </c>
      <c r="J22">
        <v>100</v>
      </c>
      <c r="L22" t="s">
        <v>99</v>
      </c>
      <c r="M22">
        <v>1134</v>
      </c>
      <c r="N22" t="str">
        <f t="shared" si="3"/>
        <v>OTU_20;size=1134;</v>
      </c>
      <c r="O22" t="s">
        <v>90</v>
      </c>
    </row>
    <row r="23" spans="1:15" x14ac:dyDescent="0.35">
      <c r="A23" t="s">
        <v>106</v>
      </c>
      <c r="B23">
        <v>476</v>
      </c>
      <c r="C23" t="str">
        <f t="shared" si="0"/>
        <v>OTU_21;size=476;</v>
      </c>
      <c r="D23" s="9" t="s">
        <v>59</v>
      </c>
      <c r="E23" s="9">
        <f t="shared" si="1"/>
        <v>100</v>
      </c>
      <c r="F23" s="9" t="str">
        <f t="shared" si="2"/>
        <v>Methanocalculus_pumilus_(T)_MHT-1_(AB008853)</v>
      </c>
      <c r="G23" t="s">
        <v>1630</v>
      </c>
      <c r="H23" t="s">
        <v>1652</v>
      </c>
      <c r="I23" t="s">
        <v>1559</v>
      </c>
      <c r="J23">
        <v>100</v>
      </c>
      <c r="L23" t="s">
        <v>106</v>
      </c>
      <c r="M23">
        <v>1099</v>
      </c>
      <c r="N23" t="str">
        <f t="shared" si="3"/>
        <v>OTU_21;size=1099;</v>
      </c>
      <c r="O23" t="s">
        <v>105</v>
      </c>
    </row>
    <row r="24" spans="1:15" x14ac:dyDescent="0.35">
      <c r="A24" t="s">
        <v>83</v>
      </c>
      <c r="B24">
        <v>459</v>
      </c>
      <c r="C24" t="str">
        <f t="shared" si="0"/>
        <v>OTU_22;size=459;</v>
      </c>
      <c r="D24" s="9" t="s">
        <v>96</v>
      </c>
      <c r="E24" s="9">
        <f t="shared" si="1"/>
        <v>100</v>
      </c>
      <c r="F24" s="9" t="str">
        <f t="shared" si="2"/>
        <v>Acetobacterium_malicum_(T)_DSM_4132_(X96957)</v>
      </c>
      <c r="G24" t="s">
        <v>1630</v>
      </c>
      <c r="H24" t="s">
        <v>1653</v>
      </c>
      <c r="I24" t="s">
        <v>1566</v>
      </c>
      <c r="J24">
        <v>100</v>
      </c>
      <c r="L24" t="s">
        <v>83</v>
      </c>
      <c r="M24">
        <v>1098</v>
      </c>
      <c r="N24" t="str">
        <f t="shared" si="3"/>
        <v>OTU_22;size=1098;</v>
      </c>
      <c r="O24" t="s">
        <v>96</v>
      </c>
    </row>
    <row r="25" spans="1:15" x14ac:dyDescent="0.35">
      <c r="A25" t="s">
        <v>91</v>
      </c>
      <c r="B25">
        <v>419</v>
      </c>
      <c r="C25" t="str">
        <f t="shared" si="0"/>
        <v>OTU_23;size=419;</v>
      </c>
      <c r="D25" s="9" t="s">
        <v>16</v>
      </c>
      <c r="E25" s="9">
        <f t="shared" si="1"/>
        <v>100</v>
      </c>
      <c r="F25" s="9" t="str">
        <f t="shared" si="2"/>
        <v>Thermodesulfovibrio_aggregans_(T)_TGE-P1_(AB021302)</v>
      </c>
      <c r="G25" t="s">
        <v>1630</v>
      </c>
      <c r="H25" t="s">
        <v>1516</v>
      </c>
      <c r="I25" t="s">
        <v>1565</v>
      </c>
      <c r="J25">
        <v>100</v>
      </c>
      <c r="L25" t="s">
        <v>91</v>
      </c>
      <c r="M25">
        <v>957</v>
      </c>
      <c r="N25" t="str">
        <f t="shared" si="3"/>
        <v>OTU_23;size=957;</v>
      </c>
      <c r="O25" t="s">
        <v>1631</v>
      </c>
    </row>
    <row r="26" spans="1:15" x14ac:dyDescent="0.35">
      <c r="A26" t="s">
        <v>126</v>
      </c>
      <c r="B26">
        <v>408</v>
      </c>
      <c r="C26" t="str">
        <f t="shared" si="0"/>
        <v>OTU_24;size=408;</v>
      </c>
      <c r="D26" s="9" t="s">
        <v>105</v>
      </c>
      <c r="E26" s="9">
        <f t="shared" si="1"/>
        <v>100</v>
      </c>
      <c r="F26" s="9" t="str">
        <f t="shared" si="2"/>
        <v>Ignavibacterium_album_(T)_Mat9-16_(AB478415)</v>
      </c>
      <c r="G26" t="s">
        <v>1630</v>
      </c>
      <c r="H26" t="s">
        <v>1560</v>
      </c>
      <c r="I26" t="s">
        <v>1561</v>
      </c>
      <c r="J26">
        <v>100</v>
      </c>
      <c r="L26" t="s">
        <v>126</v>
      </c>
      <c r="M26">
        <v>937</v>
      </c>
      <c r="N26" t="str">
        <f t="shared" si="3"/>
        <v>OTU_24;size=937;</v>
      </c>
      <c r="O26" t="s">
        <v>112</v>
      </c>
    </row>
    <row r="27" spans="1:15" x14ac:dyDescent="0.35">
      <c r="A27" t="s">
        <v>145</v>
      </c>
      <c r="B27">
        <v>394</v>
      </c>
      <c r="C27" t="str">
        <f t="shared" si="0"/>
        <v>OTU_25;size=394;</v>
      </c>
      <c r="D27" s="9" t="s">
        <v>136</v>
      </c>
      <c r="E27" s="9">
        <f t="shared" si="1"/>
        <v>100</v>
      </c>
      <c r="F27" s="9" t="str">
        <f t="shared" si="2"/>
        <v>Caldicoprobacter_guelmensis_(T)_D2C22_(JQ707908)</v>
      </c>
      <c r="G27" t="s">
        <v>1630</v>
      </c>
      <c r="H27" t="s">
        <v>1654</v>
      </c>
      <c r="I27" t="s">
        <v>1581</v>
      </c>
      <c r="J27">
        <v>98.8</v>
      </c>
      <c r="L27" t="s">
        <v>145</v>
      </c>
      <c r="M27">
        <v>881</v>
      </c>
      <c r="N27" t="str">
        <f t="shared" si="3"/>
        <v>OTU_25;size=881;</v>
      </c>
      <c r="O27" t="s">
        <v>110</v>
      </c>
    </row>
    <row r="28" spans="1:15" x14ac:dyDescent="0.35">
      <c r="A28" t="s">
        <v>89</v>
      </c>
      <c r="B28">
        <v>326</v>
      </c>
      <c r="C28" t="str">
        <f t="shared" si="0"/>
        <v>OTU_26;size=326;</v>
      </c>
      <c r="D28" s="9" t="s">
        <v>76</v>
      </c>
      <c r="E28" s="9">
        <f t="shared" si="1"/>
        <v>100</v>
      </c>
      <c r="F28" s="9" t="str">
        <f t="shared" si="2"/>
        <v>Methanothermobacter_thermoflexus_(T)_IDZ,_VKM_B-1963,_DSM_7268_(X99047)</v>
      </c>
      <c r="G28" t="s">
        <v>1630</v>
      </c>
      <c r="H28" t="s">
        <v>1656</v>
      </c>
      <c r="I28" t="s">
        <v>1572</v>
      </c>
      <c r="J28">
        <v>100</v>
      </c>
      <c r="L28" t="s">
        <v>294</v>
      </c>
      <c r="M28">
        <v>801</v>
      </c>
      <c r="N28" t="str">
        <f t="shared" si="3"/>
        <v>OTU_29;size=801;</v>
      </c>
      <c r="O28" t="s">
        <v>125</v>
      </c>
    </row>
    <row r="29" spans="1:15" x14ac:dyDescent="0.35">
      <c r="A29" t="s">
        <v>93</v>
      </c>
      <c r="B29">
        <v>298</v>
      </c>
      <c r="C29" t="str">
        <f t="shared" si="0"/>
        <v>OTU_27;size=298;</v>
      </c>
      <c r="D29" s="9" t="s">
        <v>141</v>
      </c>
      <c r="E29" s="9">
        <f t="shared" si="1"/>
        <v>100</v>
      </c>
      <c r="F29" s="9" t="str">
        <f t="shared" si="2"/>
        <v>Magnetospira_thiophila_(T)_MMS-1_(EU861390)</v>
      </c>
      <c r="G29" t="s">
        <v>1630</v>
      </c>
      <c r="H29" t="s">
        <v>1655</v>
      </c>
      <c r="I29" t="s">
        <v>1564</v>
      </c>
      <c r="J29">
        <v>100</v>
      </c>
      <c r="L29" t="s">
        <v>89</v>
      </c>
      <c r="M29">
        <v>725</v>
      </c>
      <c r="N29" t="str">
        <f t="shared" si="3"/>
        <v>OTU_26;size=725;</v>
      </c>
      <c r="O29" t="s">
        <v>16</v>
      </c>
    </row>
    <row r="30" spans="1:15" x14ac:dyDescent="0.35">
      <c r="A30" t="s">
        <v>113</v>
      </c>
      <c r="B30">
        <v>290</v>
      </c>
      <c r="C30" t="str">
        <f t="shared" si="0"/>
        <v>OTU_35;size=290;</v>
      </c>
      <c r="D30" s="9" t="s">
        <v>1498</v>
      </c>
      <c r="E30" s="9">
        <f t="shared" si="1"/>
        <v>98.8</v>
      </c>
      <c r="F30" s="9" t="str">
        <f t="shared" si="2"/>
        <v>Sporomusa_ovata_strain_DSM_2662_(NR_117659.1)</v>
      </c>
      <c r="G30" t="s">
        <v>1630</v>
      </c>
      <c r="H30" t="s">
        <v>1569</v>
      </c>
      <c r="I30" t="s">
        <v>1570</v>
      </c>
      <c r="J30">
        <v>100</v>
      </c>
      <c r="L30" t="s">
        <v>602</v>
      </c>
      <c r="M30">
        <v>543</v>
      </c>
      <c r="N30" t="str">
        <f t="shared" si="3"/>
        <v>OTU_31;size=543;</v>
      </c>
      <c r="O30" t="s">
        <v>67</v>
      </c>
    </row>
    <row r="31" spans="1:15" x14ac:dyDescent="0.35">
      <c r="A31" t="s">
        <v>87</v>
      </c>
      <c r="B31">
        <v>287</v>
      </c>
      <c r="C31" t="str">
        <f t="shared" si="0"/>
        <v>OTU_28;size=287;</v>
      </c>
      <c r="D31" s="9" t="s">
        <v>144</v>
      </c>
      <c r="E31" s="9">
        <f t="shared" si="1"/>
        <v>100</v>
      </c>
      <c r="F31" s="9" t="str">
        <f t="shared" si="2"/>
        <v>Sunxiuqinia_faeciviva_(T)_JAM-BA0302_(AB362263)</v>
      </c>
      <c r="G31" t="s">
        <v>1630</v>
      </c>
      <c r="H31" t="s">
        <v>1657</v>
      </c>
      <c r="I31" t="s">
        <v>1571</v>
      </c>
      <c r="J31">
        <v>100</v>
      </c>
      <c r="L31" t="s">
        <v>93</v>
      </c>
      <c r="M31">
        <v>541</v>
      </c>
      <c r="N31" t="str">
        <f t="shared" si="3"/>
        <v>OTU_27;size=541;</v>
      </c>
      <c r="O31" t="s">
        <v>129</v>
      </c>
    </row>
    <row r="32" spans="1:15" x14ac:dyDescent="0.35">
      <c r="A32" t="s">
        <v>294</v>
      </c>
      <c r="B32">
        <v>273</v>
      </c>
      <c r="C32" t="str">
        <f t="shared" si="0"/>
        <v>OTU_29;size=273;</v>
      </c>
      <c r="D32" s="9" t="s">
        <v>88</v>
      </c>
      <c r="E32" s="9">
        <f t="shared" si="1"/>
        <v>100</v>
      </c>
      <c r="F32" s="9" t="str">
        <f t="shared" si="2"/>
        <v>Methanobacterium_alcaliphilum_(T)_NBRC_105226_(AB496639)</v>
      </c>
      <c r="G32" t="s">
        <v>1630</v>
      </c>
      <c r="H32" t="s">
        <v>1578</v>
      </c>
      <c r="I32" t="s">
        <v>1579</v>
      </c>
      <c r="J32">
        <v>100</v>
      </c>
      <c r="L32" t="s">
        <v>153</v>
      </c>
      <c r="M32">
        <v>501</v>
      </c>
      <c r="N32" t="str">
        <f t="shared" si="3"/>
        <v>OTU_30;size=501;</v>
      </c>
      <c r="O32" t="s">
        <v>136</v>
      </c>
    </row>
    <row r="33" spans="1:15" x14ac:dyDescent="0.35">
      <c r="A33" t="s">
        <v>153</v>
      </c>
      <c r="B33">
        <v>254</v>
      </c>
      <c r="C33" t="str">
        <f t="shared" si="0"/>
        <v>OTU_30;size=254;</v>
      </c>
      <c r="D33" s="9" t="s">
        <v>92</v>
      </c>
      <c r="E33" s="9">
        <f t="shared" si="1"/>
        <v>100</v>
      </c>
      <c r="F33" s="9" t="str">
        <f t="shared" si="2"/>
        <v>Porphyromonas_pogonae_strain_MI_10-1288_(NR_136443.1)</v>
      </c>
      <c r="G33" t="s">
        <v>1630</v>
      </c>
      <c r="H33" t="s">
        <v>1658</v>
      </c>
      <c r="I33" t="s">
        <v>1574</v>
      </c>
      <c r="J33">
        <v>100</v>
      </c>
      <c r="L33" t="s">
        <v>87</v>
      </c>
      <c r="M33">
        <v>490</v>
      </c>
      <c r="N33" t="str">
        <f t="shared" si="3"/>
        <v>OTU_28;size=490;</v>
      </c>
      <c r="O33" t="s">
        <v>134</v>
      </c>
    </row>
    <row r="34" spans="1:15" x14ac:dyDescent="0.35">
      <c r="A34" t="s">
        <v>193</v>
      </c>
      <c r="B34">
        <v>254</v>
      </c>
      <c r="C34" t="str">
        <f t="shared" si="0"/>
        <v>OTU_36;size=254;</v>
      </c>
      <c r="D34" s="9" t="s">
        <v>125</v>
      </c>
      <c r="E34" s="9">
        <f t="shared" si="1"/>
        <v>100</v>
      </c>
      <c r="F34" s="9" t="str">
        <f t="shared" si="2"/>
        <v>Ornatilinea_apprima_P3M-1_(JQ292916)</v>
      </c>
      <c r="G34" t="s">
        <v>1630</v>
      </c>
      <c r="H34" t="s">
        <v>1660</v>
      </c>
      <c r="I34" t="s">
        <v>1735</v>
      </c>
      <c r="J34">
        <v>100</v>
      </c>
      <c r="L34" t="s">
        <v>164</v>
      </c>
      <c r="M34">
        <v>310</v>
      </c>
      <c r="N34" t="str">
        <f t="shared" si="3"/>
        <v>OTU_44;size=310;</v>
      </c>
      <c r="O34" t="s">
        <v>147</v>
      </c>
    </row>
    <row r="35" spans="1:15" x14ac:dyDescent="0.35">
      <c r="A35" t="s">
        <v>602</v>
      </c>
      <c r="B35">
        <v>223</v>
      </c>
      <c r="C35" t="str">
        <f t="shared" ref="C35:C66" si="4">A35&amp;";size="&amp;B35&amp;";"</f>
        <v>OTU_31;size=223;</v>
      </c>
      <c r="D35" s="9" t="s">
        <v>129</v>
      </c>
      <c r="E35" s="9">
        <f t="shared" si="1"/>
        <v>100</v>
      </c>
      <c r="F35" s="9" t="str">
        <f t="shared" si="2"/>
        <v>Desulfovibrio_alkalitolerans_(T)_RT2_(AY649785)</v>
      </c>
      <c r="G35" t="s">
        <v>1630</v>
      </c>
      <c r="H35" t="s">
        <v>1567</v>
      </c>
      <c r="I35" t="s">
        <v>1568</v>
      </c>
      <c r="J35">
        <v>100</v>
      </c>
      <c r="L35" t="s">
        <v>111</v>
      </c>
      <c r="M35">
        <v>309</v>
      </c>
      <c r="N35" t="str">
        <f t="shared" si="3"/>
        <v>OTU_32;size=309;</v>
      </c>
      <c r="O35" t="s">
        <v>154</v>
      </c>
    </row>
    <row r="36" spans="1:15" x14ac:dyDescent="0.35">
      <c r="A36" t="s">
        <v>111</v>
      </c>
      <c r="B36">
        <v>211</v>
      </c>
      <c r="C36" t="str">
        <f t="shared" si="4"/>
        <v>OTU_32;size=211;</v>
      </c>
      <c r="D36" s="9" t="s">
        <v>1631</v>
      </c>
      <c r="E36" s="9">
        <f t="shared" si="1"/>
        <v>100</v>
      </c>
      <c r="F36" s="9" t="str">
        <f t="shared" si="2"/>
        <v>-</v>
      </c>
      <c r="G36" t="s">
        <v>1630</v>
      </c>
      <c r="H36" t="s">
        <v>1659</v>
      </c>
      <c r="I36" t="s">
        <v>1573</v>
      </c>
      <c r="J36">
        <v>100</v>
      </c>
      <c r="L36" t="s">
        <v>272</v>
      </c>
      <c r="M36">
        <v>305</v>
      </c>
      <c r="N36" t="str">
        <f t="shared" si="3"/>
        <v>OTU_34;size=305;</v>
      </c>
      <c r="O36" t="s">
        <v>152</v>
      </c>
    </row>
    <row r="37" spans="1:15" x14ac:dyDescent="0.35">
      <c r="A37" t="s">
        <v>209</v>
      </c>
      <c r="B37">
        <v>211</v>
      </c>
      <c r="C37" t="str">
        <f t="shared" si="4"/>
        <v>OTU_49;size=211;</v>
      </c>
      <c r="D37" s="9" t="s">
        <v>163</v>
      </c>
      <c r="E37" s="9">
        <f>VLOOKUP(C37,$H$3:$J$105,3,FALSE)</f>
        <v>100</v>
      </c>
      <c r="F37" s="9" t="str">
        <f t="shared" si="2"/>
        <v>Dethiobacter_alkaliphilus_(T)_AHT_1_(EF422412)</v>
      </c>
      <c r="G37" t="s">
        <v>1630</v>
      </c>
      <c r="H37" t="s">
        <v>1661</v>
      </c>
      <c r="I37" t="s">
        <v>1576</v>
      </c>
      <c r="J37">
        <v>100</v>
      </c>
      <c r="L37" t="s">
        <v>130</v>
      </c>
      <c r="M37">
        <v>301</v>
      </c>
      <c r="N37" t="str">
        <f t="shared" si="3"/>
        <v>OTU_33;size=301;</v>
      </c>
      <c r="O37" t="s">
        <v>141</v>
      </c>
    </row>
    <row r="38" spans="1:15" x14ac:dyDescent="0.35">
      <c r="A38" t="s">
        <v>130</v>
      </c>
      <c r="B38">
        <v>204</v>
      </c>
      <c r="C38" t="str">
        <f t="shared" si="4"/>
        <v>OTU_33;size=204;</v>
      </c>
      <c r="D38" s="9" t="s">
        <v>134</v>
      </c>
      <c r="E38" s="9">
        <f t="shared" si="1"/>
        <v>100</v>
      </c>
      <c r="F38" s="9" t="str">
        <f t="shared" si="2"/>
        <v>Syntrophobacter_sulfatireducens_(T)_TB8106_(AY651787)</v>
      </c>
      <c r="G38" t="s">
        <v>1630</v>
      </c>
      <c r="H38" t="s">
        <v>1664</v>
      </c>
      <c r="I38" t="s">
        <v>1580</v>
      </c>
      <c r="J38">
        <v>100</v>
      </c>
      <c r="L38" t="s">
        <v>113</v>
      </c>
      <c r="M38">
        <v>283</v>
      </c>
      <c r="N38" t="str">
        <f t="shared" si="3"/>
        <v>OTU_35;size=283;</v>
      </c>
      <c r="O38" t="s">
        <v>144</v>
      </c>
    </row>
    <row r="39" spans="1:15" x14ac:dyDescent="0.35">
      <c r="A39" t="s">
        <v>272</v>
      </c>
      <c r="B39">
        <v>178</v>
      </c>
      <c r="C39" t="str">
        <f t="shared" si="4"/>
        <v>OTU_34;size=178;</v>
      </c>
      <c r="D39" s="9" t="s">
        <v>196</v>
      </c>
      <c r="E39" s="9">
        <f t="shared" si="1"/>
        <v>100</v>
      </c>
      <c r="F39" s="9" t="str">
        <f t="shared" si="2"/>
        <v>Dielma_fastidiosa_strain_JC13_(NR_125593.1)</v>
      </c>
      <c r="G39" t="s">
        <v>1630</v>
      </c>
      <c r="H39" t="s">
        <v>1663</v>
      </c>
      <c r="I39" t="s">
        <v>1575</v>
      </c>
      <c r="J39">
        <v>100</v>
      </c>
      <c r="L39" t="s">
        <v>432</v>
      </c>
      <c r="M39">
        <v>270</v>
      </c>
      <c r="N39" t="str">
        <f t="shared" si="3"/>
        <v>OTU_154;size=270;</v>
      </c>
      <c r="O39" t="s">
        <v>1496</v>
      </c>
    </row>
    <row r="40" spans="1:15" x14ac:dyDescent="0.35">
      <c r="A40" t="s">
        <v>197</v>
      </c>
      <c r="B40">
        <v>149</v>
      </c>
      <c r="C40" t="str">
        <f t="shared" si="4"/>
        <v>OTU_43;size=149;</v>
      </c>
      <c r="D40" s="9" t="s">
        <v>152</v>
      </c>
      <c r="E40" s="9">
        <f t="shared" si="1"/>
        <v>100</v>
      </c>
      <c r="F40" s="9" t="str">
        <f t="shared" si="2"/>
        <v>Smithella_propionica_(T)_LYP_(AF126282)</v>
      </c>
      <c r="G40" t="s">
        <v>1630</v>
      </c>
      <c r="H40" t="s">
        <v>1669</v>
      </c>
      <c r="I40" t="s">
        <v>1586</v>
      </c>
      <c r="J40">
        <v>100</v>
      </c>
      <c r="L40" t="s">
        <v>193</v>
      </c>
      <c r="M40">
        <v>261</v>
      </c>
      <c r="N40" t="str">
        <f t="shared" si="3"/>
        <v>OTU_36;size=261;</v>
      </c>
      <c r="O40" t="s">
        <v>1631</v>
      </c>
    </row>
    <row r="41" spans="1:15" x14ac:dyDescent="0.35">
      <c r="A41" t="s">
        <v>128</v>
      </c>
      <c r="B41">
        <v>135</v>
      </c>
      <c r="C41" t="str">
        <f t="shared" si="4"/>
        <v>OTU_37;size=135;</v>
      </c>
      <c r="D41" s="9" t="s">
        <v>206</v>
      </c>
      <c r="E41" s="9">
        <f t="shared" si="1"/>
        <v>100</v>
      </c>
      <c r="F41" s="9" t="str">
        <f t="shared" si="2"/>
        <v>Methanospirillum_hungatei_strain_JF-1_(NR_074177.1)</v>
      </c>
      <c r="G41" t="s">
        <v>1630</v>
      </c>
      <c r="H41" t="s">
        <v>1577</v>
      </c>
      <c r="I41" t="s">
        <v>1662</v>
      </c>
      <c r="J41">
        <v>100</v>
      </c>
      <c r="L41" t="s">
        <v>349</v>
      </c>
      <c r="M41">
        <v>233</v>
      </c>
      <c r="N41" t="str">
        <f t="shared" si="3"/>
        <v>OTU_38;size=233;</v>
      </c>
      <c r="O41" t="s">
        <v>158</v>
      </c>
    </row>
    <row r="42" spans="1:15" x14ac:dyDescent="0.35">
      <c r="A42" t="s">
        <v>349</v>
      </c>
      <c r="B42">
        <v>126</v>
      </c>
      <c r="C42" t="str">
        <f t="shared" si="4"/>
        <v>OTU_38;size=126;</v>
      </c>
      <c r="D42" s="9" t="s">
        <v>176</v>
      </c>
      <c r="E42" s="9">
        <f t="shared" si="1"/>
        <v>100</v>
      </c>
      <c r="F42" s="9" t="str">
        <f t="shared" si="2"/>
        <v>Pseudomonas_songnenensis_strain_NEAU-ST5-5_(NR_148295.1)</v>
      </c>
      <c r="G42" t="s">
        <v>1630</v>
      </c>
      <c r="H42" t="s">
        <v>1665</v>
      </c>
      <c r="I42" t="s">
        <v>1585</v>
      </c>
      <c r="J42">
        <v>100</v>
      </c>
      <c r="L42" t="s">
        <v>128</v>
      </c>
      <c r="M42">
        <v>210</v>
      </c>
      <c r="N42" t="str">
        <f t="shared" si="3"/>
        <v>OTU_37;size=210;</v>
      </c>
      <c r="O42" t="s">
        <v>170</v>
      </c>
    </row>
    <row r="43" spans="1:15" x14ac:dyDescent="0.35">
      <c r="A43" t="s">
        <v>137</v>
      </c>
      <c r="B43">
        <v>118</v>
      </c>
      <c r="C43" t="str">
        <f t="shared" si="4"/>
        <v>OTU_39;size=118;</v>
      </c>
      <c r="D43" s="9" t="s">
        <v>180</v>
      </c>
      <c r="E43" s="9">
        <f t="shared" si="1"/>
        <v>100</v>
      </c>
      <c r="F43" s="9" t="str">
        <f t="shared" si="2"/>
        <v>Desulfitobacterium_metallireducens_(T)_853-15A_(AF297871)</v>
      </c>
      <c r="G43" t="s">
        <v>1630</v>
      </c>
      <c r="H43" t="s">
        <v>1667</v>
      </c>
      <c r="I43" t="s">
        <v>1584</v>
      </c>
      <c r="J43">
        <v>100</v>
      </c>
      <c r="L43" t="s">
        <v>142</v>
      </c>
      <c r="M43">
        <v>192</v>
      </c>
      <c r="N43" t="str">
        <f t="shared" si="3"/>
        <v>OTU_42;size=192;</v>
      </c>
      <c r="O43" t="s">
        <v>184</v>
      </c>
    </row>
    <row r="44" spans="1:15" x14ac:dyDescent="0.35">
      <c r="A44" t="s">
        <v>119</v>
      </c>
      <c r="B44">
        <v>110</v>
      </c>
      <c r="C44" t="str">
        <f t="shared" si="4"/>
        <v>OTU_40;size=110;</v>
      </c>
      <c r="D44" s="9" t="s">
        <v>158</v>
      </c>
      <c r="E44" s="9">
        <f t="shared" si="1"/>
        <v>100</v>
      </c>
      <c r="F44" s="9" t="str">
        <f t="shared" si="2"/>
        <v>Dethiosulfatibacter_aminovorans_(T)_C/G2_(=_JCM_13356,_=_NBRC_101112,_=_DSM_17477)_(AB218661)</v>
      </c>
      <c r="G44" t="s">
        <v>1630</v>
      </c>
      <c r="H44" t="s">
        <v>1668</v>
      </c>
      <c r="I44" t="s">
        <v>1582</v>
      </c>
      <c r="J44">
        <v>100</v>
      </c>
      <c r="L44" t="s">
        <v>119</v>
      </c>
      <c r="M44">
        <v>183</v>
      </c>
      <c r="N44" t="str">
        <f t="shared" si="3"/>
        <v>OTU_40;size=183;</v>
      </c>
      <c r="O44" t="s">
        <v>187</v>
      </c>
    </row>
    <row r="45" spans="1:15" x14ac:dyDescent="0.35">
      <c r="A45" t="s">
        <v>164</v>
      </c>
      <c r="B45">
        <v>98</v>
      </c>
      <c r="C45" t="str">
        <f t="shared" si="4"/>
        <v>OTU_44;size=98;</v>
      </c>
      <c r="D45" s="9" t="s">
        <v>215</v>
      </c>
      <c r="E45" s="9">
        <f t="shared" si="1"/>
        <v>100</v>
      </c>
      <c r="F45" s="9" t="str">
        <f t="shared" si="2"/>
        <v>Thermodesulfovibrio_yellowstonii_(T)_YP87_(AB231858)</v>
      </c>
      <c r="G45" t="s">
        <v>1630</v>
      </c>
      <c r="H45" t="s">
        <v>1666</v>
      </c>
      <c r="I45" t="s">
        <v>1583</v>
      </c>
      <c r="J45">
        <v>100</v>
      </c>
      <c r="L45" t="s">
        <v>181</v>
      </c>
      <c r="M45">
        <v>179</v>
      </c>
      <c r="N45" t="str">
        <f t="shared" si="3"/>
        <v>OTU_41;size=179;</v>
      </c>
      <c r="O45" t="s">
        <v>202</v>
      </c>
    </row>
    <row r="46" spans="1:15" x14ac:dyDescent="0.35">
      <c r="A46" t="s">
        <v>156</v>
      </c>
      <c r="B46">
        <v>98</v>
      </c>
      <c r="C46" t="str">
        <f t="shared" si="4"/>
        <v>OTU_52;size=98;</v>
      </c>
      <c r="D46" s="9" t="s">
        <v>229</v>
      </c>
      <c r="E46" s="9">
        <f t="shared" si="1"/>
        <v>99.2</v>
      </c>
      <c r="F46" s="9" t="str">
        <f t="shared" si="2"/>
        <v>Syntrophorhabdus_aromaticivorans_(T)_UI_(AB212873)</v>
      </c>
      <c r="G46" t="s">
        <v>1630</v>
      </c>
      <c r="H46" t="s">
        <v>1670</v>
      </c>
      <c r="I46" t="s">
        <v>1591</v>
      </c>
      <c r="J46">
        <v>99.2</v>
      </c>
      <c r="L46" t="s">
        <v>137</v>
      </c>
      <c r="M46">
        <v>172</v>
      </c>
      <c r="N46" t="str">
        <f t="shared" si="3"/>
        <v>OTU_39;size=172;</v>
      </c>
      <c r="O46" t="s">
        <v>192</v>
      </c>
    </row>
    <row r="47" spans="1:15" x14ac:dyDescent="0.35">
      <c r="A47" t="s">
        <v>142</v>
      </c>
      <c r="B47">
        <v>98</v>
      </c>
      <c r="C47" t="str">
        <f t="shared" si="4"/>
        <v>OTU_42;size=98;</v>
      </c>
      <c r="D47" s="9" t="s">
        <v>154</v>
      </c>
      <c r="E47" s="9">
        <f t="shared" si="1"/>
        <v>100</v>
      </c>
      <c r="F47" s="9" t="str">
        <f t="shared" si="2"/>
        <v>Thiohalocapsa_marina_(T)_type_strain:_JA142_(AM491592)</v>
      </c>
      <c r="G47" t="s">
        <v>1630</v>
      </c>
      <c r="H47" t="s">
        <v>1587</v>
      </c>
      <c r="I47" t="s">
        <v>1592</v>
      </c>
      <c r="J47">
        <v>100</v>
      </c>
      <c r="L47" t="s">
        <v>223</v>
      </c>
      <c r="M47">
        <v>163</v>
      </c>
      <c r="N47" t="str">
        <f t="shared" si="3"/>
        <v>OTU_60;size=163;</v>
      </c>
      <c r="O47" t="s">
        <v>163</v>
      </c>
    </row>
    <row r="48" spans="1:15" x14ac:dyDescent="0.35">
      <c r="A48" t="s">
        <v>181</v>
      </c>
      <c r="B48">
        <v>98</v>
      </c>
      <c r="C48" t="str">
        <f t="shared" si="4"/>
        <v>OTU_41;size=98;</v>
      </c>
      <c r="D48" s="9" t="s">
        <v>187</v>
      </c>
      <c r="E48" s="9">
        <f t="shared" si="1"/>
        <v>100</v>
      </c>
      <c r="F48" s="9" t="str">
        <f t="shared" si="2"/>
        <v>Desulfitibacter_alkalitolerans_(T)_sk.kt5_(AY538171)</v>
      </c>
      <c r="G48" t="s">
        <v>1630</v>
      </c>
      <c r="H48" t="s">
        <v>1672</v>
      </c>
      <c r="I48" t="s">
        <v>1589</v>
      </c>
      <c r="J48">
        <v>100</v>
      </c>
      <c r="L48" t="s">
        <v>197</v>
      </c>
      <c r="M48">
        <v>162</v>
      </c>
      <c r="N48" t="str">
        <f t="shared" si="3"/>
        <v>OTU_43;size=162;</v>
      </c>
      <c r="O48" t="s">
        <v>1631</v>
      </c>
    </row>
    <row r="49" spans="1:15" x14ac:dyDescent="0.35">
      <c r="A49" t="s">
        <v>149</v>
      </c>
      <c r="B49">
        <v>90</v>
      </c>
      <c r="C49" t="str">
        <f t="shared" si="4"/>
        <v>OTU_45;size=90;</v>
      </c>
      <c r="D49" s="9" t="s">
        <v>212</v>
      </c>
      <c r="E49" s="9">
        <f t="shared" si="1"/>
        <v>100</v>
      </c>
      <c r="F49" s="9" t="str">
        <f t="shared" si="2"/>
        <v>Syntrophomonas_bryantii_type_strain:_DSM_3014_(HE654006)</v>
      </c>
      <c r="G49" t="s">
        <v>1630</v>
      </c>
      <c r="H49" t="s">
        <v>1673</v>
      </c>
      <c r="I49" t="s">
        <v>1594</v>
      </c>
      <c r="J49">
        <v>100</v>
      </c>
      <c r="L49" t="s">
        <v>149</v>
      </c>
      <c r="M49">
        <v>147</v>
      </c>
      <c r="N49" t="str">
        <f t="shared" si="3"/>
        <v>OTU_45;size=147;</v>
      </c>
      <c r="O49" t="s">
        <v>180</v>
      </c>
    </row>
    <row r="50" spans="1:15" x14ac:dyDescent="0.35">
      <c r="A50" t="s">
        <v>171</v>
      </c>
      <c r="B50">
        <v>85</v>
      </c>
      <c r="C50" t="str">
        <f t="shared" si="4"/>
        <v>OTU_46;size=85;</v>
      </c>
      <c r="D50" s="9" t="s">
        <v>184</v>
      </c>
      <c r="E50" s="9">
        <f t="shared" si="1"/>
        <v>100</v>
      </c>
      <c r="F50" s="9" t="str">
        <f t="shared" si="2"/>
        <v>Pelotomaculum_propionicicum_(T)_MGP_(AB154390)</v>
      </c>
      <c r="G50" t="s">
        <v>1630</v>
      </c>
      <c r="H50" t="s">
        <v>1671</v>
      </c>
      <c r="I50" t="s">
        <v>1588</v>
      </c>
      <c r="J50">
        <v>100</v>
      </c>
      <c r="L50" t="s">
        <v>177</v>
      </c>
      <c r="M50">
        <v>146</v>
      </c>
      <c r="N50" t="str">
        <f t="shared" si="3"/>
        <v>OTU_55;size=146;</v>
      </c>
      <c r="O50" t="s">
        <v>220</v>
      </c>
    </row>
    <row r="51" spans="1:15" x14ac:dyDescent="0.35">
      <c r="A51" t="s">
        <v>148</v>
      </c>
      <c r="B51">
        <v>82</v>
      </c>
      <c r="C51" t="str">
        <f t="shared" si="4"/>
        <v>OTU_47;size=82;</v>
      </c>
      <c r="D51" s="9" t="s">
        <v>170</v>
      </c>
      <c r="E51" s="9">
        <f t="shared" si="1"/>
        <v>100</v>
      </c>
      <c r="F51" s="9" t="str">
        <f t="shared" si="2"/>
        <v>Aminiphilus_circumscriptus_(T)_ILE-2_(AY642589)</v>
      </c>
      <c r="G51" t="s">
        <v>1630</v>
      </c>
      <c r="H51" t="s">
        <v>1674</v>
      </c>
      <c r="I51" t="s">
        <v>1590</v>
      </c>
      <c r="J51">
        <v>100</v>
      </c>
      <c r="L51" t="s">
        <v>171</v>
      </c>
      <c r="M51">
        <v>145</v>
      </c>
      <c r="N51" t="str">
        <f t="shared" si="3"/>
        <v>OTU_46;size=145;</v>
      </c>
      <c r="O51" t="s">
        <v>176</v>
      </c>
    </row>
    <row r="52" spans="1:15" x14ac:dyDescent="0.35">
      <c r="A52" t="s">
        <v>203</v>
      </c>
      <c r="B52">
        <v>79</v>
      </c>
      <c r="C52" t="str">
        <f t="shared" si="4"/>
        <v>OTU_48;size=79;</v>
      </c>
      <c r="D52" s="9" t="s">
        <v>224</v>
      </c>
      <c r="E52" s="9">
        <f t="shared" si="1"/>
        <v>100</v>
      </c>
      <c r="F52" s="9" t="str">
        <f t="shared" si="2"/>
        <v>Thermanaerothrix_daxensis_strain_GNS-1_(NR_117865.1)</v>
      </c>
      <c r="G52" t="s">
        <v>1630</v>
      </c>
      <c r="H52" t="s">
        <v>1675</v>
      </c>
      <c r="I52" t="s">
        <v>1593</v>
      </c>
      <c r="J52">
        <v>100</v>
      </c>
      <c r="L52" t="s">
        <v>148</v>
      </c>
      <c r="M52">
        <v>134</v>
      </c>
      <c r="N52" t="str">
        <f t="shared" si="3"/>
        <v>OTU_47;size=134;</v>
      </c>
      <c r="O52" t="s">
        <v>217</v>
      </c>
    </row>
    <row r="53" spans="1:15" x14ac:dyDescent="0.35">
      <c r="A53" t="s">
        <v>159</v>
      </c>
      <c r="B53">
        <v>70</v>
      </c>
      <c r="C53" t="str">
        <f t="shared" si="4"/>
        <v>OTU_50;size=70;</v>
      </c>
      <c r="D53" s="9" t="s">
        <v>1631</v>
      </c>
      <c r="E53" s="9">
        <f t="shared" si="1"/>
        <v>100</v>
      </c>
      <c r="F53" s="9" t="str">
        <f t="shared" si="2"/>
        <v>-</v>
      </c>
      <c r="G53" t="s">
        <v>1630</v>
      </c>
      <c r="H53" t="s">
        <v>1676</v>
      </c>
      <c r="I53" t="s">
        <v>1613</v>
      </c>
      <c r="J53">
        <v>100</v>
      </c>
      <c r="L53" t="s">
        <v>553</v>
      </c>
      <c r="M53">
        <v>133</v>
      </c>
      <c r="N53" t="str">
        <f t="shared" si="3"/>
        <v>OTU_192;size=133;</v>
      </c>
      <c r="O53" t="s">
        <v>208</v>
      </c>
    </row>
    <row r="54" spans="1:15" x14ac:dyDescent="0.35">
      <c r="A54" t="s">
        <v>237</v>
      </c>
      <c r="B54">
        <v>66</v>
      </c>
      <c r="C54" t="str">
        <f t="shared" si="4"/>
        <v>OTU_53;size=66;</v>
      </c>
      <c r="D54" s="9" t="s">
        <v>199</v>
      </c>
      <c r="E54" s="9">
        <f t="shared" si="1"/>
        <v>100</v>
      </c>
      <c r="F54" s="9" t="str">
        <f t="shared" si="2"/>
        <v>Aminivibrio_pyruvatiphilus_4F6E_(AB623229)</v>
      </c>
      <c r="G54" t="s">
        <v>1630</v>
      </c>
      <c r="H54" t="s">
        <v>1681</v>
      </c>
      <c r="I54" t="s">
        <v>1595</v>
      </c>
      <c r="J54">
        <v>100</v>
      </c>
      <c r="L54" t="s">
        <v>255</v>
      </c>
      <c r="M54">
        <v>130</v>
      </c>
      <c r="N54" t="str">
        <f t="shared" si="3"/>
        <v>OTU_51;size=130;</v>
      </c>
      <c r="O54" t="s">
        <v>127</v>
      </c>
    </row>
    <row r="55" spans="1:15" x14ac:dyDescent="0.35">
      <c r="A55" t="s">
        <v>255</v>
      </c>
      <c r="B55">
        <v>63</v>
      </c>
      <c r="C55" t="str">
        <f t="shared" si="4"/>
        <v>OTU_51;size=63;</v>
      </c>
      <c r="D55" s="9" t="s">
        <v>240</v>
      </c>
      <c r="E55" s="9">
        <f t="shared" si="1"/>
        <v>100</v>
      </c>
      <c r="F55" s="9" t="str">
        <f t="shared" si="2"/>
        <v>Clostridium_luticellarii_strain_FW431_(NR_145907.1)</v>
      </c>
      <c r="G55" t="s">
        <v>1630</v>
      </c>
      <c r="H55" t="s">
        <v>1678</v>
      </c>
      <c r="I55" t="s">
        <v>1621</v>
      </c>
      <c r="J55">
        <v>96.8</v>
      </c>
      <c r="L55" t="s">
        <v>203</v>
      </c>
      <c r="M55">
        <v>130</v>
      </c>
      <c r="N55" t="str">
        <f t="shared" si="3"/>
        <v>OTU_48;size=130;</v>
      </c>
      <c r="O55" t="s">
        <v>199</v>
      </c>
    </row>
    <row r="56" spans="1:15" x14ac:dyDescent="0.35">
      <c r="A56" t="s">
        <v>230</v>
      </c>
      <c r="B56">
        <v>58</v>
      </c>
      <c r="C56" t="str">
        <f t="shared" si="4"/>
        <v>OTU_58;size=58;</v>
      </c>
      <c r="D56" s="9" t="s">
        <v>220</v>
      </c>
      <c r="E56" s="9">
        <f t="shared" si="1"/>
        <v>100</v>
      </c>
      <c r="F56" s="9" t="str">
        <f t="shared" si="2"/>
        <v>Bellilinea_caldifistulae_(T)_GOMI-1_(AB243672)</v>
      </c>
      <c r="G56" t="s">
        <v>1630</v>
      </c>
      <c r="H56" t="s">
        <v>1598</v>
      </c>
      <c r="I56" t="s">
        <v>1677</v>
      </c>
      <c r="J56">
        <v>100</v>
      </c>
      <c r="L56" t="s">
        <v>209</v>
      </c>
      <c r="M56">
        <v>118</v>
      </c>
      <c r="N56" t="str">
        <f t="shared" si="3"/>
        <v>OTU_49;size=118;</v>
      </c>
      <c r="O56" t="s">
        <v>212</v>
      </c>
    </row>
    <row r="57" spans="1:15" x14ac:dyDescent="0.35">
      <c r="A57" t="s">
        <v>189</v>
      </c>
      <c r="B57">
        <v>57</v>
      </c>
      <c r="C57" t="str">
        <f t="shared" si="4"/>
        <v>OTU_54;size=57;</v>
      </c>
      <c r="D57" s="9" t="s">
        <v>222</v>
      </c>
      <c r="E57" s="9">
        <f t="shared" si="1"/>
        <v>100</v>
      </c>
      <c r="F57" s="9" t="str">
        <f t="shared" si="2"/>
        <v>Clostridium_thermocellum_(T)_ATCC_27405_(CP000568)</v>
      </c>
      <c r="G57" t="s">
        <v>1630</v>
      </c>
      <c r="H57" t="s">
        <v>1680</v>
      </c>
      <c r="I57" t="s">
        <v>1599</v>
      </c>
      <c r="J57">
        <v>100</v>
      </c>
      <c r="L57" t="s">
        <v>155</v>
      </c>
      <c r="M57">
        <v>117</v>
      </c>
      <c r="N57" t="str">
        <f t="shared" si="3"/>
        <v>OTU_167;size=117;</v>
      </c>
      <c r="O57" t="s">
        <v>152</v>
      </c>
    </row>
    <row r="58" spans="1:15" x14ac:dyDescent="0.35">
      <c r="A58" t="s">
        <v>356</v>
      </c>
      <c r="B58">
        <v>56</v>
      </c>
      <c r="C58" t="str">
        <f t="shared" si="4"/>
        <v>OTU_94;size=56;</v>
      </c>
      <c r="D58" s="9" t="s">
        <v>220</v>
      </c>
      <c r="E58" s="9">
        <f t="shared" si="1"/>
        <v>96.8</v>
      </c>
      <c r="F58" s="9" t="str">
        <f t="shared" si="2"/>
        <v>Ornatilinea_apprima_P3M-1_(JQ292916)</v>
      </c>
      <c r="G58" t="s">
        <v>1630</v>
      </c>
      <c r="H58" t="s">
        <v>1684</v>
      </c>
      <c r="I58" t="s">
        <v>1596</v>
      </c>
      <c r="J58">
        <v>100</v>
      </c>
      <c r="L58" t="s">
        <v>159</v>
      </c>
      <c r="M58">
        <v>114</v>
      </c>
      <c r="N58" t="str">
        <f t="shared" si="3"/>
        <v>OTU_50;size=114;</v>
      </c>
      <c r="O58" t="s">
        <v>125</v>
      </c>
    </row>
    <row r="59" spans="1:15" x14ac:dyDescent="0.35">
      <c r="A59" t="s">
        <v>177</v>
      </c>
      <c r="B59">
        <v>53</v>
      </c>
      <c r="C59" t="str">
        <f t="shared" si="4"/>
        <v>OTU_55;size=53;</v>
      </c>
      <c r="D59" s="9" t="s">
        <v>236</v>
      </c>
      <c r="E59" s="9">
        <f t="shared" si="1"/>
        <v>100</v>
      </c>
      <c r="F59" s="9" t="str">
        <f t="shared" si="2"/>
        <v>Spirochaeta_smaragdinae_(T)_SEBR_4228;_DSM_11293_(U80597)</v>
      </c>
      <c r="G59" t="s">
        <v>1630</v>
      </c>
      <c r="H59" t="s">
        <v>1679</v>
      </c>
      <c r="I59" t="s">
        <v>1597</v>
      </c>
      <c r="J59">
        <v>100</v>
      </c>
      <c r="L59" t="s">
        <v>237</v>
      </c>
      <c r="M59">
        <v>108</v>
      </c>
      <c r="N59" t="str">
        <f t="shared" si="3"/>
        <v>OTU_53;size=108;</v>
      </c>
      <c r="O59" t="s">
        <v>222</v>
      </c>
    </row>
    <row r="60" spans="1:15" x14ac:dyDescent="0.35">
      <c r="A60" t="s">
        <v>307</v>
      </c>
      <c r="B60">
        <v>50</v>
      </c>
      <c r="C60" t="str">
        <f t="shared" si="4"/>
        <v>OTU_56;size=50;</v>
      </c>
      <c r="D60" s="9" t="s">
        <v>217</v>
      </c>
      <c r="E60" s="9">
        <f t="shared" si="1"/>
        <v>100</v>
      </c>
      <c r="F60" s="9" t="str">
        <f t="shared" si="2"/>
        <v>Marivirga_sericea_(T)_IFO_15983_(AB078081)</v>
      </c>
      <c r="G60" t="s">
        <v>1630</v>
      </c>
      <c r="H60" t="s">
        <v>1683</v>
      </c>
      <c r="I60" t="s">
        <v>1610</v>
      </c>
      <c r="J60">
        <v>100</v>
      </c>
      <c r="L60" t="s">
        <v>189</v>
      </c>
      <c r="M60">
        <v>107</v>
      </c>
      <c r="N60" t="str">
        <f t="shared" si="3"/>
        <v>OTU_54;size=107;</v>
      </c>
      <c r="O60" t="s">
        <v>215</v>
      </c>
    </row>
    <row r="61" spans="1:15" x14ac:dyDescent="0.35">
      <c r="A61" t="s">
        <v>185</v>
      </c>
      <c r="B61">
        <v>47</v>
      </c>
      <c r="C61" t="str">
        <f t="shared" si="4"/>
        <v>OTU_57;size=47;</v>
      </c>
      <c r="D61" s="9" t="s">
        <v>192</v>
      </c>
      <c r="E61" s="9">
        <f t="shared" si="1"/>
        <v>100</v>
      </c>
      <c r="F61" s="9" t="str">
        <f t="shared" si="2"/>
        <v>Ruminococcaceae_bacterium_ZWB_4_(HG003571)</v>
      </c>
      <c r="G61" t="s">
        <v>1630</v>
      </c>
      <c r="H61" t="s">
        <v>1682</v>
      </c>
      <c r="I61" t="s">
        <v>1600</v>
      </c>
      <c r="J61">
        <v>100</v>
      </c>
      <c r="L61" t="s">
        <v>156</v>
      </c>
      <c r="M61">
        <v>104</v>
      </c>
      <c r="N61" t="str">
        <f t="shared" si="3"/>
        <v>OTU_52;size=104;</v>
      </c>
      <c r="O61" t="s">
        <v>232</v>
      </c>
    </row>
    <row r="62" spans="1:15" x14ac:dyDescent="0.35">
      <c r="A62" t="s">
        <v>223</v>
      </c>
      <c r="B62">
        <v>43</v>
      </c>
      <c r="C62" t="str">
        <f t="shared" si="4"/>
        <v>OTU_60;size=43;</v>
      </c>
      <c r="D62" s="9" t="s">
        <v>270</v>
      </c>
      <c r="E62" s="9">
        <f t="shared" si="1"/>
        <v>100</v>
      </c>
      <c r="F62" s="9" t="str">
        <f t="shared" si="2"/>
        <v>Tepidanaerobacter_syntrophicus_(T)_JL_(AB106353)</v>
      </c>
      <c r="G62" t="s">
        <v>1630</v>
      </c>
      <c r="H62" t="s">
        <v>1686</v>
      </c>
      <c r="I62" t="s">
        <v>1687</v>
      </c>
      <c r="J62">
        <v>100</v>
      </c>
      <c r="L62" t="s">
        <v>286</v>
      </c>
      <c r="M62">
        <v>97</v>
      </c>
      <c r="N62" t="str">
        <f t="shared" si="3"/>
        <v>OTU_72;size=97;</v>
      </c>
      <c r="O62" t="s">
        <v>229</v>
      </c>
    </row>
    <row r="63" spans="1:15" x14ac:dyDescent="0.35">
      <c r="A63" t="s">
        <v>188</v>
      </c>
      <c r="B63">
        <v>42</v>
      </c>
      <c r="C63" t="str">
        <f t="shared" si="4"/>
        <v>OTU_59;size=42;</v>
      </c>
      <c r="D63" s="9" t="s">
        <v>202</v>
      </c>
      <c r="E63" s="9">
        <f t="shared" si="1"/>
        <v>100</v>
      </c>
      <c r="F63" s="9" t="str">
        <f t="shared" si="2"/>
        <v>Olivibacter_sitiensis_(T)_AW-6_(DQ421387)</v>
      </c>
      <c r="G63" t="s">
        <v>1630</v>
      </c>
      <c r="H63" t="s">
        <v>1685</v>
      </c>
      <c r="I63" t="s">
        <v>1604</v>
      </c>
      <c r="J63">
        <v>100</v>
      </c>
      <c r="L63" t="s">
        <v>230</v>
      </c>
      <c r="M63">
        <v>94</v>
      </c>
      <c r="N63" t="str">
        <f t="shared" si="3"/>
        <v>OTU_58;size=94;</v>
      </c>
      <c r="O63" t="s">
        <v>247</v>
      </c>
    </row>
    <row r="64" spans="1:15" x14ac:dyDescent="0.35">
      <c r="A64" t="s">
        <v>234</v>
      </c>
      <c r="B64">
        <v>40</v>
      </c>
      <c r="C64" t="str">
        <f t="shared" si="4"/>
        <v>OTU_61;size=40;</v>
      </c>
      <c r="D64" s="9" t="s">
        <v>1631</v>
      </c>
      <c r="E64" s="9">
        <f t="shared" si="1"/>
        <v>100</v>
      </c>
      <c r="F64" s="9" t="str">
        <f t="shared" si="2"/>
        <v>-</v>
      </c>
      <c r="G64" t="s">
        <v>1630</v>
      </c>
      <c r="H64" t="s">
        <v>1603</v>
      </c>
      <c r="I64" t="s">
        <v>1605</v>
      </c>
      <c r="J64">
        <v>100</v>
      </c>
      <c r="L64" t="s">
        <v>185</v>
      </c>
      <c r="M64">
        <v>91</v>
      </c>
      <c r="N64" t="str">
        <f t="shared" si="3"/>
        <v>OTU_57;size=91;</v>
      </c>
      <c r="O64" t="s">
        <v>229</v>
      </c>
    </row>
    <row r="65" spans="1:15" x14ac:dyDescent="0.35">
      <c r="A65" t="s">
        <v>216</v>
      </c>
      <c r="B65">
        <v>38</v>
      </c>
      <c r="C65" t="str">
        <f t="shared" si="4"/>
        <v>OTU_62;size=38;</v>
      </c>
      <c r="D65" s="9" t="s">
        <v>251</v>
      </c>
      <c r="E65" s="9">
        <f t="shared" si="1"/>
        <v>100</v>
      </c>
      <c r="F65" s="9" t="str">
        <f t="shared" si="2"/>
        <v>Geoalkalibacter_ferrihydriticus_(T)_Z-0531_(DQ309326)</v>
      </c>
      <c r="G65" t="s">
        <v>1630</v>
      </c>
      <c r="H65" t="s">
        <v>1601</v>
      </c>
      <c r="I65" t="s">
        <v>1602</v>
      </c>
      <c r="J65">
        <v>100</v>
      </c>
      <c r="L65" t="s">
        <v>307</v>
      </c>
      <c r="M65">
        <v>79</v>
      </c>
      <c r="N65" t="str">
        <f t="shared" si="3"/>
        <v>OTU_56;size=79;</v>
      </c>
      <c r="O65" t="s">
        <v>263</v>
      </c>
    </row>
    <row r="66" spans="1:15" x14ac:dyDescent="0.35">
      <c r="A66" t="s">
        <v>603</v>
      </c>
      <c r="B66">
        <v>37</v>
      </c>
      <c r="C66" t="str">
        <f t="shared" si="4"/>
        <v>OTU_64;size=37;</v>
      </c>
      <c r="D66" s="9" t="s">
        <v>285</v>
      </c>
      <c r="E66" s="9">
        <f t="shared" si="1"/>
        <v>100</v>
      </c>
      <c r="F66" s="9" t="str">
        <f t="shared" si="2"/>
        <v>Crocinitomix_catalasitica_(T)_IFO_15977_(AB078042)</v>
      </c>
      <c r="G66" t="s">
        <v>1630</v>
      </c>
      <c r="H66" t="s">
        <v>1688</v>
      </c>
      <c r="I66" t="s">
        <v>1689</v>
      </c>
      <c r="J66">
        <v>100</v>
      </c>
      <c r="L66" t="s">
        <v>575</v>
      </c>
      <c r="M66">
        <v>79</v>
      </c>
      <c r="N66" t="str">
        <f t="shared" si="3"/>
        <v>OTU_200;size=79;</v>
      </c>
      <c r="O66" t="s">
        <v>163</v>
      </c>
    </row>
    <row r="67" spans="1:15" x14ac:dyDescent="0.35">
      <c r="A67" t="s">
        <v>213</v>
      </c>
      <c r="B67">
        <v>37</v>
      </c>
      <c r="C67" t="str">
        <f t="shared" ref="C67:C98" si="5">A67&amp;";size="&amp;B67&amp;";"</f>
        <v>OTU_63;size=37;</v>
      </c>
      <c r="D67" s="9" t="s">
        <v>276</v>
      </c>
      <c r="E67" s="9">
        <f t="shared" si="1"/>
        <v>100</v>
      </c>
      <c r="F67" s="9" t="str">
        <f t="shared" si="2"/>
        <v>Leptolinea_tardivitalis_(T)_YMTK-2_(AB109438)</v>
      </c>
      <c r="G67" t="s">
        <v>1630</v>
      </c>
      <c r="H67" t="s">
        <v>1690</v>
      </c>
      <c r="I67" t="s">
        <v>1634</v>
      </c>
      <c r="J67">
        <v>100</v>
      </c>
      <c r="L67" t="s">
        <v>213</v>
      </c>
      <c r="M67">
        <v>70</v>
      </c>
      <c r="N67" t="str">
        <f t="shared" si="3"/>
        <v>OTU_63;size=70;</v>
      </c>
      <c r="O67" t="s">
        <v>224</v>
      </c>
    </row>
    <row r="68" spans="1:15" x14ac:dyDescent="0.35">
      <c r="A68" t="s">
        <v>200</v>
      </c>
      <c r="B68">
        <v>36</v>
      </c>
      <c r="C68" t="str">
        <f t="shared" si="5"/>
        <v>OTU_65;size=36;</v>
      </c>
      <c r="D68" s="9" t="s">
        <v>256</v>
      </c>
      <c r="E68" s="9">
        <f t="shared" ref="E68:E105" si="6">VLOOKUP(C68,$H$3:$J$105,3,FALSE)</f>
        <v>100</v>
      </c>
      <c r="F68" s="9" t="str">
        <f t="shared" ref="F68:F105" si="7">VLOOKUP(VLOOKUP(C68,$H$3:$I$105,2,FALSE),$N$3:$O$222,2,FALSE)</f>
        <v>uncultured_bacterium_KF-JG30-18_(AJ295656)</v>
      </c>
      <c r="G68" t="s">
        <v>1630</v>
      </c>
      <c r="H68" t="s">
        <v>1691</v>
      </c>
      <c r="I68" t="s">
        <v>1692</v>
      </c>
      <c r="J68">
        <v>100</v>
      </c>
      <c r="L68" t="s">
        <v>188</v>
      </c>
      <c r="M68">
        <v>68</v>
      </c>
      <c r="N68" t="str">
        <f t="shared" ref="N68:N131" si="8">L68&amp;";size="&amp;M68&amp;";"</f>
        <v>OTU_59;size=68;</v>
      </c>
      <c r="O68" t="s">
        <v>206</v>
      </c>
    </row>
    <row r="69" spans="1:15" x14ac:dyDescent="0.35">
      <c r="A69" t="s">
        <v>267</v>
      </c>
      <c r="B69">
        <v>35</v>
      </c>
      <c r="C69" t="str">
        <f t="shared" si="5"/>
        <v>OTU_67;size=35;</v>
      </c>
      <c r="D69" s="9" t="s">
        <v>1631</v>
      </c>
      <c r="E69" s="9">
        <f t="shared" si="6"/>
        <v>100</v>
      </c>
      <c r="F69" s="9" t="str">
        <f t="shared" si="7"/>
        <v>-</v>
      </c>
      <c r="G69" t="s">
        <v>1630</v>
      </c>
      <c r="H69" t="s">
        <v>1607</v>
      </c>
      <c r="I69" t="s">
        <v>1608</v>
      </c>
      <c r="J69">
        <v>100</v>
      </c>
      <c r="L69" t="s">
        <v>200</v>
      </c>
      <c r="M69">
        <v>67</v>
      </c>
      <c r="N69" t="str">
        <f t="shared" si="8"/>
        <v>OTU_65;size=67;</v>
      </c>
      <c r="O69" t="s">
        <v>251</v>
      </c>
    </row>
    <row r="70" spans="1:15" x14ac:dyDescent="0.35">
      <c r="A70" t="s">
        <v>218</v>
      </c>
      <c r="B70">
        <v>35</v>
      </c>
      <c r="C70" t="str">
        <f t="shared" si="5"/>
        <v>OTU_66;size=35;</v>
      </c>
      <c r="D70" s="9" t="s">
        <v>254</v>
      </c>
      <c r="E70" s="9">
        <f t="shared" si="6"/>
        <v>100</v>
      </c>
      <c r="F70" s="9" t="str">
        <f t="shared" si="7"/>
        <v>Desulfotomaculum_kuznetsovii_strain_17_(NR_115129.1)</v>
      </c>
      <c r="G70" t="s">
        <v>1630</v>
      </c>
      <c r="H70" t="s">
        <v>1609</v>
      </c>
      <c r="I70" t="s">
        <v>1606</v>
      </c>
      <c r="J70">
        <v>100</v>
      </c>
      <c r="L70" t="s">
        <v>234</v>
      </c>
      <c r="M70">
        <v>65</v>
      </c>
      <c r="N70" t="str">
        <f t="shared" si="8"/>
        <v>OTU_61;size=65;</v>
      </c>
      <c r="O70" t="s">
        <v>236</v>
      </c>
    </row>
    <row r="71" spans="1:15" x14ac:dyDescent="0.35">
      <c r="A71" t="s">
        <v>214</v>
      </c>
      <c r="B71">
        <v>34</v>
      </c>
      <c r="C71" t="str">
        <f t="shared" si="5"/>
        <v>OTU_68;size=34;</v>
      </c>
      <c r="D71" s="9" t="s">
        <v>125</v>
      </c>
      <c r="E71" s="9">
        <f t="shared" si="6"/>
        <v>100</v>
      </c>
      <c r="F71" s="9" t="str">
        <f t="shared" si="7"/>
        <v>Ornatilinea_apprima_P3M-1_(JQ292916)</v>
      </c>
      <c r="G71" t="s">
        <v>1630</v>
      </c>
      <c r="H71" t="s">
        <v>1698</v>
      </c>
      <c r="I71" t="s">
        <v>1631</v>
      </c>
      <c r="J71" t="s">
        <v>1631</v>
      </c>
      <c r="L71" t="s">
        <v>216</v>
      </c>
      <c r="M71">
        <v>61</v>
      </c>
      <c r="N71" t="str">
        <f t="shared" si="8"/>
        <v>OTU_62;size=61;</v>
      </c>
      <c r="O71" t="s">
        <v>283</v>
      </c>
    </row>
    <row r="72" spans="1:15" x14ac:dyDescent="0.35">
      <c r="A72" t="s">
        <v>226</v>
      </c>
      <c r="B72">
        <v>33</v>
      </c>
      <c r="C72" t="str">
        <f t="shared" si="5"/>
        <v>OTU_71;size=33;</v>
      </c>
      <c r="D72" s="9" t="s">
        <v>324</v>
      </c>
      <c r="E72" s="9">
        <f t="shared" si="6"/>
        <v>100</v>
      </c>
      <c r="F72" s="9" t="str">
        <f t="shared" si="7"/>
        <v>Longilinea_arvoryzae_(T)_KOME-1_(AB243673)</v>
      </c>
      <c r="G72" t="s">
        <v>1630</v>
      </c>
      <c r="H72" t="s">
        <v>1696</v>
      </c>
      <c r="I72" t="s">
        <v>1697</v>
      </c>
      <c r="J72">
        <v>100</v>
      </c>
      <c r="L72" t="s">
        <v>603</v>
      </c>
      <c r="M72">
        <v>60</v>
      </c>
      <c r="N72" t="str">
        <f t="shared" si="8"/>
        <v>OTU_64;size=60;</v>
      </c>
      <c r="O72" t="s">
        <v>152</v>
      </c>
    </row>
    <row r="73" spans="1:15" x14ac:dyDescent="0.35">
      <c r="A73" t="s">
        <v>221</v>
      </c>
      <c r="B73">
        <v>33</v>
      </c>
      <c r="C73" t="str">
        <f t="shared" si="5"/>
        <v>OTU_69;size=33;</v>
      </c>
      <c r="D73" s="9" t="s">
        <v>229</v>
      </c>
      <c r="E73" s="9">
        <f t="shared" si="6"/>
        <v>100</v>
      </c>
      <c r="F73" s="9" t="str">
        <f t="shared" si="7"/>
        <v>Syntrophorhabdus_aromaticivorans_(T)_UI_(AB212873)</v>
      </c>
      <c r="G73" t="s">
        <v>1630</v>
      </c>
      <c r="H73" t="s">
        <v>1695</v>
      </c>
      <c r="I73" t="s">
        <v>1611</v>
      </c>
      <c r="J73">
        <v>100</v>
      </c>
      <c r="L73" t="s">
        <v>225</v>
      </c>
      <c r="M73">
        <v>60</v>
      </c>
      <c r="N73" t="str">
        <f t="shared" si="8"/>
        <v>OTU_70;size=60;</v>
      </c>
      <c r="O73" t="s">
        <v>163</v>
      </c>
    </row>
    <row r="74" spans="1:15" x14ac:dyDescent="0.35">
      <c r="A74" t="s">
        <v>286</v>
      </c>
      <c r="B74">
        <v>32</v>
      </c>
      <c r="C74" t="str">
        <f t="shared" si="5"/>
        <v>OTU_72;size=32;</v>
      </c>
      <c r="D74" s="9" t="s">
        <v>299</v>
      </c>
      <c r="E74" s="9" t="str">
        <f t="shared" si="6"/>
        <v>-</v>
      </c>
      <c r="F74" s="9" t="e">
        <f t="shared" si="7"/>
        <v>#N/A</v>
      </c>
      <c r="G74" t="s">
        <v>1630</v>
      </c>
      <c r="H74" t="s">
        <v>1693</v>
      </c>
      <c r="I74" t="s">
        <v>1694</v>
      </c>
      <c r="J74">
        <v>100</v>
      </c>
      <c r="L74" t="s">
        <v>586</v>
      </c>
      <c r="M74">
        <v>60</v>
      </c>
      <c r="N74" t="str">
        <f t="shared" si="8"/>
        <v>OTU_194;size=60;</v>
      </c>
      <c r="O74" t="s">
        <v>199</v>
      </c>
    </row>
    <row r="75" spans="1:15" x14ac:dyDescent="0.35">
      <c r="A75" t="s">
        <v>225</v>
      </c>
      <c r="B75">
        <v>31</v>
      </c>
      <c r="C75" t="str">
        <f t="shared" si="5"/>
        <v>OTU_70;size=31;</v>
      </c>
      <c r="D75" s="9" t="s">
        <v>152</v>
      </c>
      <c r="E75" s="9">
        <f t="shared" si="6"/>
        <v>100</v>
      </c>
      <c r="F75" s="9" t="str">
        <f t="shared" si="7"/>
        <v>Smithella_propionica_(T)_LYP_(AF126282)</v>
      </c>
      <c r="G75" t="s">
        <v>1630</v>
      </c>
      <c r="H75" t="s">
        <v>1701</v>
      </c>
      <c r="I75" t="s">
        <v>1702</v>
      </c>
      <c r="J75">
        <v>100</v>
      </c>
      <c r="L75" t="s">
        <v>242</v>
      </c>
      <c r="M75">
        <v>59</v>
      </c>
      <c r="N75" t="str">
        <f t="shared" si="8"/>
        <v>OTU_73;size=59;</v>
      </c>
      <c r="O75" t="s">
        <v>152</v>
      </c>
    </row>
    <row r="76" spans="1:15" x14ac:dyDescent="0.35">
      <c r="A76" t="s">
        <v>242</v>
      </c>
      <c r="B76">
        <v>30</v>
      </c>
      <c r="C76" t="str">
        <f t="shared" si="5"/>
        <v>OTU_73;size=30;</v>
      </c>
      <c r="D76" s="9" t="s">
        <v>302</v>
      </c>
      <c r="E76" s="9">
        <f t="shared" si="6"/>
        <v>100</v>
      </c>
      <c r="F76" s="9" t="str">
        <f t="shared" si="7"/>
        <v>Clostridium_putrificum_(T)_DSM_1734_(X73442)</v>
      </c>
      <c r="G76" t="s">
        <v>1630</v>
      </c>
      <c r="H76" t="s">
        <v>1699</v>
      </c>
      <c r="I76" t="s">
        <v>1700</v>
      </c>
      <c r="J76">
        <v>100</v>
      </c>
      <c r="L76" t="s">
        <v>267</v>
      </c>
      <c r="M76">
        <v>53</v>
      </c>
      <c r="N76" t="str">
        <f t="shared" si="8"/>
        <v>OTU_67;size=53;</v>
      </c>
      <c r="O76" t="s">
        <v>240</v>
      </c>
    </row>
    <row r="77" spans="1:15" x14ac:dyDescent="0.35">
      <c r="A77" t="s">
        <v>284</v>
      </c>
      <c r="B77">
        <v>29</v>
      </c>
      <c r="C77" t="str">
        <f t="shared" si="5"/>
        <v>OTU_74;size=29;</v>
      </c>
      <c r="D77" s="9" t="s">
        <v>163</v>
      </c>
      <c r="E77" s="9">
        <f t="shared" si="6"/>
        <v>100</v>
      </c>
      <c r="F77" s="9" t="str">
        <f t="shared" si="7"/>
        <v>Dethiobacter_alkaliphilus_(T)_AHT_1_(EF422412)</v>
      </c>
      <c r="G77" t="s">
        <v>1630</v>
      </c>
      <c r="H77" t="s">
        <v>1703</v>
      </c>
      <c r="I77" t="s">
        <v>1620</v>
      </c>
      <c r="J77">
        <v>100</v>
      </c>
      <c r="L77" t="s">
        <v>218</v>
      </c>
      <c r="M77">
        <v>51</v>
      </c>
      <c r="N77" t="str">
        <f t="shared" si="8"/>
        <v>OTU_66;size=51;</v>
      </c>
      <c r="O77" t="s">
        <v>254</v>
      </c>
    </row>
    <row r="78" spans="1:15" x14ac:dyDescent="0.35">
      <c r="A78" t="s">
        <v>257</v>
      </c>
      <c r="B78">
        <v>28</v>
      </c>
      <c r="C78" t="str">
        <f t="shared" si="5"/>
        <v>OTU_79;size=28;</v>
      </c>
      <c r="D78" s="9" t="s">
        <v>232</v>
      </c>
      <c r="E78" s="9">
        <f t="shared" si="6"/>
        <v>100</v>
      </c>
      <c r="F78" s="9" t="str">
        <f t="shared" si="7"/>
        <v>Petrimonas_sulfuriphila_(T)_BN3_(AY570690)</v>
      </c>
      <c r="G78" t="s">
        <v>1630</v>
      </c>
      <c r="H78" t="s">
        <v>1704</v>
      </c>
      <c r="I78" t="s">
        <v>1705</v>
      </c>
      <c r="J78">
        <v>100</v>
      </c>
      <c r="L78" t="s">
        <v>214</v>
      </c>
      <c r="M78">
        <v>51</v>
      </c>
      <c r="N78" t="str">
        <f t="shared" si="8"/>
        <v>OTU_68;size=51;</v>
      </c>
      <c r="O78" t="s">
        <v>192</v>
      </c>
    </row>
    <row r="79" spans="1:15" x14ac:dyDescent="0.35">
      <c r="A79" t="s">
        <v>275</v>
      </c>
      <c r="B79">
        <v>27</v>
      </c>
      <c r="C79" t="str">
        <f t="shared" si="5"/>
        <v>OTU_75;size=27;</v>
      </c>
      <c r="D79" s="9" t="s">
        <v>281</v>
      </c>
      <c r="E79" s="9">
        <f t="shared" si="6"/>
        <v>100</v>
      </c>
      <c r="F79" s="9" t="str">
        <f t="shared" si="7"/>
        <v>Veillonella_magna_(T)_lac18_(EU096495)</v>
      </c>
      <c r="G79" t="s">
        <v>1630</v>
      </c>
      <c r="H79" t="s">
        <v>1708</v>
      </c>
      <c r="I79" t="s">
        <v>1709</v>
      </c>
      <c r="J79">
        <v>100</v>
      </c>
      <c r="L79" t="s">
        <v>284</v>
      </c>
      <c r="M79">
        <v>44</v>
      </c>
      <c r="N79" t="str">
        <f t="shared" si="8"/>
        <v>OTU_74;size=44;</v>
      </c>
      <c r="O79" t="s">
        <v>256</v>
      </c>
    </row>
    <row r="80" spans="1:15" x14ac:dyDescent="0.35">
      <c r="A80" t="s">
        <v>248</v>
      </c>
      <c r="B80">
        <v>24</v>
      </c>
      <c r="C80" t="str">
        <f t="shared" si="5"/>
        <v>OTU_78;size=24;</v>
      </c>
      <c r="D80" s="9" t="s">
        <v>360</v>
      </c>
      <c r="E80" s="9">
        <f t="shared" si="6"/>
        <v>100</v>
      </c>
      <c r="F80" s="9" t="str">
        <f t="shared" si="7"/>
        <v>Syntrophomonas_zehnderi_(T)_OL-4_(DQ898277)</v>
      </c>
      <c r="G80" t="s">
        <v>1630</v>
      </c>
      <c r="H80" t="s">
        <v>1616</v>
      </c>
      <c r="I80" t="s">
        <v>1615</v>
      </c>
      <c r="J80">
        <v>100</v>
      </c>
      <c r="L80" t="s">
        <v>221</v>
      </c>
      <c r="M80">
        <v>43</v>
      </c>
      <c r="N80" t="str">
        <f t="shared" si="8"/>
        <v>OTU_69;size=43;</v>
      </c>
      <c r="O80" t="s">
        <v>1631</v>
      </c>
    </row>
    <row r="81" spans="1:15" x14ac:dyDescent="0.35">
      <c r="A81" t="s">
        <v>264</v>
      </c>
      <c r="B81">
        <v>24</v>
      </c>
      <c r="C81" t="str">
        <f t="shared" si="5"/>
        <v>OTU_77;size=24;</v>
      </c>
      <c r="D81" s="9" t="s">
        <v>192</v>
      </c>
      <c r="E81" s="9">
        <f t="shared" si="6"/>
        <v>100</v>
      </c>
      <c r="F81" s="9" t="str">
        <f t="shared" si="7"/>
        <v>Ruminococcaceae_bacterium_ZWB_4_(HG003571)</v>
      </c>
      <c r="G81" t="s">
        <v>1630</v>
      </c>
      <c r="H81" t="s">
        <v>1612</v>
      </c>
      <c r="I81" t="s">
        <v>1617</v>
      </c>
      <c r="J81">
        <v>100</v>
      </c>
      <c r="L81" t="s">
        <v>264</v>
      </c>
      <c r="M81">
        <v>41</v>
      </c>
      <c r="N81" t="str">
        <f t="shared" si="8"/>
        <v>OTU_77;size=41;</v>
      </c>
      <c r="O81" t="s">
        <v>288</v>
      </c>
    </row>
    <row r="82" spans="1:15" x14ac:dyDescent="0.35">
      <c r="A82" t="s">
        <v>253</v>
      </c>
      <c r="B82">
        <v>24</v>
      </c>
      <c r="C82" t="str">
        <f t="shared" si="5"/>
        <v>OTU_76;size=24;</v>
      </c>
      <c r="D82" s="9" t="s">
        <v>152</v>
      </c>
      <c r="E82" s="9">
        <f t="shared" si="6"/>
        <v>100</v>
      </c>
      <c r="F82" s="9" t="str">
        <f t="shared" si="7"/>
        <v>Smithella_propionica_(T)_LYP_(AF126282)</v>
      </c>
      <c r="G82" t="s">
        <v>1630</v>
      </c>
      <c r="H82" t="s">
        <v>1614</v>
      </c>
      <c r="I82" t="s">
        <v>1711</v>
      </c>
      <c r="J82">
        <v>99.6</v>
      </c>
      <c r="L82" t="s">
        <v>226</v>
      </c>
      <c r="M82">
        <v>41</v>
      </c>
      <c r="N82" t="str">
        <f t="shared" si="8"/>
        <v>OTU_71;size=41;</v>
      </c>
      <c r="O82" t="s">
        <v>163</v>
      </c>
    </row>
    <row r="83" spans="1:15" x14ac:dyDescent="0.35">
      <c r="A83" t="s">
        <v>295</v>
      </c>
      <c r="B83">
        <v>21</v>
      </c>
      <c r="C83" t="str">
        <f t="shared" si="5"/>
        <v>OTU_82;size=21;</v>
      </c>
      <c r="D83" s="9" t="s">
        <v>787</v>
      </c>
      <c r="E83" s="9">
        <f t="shared" si="6"/>
        <v>100</v>
      </c>
      <c r="F83" s="9" t="str">
        <f t="shared" si="7"/>
        <v>Clostridium_thermopalmarium_(T)_(X72869)</v>
      </c>
      <c r="G83" t="s">
        <v>1630</v>
      </c>
      <c r="H83" t="s">
        <v>1714</v>
      </c>
      <c r="I83" t="s">
        <v>1631</v>
      </c>
      <c r="J83" t="s">
        <v>1631</v>
      </c>
      <c r="L83" t="s">
        <v>282</v>
      </c>
      <c r="M83">
        <v>40</v>
      </c>
      <c r="N83" t="str">
        <f t="shared" si="8"/>
        <v>OTU_87;size=40;</v>
      </c>
      <c r="O83" t="s">
        <v>614</v>
      </c>
    </row>
    <row r="84" spans="1:15" x14ac:dyDescent="0.35">
      <c r="A84" t="s">
        <v>266</v>
      </c>
      <c r="B84">
        <v>21</v>
      </c>
      <c r="C84" t="str">
        <f t="shared" si="5"/>
        <v>OTU_80;size=21;</v>
      </c>
      <c r="D84" s="9" t="s">
        <v>328</v>
      </c>
      <c r="E84" s="9">
        <f t="shared" si="6"/>
        <v>99.6</v>
      </c>
      <c r="F84" s="9" t="str">
        <f t="shared" si="7"/>
        <v>Olegusella_massiliensis_strain_KHD7_(NR_146815.1)</v>
      </c>
      <c r="G84" t="s">
        <v>1630</v>
      </c>
      <c r="H84" t="s">
        <v>1712</v>
      </c>
      <c r="I84" t="s">
        <v>1713</v>
      </c>
      <c r="J84">
        <v>100</v>
      </c>
      <c r="L84" t="s">
        <v>253</v>
      </c>
      <c r="M84">
        <v>40</v>
      </c>
      <c r="N84" t="str">
        <f t="shared" si="8"/>
        <v>OTU_76;size=40;</v>
      </c>
      <c r="O84" t="s">
        <v>285</v>
      </c>
    </row>
    <row r="85" spans="1:15" x14ac:dyDescent="0.35">
      <c r="A85" t="s">
        <v>265</v>
      </c>
      <c r="B85">
        <v>21</v>
      </c>
      <c r="C85" t="str">
        <f t="shared" si="5"/>
        <v>OTU_81;size=21;</v>
      </c>
      <c r="D85" s="9" t="s">
        <v>293</v>
      </c>
      <c r="E85" s="9">
        <f t="shared" si="6"/>
        <v>100</v>
      </c>
      <c r="F85" s="9" t="str">
        <f t="shared" si="7"/>
        <v>Acidobacteria_bacterium_P105_(KJ461654)</v>
      </c>
      <c r="G85" t="s">
        <v>1630</v>
      </c>
      <c r="H85" t="s">
        <v>1710</v>
      </c>
      <c r="I85" t="s">
        <v>1618</v>
      </c>
      <c r="J85">
        <v>100</v>
      </c>
      <c r="L85" t="s">
        <v>275</v>
      </c>
      <c r="M85">
        <v>39</v>
      </c>
      <c r="N85" t="str">
        <f t="shared" si="8"/>
        <v>OTU_75;size=39;</v>
      </c>
      <c r="O85" t="s">
        <v>610</v>
      </c>
    </row>
    <row r="86" spans="1:15" x14ac:dyDescent="0.35">
      <c r="A86" t="s">
        <v>287</v>
      </c>
      <c r="B86">
        <v>20</v>
      </c>
      <c r="C86" t="str">
        <f t="shared" si="5"/>
        <v>OTU_83;size=20;</v>
      </c>
      <c r="D86" s="9" t="s">
        <v>358</v>
      </c>
      <c r="E86" s="9" t="str">
        <f t="shared" si="6"/>
        <v>-</v>
      </c>
      <c r="F86" s="9" t="e">
        <f t="shared" si="7"/>
        <v>#N/A</v>
      </c>
      <c r="G86" t="s">
        <v>1630</v>
      </c>
      <c r="H86" t="s">
        <v>1706</v>
      </c>
      <c r="I86" t="s">
        <v>1707</v>
      </c>
      <c r="J86">
        <v>100</v>
      </c>
      <c r="L86" t="s">
        <v>336</v>
      </c>
      <c r="M86">
        <v>38</v>
      </c>
      <c r="N86" t="str">
        <f t="shared" si="8"/>
        <v>OTU_99;size=38;</v>
      </c>
      <c r="O86" t="s">
        <v>305</v>
      </c>
    </row>
    <row r="87" spans="1:15" x14ac:dyDescent="0.35">
      <c r="A87" t="s">
        <v>280</v>
      </c>
      <c r="B87">
        <v>19</v>
      </c>
      <c r="C87" t="str">
        <f t="shared" si="5"/>
        <v>OTU_84;size=19;</v>
      </c>
      <c r="D87" s="9" t="s">
        <v>468</v>
      </c>
      <c r="E87" s="9">
        <f t="shared" si="6"/>
        <v>100</v>
      </c>
      <c r="F87" s="9" t="str">
        <f t="shared" si="7"/>
        <v>Methanolinea_mesophila_TNR_(AB447467)</v>
      </c>
      <c r="G87" t="s">
        <v>1630</v>
      </c>
      <c r="H87" t="s">
        <v>1715</v>
      </c>
      <c r="I87" t="s">
        <v>1716</v>
      </c>
      <c r="J87">
        <v>100</v>
      </c>
      <c r="L87" t="s">
        <v>287</v>
      </c>
      <c r="M87">
        <v>35</v>
      </c>
      <c r="N87" t="str">
        <f t="shared" si="8"/>
        <v>OTU_83;size=35;</v>
      </c>
      <c r="O87" t="s">
        <v>312</v>
      </c>
    </row>
    <row r="88" spans="1:15" x14ac:dyDescent="0.35">
      <c r="A88" t="s">
        <v>271</v>
      </c>
      <c r="B88">
        <v>18</v>
      </c>
      <c r="C88" t="str">
        <f t="shared" si="5"/>
        <v>OTU_86;size=18;</v>
      </c>
      <c r="D88" s="9" t="s">
        <v>247</v>
      </c>
      <c r="E88" s="9">
        <f t="shared" si="6"/>
        <v>100</v>
      </c>
      <c r="F88" s="9" t="str">
        <f t="shared" si="7"/>
        <v>Azoarcus_olearius_DQS-4_(EF158388)</v>
      </c>
      <c r="G88" t="s">
        <v>1630</v>
      </c>
      <c r="H88" t="s">
        <v>1717</v>
      </c>
      <c r="I88" t="s">
        <v>1718</v>
      </c>
      <c r="J88">
        <v>100</v>
      </c>
      <c r="L88" t="s">
        <v>248</v>
      </c>
      <c r="M88">
        <v>35</v>
      </c>
      <c r="N88" t="str">
        <f t="shared" si="8"/>
        <v>OTU_78;size=35;</v>
      </c>
      <c r="O88" t="s">
        <v>314</v>
      </c>
    </row>
    <row r="89" spans="1:15" x14ac:dyDescent="0.35">
      <c r="A89" t="s">
        <v>233</v>
      </c>
      <c r="B89">
        <v>18</v>
      </c>
      <c r="C89" t="str">
        <f t="shared" si="5"/>
        <v>OTU_85;size=18;</v>
      </c>
      <c r="D89" s="9" t="s">
        <v>610</v>
      </c>
      <c r="E89" s="9">
        <f t="shared" si="6"/>
        <v>100</v>
      </c>
      <c r="F89" s="9" t="str">
        <f t="shared" si="7"/>
        <v>Thermoanaerobacter_pseudethanolicus_ATCC_33223_(CP000924)</v>
      </c>
      <c r="G89" t="s">
        <v>1630</v>
      </c>
      <c r="H89" t="s">
        <v>1719</v>
      </c>
      <c r="I89" t="s">
        <v>1720</v>
      </c>
      <c r="J89">
        <v>100</v>
      </c>
      <c r="L89" t="s">
        <v>295</v>
      </c>
      <c r="M89">
        <v>33</v>
      </c>
      <c r="N89" t="str">
        <f t="shared" si="8"/>
        <v>OTU_82;size=33;</v>
      </c>
      <c r="O89" t="s">
        <v>317</v>
      </c>
    </row>
    <row r="90" spans="1:15" x14ac:dyDescent="0.35">
      <c r="A90" t="s">
        <v>282</v>
      </c>
      <c r="B90">
        <v>16</v>
      </c>
      <c r="C90" t="str">
        <f t="shared" si="5"/>
        <v>OTU_87;size=16;</v>
      </c>
      <c r="D90" s="9" t="s">
        <v>370</v>
      </c>
      <c r="E90" s="9">
        <f t="shared" si="6"/>
        <v>100</v>
      </c>
      <c r="F90" s="9" t="str">
        <f t="shared" si="7"/>
        <v>Pelotomaculum_thermopropionicum_(T)_SI_(AB035723)</v>
      </c>
      <c r="G90" t="s">
        <v>1630</v>
      </c>
      <c r="H90" t="s">
        <v>1721</v>
      </c>
      <c r="I90" t="s">
        <v>1510</v>
      </c>
      <c r="J90">
        <v>96.8</v>
      </c>
      <c r="L90" t="s">
        <v>271</v>
      </c>
      <c r="M90">
        <v>33</v>
      </c>
      <c r="N90" t="str">
        <f t="shared" si="8"/>
        <v>OTU_86;size=33;</v>
      </c>
      <c r="O90" t="s">
        <v>281</v>
      </c>
    </row>
    <row r="91" spans="1:15" x14ac:dyDescent="0.35">
      <c r="A91" t="s">
        <v>289</v>
      </c>
      <c r="B91">
        <v>15</v>
      </c>
      <c r="C91" t="str">
        <f t="shared" si="5"/>
        <v>OTU_88;size=15;</v>
      </c>
      <c r="D91" s="9" t="s">
        <v>274</v>
      </c>
      <c r="E91" s="9">
        <f t="shared" si="6"/>
        <v>96.8</v>
      </c>
      <c r="F91" s="9" t="str">
        <f t="shared" si="7"/>
        <v>Clostridium_thermosuccinogenes_(T)_DSM_5807_(Y18180)</v>
      </c>
      <c r="G91" t="s">
        <v>1630</v>
      </c>
      <c r="H91" t="s">
        <v>1724</v>
      </c>
      <c r="I91" t="s">
        <v>1619</v>
      </c>
      <c r="J91">
        <v>100</v>
      </c>
      <c r="L91" t="s">
        <v>266</v>
      </c>
      <c r="M91">
        <v>33</v>
      </c>
      <c r="N91" t="str">
        <f t="shared" si="8"/>
        <v>OTU_80;size=33;</v>
      </c>
      <c r="O91" t="s">
        <v>319</v>
      </c>
    </row>
    <row r="92" spans="1:15" x14ac:dyDescent="0.35">
      <c r="A92" t="s">
        <v>306</v>
      </c>
      <c r="B92">
        <v>13</v>
      </c>
      <c r="C92" t="str">
        <f t="shared" si="5"/>
        <v>OTU_89;size=13;</v>
      </c>
      <c r="D92" s="9" t="s">
        <v>614</v>
      </c>
      <c r="E92" s="9">
        <f t="shared" si="6"/>
        <v>100</v>
      </c>
      <c r="F92" s="9" t="str">
        <f t="shared" si="7"/>
        <v>Clostridium_thermosuccinogenes_(T)_DSM_5807_(Y18180)</v>
      </c>
      <c r="G92" t="s">
        <v>1630</v>
      </c>
      <c r="H92" t="s">
        <v>1623</v>
      </c>
      <c r="I92" t="s">
        <v>1510</v>
      </c>
      <c r="J92">
        <v>100</v>
      </c>
      <c r="L92" t="s">
        <v>280</v>
      </c>
      <c r="M92">
        <v>32</v>
      </c>
      <c r="N92" t="str">
        <f t="shared" si="8"/>
        <v>OTU_84;size=32;</v>
      </c>
      <c r="O92" t="s">
        <v>321</v>
      </c>
    </row>
    <row r="93" spans="1:15" x14ac:dyDescent="0.35">
      <c r="A93" t="s">
        <v>277</v>
      </c>
      <c r="B93">
        <v>12</v>
      </c>
      <c r="C93" t="str">
        <f t="shared" si="5"/>
        <v>OTU_90;size=12;</v>
      </c>
      <c r="D93" s="9" t="s">
        <v>335</v>
      </c>
      <c r="E93" s="9">
        <f t="shared" si="6"/>
        <v>96</v>
      </c>
      <c r="F93" s="9" t="str">
        <f t="shared" si="7"/>
        <v>Vallitalea_pronyensis_FatNI3_(KC876639)</v>
      </c>
      <c r="G93" t="s">
        <v>1630</v>
      </c>
      <c r="H93" t="s">
        <v>1727</v>
      </c>
      <c r="I93" t="s">
        <v>1622</v>
      </c>
      <c r="J93">
        <v>100</v>
      </c>
      <c r="L93" t="s">
        <v>265</v>
      </c>
      <c r="M93">
        <v>32</v>
      </c>
      <c r="N93" t="str">
        <f t="shared" si="8"/>
        <v>OTU_81;size=32;</v>
      </c>
      <c r="O93" t="s">
        <v>196</v>
      </c>
    </row>
    <row r="94" spans="1:15" x14ac:dyDescent="0.35">
      <c r="A94" t="s">
        <v>318</v>
      </c>
      <c r="B94">
        <v>11</v>
      </c>
      <c r="C94" t="str">
        <f t="shared" si="5"/>
        <v>OTU_95;size=11;</v>
      </c>
      <c r="D94" s="9" t="s">
        <v>321</v>
      </c>
      <c r="E94" s="9">
        <f t="shared" si="6"/>
        <v>97.6</v>
      </c>
      <c r="F94" s="9" t="str">
        <f t="shared" si="7"/>
        <v>Gracilibacter_thermotolerans_(T)_JW/YJL-S1_(DQ117465)</v>
      </c>
      <c r="G94" t="s">
        <v>1630</v>
      </c>
      <c r="H94" t="s">
        <v>1722</v>
      </c>
      <c r="I94" t="s">
        <v>1723</v>
      </c>
      <c r="J94">
        <v>96</v>
      </c>
      <c r="L94" t="s">
        <v>277</v>
      </c>
      <c r="M94">
        <v>32</v>
      </c>
      <c r="N94" t="str">
        <f t="shared" si="8"/>
        <v>OTU_90;size=32;</v>
      </c>
      <c r="O94" t="s">
        <v>270</v>
      </c>
    </row>
    <row r="95" spans="1:15" x14ac:dyDescent="0.35">
      <c r="A95" t="s">
        <v>300</v>
      </c>
      <c r="B95">
        <v>11</v>
      </c>
      <c r="C95" t="str">
        <f t="shared" si="5"/>
        <v>OTU_92;size=11;</v>
      </c>
      <c r="D95" s="9" t="s">
        <v>625</v>
      </c>
      <c r="E95" s="9">
        <f t="shared" si="6"/>
        <v>100</v>
      </c>
      <c r="F95" s="9" t="str">
        <f t="shared" si="7"/>
        <v>Pedomicrobium_manganicum_(T)_ATCC_33121_(GU269549)</v>
      </c>
      <c r="G95" t="s">
        <v>1630</v>
      </c>
      <c r="H95" t="s">
        <v>1725</v>
      </c>
      <c r="I95" t="s">
        <v>1624</v>
      </c>
      <c r="J95">
        <v>97.6</v>
      </c>
      <c r="L95" t="s">
        <v>313</v>
      </c>
      <c r="M95">
        <v>31</v>
      </c>
      <c r="N95" t="str">
        <f t="shared" si="8"/>
        <v>OTU_96;size=31;</v>
      </c>
      <c r="O95" t="s">
        <v>326</v>
      </c>
    </row>
    <row r="96" spans="1:15" x14ac:dyDescent="0.35">
      <c r="A96" t="s">
        <v>323</v>
      </c>
      <c r="B96">
        <v>11</v>
      </c>
      <c r="C96" t="str">
        <f t="shared" si="5"/>
        <v>OTU_91;size=11;</v>
      </c>
      <c r="D96" s="9" t="s">
        <v>288</v>
      </c>
      <c r="E96" s="9">
        <f t="shared" si="6"/>
        <v>100</v>
      </c>
      <c r="F96" s="9" t="str">
        <f t="shared" si="7"/>
        <v>Desulfotomaculum_varum_RH04-3_(GU126374)</v>
      </c>
      <c r="G96" t="s">
        <v>1630</v>
      </c>
      <c r="H96" t="s">
        <v>1728</v>
      </c>
      <c r="I96" t="s">
        <v>1729</v>
      </c>
      <c r="J96">
        <v>99.6</v>
      </c>
      <c r="L96" t="s">
        <v>257</v>
      </c>
      <c r="M96">
        <v>31</v>
      </c>
      <c r="N96" t="str">
        <f t="shared" si="8"/>
        <v>OTU_79;size=31;</v>
      </c>
      <c r="O96" t="s">
        <v>293</v>
      </c>
    </row>
    <row r="97" spans="1:15" x14ac:dyDescent="0.35">
      <c r="A97" t="s">
        <v>301</v>
      </c>
      <c r="B97">
        <v>9</v>
      </c>
      <c r="C97" t="str">
        <f t="shared" si="5"/>
        <v>OTU_93;size=9;</v>
      </c>
      <c r="D97" s="9" t="s">
        <v>321</v>
      </c>
      <c r="E97" s="9">
        <f t="shared" si="6"/>
        <v>90.9</v>
      </c>
      <c r="F97" s="9" t="str">
        <f t="shared" si="7"/>
        <v>Moorella_humiferrea_(T)_64_FGQ_(GQ872425)</v>
      </c>
      <c r="G97" t="s">
        <v>1630</v>
      </c>
      <c r="H97" t="s">
        <v>1730</v>
      </c>
      <c r="I97" t="s">
        <v>1627</v>
      </c>
      <c r="J97">
        <v>100</v>
      </c>
      <c r="L97" t="s">
        <v>344</v>
      </c>
      <c r="M97">
        <v>30</v>
      </c>
      <c r="N97" t="str">
        <f t="shared" si="8"/>
        <v>OTU_107;size=30;</v>
      </c>
      <c r="O97" t="s">
        <v>90</v>
      </c>
    </row>
    <row r="98" spans="1:15" x14ac:dyDescent="0.35">
      <c r="A98" t="s">
        <v>315</v>
      </c>
      <c r="B98">
        <v>8</v>
      </c>
      <c r="C98" t="str">
        <f t="shared" si="5"/>
        <v>OTU_97;size=8;</v>
      </c>
      <c r="D98" s="9" t="s">
        <v>90</v>
      </c>
      <c r="E98" s="9">
        <f t="shared" si="6"/>
        <v>99.6</v>
      </c>
      <c r="F98" s="9" t="str">
        <f t="shared" si="7"/>
        <v>Clostridium_hungatei_(T)_AD;_ATCC_700212_(AF020429)</v>
      </c>
      <c r="G98" t="s">
        <v>1630</v>
      </c>
      <c r="H98" t="s">
        <v>1625</v>
      </c>
      <c r="I98" t="s">
        <v>1726</v>
      </c>
      <c r="J98">
        <v>100</v>
      </c>
      <c r="L98" t="s">
        <v>289</v>
      </c>
      <c r="M98">
        <v>29</v>
      </c>
      <c r="N98" t="str">
        <f t="shared" si="8"/>
        <v>OTU_88;size=29;</v>
      </c>
      <c r="O98" t="s">
        <v>276</v>
      </c>
    </row>
    <row r="99" spans="1:15" x14ac:dyDescent="0.35">
      <c r="A99" t="s">
        <v>313</v>
      </c>
      <c r="B99">
        <v>8</v>
      </c>
      <c r="C99" t="str">
        <f t="shared" ref="C99:C105" si="9">A99&amp;";size="&amp;B99&amp;";"</f>
        <v>OTU_96;size=8;</v>
      </c>
      <c r="D99" s="9" t="s">
        <v>310</v>
      </c>
      <c r="E99" s="9">
        <f t="shared" si="6"/>
        <v>100</v>
      </c>
      <c r="F99" s="9" t="str">
        <f t="shared" si="7"/>
        <v>Desulfomicrobium_salsuginis_strain_ADR21_(NR_132593.1)</v>
      </c>
      <c r="G99" t="s">
        <v>1630</v>
      </c>
      <c r="H99" t="s">
        <v>1626</v>
      </c>
      <c r="I99" t="s">
        <v>1511</v>
      </c>
      <c r="J99">
        <v>90.9</v>
      </c>
      <c r="L99" t="s">
        <v>233</v>
      </c>
      <c r="M99">
        <v>29</v>
      </c>
      <c r="N99" t="str">
        <f t="shared" si="8"/>
        <v>OTU_85;size=29;</v>
      </c>
      <c r="O99" t="s">
        <v>302</v>
      </c>
    </row>
    <row r="100" spans="1:15" x14ac:dyDescent="0.35">
      <c r="A100" t="s">
        <v>336</v>
      </c>
      <c r="B100">
        <v>7</v>
      </c>
      <c r="C100" t="str">
        <f t="shared" si="9"/>
        <v>OTU_99;size=7;</v>
      </c>
      <c r="D100" s="9" t="s">
        <v>335</v>
      </c>
      <c r="E100" s="9">
        <f t="shared" si="6"/>
        <v>99.2</v>
      </c>
      <c r="F100" s="9" t="str">
        <f t="shared" si="7"/>
        <v>Vallitalea_pronyensis_FatNI3_(KC876639)</v>
      </c>
      <c r="G100" t="s">
        <v>1630</v>
      </c>
      <c r="H100" t="s">
        <v>1629</v>
      </c>
      <c r="I100" t="s">
        <v>1731</v>
      </c>
      <c r="J100">
        <v>100</v>
      </c>
      <c r="L100" t="s">
        <v>346</v>
      </c>
      <c r="M100">
        <v>29</v>
      </c>
      <c r="N100" t="str">
        <f t="shared" si="8"/>
        <v>OTU_117;size=29;</v>
      </c>
      <c r="O100" t="s">
        <v>310</v>
      </c>
    </row>
    <row r="101" spans="1:15" x14ac:dyDescent="0.35">
      <c r="A101" t="s">
        <v>311</v>
      </c>
      <c r="B101">
        <v>7</v>
      </c>
      <c r="C101" t="str">
        <f t="shared" si="9"/>
        <v>OTU_98;size=7;</v>
      </c>
      <c r="D101" s="9" t="s">
        <v>30</v>
      </c>
      <c r="E101" s="9">
        <f t="shared" si="6"/>
        <v>96.9</v>
      </c>
      <c r="F101" s="9" t="str">
        <f t="shared" si="7"/>
        <v>Methanobacterium_subterraneum_(T)_A8p,_DSM_11074_(X99044)</v>
      </c>
      <c r="G101" t="s">
        <v>1630</v>
      </c>
      <c r="H101" t="s">
        <v>1628</v>
      </c>
      <c r="I101" t="s">
        <v>1734</v>
      </c>
      <c r="J101">
        <v>99.2</v>
      </c>
      <c r="L101" t="s">
        <v>323</v>
      </c>
      <c r="M101">
        <v>27</v>
      </c>
      <c r="N101" t="str">
        <f t="shared" si="8"/>
        <v>OTU_91;size=27;</v>
      </c>
      <c r="O101" t="s">
        <v>330</v>
      </c>
    </row>
    <row r="102" spans="1:15" x14ac:dyDescent="0.35">
      <c r="A102" t="s">
        <v>320</v>
      </c>
      <c r="B102">
        <v>6</v>
      </c>
      <c r="C102" t="str">
        <f t="shared" si="9"/>
        <v>OTU_100;size=6;</v>
      </c>
      <c r="D102" s="9" t="s">
        <v>187</v>
      </c>
      <c r="E102" s="9">
        <f t="shared" si="6"/>
        <v>100</v>
      </c>
      <c r="F102" s="9" t="str">
        <f t="shared" si="7"/>
        <v>Desulfitibacter_alkalitolerans_(T)_sk.kt5_(AY538171)</v>
      </c>
      <c r="G102" t="s">
        <v>1630</v>
      </c>
      <c r="H102" t="s">
        <v>1503</v>
      </c>
      <c r="I102" t="s">
        <v>1733</v>
      </c>
      <c r="J102">
        <v>97.6</v>
      </c>
      <c r="L102" t="s">
        <v>363</v>
      </c>
      <c r="M102">
        <v>27</v>
      </c>
      <c r="N102" t="str">
        <f t="shared" si="8"/>
        <v>OTU_111;size=27;</v>
      </c>
      <c r="O102" t="s">
        <v>332</v>
      </c>
    </row>
    <row r="103" spans="1:15" x14ac:dyDescent="0.35">
      <c r="A103" t="s">
        <v>465</v>
      </c>
      <c r="B103">
        <v>3</v>
      </c>
      <c r="C103" t="str">
        <f t="shared" si="9"/>
        <v>OTU_101;size=3;</v>
      </c>
      <c r="D103" s="9" t="s">
        <v>362</v>
      </c>
      <c r="E103" s="9">
        <f t="shared" si="6"/>
        <v>97.6</v>
      </c>
      <c r="F103" s="9" t="str">
        <f t="shared" si="7"/>
        <v>Pelospora_glutarica_(T)_WoGl3_(AJ251214)</v>
      </c>
      <c r="G103" t="s">
        <v>1630</v>
      </c>
      <c r="H103" t="s">
        <v>1506</v>
      </c>
      <c r="I103" t="s">
        <v>1732</v>
      </c>
      <c r="J103">
        <v>95.7</v>
      </c>
      <c r="L103" t="s">
        <v>301</v>
      </c>
      <c r="M103">
        <v>25</v>
      </c>
      <c r="N103" t="str">
        <f t="shared" si="8"/>
        <v>OTU_93;size=25;</v>
      </c>
      <c r="O103" t="s">
        <v>341</v>
      </c>
    </row>
    <row r="104" spans="1:15" x14ac:dyDescent="0.35">
      <c r="A104" t="s">
        <v>327</v>
      </c>
      <c r="B104">
        <v>3</v>
      </c>
      <c r="C104" t="str">
        <f t="shared" si="9"/>
        <v>OTU_102;size=3;</v>
      </c>
      <c r="D104" s="9" t="s">
        <v>1525</v>
      </c>
      <c r="E104" s="9">
        <f t="shared" si="6"/>
        <v>95.7</v>
      </c>
      <c r="F104" s="9" t="str">
        <f t="shared" si="7"/>
        <v>Clostridium_acetireducens_(T)_30A_(X79862)</v>
      </c>
      <c r="G104" t="s">
        <v>1630</v>
      </c>
      <c r="H104" t="s">
        <v>1508</v>
      </c>
      <c r="I104" t="s">
        <v>1497</v>
      </c>
      <c r="J104">
        <v>96.4</v>
      </c>
      <c r="L104" t="s">
        <v>371</v>
      </c>
      <c r="M104">
        <v>25</v>
      </c>
      <c r="N104" t="str">
        <f t="shared" si="8"/>
        <v>OTU_129;size=25;</v>
      </c>
      <c r="O104" t="s">
        <v>328</v>
      </c>
    </row>
    <row r="105" spans="1:15" x14ac:dyDescent="0.35">
      <c r="A105" t="s">
        <v>329</v>
      </c>
      <c r="B105">
        <v>2</v>
      </c>
      <c r="C105" t="str">
        <f t="shared" si="9"/>
        <v>OTU_103;size=2;</v>
      </c>
      <c r="D105" s="9" t="s">
        <v>1515</v>
      </c>
      <c r="E105" s="9">
        <f t="shared" si="6"/>
        <v>96.4</v>
      </c>
      <c r="F105" s="9" t="str">
        <f t="shared" si="7"/>
        <v>[Clostridium]_caenicola_strain_EBR596_(NR_126170.1)</v>
      </c>
      <c r="G105" t="s">
        <v>1630</v>
      </c>
      <c r="H105" t="s">
        <v>1520</v>
      </c>
      <c r="I105" t="s">
        <v>1554</v>
      </c>
      <c r="J105">
        <v>96.9</v>
      </c>
      <c r="L105" t="s">
        <v>350</v>
      </c>
      <c r="M105">
        <v>25</v>
      </c>
      <c r="N105" t="str">
        <f t="shared" si="8"/>
        <v>OTU_109;size=25;</v>
      </c>
      <c r="O105" t="s">
        <v>339</v>
      </c>
    </row>
    <row r="106" spans="1:15" x14ac:dyDescent="0.35">
      <c r="L106" t="s">
        <v>469</v>
      </c>
      <c r="M106">
        <v>24</v>
      </c>
      <c r="N106" t="str">
        <f t="shared" si="8"/>
        <v>OTU_136;size=24;</v>
      </c>
      <c r="O106" t="s">
        <v>343</v>
      </c>
    </row>
    <row r="107" spans="1:15" x14ac:dyDescent="0.35">
      <c r="L107" t="s">
        <v>306</v>
      </c>
      <c r="M107">
        <v>24</v>
      </c>
      <c r="N107" t="str">
        <f t="shared" si="8"/>
        <v>OTU_89;size=24;</v>
      </c>
      <c r="O107" t="s">
        <v>337</v>
      </c>
    </row>
    <row r="108" spans="1:15" x14ac:dyDescent="0.35">
      <c r="L108" t="s">
        <v>315</v>
      </c>
      <c r="M108">
        <v>23</v>
      </c>
      <c r="N108" t="str">
        <f t="shared" si="8"/>
        <v>OTU_97;size=23;</v>
      </c>
      <c r="O108" t="s">
        <v>324</v>
      </c>
    </row>
    <row r="109" spans="1:15" x14ac:dyDescent="0.35">
      <c r="L109" t="s">
        <v>329</v>
      </c>
      <c r="M109">
        <v>23</v>
      </c>
      <c r="N109" t="str">
        <f t="shared" si="8"/>
        <v>OTU_103;size=23;</v>
      </c>
      <c r="O109" t="s">
        <v>348</v>
      </c>
    </row>
    <row r="110" spans="1:15" x14ac:dyDescent="0.35">
      <c r="L110" t="s">
        <v>356</v>
      </c>
      <c r="M110">
        <v>22</v>
      </c>
      <c r="N110" t="str">
        <f t="shared" si="8"/>
        <v>OTU_94;size=22;</v>
      </c>
      <c r="O110" t="s">
        <v>354</v>
      </c>
    </row>
    <row r="111" spans="1:15" x14ac:dyDescent="0.35">
      <c r="L111" t="s">
        <v>465</v>
      </c>
      <c r="M111">
        <v>22</v>
      </c>
      <c r="N111" t="str">
        <f t="shared" si="8"/>
        <v>OTU_101;size=22;</v>
      </c>
      <c r="O111" t="s">
        <v>625</v>
      </c>
    </row>
    <row r="112" spans="1:15" x14ac:dyDescent="0.35">
      <c r="L112" t="s">
        <v>241</v>
      </c>
      <c r="M112">
        <v>21</v>
      </c>
      <c r="N112" t="str">
        <f t="shared" si="8"/>
        <v>OTU_105;size=21;</v>
      </c>
      <c r="O112" t="s">
        <v>360</v>
      </c>
    </row>
    <row r="113" spans="12:15" x14ac:dyDescent="0.35">
      <c r="L113" t="s">
        <v>422</v>
      </c>
      <c r="M113">
        <v>20</v>
      </c>
      <c r="N113" t="str">
        <f t="shared" si="8"/>
        <v>OTU_127;size=20;</v>
      </c>
      <c r="O113" t="s">
        <v>328</v>
      </c>
    </row>
    <row r="114" spans="12:15" x14ac:dyDescent="0.35">
      <c r="L114" t="s">
        <v>320</v>
      </c>
      <c r="M114">
        <v>20</v>
      </c>
      <c r="N114" t="str">
        <f t="shared" si="8"/>
        <v>OTU_100;size=20;</v>
      </c>
      <c r="O114" t="s">
        <v>368</v>
      </c>
    </row>
    <row r="115" spans="12:15" x14ac:dyDescent="0.35">
      <c r="L115" t="s">
        <v>333</v>
      </c>
      <c r="M115">
        <v>19</v>
      </c>
      <c r="N115" t="str">
        <f t="shared" si="8"/>
        <v>OTU_104;size=19;</v>
      </c>
      <c r="O115" t="s">
        <v>352</v>
      </c>
    </row>
    <row r="116" spans="12:15" x14ac:dyDescent="0.35">
      <c r="L116" t="s">
        <v>424</v>
      </c>
      <c r="M116">
        <v>19</v>
      </c>
      <c r="N116" t="str">
        <f t="shared" si="8"/>
        <v>OTU_125;size=19;</v>
      </c>
      <c r="O116" t="s">
        <v>362</v>
      </c>
    </row>
    <row r="117" spans="12:15" x14ac:dyDescent="0.35">
      <c r="L117" t="s">
        <v>530</v>
      </c>
      <c r="M117">
        <v>18</v>
      </c>
      <c r="N117" t="str">
        <f t="shared" si="8"/>
        <v>OTU_204;size=18;</v>
      </c>
      <c r="O117" t="s">
        <v>328</v>
      </c>
    </row>
    <row r="118" spans="12:15" x14ac:dyDescent="0.35">
      <c r="L118" t="s">
        <v>340</v>
      </c>
      <c r="M118">
        <v>18</v>
      </c>
      <c r="N118" t="str">
        <f t="shared" si="8"/>
        <v>OTU_106;size=18;</v>
      </c>
      <c r="O118" t="s">
        <v>373</v>
      </c>
    </row>
    <row r="119" spans="12:15" x14ac:dyDescent="0.35">
      <c r="L119" t="s">
        <v>300</v>
      </c>
      <c r="M119">
        <v>18</v>
      </c>
      <c r="N119" t="str">
        <f t="shared" si="8"/>
        <v>OTU_92;size=18;</v>
      </c>
      <c r="O119" t="s">
        <v>335</v>
      </c>
    </row>
    <row r="120" spans="12:15" x14ac:dyDescent="0.35">
      <c r="L120" t="s">
        <v>318</v>
      </c>
      <c r="M120">
        <v>17</v>
      </c>
      <c r="N120" t="str">
        <f t="shared" si="8"/>
        <v>OTU_95;size=17;</v>
      </c>
      <c r="O120" t="s">
        <v>787</v>
      </c>
    </row>
    <row r="121" spans="12:15" x14ac:dyDescent="0.35">
      <c r="L121" t="s">
        <v>402</v>
      </c>
      <c r="M121">
        <v>17</v>
      </c>
      <c r="N121" t="str">
        <f t="shared" si="8"/>
        <v>OTU_140;size=17;</v>
      </c>
      <c r="O121" t="s">
        <v>375</v>
      </c>
    </row>
    <row r="122" spans="12:15" x14ac:dyDescent="0.35">
      <c r="L122" t="s">
        <v>428</v>
      </c>
      <c r="M122">
        <v>16</v>
      </c>
      <c r="N122" t="str">
        <f t="shared" si="8"/>
        <v>OTU_118;size=16;</v>
      </c>
      <c r="O122" t="s">
        <v>370</v>
      </c>
    </row>
    <row r="123" spans="12:15" x14ac:dyDescent="0.35">
      <c r="L123" t="s">
        <v>420</v>
      </c>
      <c r="M123">
        <v>16</v>
      </c>
      <c r="N123" t="str">
        <f t="shared" si="8"/>
        <v>OTU_123;size=16;</v>
      </c>
      <c r="O123" t="s">
        <v>379</v>
      </c>
    </row>
    <row r="124" spans="12:15" x14ac:dyDescent="0.35">
      <c r="L124" t="s">
        <v>369</v>
      </c>
      <c r="M124">
        <v>16</v>
      </c>
      <c r="N124" t="str">
        <f t="shared" si="8"/>
        <v>OTU_114;size=16;</v>
      </c>
      <c r="O124" t="s">
        <v>381</v>
      </c>
    </row>
    <row r="125" spans="12:15" x14ac:dyDescent="0.35">
      <c r="L125" t="s">
        <v>439</v>
      </c>
      <c r="M125">
        <v>15</v>
      </c>
      <c r="N125" t="str">
        <f t="shared" si="8"/>
        <v>OTU_137;size=15;</v>
      </c>
      <c r="O125" t="s">
        <v>144</v>
      </c>
    </row>
    <row r="126" spans="12:15" x14ac:dyDescent="0.35">
      <c r="L126" t="s">
        <v>473</v>
      </c>
      <c r="M126">
        <v>15</v>
      </c>
      <c r="N126" t="str">
        <f t="shared" si="8"/>
        <v>OTU_132;size=15;</v>
      </c>
      <c r="O126" t="s">
        <v>384</v>
      </c>
    </row>
    <row r="127" spans="12:15" x14ac:dyDescent="0.35">
      <c r="L127" t="s">
        <v>311</v>
      </c>
      <c r="M127">
        <v>14</v>
      </c>
      <c r="N127" t="str">
        <f t="shared" si="8"/>
        <v>OTU_98;size=14;</v>
      </c>
      <c r="O127" t="s">
        <v>401</v>
      </c>
    </row>
    <row r="128" spans="12:15" x14ac:dyDescent="0.35">
      <c r="L128" t="s">
        <v>393</v>
      </c>
      <c r="M128">
        <v>14</v>
      </c>
      <c r="N128" t="str">
        <f t="shared" si="8"/>
        <v>OTU_149;size=14;</v>
      </c>
      <c r="O128" t="s">
        <v>399</v>
      </c>
    </row>
    <row r="129" spans="12:15" x14ac:dyDescent="0.35">
      <c r="L129" t="s">
        <v>327</v>
      </c>
      <c r="M129">
        <v>14</v>
      </c>
      <c r="N129" t="str">
        <f t="shared" si="8"/>
        <v>OTU_102;size=14;</v>
      </c>
      <c r="O129" t="s">
        <v>392</v>
      </c>
    </row>
    <row r="130" spans="12:15" x14ac:dyDescent="0.35">
      <c r="L130" t="s">
        <v>322</v>
      </c>
      <c r="M130">
        <v>13</v>
      </c>
      <c r="N130" t="str">
        <f t="shared" si="8"/>
        <v>OTU_122;size=13;</v>
      </c>
      <c r="O130" t="s">
        <v>187</v>
      </c>
    </row>
    <row r="131" spans="12:15" x14ac:dyDescent="0.35">
      <c r="L131" t="s">
        <v>385</v>
      </c>
      <c r="M131">
        <v>13</v>
      </c>
      <c r="N131" t="str">
        <f t="shared" si="8"/>
        <v>OTU_143;size=13;</v>
      </c>
      <c r="O131" t="s">
        <v>406</v>
      </c>
    </row>
    <row r="132" spans="12:15" x14ac:dyDescent="0.35">
      <c r="L132" t="s">
        <v>380</v>
      </c>
      <c r="M132">
        <v>13</v>
      </c>
      <c r="N132" t="str">
        <f t="shared" ref="N132:N195" si="10">L132&amp;";size="&amp;M132&amp;";"</f>
        <v>OTU_130;size=13;</v>
      </c>
      <c r="O132" t="s">
        <v>321</v>
      </c>
    </row>
    <row r="133" spans="12:15" x14ac:dyDescent="0.35">
      <c r="L133" t="s">
        <v>386</v>
      </c>
      <c r="M133">
        <v>12</v>
      </c>
      <c r="N133" t="str">
        <f t="shared" si="10"/>
        <v>OTU_116;size=12;</v>
      </c>
      <c r="O133" t="s">
        <v>419</v>
      </c>
    </row>
    <row r="134" spans="12:15" x14ac:dyDescent="0.35">
      <c r="L134" t="s">
        <v>353</v>
      </c>
      <c r="M134">
        <v>12</v>
      </c>
      <c r="N134" t="str">
        <f t="shared" si="10"/>
        <v>OTU_108;size=12;</v>
      </c>
      <c r="O134" t="s">
        <v>401</v>
      </c>
    </row>
    <row r="135" spans="12:15" x14ac:dyDescent="0.35">
      <c r="L135" t="s">
        <v>303</v>
      </c>
      <c r="M135">
        <v>12</v>
      </c>
      <c r="N135" t="str">
        <f t="shared" si="10"/>
        <v>OTU_113;size=12;</v>
      </c>
      <c r="O135" t="s">
        <v>414</v>
      </c>
    </row>
    <row r="136" spans="12:15" x14ac:dyDescent="0.35">
      <c r="L136" t="s">
        <v>372</v>
      </c>
      <c r="M136">
        <v>12</v>
      </c>
      <c r="N136" t="str">
        <f t="shared" si="10"/>
        <v>OTU_124;size=12;</v>
      </c>
      <c r="O136" t="s">
        <v>412</v>
      </c>
    </row>
    <row r="137" spans="12:15" x14ac:dyDescent="0.35">
      <c r="L137" t="s">
        <v>506</v>
      </c>
      <c r="M137">
        <v>12</v>
      </c>
      <c r="N137" t="str">
        <f t="shared" si="10"/>
        <v>OTU_165;size=12;</v>
      </c>
      <c r="O137" t="s">
        <v>408</v>
      </c>
    </row>
    <row r="138" spans="12:15" x14ac:dyDescent="0.35">
      <c r="L138" t="s">
        <v>359</v>
      </c>
      <c r="M138">
        <v>12</v>
      </c>
      <c r="N138" t="str">
        <f t="shared" si="10"/>
        <v>OTU_120;size=12;</v>
      </c>
      <c r="O138" t="s">
        <v>628</v>
      </c>
    </row>
    <row r="139" spans="12:15" x14ac:dyDescent="0.35">
      <c r="L139" t="s">
        <v>325</v>
      </c>
      <c r="M139">
        <v>11</v>
      </c>
      <c r="N139" t="str">
        <f t="shared" si="10"/>
        <v>OTU_110;size=11;</v>
      </c>
      <c r="O139" t="s">
        <v>426</v>
      </c>
    </row>
    <row r="140" spans="12:15" x14ac:dyDescent="0.35">
      <c r="L140" t="s">
        <v>355</v>
      </c>
      <c r="M140">
        <v>11</v>
      </c>
      <c r="N140" t="str">
        <f t="shared" si="10"/>
        <v>OTU_115;size=11;</v>
      </c>
      <c r="O140" t="s">
        <v>1631</v>
      </c>
    </row>
    <row r="141" spans="12:15" x14ac:dyDescent="0.35">
      <c r="L141" t="s">
        <v>400</v>
      </c>
      <c r="M141">
        <v>11</v>
      </c>
      <c r="N141" t="str">
        <f t="shared" si="10"/>
        <v>OTU_112;size=11;</v>
      </c>
      <c r="O141" t="s">
        <v>423</v>
      </c>
    </row>
    <row r="142" spans="12:15" x14ac:dyDescent="0.35">
      <c r="L142" t="s">
        <v>431</v>
      </c>
      <c r="M142">
        <v>11</v>
      </c>
      <c r="N142" t="str">
        <f t="shared" si="10"/>
        <v>OTU_141;size=11;</v>
      </c>
      <c r="O142" t="s">
        <v>152</v>
      </c>
    </row>
    <row r="143" spans="12:15" x14ac:dyDescent="0.35">
      <c r="L143" t="s">
        <v>531</v>
      </c>
      <c r="M143">
        <v>10</v>
      </c>
      <c r="N143" t="str">
        <f t="shared" si="10"/>
        <v>OTU_178;size=10;</v>
      </c>
      <c r="O143" t="s">
        <v>438</v>
      </c>
    </row>
    <row r="144" spans="12:15" x14ac:dyDescent="0.35">
      <c r="L144" t="s">
        <v>415</v>
      </c>
      <c r="M144">
        <v>10</v>
      </c>
      <c r="N144" t="str">
        <f t="shared" si="10"/>
        <v>OTU_131;size=10;</v>
      </c>
      <c r="O144" t="s">
        <v>220</v>
      </c>
    </row>
    <row r="145" spans="12:15" x14ac:dyDescent="0.35">
      <c r="L145" t="s">
        <v>409</v>
      </c>
      <c r="M145">
        <v>10</v>
      </c>
      <c r="N145" t="str">
        <f t="shared" si="10"/>
        <v>OTU_138;size=10;</v>
      </c>
      <c r="O145" t="s">
        <v>125</v>
      </c>
    </row>
    <row r="146" spans="12:15" x14ac:dyDescent="0.35">
      <c r="L146" t="s">
        <v>486</v>
      </c>
      <c r="M146">
        <v>10</v>
      </c>
      <c r="N146" t="str">
        <f t="shared" si="10"/>
        <v>OTU_151;size=10;</v>
      </c>
      <c r="O146" t="s">
        <v>399</v>
      </c>
    </row>
    <row r="147" spans="12:15" x14ac:dyDescent="0.35">
      <c r="L147" t="s">
        <v>517</v>
      </c>
      <c r="M147">
        <v>10</v>
      </c>
      <c r="N147" t="str">
        <f t="shared" si="10"/>
        <v>OTU_207;size=10;</v>
      </c>
      <c r="O147" t="s">
        <v>436</v>
      </c>
    </row>
    <row r="148" spans="12:15" x14ac:dyDescent="0.35">
      <c r="L148" t="s">
        <v>427</v>
      </c>
      <c r="M148">
        <v>10</v>
      </c>
      <c r="N148" t="str">
        <f t="shared" si="10"/>
        <v>OTU_121;size=10;</v>
      </c>
      <c r="O148" t="s">
        <v>335</v>
      </c>
    </row>
    <row r="149" spans="12:15" x14ac:dyDescent="0.35">
      <c r="L149" t="s">
        <v>382</v>
      </c>
      <c r="M149">
        <v>10</v>
      </c>
      <c r="N149" t="str">
        <f t="shared" si="10"/>
        <v>OTU_134;size=10;</v>
      </c>
      <c r="O149" t="s">
        <v>441</v>
      </c>
    </row>
    <row r="150" spans="12:15" x14ac:dyDescent="0.35">
      <c r="L150" t="s">
        <v>407</v>
      </c>
      <c r="M150">
        <v>10</v>
      </c>
      <c r="N150" t="str">
        <f t="shared" si="10"/>
        <v>OTU_172;size=10;</v>
      </c>
      <c r="O150" t="s">
        <v>434</v>
      </c>
    </row>
    <row r="151" spans="12:15" x14ac:dyDescent="0.35">
      <c r="L151" t="s">
        <v>331</v>
      </c>
      <c r="M151">
        <v>10</v>
      </c>
      <c r="N151" t="str">
        <f t="shared" si="10"/>
        <v>OTU_126;size=10;</v>
      </c>
      <c r="O151" t="s">
        <v>92</v>
      </c>
    </row>
    <row r="152" spans="12:15" x14ac:dyDescent="0.35">
      <c r="L152" t="s">
        <v>526</v>
      </c>
      <c r="M152">
        <v>9</v>
      </c>
      <c r="N152" t="str">
        <f t="shared" si="10"/>
        <v>OTU_168;size=9;</v>
      </c>
      <c r="O152" t="s">
        <v>401</v>
      </c>
    </row>
    <row r="153" spans="12:15" x14ac:dyDescent="0.35">
      <c r="L153" t="s">
        <v>477</v>
      </c>
      <c r="M153">
        <v>9</v>
      </c>
      <c r="N153" t="str">
        <f t="shared" si="10"/>
        <v>OTU_139;size=9;</v>
      </c>
      <c r="O153" t="s">
        <v>464</v>
      </c>
    </row>
    <row r="154" spans="12:15" x14ac:dyDescent="0.35">
      <c r="L154" t="s">
        <v>342</v>
      </c>
      <c r="M154">
        <v>9</v>
      </c>
      <c r="N154" t="str">
        <f t="shared" si="10"/>
        <v>OTU_146;size=9;</v>
      </c>
      <c r="O154" t="s">
        <v>460</v>
      </c>
    </row>
    <row r="155" spans="12:15" x14ac:dyDescent="0.35">
      <c r="L155" t="s">
        <v>374</v>
      </c>
      <c r="M155">
        <v>9</v>
      </c>
      <c r="N155" t="str">
        <f t="shared" si="10"/>
        <v>OTU_148;size=9;</v>
      </c>
      <c r="O155" t="s">
        <v>455</v>
      </c>
    </row>
    <row r="156" spans="12:15" x14ac:dyDescent="0.35">
      <c r="L156" t="s">
        <v>546</v>
      </c>
      <c r="M156">
        <v>9</v>
      </c>
      <c r="N156" t="str">
        <f t="shared" si="10"/>
        <v>OTU_166;size=9;</v>
      </c>
      <c r="O156" t="s">
        <v>457</v>
      </c>
    </row>
    <row r="157" spans="12:15" x14ac:dyDescent="0.35">
      <c r="L157" t="s">
        <v>442</v>
      </c>
      <c r="M157">
        <v>9</v>
      </c>
      <c r="N157" t="str">
        <f t="shared" si="10"/>
        <v>OTU_135;size=9;</v>
      </c>
      <c r="O157" t="s">
        <v>430</v>
      </c>
    </row>
    <row r="158" spans="12:15" x14ac:dyDescent="0.35">
      <c r="L158" t="s">
        <v>572</v>
      </c>
      <c r="M158">
        <v>9</v>
      </c>
      <c r="N158" t="str">
        <f t="shared" si="10"/>
        <v>OTU_174;size=9;</v>
      </c>
      <c r="O158" t="s">
        <v>449</v>
      </c>
    </row>
    <row r="159" spans="12:15" x14ac:dyDescent="0.35">
      <c r="L159" t="s">
        <v>461</v>
      </c>
      <c r="M159">
        <v>9</v>
      </c>
      <c r="N159" t="str">
        <f t="shared" si="10"/>
        <v>OTU_161;size=9;</v>
      </c>
      <c r="O159" t="s">
        <v>33</v>
      </c>
    </row>
    <row r="160" spans="12:15" x14ac:dyDescent="0.35">
      <c r="L160" t="s">
        <v>450</v>
      </c>
      <c r="M160">
        <v>9</v>
      </c>
      <c r="N160" t="str">
        <f t="shared" si="10"/>
        <v>OTU_157;size=9;</v>
      </c>
      <c r="O160" t="s">
        <v>1631</v>
      </c>
    </row>
    <row r="161" spans="12:15" x14ac:dyDescent="0.35">
      <c r="L161" t="s">
        <v>489</v>
      </c>
      <c r="M161">
        <v>8</v>
      </c>
      <c r="N161" t="str">
        <f t="shared" si="10"/>
        <v>OTU_152;size=8;</v>
      </c>
      <c r="O161" t="s">
        <v>401</v>
      </c>
    </row>
    <row r="162" spans="12:15" x14ac:dyDescent="0.35">
      <c r="L162" t="s">
        <v>462</v>
      </c>
      <c r="M162">
        <v>8</v>
      </c>
      <c r="N162" t="str">
        <f t="shared" si="10"/>
        <v>OTU_147;size=8;</v>
      </c>
      <c r="O162" t="s">
        <v>232</v>
      </c>
    </row>
    <row r="163" spans="12:15" x14ac:dyDescent="0.35">
      <c r="L163" t="s">
        <v>338</v>
      </c>
      <c r="M163">
        <v>8</v>
      </c>
      <c r="N163" t="str">
        <f t="shared" si="10"/>
        <v>OTU_119;size=8;</v>
      </c>
      <c r="O163" t="s">
        <v>470</v>
      </c>
    </row>
    <row r="164" spans="12:15" x14ac:dyDescent="0.35">
      <c r="L164" t="s">
        <v>361</v>
      </c>
      <c r="M164">
        <v>8</v>
      </c>
      <c r="N164" t="str">
        <f t="shared" si="10"/>
        <v>OTU_133;size=8;</v>
      </c>
      <c r="O164" t="s">
        <v>1631</v>
      </c>
    </row>
    <row r="165" spans="12:15" x14ac:dyDescent="0.35">
      <c r="L165" t="s">
        <v>512</v>
      </c>
      <c r="M165">
        <v>7</v>
      </c>
      <c r="N165" t="str">
        <f t="shared" si="10"/>
        <v>OTU_150;size=7;</v>
      </c>
      <c r="O165" t="s">
        <v>1631</v>
      </c>
    </row>
    <row r="166" spans="12:15" x14ac:dyDescent="0.35">
      <c r="L166" t="s">
        <v>582</v>
      </c>
      <c r="M166">
        <v>7</v>
      </c>
      <c r="N166" t="str">
        <f t="shared" si="10"/>
        <v>OTU_220;size=7;</v>
      </c>
      <c r="O166" t="s">
        <v>125</v>
      </c>
    </row>
    <row r="167" spans="12:15" x14ac:dyDescent="0.35">
      <c r="L167" t="s">
        <v>413</v>
      </c>
      <c r="M167">
        <v>7</v>
      </c>
      <c r="N167" t="str">
        <f t="shared" si="10"/>
        <v>OTU_128;size=7;</v>
      </c>
      <c r="O167" t="s">
        <v>478</v>
      </c>
    </row>
    <row r="168" spans="12:15" x14ac:dyDescent="0.35">
      <c r="L168" t="s">
        <v>456</v>
      </c>
      <c r="M168">
        <v>7</v>
      </c>
      <c r="N168" t="str">
        <f t="shared" si="10"/>
        <v>OTU_170;size=7;</v>
      </c>
      <c r="O168" t="s">
        <v>152</v>
      </c>
    </row>
    <row r="169" spans="12:15" x14ac:dyDescent="0.35">
      <c r="L169" t="s">
        <v>443</v>
      </c>
      <c r="M169">
        <v>7</v>
      </c>
      <c r="N169" t="str">
        <f t="shared" si="10"/>
        <v>OTU_145;size=7;</v>
      </c>
      <c r="O169" t="s">
        <v>487</v>
      </c>
    </row>
    <row r="170" spans="12:15" x14ac:dyDescent="0.35">
      <c r="L170" t="s">
        <v>471</v>
      </c>
      <c r="M170">
        <v>7</v>
      </c>
      <c r="N170" t="str">
        <f t="shared" si="10"/>
        <v>OTU_169;size=7;</v>
      </c>
      <c r="O170" t="s">
        <v>485</v>
      </c>
    </row>
    <row r="171" spans="12:15" x14ac:dyDescent="0.35">
      <c r="L171" t="s">
        <v>421</v>
      </c>
      <c r="M171">
        <v>7</v>
      </c>
      <c r="N171" t="str">
        <f t="shared" si="10"/>
        <v>OTU_144;size=7;</v>
      </c>
      <c r="O171" t="s">
        <v>401</v>
      </c>
    </row>
    <row r="172" spans="12:15" x14ac:dyDescent="0.35">
      <c r="L172" t="s">
        <v>483</v>
      </c>
      <c r="M172">
        <v>7</v>
      </c>
      <c r="N172" t="str">
        <f t="shared" si="10"/>
        <v>OTU_185;size=7;</v>
      </c>
      <c r="O172" t="s">
        <v>163</v>
      </c>
    </row>
    <row r="173" spans="12:15" x14ac:dyDescent="0.35">
      <c r="L173" t="s">
        <v>577</v>
      </c>
      <c r="M173">
        <v>7</v>
      </c>
      <c r="N173" t="str">
        <f t="shared" si="10"/>
        <v>OTU_218;size=7;</v>
      </c>
      <c r="O173" t="s">
        <v>476</v>
      </c>
    </row>
    <row r="174" spans="12:15" x14ac:dyDescent="0.35">
      <c r="L174" t="s">
        <v>573</v>
      </c>
      <c r="M174">
        <v>6</v>
      </c>
      <c r="N174" t="str">
        <f t="shared" si="10"/>
        <v>OTU_189;size=6;</v>
      </c>
      <c r="O174" t="s">
        <v>152</v>
      </c>
    </row>
    <row r="175" spans="12:15" x14ac:dyDescent="0.35">
      <c r="L175" t="s">
        <v>458</v>
      </c>
      <c r="M175">
        <v>6</v>
      </c>
      <c r="N175" t="str">
        <f t="shared" si="10"/>
        <v>OTU_153;size=6;</v>
      </c>
      <c r="O175" t="s">
        <v>511</v>
      </c>
    </row>
    <row r="176" spans="12:15" x14ac:dyDescent="0.35">
      <c r="L176" t="s">
        <v>508</v>
      </c>
      <c r="M176">
        <v>6</v>
      </c>
      <c r="N176" t="str">
        <f t="shared" si="10"/>
        <v>OTU_160;size=6;</v>
      </c>
      <c r="O176" t="s">
        <v>507</v>
      </c>
    </row>
    <row r="177" spans="12:15" x14ac:dyDescent="0.35">
      <c r="L177" t="s">
        <v>510</v>
      </c>
      <c r="M177">
        <v>6</v>
      </c>
      <c r="N177" t="str">
        <f t="shared" si="10"/>
        <v>OTU_162;size=6;</v>
      </c>
      <c r="O177" t="s">
        <v>509</v>
      </c>
    </row>
    <row r="178" spans="12:15" x14ac:dyDescent="0.35">
      <c r="L178" t="s">
        <v>488</v>
      </c>
      <c r="M178">
        <v>6</v>
      </c>
      <c r="N178" t="str">
        <f t="shared" si="10"/>
        <v>OTU_180;size=6;</v>
      </c>
      <c r="O178" t="s">
        <v>503</v>
      </c>
    </row>
    <row r="179" spans="12:15" x14ac:dyDescent="0.35">
      <c r="L179" t="s">
        <v>444</v>
      </c>
      <c r="M179">
        <v>6</v>
      </c>
      <c r="N179" t="str">
        <f t="shared" si="10"/>
        <v>OTU_163;size=6;</v>
      </c>
      <c r="O179" t="s">
        <v>494</v>
      </c>
    </row>
    <row r="180" spans="12:15" x14ac:dyDescent="0.35">
      <c r="L180" t="s">
        <v>544</v>
      </c>
      <c r="M180">
        <v>6</v>
      </c>
      <c r="N180" t="str">
        <f t="shared" si="10"/>
        <v>OTU_212;size=6;</v>
      </c>
      <c r="O180" t="s">
        <v>500</v>
      </c>
    </row>
    <row r="181" spans="12:15" x14ac:dyDescent="0.35">
      <c r="L181" t="s">
        <v>490</v>
      </c>
      <c r="M181">
        <v>6</v>
      </c>
      <c r="N181" t="str">
        <f t="shared" si="10"/>
        <v>OTU_159;size=6;</v>
      </c>
      <c r="O181" t="s">
        <v>505</v>
      </c>
    </row>
    <row r="182" spans="12:15" x14ac:dyDescent="0.35">
      <c r="L182" t="s">
        <v>376</v>
      </c>
      <c r="M182">
        <v>6</v>
      </c>
      <c r="N182" t="str">
        <f t="shared" si="10"/>
        <v>OTU_142;size=6;</v>
      </c>
      <c r="O182" t="s">
        <v>468</v>
      </c>
    </row>
    <row r="183" spans="12:15" x14ac:dyDescent="0.35">
      <c r="L183" t="s">
        <v>404</v>
      </c>
      <c r="M183">
        <v>6</v>
      </c>
      <c r="N183" t="str">
        <f t="shared" si="10"/>
        <v>OTU_158;size=6;</v>
      </c>
      <c r="O183" t="s">
        <v>224</v>
      </c>
    </row>
    <row r="184" spans="12:15" x14ac:dyDescent="0.35">
      <c r="L184" t="s">
        <v>579</v>
      </c>
      <c r="M184">
        <v>5</v>
      </c>
      <c r="N184" t="str">
        <f t="shared" si="10"/>
        <v>OTU_195;size=5;</v>
      </c>
      <c r="O184" t="s">
        <v>525</v>
      </c>
    </row>
    <row r="185" spans="12:15" x14ac:dyDescent="0.35">
      <c r="L185" t="s">
        <v>542</v>
      </c>
      <c r="M185">
        <v>5</v>
      </c>
      <c r="N185" t="str">
        <f t="shared" si="10"/>
        <v>OTU_187;size=5;</v>
      </c>
      <c r="O185" t="s">
        <v>127</v>
      </c>
    </row>
    <row r="186" spans="12:15" x14ac:dyDescent="0.35">
      <c r="L186" t="s">
        <v>515</v>
      </c>
      <c r="M186">
        <v>5</v>
      </c>
      <c r="N186" t="str">
        <f t="shared" si="10"/>
        <v>OTU_164;size=5;</v>
      </c>
      <c r="O186" t="s">
        <v>516</v>
      </c>
    </row>
    <row r="187" spans="12:15" x14ac:dyDescent="0.35">
      <c r="L187" t="s">
        <v>581</v>
      </c>
      <c r="M187">
        <v>5</v>
      </c>
      <c r="N187" t="str">
        <f t="shared" si="10"/>
        <v>OTU_199;size=5;</v>
      </c>
      <c r="O187" t="s">
        <v>518</v>
      </c>
    </row>
    <row r="188" spans="12:15" x14ac:dyDescent="0.35">
      <c r="L188" t="s">
        <v>504</v>
      </c>
      <c r="M188">
        <v>5</v>
      </c>
      <c r="N188" t="str">
        <f t="shared" si="10"/>
        <v>OTU_173;size=5;</v>
      </c>
      <c r="O188" t="s">
        <v>401</v>
      </c>
    </row>
    <row r="189" spans="12:15" x14ac:dyDescent="0.35">
      <c r="L189" t="s">
        <v>479</v>
      </c>
      <c r="M189">
        <v>5</v>
      </c>
      <c r="N189" t="str">
        <f t="shared" si="10"/>
        <v>OTU_155;size=5;</v>
      </c>
      <c r="O189" t="s">
        <v>529</v>
      </c>
    </row>
    <row r="190" spans="12:15" x14ac:dyDescent="0.35">
      <c r="L190" t="s">
        <v>532</v>
      </c>
      <c r="M190">
        <v>5</v>
      </c>
      <c r="N190" t="str">
        <f t="shared" si="10"/>
        <v>OTU_183;size=5;</v>
      </c>
      <c r="O190" t="s">
        <v>521</v>
      </c>
    </row>
    <row r="191" spans="12:15" x14ac:dyDescent="0.35">
      <c r="L191" t="s">
        <v>447</v>
      </c>
      <c r="M191">
        <v>4</v>
      </c>
      <c r="N191" t="str">
        <f t="shared" si="10"/>
        <v>OTU_177;size=4;</v>
      </c>
      <c r="O191" t="s">
        <v>152</v>
      </c>
    </row>
    <row r="192" spans="12:15" x14ac:dyDescent="0.35">
      <c r="L192" t="s">
        <v>472</v>
      </c>
      <c r="M192">
        <v>4</v>
      </c>
      <c r="N192" t="str">
        <f t="shared" si="10"/>
        <v>OTU_156;size=4;</v>
      </c>
      <c r="O192" t="s">
        <v>548</v>
      </c>
    </row>
    <row r="193" spans="12:15" x14ac:dyDescent="0.35">
      <c r="L193" t="s">
        <v>513</v>
      </c>
      <c r="M193">
        <v>4</v>
      </c>
      <c r="N193" t="str">
        <f t="shared" si="10"/>
        <v>OTU_171;size=4;</v>
      </c>
      <c r="O193" t="s">
        <v>360</v>
      </c>
    </row>
    <row r="194" spans="12:15" x14ac:dyDescent="0.35">
      <c r="L194" t="s">
        <v>560</v>
      </c>
      <c r="M194">
        <v>4</v>
      </c>
      <c r="N194" t="str">
        <f t="shared" si="10"/>
        <v>OTU_190;size=4;</v>
      </c>
      <c r="O194" t="s">
        <v>354</v>
      </c>
    </row>
    <row r="195" spans="12:15" x14ac:dyDescent="0.35">
      <c r="L195" t="s">
        <v>537</v>
      </c>
      <c r="M195">
        <v>4</v>
      </c>
      <c r="N195" t="str">
        <f t="shared" si="10"/>
        <v>OTU_181;size=4;</v>
      </c>
      <c r="O195" t="s">
        <v>540</v>
      </c>
    </row>
    <row r="196" spans="12:15" x14ac:dyDescent="0.35">
      <c r="L196" t="s">
        <v>541</v>
      </c>
      <c r="M196">
        <v>4</v>
      </c>
      <c r="N196" t="str">
        <f t="shared" ref="N196:N222" si="11">L196&amp;";size="&amp;M196&amp;";"</f>
        <v>OTU_175;size=4;</v>
      </c>
      <c r="O196" t="s">
        <v>543</v>
      </c>
    </row>
    <row r="197" spans="12:15" x14ac:dyDescent="0.35">
      <c r="L197" t="s">
        <v>552</v>
      </c>
      <c r="M197">
        <v>4</v>
      </c>
      <c r="N197" t="str">
        <f t="shared" si="11"/>
        <v>OTU_182;size=4;</v>
      </c>
      <c r="O197" t="s">
        <v>62</v>
      </c>
    </row>
    <row r="198" spans="12:15" x14ac:dyDescent="0.35">
      <c r="L198" t="s">
        <v>520</v>
      </c>
      <c r="M198">
        <v>4</v>
      </c>
      <c r="N198" t="str">
        <f t="shared" si="11"/>
        <v>OTU_219;size=4;</v>
      </c>
      <c r="O198" t="s">
        <v>375</v>
      </c>
    </row>
    <row r="199" spans="12:15" x14ac:dyDescent="0.35">
      <c r="L199" t="s">
        <v>599</v>
      </c>
      <c r="M199">
        <v>4</v>
      </c>
      <c r="N199" t="str">
        <f t="shared" si="11"/>
        <v>OTU_215;size=4;</v>
      </c>
      <c r="O199" t="s">
        <v>536</v>
      </c>
    </row>
    <row r="200" spans="12:15" x14ac:dyDescent="0.35">
      <c r="L200" t="s">
        <v>495</v>
      </c>
      <c r="M200">
        <v>4</v>
      </c>
      <c r="N200" t="str">
        <f t="shared" si="11"/>
        <v>OTU_213;size=4;</v>
      </c>
      <c r="O200" t="s">
        <v>545</v>
      </c>
    </row>
    <row r="201" spans="12:15" x14ac:dyDescent="0.35">
      <c r="L201" t="s">
        <v>501</v>
      </c>
      <c r="M201">
        <v>4</v>
      </c>
      <c r="N201" t="str">
        <f t="shared" si="11"/>
        <v>OTU_179;size=4;</v>
      </c>
      <c r="O201" t="s">
        <v>401</v>
      </c>
    </row>
    <row r="202" spans="12:15" x14ac:dyDescent="0.35">
      <c r="L202" t="s">
        <v>519</v>
      </c>
      <c r="M202">
        <v>3</v>
      </c>
      <c r="N202" t="str">
        <f t="shared" si="11"/>
        <v>OTU_186;size=3;</v>
      </c>
      <c r="O202" t="s">
        <v>401</v>
      </c>
    </row>
    <row r="203" spans="12:15" x14ac:dyDescent="0.35">
      <c r="L203" t="s">
        <v>207</v>
      </c>
      <c r="M203">
        <v>3</v>
      </c>
      <c r="N203" t="str">
        <f t="shared" si="11"/>
        <v>OTU_196;size=3;</v>
      </c>
      <c r="O203" t="s">
        <v>401</v>
      </c>
    </row>
    <row r="204" spans="12:15" x14ac:dyDescent="0.35">
      <c r="L204" t="s">
        <v>433</v>
      </c>
      <c r="M204">
        <v>3</v>
      </c>
      <c r="N204" t="str">
        <f t="shared" si="11"/>
        <v>OTU_188;size=3;</v>
      </c>
      <c r="O204" t="s">
        <v>1631</v>
      </c>
    </row>
    <row r="205" spans="12:15" x14ac:dyDescent="0.35">
      <c r="L205" t="s">
        <v>448</v>
      </c>
      <c r="M205">
        <v>3</v>
      </c>
      <c r="N205" t="str">
        <f t="shared" si="11"/>
        <v>OTU_184;size=3;</v>
      </c>
      <c r="O205" t="s">
        <v>321</v>
      </c>
    </row>
    <row r="206" spans="12:15" x14ac:dyDescent="0.35">
      <c r="L206" t="s">
        <v>279</v>
      </c>
      <c r="M206">
        <v>3</v>
      </c>
      <c r="N206" t="str">
        <f t="shared" si="11"/>
        <v>OTU_202;size=3;</v>
      </c>
      <c r="O206" t="s">
        <v>571</v>
      </c>
    </row>
    <row r="207" spans="12:15" x14ac:dyDescent="0.35">
      <c r="L207" t="s">
        <v>533</v>
      </c>
      <c r="M207">
        <v>3</v>
      </c>
      <c r="N207" t="str">
        <f t="shared" si="11"/>
        <v>OTU_210;size=3;</v>
      </c>
      <c r="O207" t="s">
        <v>551</v>
      </c>
    </row>
    <row r="208" spans="12:15" x14ac:dyDescent="0.35">
      <c r="L208" t="s">
        <v>565</v>
      </c>
      <c r="M208">
        <v>3</v>
      </c>
      <c r="N208" t="str">
        <f t="shared" si="11"/>
        <v>OTU_214;size=3;</v>
      </c>
      <c r="O208" t="s">
        <v>558</v>
      </c>
    </row>
    <row r="209" spans="12:15" x14ac:dyDescent="0.35">
      <c r="L209" t="s">
        <v>554</v>
      </c>
      <c r="M209">
        <v>3</v>
      </c>
      <c r="N209" t="str">
        <f t="shared" si="11"/>
        <v>OTU_208;size=3;</v>
      </c>
      <c r="O209" t="s">
        <v>558</v>
      </c>
    </row>
    <row r="210" spans="12:15" x14ac:dyDescent="0.35">
      <c r="L210" t="s">
        <v>437</v>
      </c>
      <c r="M210">
        <v>3</v>
      </c>
      <c r="N210" t="str">
        <f t="shared" si="11"/>
        <v>OTU_176;size=3;</v>
      </c>
      <c r="O210" t="s">
        <v>401</v>
      </c>
    </row>
    <row r="211" spans="12:15" x14ac:dyDescent="0.35">
      <c r="L211" t="s">
        <v>435</v>
      </c>
      <c r="M211">
        <v>3</v>
      </c>
      <c r="N211" t="str">
        <f t="shared" si="11"/>
        <v>OTU_206;size=3;</v>
      </c>
      <c r="O211" t="s">
        <v>563</v>
      </c>
    </row>
    <row r="212" spans="12:15" x14ac:dyDescent="0.35">
      <c r="L212" t="s">
        <v>534</v>
      </c>
      <c r="M212">
        <v>2</v>
      </c>
      <c r="N212" t="str">
        <f t="shared" si="11"/>
        <v>OTU_191;size=2;</v>
      </c>
      <c r="O212" t="s">
        <v>578</v>
      </c>
    </row>
    <row r="213" spans="12:15" x14ac:dyDescent="0.35">
      <c r="L213" t="s">
        <v>567</v>
      </c>
      <c r="M213">
        <v>2</v>
      </c>
      <c r="N213" t="str">
        <f t="shared" si="11"/>
        <v>OTU_217;size=2;</v>
      </c>
      <c r="O213" t="s">
        <v>192</v>
      </c>
    </row>
    <row r="214" spans="12:15" x14ac:dyDescent="0.35">
      <c r="L214" t="s">
        <v>535</v>
      </c>
      <c r="M214">
        <v>2</v>
      </c>
      <c r="N214" t="str">
        <f t="shared" si="11"/>
        <v>OTU_216;size=2;</v>
      </c>
      <c r="O214" t="s">
        <v>601</v>
      </c>
    </row>
    <row r="215" spans="12:15" x14ac:dyDescent="0.35">
      <c r="L215" t="s">
        <v>514</v>
      </c>
      <c r="M215">
        <v>2</v>
      </c>
      <c r="N215" t="str">
        <f t="shared" si="11"/>
        <v>OTU_193;size=2;</v>
      </c>
      <c r="O215" t="s">
        <v>597</v>
      </c>
    </row>
    <row r="216" spans="12:15" x14ac:dyDescent="0.35">
      <c r="L216" t="s">
        <v>549</v>
      </c>
      <c r="M216">
        <v>2</v>
      </c>
      <c r="N216" t="str">
        <f t="shared" si="11"/>
        <v>OTU_205;size=2;</v>
      </c>
      <c r="O216" t="s">
        <v>574</v>
      </c>
    </row>
    <row r="217" spans="12:15" x14ac:dyDescent="0.35">
      <c r="L217" t="s">
        <v>482</v>
      </c>
      <c r="M217">
        <v>2</v>
      </c>
      <c r="N217" t="str">
        <f t="shared" si="11"/>
        <v>OTU_203;size=2;</v>
      </c>
      <c r="O217" t="s">
        <v>580</v>
      </c>
    </row>
    <row r="218" spans="12:15" x14ac:dyDescent="0.35">
      <c r="L218" t="s">
        <v>522</v>
      </c>
      <c r="M218">
        <v>2</v>
      </c>
      <c r="N218" t="str">
        <f t="shared" si="11"/>
        <v>OTU_201;size=2;</v>
      </c>
      <c r="O218" t="s">
        <v>125</v>
      </c>
    </row>
    <row r="219" spans="12:15" x14ac:dyDescent="0.35">
      <c r="L219" t="s">
        <v>252</v>
      </c>
      <c r="M219">
        <v>2</v>
      </c>
      <c r="N219" t="str">
        <f t="shared" si="11"/>
        <v>OTU_211;size=2;</v>
      </c>
      <c r="O219" t="s">
        <v>588</v>
      </c>
    </row>
    <row r="220" spans="12:15" x14ac:dyDescent="0.35">
      <c r="L220" t="s">
        <v>589</v>
      </c>
      <c r="M220">
        <v>2</v>
      </c>
      <c r="N220" t="str">
        <f t="shared" si="11"/>
        <v>OTU_197;size=2;</v>
      </c>
      <c r="O220" t="s">
        <v>592</v>
      </c>
    </row>
    <row r="221" spans="12:15" x14ac:dyDescent="0.35">
      <c r="L221" t="s">
        <v>559</v>
      </c>
      <c r="M221">
        <v>2</v>
      </c>
      <c r="N221" t="str">
        <f t="shared" si="11"/>
        <v>OTU_198;size=2;</v>
      </c>
      <c r="O221" t="s">
        <v>576</v>
      </c>
    </row>
    <row r="222" spans="12:15" x14ac:dyDescent="0.35">
      <c r="L222" t="s">
        <v>598</v>
      </c>
      <c r="M222">
        <v>2</v>
      </c>
      <c r="N222" t="str">
        <f t="shared" si="11"/>
        <v>OTU_209;size=2;</v>
      </c>
      <c r="O222" t="s">
        <v>585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K229"/>
  <sheetViews>
    <sheetView topLeftCell="A70" zoomScale="80" zoomScaleNormal="80" workbookViewId="0">
      <selection activeCell="AA120" sqref="AA120"/>
    </sheetView>
  </sheetViews>
  <sheetFormatPr defaultRowHeight="14.5" x14ac:dyDescent="0.35"/>
  <cols>
    <col min="2" max="2" width="8.81640625" customWidth="1"/>
    <col min="3" max="15" width="8.81640625" style="9"/>
    <col min="16" max="16" width="21" style="14" customWidth="1"/>
    <col min="19" max="30" width="10.1796875" customWidth="1"/>
    <col min="32" max="33" width="11.81640625" customWidth="1"/>
    <col min="34" max="34" width="9.1796875" customWidth="1"/>
    <col min="35" max="37" width="10.1796875" customWidth="1"/>
  </cols>
  <sheetData>
    <row r="1" spans="1:37" x14ac:dyDescent="0.35">
      <c r="A1" t="s">
        <v>2156</v>
      </c>
      <c r="S1">
        <f>SUM(S4:S228)</f>
        <v>42897</v>
      </c>
      <c r="T1">
        <f t="shared" ref="T1:AD1" si="0">SUM(T4:T228)</f>
        <v>19600</v>
      </c>
      <c r="U1">
        <f t="shared" si="0"/>
        <v>7684</v>
      </c>
      <c r="V1">
        <f t="shared" si="0"/>
        <v>16895</v>
      </c>
      <c r="W1">
        <f t="shared" si="0"/>
        <v>46024</v>
      </c>
      <c r="X1">
        <f t="shared" si="0"/>
        <v>15848</v>
      </c>
      <c r="Y1">
        <f t="shared" si="0"/>
        <v>3483</v>
      </c>
      <c r="Z1">
        <f t="shared" si="0"/>
        <v>3502</v>
      </c>
      <c r="AA1">
        <f t="shared" si="0"/>
        <v>34876</v>
      </c>
      <c r="AB1">
        <f t="shared" si="0"/>
        <v>23056</v>
      </c>
      <c r="AC1">
        <f t="shared" si="0"/>
        <v>10875</v>
      </c>
      <c r="AD1">
        <f t="shared" si="0"/>
        <v>11432</v>
      </c>
    </row>
    <row r="2" spans="1:37" x14ac:dyDescent="0.35">
      <c r="B2">
        <f>SUM(B4:B228)</f>
        <v>236172</v>
      </c>
      <c r="AI2" s="1" t="s">
        <v>1080</v>
      </c>
      <c r="AJ2" s="1" t="s">
        <v>1080</v>
      </c>
      <c r="AK2" s="1" t="s">
        <v>1080</v>
      </c>
    </row>
    <row r="3" spans="1:37" s="1" customFormat="1" ht="59.15" customHeight="1" x14ac:dyDescent="0.35">
      <c r="A3" s="1" t="s">
        <v>0</v>
      </c>
      <c r="B3" s="1" t="s">
        <v>1</v>
      </c>
      <c r="C3" s="10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606</v>
      </c>
      <c r="P3" s="35" t="s">
        <v>3</v>
      </c>
      <c r="Q3" s="1" t="s">
        <v>4</v>
      </c>
      <c r="R3" s="1" t="s">
        <v>5</v>
      </c>
      <c r="S3" s="21" t="s">
        <v>2087</v>
      </c>
      <c r="T3" s="22" t="s">
        <v>2117</v>
      </c>
      <c r="U3" s="22" t="s">
        <v>2118</v>
      </c>
      <c r="V3" s="23" t="s">
        <v>2119</v>
      </c>
      <c r="W3" s="21" t="s">
        <v>2089</v>
      </c>
      <c r="X3" s="22" t="s">
        <v>2127</v>
      </c>
      <c r="Y3" s="22" t="s">
        <v>2128</v>
      </c>
      <c r="Z3" s="23" t="s">
        <v>2129</v>
      </c>
      <c r="AA3" s="21" t="s">
        <v>2091</v>
      </c>
      <c r="AB3" s="22" t="s">
        <v>2137</v>
      </c>
      <c r="AC3" s="22" t="s">
        <v>2138</v>
      </c>
      <c r="AD3" s="23" t="s">
        <v>2139</v>
      </c>
      <c r="AF3" s="1" t="s">
        <v>1077</v>
      </c>
      <c r="AG3" s="1" t="s">
        <v>1476</v>
      </c>
      <c r="AI3" s="1" t="s">
        <v>2120</v>
      </c>
      <c r="AJ3" s="1" t="s">
        <v>2130</v>
      </c>
      <c r="AK3" s="1" t="s">
        <v>2140</v>
      </c>
    </row>
    <row r="4" spans="1:37" x14ac:dyDescent="0.35">
      <c r="A4" t="s">
        <v>6</v>
      </c>
      <c r="B4">
        <v>58184</v>
      </c>
      <c r="C4" s="9" t="s">
        <v>7</v>
      </c>
      <c r="D4" s="9" t="s">
        <v>8</v>
      </c>
      <c r="E4" s="9" t="s">
        <v>9</v>
      </c>
      <c r="F4" s="9" t="s">
        <v>605</v>
      </c>
      <c r="G4" s="9" t="s">
        <v>10</v>
      </c>
      <c r="H4" s="9" t="s">
        <v>605</v>
      </c>
      <c r="I4" s="9" t="s">
        <v>11</v>
      </c>
      <c r="J4" s="9" t="s">
        <v>605</v>
      </c>
      <c r="K4" s="9" t="s">
        <v>12</v>
      </c>
      <c r="L4" s="9" t="s">
        <v>605</v>
      </c>
      <c r="M4" s="9" t="s">
        <v>13</v>
      </c>
      <c r="N4" s="9" t="s">
        <v>605</v>
      </c>
      <c r="O4" s="9">
        <v>0.91</v>
      </c>
      <c r="P4" s="14" t="s">
        <v>14</v>
      </c>
      <c r="Q4">
        <v>96.8</v>
      </c>
      <c r="R4">
        <v>1</v>
      </c>
      <c r="S4" s="2">
        <v>27333</v>
      </c>
      <c r="T4" s="3">
        <v>13574</v>
      </c>
      <c r="U4" s="3">
        <v>5292</v>
      </c>
      <c r="V4" s="4">
        <v>8544</v>
      </c>
      <c r="W4" s="2">
        <v>132</v>
      </c>
      <c r="X4" s="3">
        <v>0</v>
      </c>
      <c r="Y4" s="3">
        <v>0</v>
      </c>
      <c r="Z4" s="4">
        <v>0</v>
      </c>
      <c r="AA4" s="2">
        <v>1554</v>
      </c>
      <c r="AB4" s="3">
        <v>1010</v>
      </c>
      <c r="AC4" s="3">
        <v>195</v>
      </c>
      <c r="AD4" s="4">
        <v>550</v>
      </c>
      <c r="AF4" s="26">
        <f t="shared" ref="AF4:AF67" si="1">B4/B$2</f>
        <v>0.24636282031739579</v>
      </c>
      <c r="AG4" s="26">
        <f>AF4</f>
        <v>0.24636282031739579</v>
      </c>
      <c r="AI4">
        <v>100</v>
      </c>
      <c r="AJ4">
        <v>77</v>
      </c>
      <c r="AK4">
        <v>100</v>
      </c>
    </row>
    <row r="5" spans="1:37" x14ac:dyDescent="0.35">
      <c r="A5" t="s">
        <v>15</v>
      </c>
      <c r="B5">
        <v>24970</v>
      </c>
      <c r="C5" s="9" t="s">
        <v>7</v>
      </c>
      <c r="D5" s="9" t="s">
        <v>8</v>
      </c>
      <c r="E5" s="9" t="s">
        <v>605</v>
      </c>
      <c r="F5" s="9" t="s">
        <v>605</v>
      </c>
      <c r="G5" s="9" t="s">
        <v>605</v>
      </c>
      <c r="H5" s="9" t="s">
        <v>605</v>
      </c>
      <c r="I5" s="9" t="s">
        <v>605</v>
      </c>
      <c r="J5" s="9" t="s">
        <v>605</v>
      </c>
      <c r="K5" s="9" t="s">
        <v>605</v>
      </c>
      <c r="L5" s="9" t="s">
        <v>605</v>
      </c>
      <c r="M5" s="9" t="s">
        <v>605</v>
      </c>
      <c r="N5" s="9" t="s">
        <v>605</v>
      </c>
      <c r="O5" s="9">
        <v>0.99</v>
      </c>
      <c r="P5" s="14" t="s">
        <v>16</v>
      </c>
      <c r="Q5">
        <v>87</v>
      </c>
      <c r="R5">
        <v>1</v>
      </c>
      <c r="S5" s="2">
        <v>24</v>
      </c>
      <c r="T5" s="3">
        <v>0</v>
      </c>
      <c r="U5" s="3">
        <v>0</v>
      </c>
      <c r="V5" s="4">
        <v>0</v>
      </c>
      <c r="W5" s="2">
        <v>17120</v>
      </c>
      <c r="X5" s="3">
        <v>7816</v>
      </c>
      <c r="Y5" s="3">
        <v>0</v>
      </c>
      <c r="Z5" s="4">
        <v>0</v>
      </c>
      <c r="AA5" s="2">
        <v>10</v>
      </c>
      <c r="AB5" s="3">
        <v>0</v>
      </c>
      <c r="AC5" s="3">
        <v>0</v>
      </c>
      <c r="AD5" s="4">
        <v>0</v>
      </c>
      <c r="AF5" s="26">
        <f t="shared" si="1"/>
        <v>0.10572802872482767</v>
      </c>
      <c r="AG5" s="26">
        <f>AG4+AF5</f>
        <v>0.35209084904222343</v>
      </c>
      <c r="AI5">
        <v>84</v>
      </c>
      <c r="AJ5">
        <v>100</v>
      </c>
      <c r="AK5">
        <v>25</v>
      </c>
    </row>
    <row r="6" spans="1:37" x14ac:dyDescent="0.35">
      <c r="A6" t="s">
        <v>17</v>
      </c>
      <c r="B6">
        <v>14236</v>
      </c>
      <c r="C6" s="9" t="s">
        <v>7</v>
      </c>
      <c r="D6" s="9" t="s">
        <v>8</v>
      </c>
      <c r="E6" s="9" t="s">
        <v>18</v>
      </c>
      <c r="F6" s="9" t="s">
        <v>605</v>
      </c>
      <c r="G6" s="9" t="s">
        <v>19</v>
      </c>
      <c r="H6" s="9" t="s">
        <v>605</v>
      </c>
      <c r="I6" s="9" t="s">
        <v>20</v>
      </c>
      <c r="J6" s="9" t="s">
        <v>605</v>
      </c>
      <c r="K6" s="9" t="s">
        <v>21</v>
      </c>
      <c r="L6" s="9" t="s">
        <v>605</v>
      </c>
      <c r="M6" s="9" t="s">
        <v>605</v>
      </c>
      <c r="N6" s="9" t="s">
        <v>605</v>
      </c>
      <c r="O6" s="9">
        <v>0.56999999999999995</v>
      </c>
      <c r="P6" s="14" t="s">
        <v>22</v>
      </c>
      <c r="Q6">
        <v>85.8</v>
      </c>
      <c r="R6">
        <v>1</v>
      </c>
      <c r="S6" s="2">
        <v>13</v>
      </c>
      <c r="T6" s="3">
        <v>0</v>
      </c>
      <c r="U6" s="3">
        <v>0</v>
      </c>
      <c r="V6" s="4">
        <v>0</v>
      </c>
      <c r="W6" s="2">
        <v>1171</v>
      </c>
      <c r="X6" s="3">
        <v>305</v>
      </c>
      <c r="Y6" s="3">
        <v>122</v>
      </c>
      <c r="Z6" s="4">
        <v>229</v>
      </c>
      <c r="AA6" s="2">
        <v>5956</v>
      </c>
      <c r="AB6" s="3">
        <v>3069</v>
      </c>
      <c r="AC6" s="3">
        <v>1889</v>
      </c>
      <c r="AD6" s="4">
        <v>1482</v>
      </c>
      <c r="AF6" s="26">
        <f t="shared" si="1"/>
        <v>6.0278102399945799E-2</v>
      </c>
      <c r="AG6" s="26">
        <f t="shared" ref="AG6:AG69" si="2">AG5+AF6</f>
        <v>0.41236895144216923</v>
      </c>
      <c r="AI6">
        <v>0</v>
      </c>
      <c r="AJ6">
        <v>100</v>
      </c>
      <c r="AK6">
        <v>100</v>
      </c>
    </row>
    <row r="7" spans="1:37" x14ac:dyDescent="0.35">
      <c r="A7" t="s">
        <v>23</v>
      </c>
      <c r="B7">
        <v>12568</v>
      </c>
      <c r="C7" s="9" t="s">
        <v>7</v>
      </c>
      <c r="D7" s="9" t="s">
        <v>24</v>
      </c>
      <c r="E7" s="9" t="s">
        <v>25</v>
      </c>
      <c r="F7" s="9" t="s">
        <v>605</v>
      </c>
      <c r="G7" s="9" t="s">
        <v>26</v>
      </c>
      <c r="H7" s="9" t="s">
        <v>605</v>
      </c>
      <c r="I7" s="9" t="s">
        <v>27</v>
      </c>
      <c r="J7" s="9" t="s">
        <v>605</v>
      </c>
      <c r="K7" s="9" t="s">
        <v>28</v>
      </c>
      <c r="L7" s="9" t="s">
        <v>605</v>
      </c>
      <c r="M7" s="9" t="s">
        <v>29</v>
      </c>
      <c r="N7" s="9" t="s">
        <v>605</v>
      </c>
      <c r="O7" s="9">
        <v>1</v>
      </c>
      <c r="P7" s="14" t="s">
        <v>30</v>
      </c>
      <c r="Q7">
        <v>100</v>
      </c>
      <c r="R7">
        <v>1</v>
      </c>
      <c r="S7" s="2">
        <v>5</v>
      </c>
      <c r="T7" s="3">
        <v>0</v>
      </c>
      <c r="U7" s="3">
        <v>0</v>
      </c>
      <c r="V7" s="4">
        <v>0</v>
      </c>
      <c r="W7" s="2">
        <v>29</v>
      </c>
      <c r="X7" s="3">
        <v>0</v>
      </c>
      <c r="Y7" s="3">
        <v>0</v>
      </c>
      <c r="Z7" s="4">
        <v>0</v>
      </c>
      <c r="AA7" s="2">
        <v>7736</v>
      </c>
      <c r="AB7" s="3">
        <v>2393</v>
      </c>
      <c r="AC7" s="3">
        <v>1396</v>
      </c>
      <c r="AD7" s="4">
        <v>1009</v>
      </c>
      <c r="AF7" s="26">
        <f t="shared" si="1"/>
        <v>5.3215453144318546E-2</v>
      </c>
      <c r="AG7" s="26">
        <f t="shared" si="2"/>
        <v>0.46558440458648775</v>
      </c>
      <c r="AI7">
        <v>0</v>
      </c>
      <c r="AJ7">
        <v>32</v>
      </c>
      <c r="AK7">
        <v>100</v>
      </c>
    </row>
    <row r="8" spans="1:37" x14ac:dyDescent="0.35">
      <c r="A8" t="s">
        <v>51</v>
      </c>
      <c r="B8">
        <v>8872</v>
      </c>
      <c r="C8" s="9" t="s">
        <v>7</v>
      </c>
      <c r="D8" s="9" t="s">
        <v>8</v>
      </c>
      <c r="E8" s="9" t="s">
        <v>32</v>
      </c>
      <c r="F8" s="9" t="s">
        <v>605</v>
      </c>
      <c r="G8" s="9" t="s">
        <v>35</v>
      </c>
      <c r="H8" s="9" t="s">
        <v>605</v>
      </c>
      <c r="I8" s="9" t="s">
        <v>36</v>
      </c>
      <c r="J8" s="9" t="s">
        <v>605</v>
      </c>
      <c r="K8" s="9" t="s">
        <v>37</v>
      </c>
      <c r="L8" s="9" t="s">
        <v>605</v>
      </c>
      <c r="M8" s="9" t="s">
        <v>605</v>
      </c>
      <c r="N8" s="9" t="s">
        <v>605</v>
      </c>
      <c r="O8" s="9">
        <v>0.67</v>
      </c>
      <c r="P8" s="14" t="s">
        <v>38</v>
      </c>
      <c r="Q8">
        <v>85.8</v>
      </c>
      <c r="R8">
        <v>1</v>
      </c>
      <c r="S8" s="2">
        <v>1270</v>
      </c>
      <c r="T8" s="3">
        <v>271</v>
      </c>
      <c r="U8" s="3">
        <v>193</v>
      </c>
      <c r="V8" s="4">
        <v>140</v>
      </c>
      <c r="W8" s="2">
        <v>9</v>
      </c>
      <c r="X8" s="3">
        <v>0</v>
      </c>
      <c r="Y8" s="3">
        <v>0</v>
      </c>
      <c r="Z8" s="4">
        <v>0</v>
      </c>
      <c r="AA8" s="2">
        <v>3116</v>
      </c>
      <c r="AB8" s="3">
        <v>1598</v>
      </c>
      <c r="AC8" s="3">
        <v>1207</v>
      </c>
      <c r="AD8" s="4">
        <v>1068</v>
      </c>
      <c r="AF8" s="26">
        <f t="shared" si="1"/>
        <v>3.7565841844079739E-2</v>
      </c>
      <c r="AG8" s="26">
        <f t="shared" si="2"/>
        <v>0.50315024643056749</v>
      </c>
      <c r="AI8">
        <v>100</v>
      </c>
      <c r="AJ8">
        <v>0</v>
      </c>
      <c r="AK8">
        <v>100</v>
      </c>
    </row>
    <row r="9" spans="1:37" x14ac:dyDescent="0.35">
      <c r="A9" t="s">
        <v>39</v>
      </c>
      <c r="B9">
        <v>8470</v>
      </c>
      <c r="C9" s="9" t="s">
        <v>7</v>
      </c>
      <c r="D9" s="9" t="s">
        <v>24</v>
      </c>
      <c r="E9" s="9" t="s">
        <v>25</v>
      </c>
      <c r="F9" s="9" t="s">
        <v>605</v>
      </c>
      <c r="G9" s="9" t="s">
        <v>40</v>
      </c>
      <c r="H9" s="9" t="s">
        <v>605</v>
      </c>
      <c r="I9" s="9" t="s">
        <v>41</v>
      </c>
      <c r="J9" s="9" t="s">
        <v>605</v>
      </c>
      <c r="K9" s="9" t="s">
        <v>42</v>
      </c>
      <c r="L9" s="9" t="s">
        <v>605</v>
      </c>
      <c r="M9" s="9" t="s">
        <v>43</v>
      </c>
      <c r="N9" s="9" t="s">
        <v>605</v>
      </c>
      <c r="O9" s="9">
        <v>1</v>
      </c>
      <c r="P9" s="14" t="s">
        <v>44</v>
      </c>
      <c r="Q9">
        <v>97.2</v>
      </c>
      <c r="R9">
        <v>1</v>
      </c>
      <c r="S9" s="2">
        <v>1032</v>
      </c>
      <c r="T9" s="3">
        <v>192</v>
      </c>
      <c r="U9" s="3">
        <v>0</v>
      </c>
      <c r="V9" s="4">
        <v>0</v>
      </c>
      <c r="W9" s="2">
        <v>16</v>
      </c>
      <c r="X9" s="3">
        <v>0</v>
      </c>
      <c r="Y9" s="3">
        <v>0</v>
      </c>
      <c r="Z9" s="4">
        <v>0</v>
      </c>
      <c r="AA9" s="2">
        <v>3332</v>
      </c>
      <c r="AB9" s="3">
        <v>1942</v>
      </c>
      <c r="AC9" s="3">
        <v>1044</v>
      </c>
      <c r="AD9" s="4">
        <v>912</v>
      </c>
      <c r="AF9" s="26">
        <f t="shared" si="1"/>
        <v>3.5863692563047271E-2</v>
      </c>
      <c r="AG9" s="26">
        <f t="shared" si="2"/>
        <v>0.53901393899361472</v>
      </c>
      <c r="AI9">
        <v>100</v>
      </c>
      <c r="AJ9">
        <v>60</v>
      </c>
      <c r="AK9">
        <v>100</v>
      </c>
    </row>
    <row r="10" spans="1:37" x14ac:dyDescent="0.35">
      <c r="A10" t="s">
        <v>31</v>
      </c>
      <c r="B10">
        <v>8389</v>
      </c>
      <c r="C10" s="9" t="s">
        <v>7</v>
      </c>
      <c r="D10" s="9" t="s">
        <v>8</v>
      </c>
      <c r="E10" s="9" t="s">
        <v>32</v>
      </c>
      <c r="F10" s="9" t="s">
        <v>605</v>
      </c>
      <c r="G10" s="9" t="s">
        <v>605</v>
      </c>
      <c r="H10" s="9" t="s">
        <v>605</v>
      </c>
      <c r="I10" s="9" t="s">
        <v>605</v>
      </c>
      <c r="J10" s="9" t="s">
        <v>605</v>
      </c>
      <c r="K10" s="9" t="s">
        <v>605</v>
      </c>
      <c r="L10" s="9" t="s">
        <v>605</v>
      </c>
      <c r="M10" s="9" t="s">
        <v>605</v>
      </c>
      <c r="N10" s="9" t="s">
        <v>605</v>
      </c>
      <c r="O10" s="9">
        <v>0.99</v>
      </c>
      <c r="P10" s="14" t="s">
        <v>33</v>
      </c>
      <c r="Q10">
        <v>87.7</v>
      </c>
      <c r="R10">
        <v>1</v>
      </c>
      <c r="S10" s="2">
        <v>9</v>
      </c>
      <c r="T10" s="3">
        <v>0</v>
      </c>
      <c r="U10" s="3">
        <v>0</v>
      </c>
      <c r="V10" s="4">
        <v>0</v>
      </c>
      <c r="W10" s="2">
        <v>5845</v>
      </c>
      <c r="X10" s="3">
        <v>1220</v>
      </c>
      <c r="Y10" s="3">
        <v>766</v>
      </c>
      <c r="Z10" s="4">
        <v>542</v>
      </c>
      <c r="AA10" s="2">
        <v>7</v>
      </c>
      <c r="AB10" s="3">
        <v>0</v>
      </c>
      <c r="AC10" s="3">
        <v>0</v>
      </c>
      <c r="AD10" s="4">
        <v>0</v>
      </c>
      <c r="AF10" s="26">
        <f t="shared" si="1"/>
        <v>3.5520722185525801E-2</v>
      </c>
      <c r="AG10" s="26">
        <f t="shared" si="2"/>
        <v>0.57453466117914054</v>
      </c>
      <c r="AI10">
        <v>2</v>
      </c>
      <c r="AJ10">
        <v>100</v>
      </c>
      <c r="AK10">
        <v>25</v>
      </c>
    </row>
    <row r="11" spans="1:37" x14ac:dyDescent="0.35">
      <c r="A11" t="s">
        <v>34</v>
      </c>
      <c r="B11">
        <v>8105</v>
      </c>
      <c r="C11" s="9" t="s">
        <v>7</v>
      </c>
      <c r="D11" s="9" t="s">
        <v>24</v>
      </c>
      <c r="E11" s="9" t="s">
        <v>25</v>
      </c>
      <c r="F11" s="9" t="s">
        <v>605</v>
      </c>
      <c r="G11" s="9" t="s">
        <v>40</v>
      </c>
      <c r="H11" s="9" t="s">
        <v>605</v>
      </c>
      <c r="I11" s="9" t="s">
        <v>41</v>
      </c>
      <c r="J11" s="9" t="s">
        <v>605</v>
      </c>
      <c r="K11" s="9" t="s">
        <v>52</v>
      </c>
      <c r="L11" s="9" t="s">
        <v>605</v>
      </c>
      <c r="M11" s="9" t="s">
        <v>53</v>
      </c>
      <c r="N11" s="9" t="s">
        <v>605</v>
      </c>
      <c r="O11" s="9">
        <v>1</v>
      </c>
      <c r="P11" s="14" t="s">
        <v>54</v>
      </c>
      <c r="Q11">
        <v>100</v>
      </c>
      <c r="R11">
        <v>7</v>
      </c>
      <c r="S11" s="2">
        <v>1238</v>
      </c>
      <c r="T11" s="3">
        <v>2733</v>
      </c>
      <c r="U11" s="3">
        <v>1738</v>
      </c>
      <c r="V11" s="4">
        <v>2109</v>
      </c>
      <c r="W11" s="2">
        <v>11</v>
      </c>
      <c r="X11" s="3">
        <v>0</v>
      </c>
      <c r="Y11" s="3">
        <v>0</v>
      </c>
      <c r="Z11" s="4">
        <v>0</v>
      </c>
      <c r="AA11" s="2">
        <v>54</v>
      </c>
      <c r="AB11" s="3">
        <v>222</v>
      </c>
      <c r="AC11" s="3">
        <v>0</v>
      </c>
      <c r="AD11" s="4">
        <v>0</v>
      </c>
      <c r="AF11" s="26">
        <f t="shared" si="1"/>
        <v>3.4318208763104853E-2</v>
      </c>
      <c r="AG11" s="26">
        <f t="shared" si="2"/>
        <v>0.60885286994224541</v>
      </c>
      <c r="AI11">
        <v>100</v>
      </c>
      <c r="AJ11">
        <v>39</v>
      </c>
      <c r="AK11">
        <v>100</v>
      </c>
    </row>
    <row r="12" spans="1:37" x14ac:dyDescent="0.35">
      <c r="A12" t="s">
        <v>45</v>
      </c>
      <c r="B12">
        <v>5998</v>
      </c>
      <c r="C12" s="9" t="s">
        <v>7</v>
      </c>
      <c r="D12" s="9" t="s">
        <v>8</v>
      </c>
      <c r="E12" s="9" t="s">
        <v>46</v>
      </c>
      <c r="F12" s="9" t="s">
        <v>605</v>
      </c>
      <c r="G12" s="9" t="s">
        <v>64</v>
      </c>
      <c r="H12" s="9" t="s">
        <v>605</v>
      </c>
      <c r="I12" s="9" t="s">
        <v>65</v>
      </c>
      <c r="J12" s="9" t="s">
        <v>605</v>
      </c>
      <c r="K12" s="9" t="s">
        <v>66</v>
      </c>
      <c r="L12" s="9" t="s">
        <v>605</v>
      </c>
      <c r="M12" s="9" t="s">
        <v>605</v>
      </c>
      <c r="N12" s="9" t="s">
        <v>605</v>
      </c>
      <c r="O12" s="9">
        <v>0.53</v>
      </c>
      <c r="P12" s="14" t="s">
        <v>67</v>
      </c>
      <c r="Q12">
        <v>88.5</v>
      </c>
      <c r="R12">
        <v>2</v>
      </c>
      <c r="S12" s="2">
        <v>3</v>
      </c>
      <c r="T12" s="3">
        <v>0</v>
      </c>
      <c r="U12" s="3">
        <v>0</v>
      </c>
      <c r="V12" s="4">
        <v>0</v>
      </c>
      <c r="W12" s="2">
        <v>7</v>
      </c>
      <c r="X12" s="3">
        <v>0</v>
      </c>
      <c r="Y12" s="3">
        <v>0</v>
      </c>
      <c r="Z12" s="4">
        <v>0</v>
      </c>
      <c r="AA12" s="2">
        <v>533</v>
      </c>
      <c r="AB12" s="3">
        <v>4068</v>
      </c>
      <c r="AC12" s="3">
        <v>0</v>
      </c>
      <c r="AD12" s="4">
        <v>1387</v>
      </c>
      <c r="AF12" s="26">
        <f t="shared" si="1"/>
        <v>2.5396744745355079E-2</v>
      </c>
      <c r="AG12" s="26">
        <f t="shared" si="2"/>
        <v>0.63424961468760044</v>
      </c>
      <c r="AI12">
        <v>7</v>
      </c>
      <c r="AJ12">
        <v>31</v>
      </c>
      <c r="AK12">
        <v>100</v>
      </c>
    </row>
    <row r="13" spans="1:37" x14ac:dyDescent="0.35">
      <c r="A13" t="s">
        <v>49</v>
      </c>
      <c r="B13">
        <v>5619</v>
      </c>
      <c r="C13" s="9" t="s">
        <v>7</v>
      </c>
      <c r="D13" s="9" t="s">
        <v>8</v>
      </c>
      <c r="E13" s="9" t="s">
        <v>605</v>
      </c>
      <c r="F13" s="9" t="s">
        <v>605</v>
      </c>
      <c r="G13" s="9" t="s">
        <v>605</v>
      </c>
      <c r="H13" s="9" t="s">
        <v>605</v>
      </c>
      <c r="I13" s="9" t="s">
        <v>605</v>
      </c>
      <c r="J13" s="9" t="s">
        <v>605</v>
      </c>
      <c r="K13" s="9" t="s">
        <v>605</v>
      </c>
      <c r="L13" s="9" t="s">
        <v>605</v>
      </c>
      <c r="M13" s="9" t="s">
        <v>605</v>
      </c>
      <c r="N13" s="9" t="s">
        <v>605</v>
      </c>
      <c r="O13" s="9">
        <v>1</v>
      </c>
      <c r="P13" s="14" t="s">
        <v>50</v>
      </c>
      <c r="Q13">
        <v>89.7</v>
      </c>
      <c r="R13">
        <v>1</v>
      </c>
      <c r="S13" s="2">
        <v>3</v>
      </c>
      <c r="T13" s="3">
        <v>0</v>
      </c>
      <c r="U13" s="3">
        <v>0</v>
      </c>
      <c r="V13" s="4">
        <v>0</v>
      </c>
      <c r="W13" s="2">
        <v>4057</v>
      </c>
      <c r="X13" s="3">
        <v>771</v>
      </c>
      <c r="Y13" s="3">
        <v>424</v>
      </c>
      <c r="Z13" s="4">
        <v>358</v>
      </c>
      <c r="AA13" s="2">
        <v>6</v>
      </c>
      <c r="AB13" s="3">
        <v>0</v>
      </c>
      <c r="AC13" s="3">
        <v>0</v>
      </c>
      <c r="AD13" s="4">
        <v>0</v>
      </c>
      <c r="AF13" s="26">
        <f t="shared" si="1"/>
        <v>2.3791982114729944E-2</v>
      </c>
      <c r="AG13" s="26">
        <f t="shared" si="2"/>
        <v>0.65804159680233043</v>
      </c>
      <c r="AI13">
        <v>6</v>
      </c>
      <c r="AJ13">
        <v>100</v>
      </c>
      <c r="AK13">
        <v>57</v>
      </c>
    </row>
    <row r="14" spans="1:37" x14ac:dyDescent="0.35">
      <c r="A14" t="s">
        <v>63</v>
      </c>
      <c r="B14">
        <v>5520</v>
      </c>
      <c r="C14" s="9" t="s">
        <v>7</v>
      </c>
      <c r="D14" s="9" t="s">
        <v>8</v>
      </c>
      <c r="E14" s="9" t="s">
        <v>46</v>
      </c>
      <c r="F14" s="9" t="s">
        <v>605</v>
      </c>
      <c r="G14" s="9" t="s">
        <v>47</v>
      </c>
      <c r="H14" s="9" t="s">
        <v>605</v>
      </c>
      <c r="I14" s="9" t="s">
        <v>605</v>
      </c>
      <c r="J14" s="9" t="s">
        <v>605</v>
      </c>
      <c r="K14" s="9" t="s">
        <v>605</v>
      </c>
      <c r="L14" s="9" t="s">
        <v>605</v>
      </c>
      <c r="M14" s="9" t="s">
        <v>605</v>
      </c>
      <c r="N14" s="9" t="s">
        <v>605</v>
      </c>
      <c r="O14" s="9">
        <v>0.57999999999999996</v>
      </c>
      <c r="P14" s="14" t="s">
        <v>48</v>
      </c>
      <c r="Q14">
        <v>87</v>
      </c>
      <c r="R14">
        <v>1</v>
      </c>
      <c r="S14" s="2">
        <v>5</v>
      </c>
      <c r="T14" s="3">
        <v>0</v>
      </c>
      <c r="U14" s="3">
        <v>0</v>
      </c>
      <c r="V14" s="4">
        <v>0</v>
      </c>
      <c r="W14" s="2">
        <v>14</v>
      </c>
      <c r="X14" s="3">
        <v>0</v>
      </c>
      <c r="Y14" s="3">
        <v>0</v>
      </c>
      <c r="Z14" s="4">
        <v>0</v>
      </c>
      <c r="AA14" s="2">
        <v>3285</v>
      </c>
      <c r="AB14" s="3">
        <v>2216</v>
      </c>
      <c r="AC14" s="3">
        <v>0</v>
      </c>
      <c r="AD14" s="4">
        <v>0</v>
      </c>
      <c r="AF14" s="26">
        <f t="shared" si="1"/>
        <v>2.337279609775926E-2</v>
      </c>
      <c r="AG14" s="26">
        <f t="shared" si="2"/>
        <v>0.68141439290008965</v>
      </c>
      <c r="AI14">
        <v>13</v>
      </c>
      <c r="AJ14">
        <v>14</v>
      </c>
      <c r="AK14">
        <v>100</v>
      </c>
    </row>
    <row r="15" spans="1:37" x14ac:dyDescent="0.35">
      <c r="A15" t="s">
        <v>77</v>
      </c>
      <c r="B15">
        <v>4395</v>
      </c>
      <c r="C15" s="9" t="s">
        <v>7</v>
      </c>
      <c r="D15" s="9" t="s">
        <v>8</v>
      </c>
      <c r="E15" s="9" t="s">
        <v>9</v>
      </c>
      <c r="F15" s="9" t="s">
        <v>605</v>
      </c>
      <c r="G15" s="9" t="s">
        <v>78</v>
      </c>
      <c r="H15" s="9" t="s">
        <v>605</v>
      </c>
      <c r="I15" s="9" t="s">
        <v>79</v>
      </c>
      <c r="J15" s="9" t="s">
        <v>605</v>
      </c>
      <c r="K15" s="9" t="s">
        <v>80</v>
      </c>
      <c r="L15" s="9" t="s">
        <v>605</v>
      </c>
      <c r="M15" s="9" t="s">
        <v>81</v>
      </c>
      <c r="N15" s="9" t="s">
        <v>605</v>
      </c>
      <c r="O15" s="9">
        <v>0.62</v>
      </c>
      <c r="P15" s="14" t="s">
        <v>82</v>
      </c>
      <c r="Q15">
        <v>97.2</v>
      </c>
      <c r="R15">
        <v>1</v>
      </c>
      <c r="S15" s="2">
        <v>2340</v>
      </c>
      <c r="T15" s="3">
        <v>508</v>
      </c>
      <c r="U15" s="3">
        <v>0</v>
      </c>
      <c r="V15" s="4">
        <v>1475</v>
      </c>
      <c r="W15" s="2">
        <v>41</v>
      </c>
      <c r="X15" s="3">
        <v>0</v>
      </c>
      <c r="Y15" s="3">
        <v>0</v>
      </c>
      <c r="Z15" s="4">
        <v>0</v>
      </c>
      <c r="AA15" s="2">
        <v>31</v>
      </c>
      <c r="AB15" s="3">
        <v>0</v>
      </c>
      <c r="AC15" s="3">
        <v>0</v>
      </c>
      <c r="AD15" s="4">
        <v>0</v>
      </c>
      <c r="AF15" s="26">
        <f t="shared" si="1"/>
        <v>1.8609318632183323E-2</v>
      </c>
      <c r="AG15" s="26">
        <f t="shared" si="2"/>
        <v>0.70002371153227294</v>
      </c>
      <c r="AI15">
        <v>100</v>
      </c>
      <c r="AJ15">
        <v>2</v>
      </c>
      <c r="AK15">
        <v>0</v>
      </c>
    </row>
    <row r="16" spans="1:37" x14ac:dyDescent="0.35">
      <c r="A16" t="s">
        <v>68</v>
      </c>
      <c r="B16">
        <v>4223</v>
      </c>
      <c r="C16" s="9" t="s">
        <v>7</v>
      </c>
      <c r="D16" s="9" t="s">
        <v>8</v>
      </c>
      <c r="E16" s="9" t="s">
        <v>46</v>
      </c>
      <c r="F16" s="9" t="s">
        <v>605</v>
      </c>
      <c r="G16" s="9" t="s">
        <v>47</v>
      </c>
      <c r="H16" s="9" t="s">
        <v>605</v>
      </c>
      <c r="I16" s="9" t="s">
        <v>69</v>
      </c>
      <c r="J16" s="9" t="s">
        <v>605</v>
      </c>
      <c r="K16" s="9" t="s">
        <v>70</v>
      </c>
      <c r="L16" s="9" t="s">
        <v>605</v>
      </c>
      <c r="M16" s="9" t="s">
        <v>605</v>
      </c>
      <c r="N16" s="9" t="s">
        <v>605</v>
      </c>
      <c r="O16" s="9">
        <v>0.64</v>
      </c>
      <c r="P16" s="14" t="s">
        <v>71</v>
      </c>
      <c r="Q16">
        <v>90.5</v>
      </c>
      <c r="R16">
        <v>1</v>
      </c>
      <c r="S16" s="2">
        <v>6</v>
      </c>
      <c r="T16" s="3">
        <v>0</v>
      </c>
      <c r="U16" s="3">
        <v>0</v>
      </c>
      <c r="V16" s="4">
        <v>0</v>
      </c>
      <c r="W16" s="2">
        <v>2871</v>
      </c>
      <c r="X16" s="3">
        <v>506</v>
      </c>
      <c r="Y16" s="3">
        <v>400</v>
      </c>
      <c r="Z16" s="4">
        <v>433</v>
      </c>
      <c r="AA16" s="2">
        <v>7</v>
      </c>
      <c r="AB16" s="3">
        <v>0</v>
      </c>
      <c r="AC16" s="3">
        <v>0</v>
      </c>
      <c r="AD16" s="4">
        <v>0</v>
      </c>
      <c r="AF16" s="26">
        <f t="shared" si="1"/>
        <v>1.7881035855224159E-2</v>
      </c>
      <c r="AG16" s="26">
        <f t="shared" si="2"/>
        <v>0.7179047473874971</v>
      </c>
      <c r="AI16">
        <v>33</v>
      </c>
      <c r="AJ16">
        <v>100</v>
      </c>
      <c r="AK16">
        <v>7</v>
      </c>
    </row>
    <row r="17" spans="1:37" x14ac:dyDescent="0.35">
      <c r="A17" t="s">
        <v>55</v>
      </c>
      <c r="B17">
        <v>4165</v>
      </c>
      <c r="C17" s="9" t="s">
        <v>7</v>
      </c>
      <c r="D17" s="9" t="s">
        <v>24</v>
      </c>
      <c r="E17" s="9" t="s">
        <v>25</v>
      </c>
      <c r="F17" s="9" t="s">
        <v>605</v>
      </c>
      <c r="G17" s="9" t="s">
        <v>40</v>
      </c>
      <c r="H17" s="9" t="s">
        <v>605</v>
      </c>
      <c r="I17" s="9" t="s">
        <v>56</v>
      </c>
      <c r="J17" s="9" t="s">
        <v>605</v>
      </c>
      <c r="K17" s="9" t="s">
        <v>57</v>
      </c>
      <c r="L17" s="9" t="s">
        <v>605</v>
      </c>
      <c r="M17" s="9" t="s">
        <v>58</v>
      </c>
      <c r="N17" s="9" t="s">
        <v>605</v>
      </c>
      <c r="O17" s="9">
        <v>1</v>
      </c>
      <c r="P17" s="14" t="s">
        <v>59</v>
      </c>
      <c r="Q17">
        <v>99.6</v>
      </c>
      <c r="R17">
        <v>1</v>
      </c>
      <c r="S17" s="2">
        <v>3312</v>
      </c>
      <c r="T17" s="3">
        <v>476</v>
      </c>
      <c r="U17" s="3">
        <v>0</v>
      </c>
      <c r="V17" s="4">
        <v>318</v>
      </c>
      <c r="W17" s="2">
        <v>30</v>
      </c>
      <c r="X17" s="3">
        <v>0</v>
      </c>
      <c r="Y17" s="3">
        <v>0</v>
      </c>
      <c r="Z17" s="4">
        <v>0</v>
      </c>
      <c r="AA17" s="2">
        <v>29</v>
      </c>
      <c r="AB17" s="3">
        <v>0</v>
      </c>
      <c r="AC17" s="3">
        <v>0</v>
      </c>
      <c r="AD17" s="4">
        <v>0</v>
      </c>
      <c r="AF17" s="26">
        <f t="shared" si="1"/>
        <v>1.7635452128110022E-2</v>
      </c>
      <c r="AG17" s="26">
        <f t="shared" si="2"/>
        <v>0.73554019951560712</v>
      </c>
      <c r="AI17">
        <v>100</v>
      </c>
      <c r="AJ17">
        <v>25</v>
      </c>
      <c r="AK17">
        <v>18</v>
      </c>
    </row>
    <row r="18" spans="1:37" x14ac:dyDescent="0.35">
      <c r="A18" t="s">
        <v>72</v>
      </c>
      <c r="B18">
        <v>3899</v>
      </c>
      <c r="C18" s="9" t="s">
        <v>7</v>
      </c>
      <c r="D18" s="9" t="s">
        <v>24</v>
      </c>
      <c r="E18" s="9" t="s">
        <v>25</v>
      </c>
      <c r="F18" s="9" t="s">
        <v>605</v>
      </c>
      <c r="G18" s="9" t="s">
        <v>26</v>
      </c>
      <c r="H18" s="9" t="s">
        <v>605</v>
      </c>
      <c r="I18" s="9" t="s">
        <v>27</v>
      </c>
      <c r="J18" s="9" t="s">
        <v>605</v>
      </c>
      <c r="K18" s="9" t="s">
        <v>28</v>
      </c>
      <c r="L18" s="9" t="s">
        <v>605</v>
      </c>
      <c r="M18" s="9" t="s">
        <v>29</v>
      </c>
      <c r="N18" s="9" t="s">
        <v>605</v>
      </c>
      <c r="O18" s="9">
        <v>1</v>
      </c>
      <c r="P18" s="14" t="s">
        <v>73</v>
      </c>
      <c r="Q18">
        <v>99.6</v>
      </c>
      <c r="R18">
        <v>1</v>
      </c>
      <c r="S18" s="2">
        <v>1</v>
      </c>
      <c r="T18" s="3">
        <v>0</v>
      </c>
      <c r="U18" s="3">
        <v>0</v>
      </c>
      <c r="V18" s="4">
        <v>0</v>
      </c>
      <c r="W18" s="2">
        <v>3104</v>
      </c>
      <c r="X18" s="3">
        <v>271</v>
      </c>
      <c r="Y18" s="3">
        <v>253</v>
      </c>
      <c r="Z18" s="4">
        <v>263</v>
      </c>
      <c r="AA18" s="2">
        <v>7</v>
      </c>
      <c r="AB18" s="3">
        <v>0</v>
      </c>
      <c r="AC18" s="3">
        <v>0</v>
      </c>
      <c r="AD18" s="4">
        <v>0</v>
      </c>
      <c r="AF18" s="26">
        <f t="shared" si="1"/>
        <v>1.6509154345138288E-2</v>
      </c>
      <c r="AG18" s="26">
        <f t="shared" si="2"/>
        <v>0.75204935386074545</v>
      </c>
      <c r="AI18">
        <v>5</v>
      </c>
      <c r="AJ18">
        <v>100</v>
      </c>
      <c r="AK18">
        <v>46</v>
      </c>
    </row>
    <row r="19" spans="1:37" x14ac:dyDescent="0.35">
      <c r="A19" t="s">
        <v>60</v>
      </c>
      <c r="B19">
        <v>3652</v>
      </c>
      <c r="C19" s="9" t="s">
        <v>7</v>
      </c>
      <c r="D19" s="9" t="s">
        <v>8</v>
      </c>
      <c r="E19" s="9" t="s">
        <v>46</v>
      </c>
      <c r="F19" s="9" t="s">
        <v>605</v>
      </c>
      <c r="G19" s="9" t="s">
        <v>47</v>
      </c>
      <c r="H19" s="9" t="s">
        <v>605</v>
      </c>
      <c r="I19" s="9" t="s">
        <v>61</v>
      </c>
      <c r="J19" s="9" t="s">
        <v>605</v>
      </c>
      <c r="K19" s="9" t="s">
        <v>605</v>
      </c>
      <c r="L19" s="9" t="s">
        <v>605</v>
      </c>
      <c r="M19" s="9" t="s">
        <v>605</v>
      </c>
      <c r="N19" s="9" t="s">
        <v>605</v>
      </c>
      <c r="O19" s="9">
        <v>0.89</v>
      </c>
      <c r="P19" s="14" t="s">
        <v>62</v>
      </c>
      <c r="Q19">
        <v>90.9</v>
      </c>
      <c r="R19">
        <v>1</v>
      </c>
      <c r="S19" s="2">
        <v>6</v>
      </c>
      <c r="T19" s="3">
        <v>0</v>
      </c>
      <c r="U19" s="3">
        <v>0</v>
      </c>
      <c r="V19" s="4">
        <v>0</v>
      </c>
      <c r="W19" s="2">
        <v>2463</v>
      </c>
      <c r="X19" s="3">
        <v>1177</v>
      </c>
      <c r="Y19" s="3">
        <v>0</v>
      </c>
      <c r="Z19" s="4">
        <v>0</v>
      </c>
      <c r="AA19" s="2">
        <v>6</v>
      </c>
      <c r="AB19" s="3">
        <v>0</v>
      </c>
      <c r="AC19" s="3">
        <v>0</v>
      </c>
      <c r="AD19" s="4">
        <v>0</v>
      </c>
      <c r="AF19" s="26">
        <f t="shared" si="1"/>
        <v>1.5463306403807395E-2</v>
      </c>
      <c r="AG19" s="26">
        <f t="shared" si="2"/>
        <v>0.76751266026455289</v>
      </c>
      <c r="AI19">
        <v>17</v>
      </c>
      <c r="AJ19">
        <v>100</v>
      </c>
      <c r="AK19">
        <v>43</v>
      </c>
    </row>
    <row r="20" spans="1:37" x14ac:dyDescent="0.35">
      <c r="A20" t="s">
        <v>135</v>
      </c>
      <c r="B20">
        <v>3012</v>
      </c>
      <c r="C20" s="9" t="s">
        <v>7</v>
      </c>
      <c r="D20" s="9" t="s">
        <v>24</v>
      </c>
      <c r="E20" s="9" t="s">
        <v>25</v>
      </c>
      <c r="F20" s="9" t="s">
        <v>605</v>
      </c>
      <c r="G20" s="9" t="s">
        <v>26</v>
      </c>
      <c r="H20" s="9" t="s">
        <v>605</v>
      </c>
      <c r="I20" s="9" t="s">
        <v>27</v>
      </c>
      <c r="J20" s="9" t="s">
        <v>605</v>
      </c>
      <c r="K20" s="9" t="s">
        <v>28</v>
      </c>
      <c r="L20" s="9" t="s">
        <v>605</v>
      </c>
      <c r="M20" s="9" t="s">
        <v>75</v>
      </c>
      <c r="N20" s="9" t="s">
        <v>605</v>
      </c>
      <c r="O20" s="9">
        <v>1</v>
      </c>
      <c r="P20" s="14" t="s">
        <v>76</v>
      </c>
      <c r="Q20">
        <v>100</v>
      </c>
      <c r="R20">
        <v>7</v>
      </c>
      <c r="S20" s="2">
        <v>1</v>
      </c>
      <c r="T20" s="3">
        <v>0</v>
      </c>
      <c r="U20" s="3">
        <v>0</v>
      </c>
      <c r="V20" s="4">
        <v>0</v>
      </c>
      <c r="W20" s="2">
        <v>2685</v>
      </c>
      <c r="X20" s="3">
        <v>326</v>
      </c>
      <c r="Y20" s="3">
        <v>0</v>
      </c>
      <c r="Z20" s="4">
        <v>0</v>
      </c>
      <c r="AA20" s="2">
        <v>0</v>
      </c>
      <c r="AB20" s="3">
        <v>0</v>
      </c>
      <c r="AC20" s="3">
        <v>0</v>
      </c>
      <c r="AD20" s="4">
        <v>0</v>
      </c>
      <c r="AF20" s="26">
        <f t="shared" si="1"/>
        <v>1.2753417001168639E-2</v>
      </c>
      <c r="AG20" s="26">
        <f t="shared" si="2"/>
        <v>0.7802660772657215</v>
      </c>
      <c r="AI20">
        <v>5</v>
      </c>
      <c r="AJ20">
        <v>100</v>
      </c>
      <c r="AK20">
        <v>10</v>
      </c>
    </row>
    <row r="21" spans="1:37" x14ac:dyDescent="0.35">
      <c r="A21" t="s">
        <v>126</v>
      </c>
      <c r="B21">
        <v>2540</v>
      </c>
      <c r="C21" s="9" t="s">
        <v>7</v>
      </c>
      <c r="D21" s="9" t="s">
        <v>8</v>
      </c>
      <c r="E21" s="9" t="s">
        <v>46</v>
      </c>
      <c r="F21" s="9" t="s">
        <v>605</v>
      </c>
      <c r="G21" s="9" t="s">
        <v>47</v>
      </c>
      <c r="H21" s="9" t="s">
        <v>605</v>
      </c>
      <c r="I21" s="9" t="s">
        <v>61</v>
      </c>
      <c r="J21" s="9" t="s">
        <v>605</v>
      </c>
      <c r="K21" s="9" t="s">
        <v>84</v>
      </c>
      <c r="L21" s="9" t="s">
        <v>605</v>
      </c>
      <c r="M21" s="9" t="s">
        <v>85</v>
      </c>
      <c r="N21" s="9" t="s">
        <v>605</v>
      </c>
      <c r="O21" s="9">
        <v>0.87</v>
      </c>
      <c r="P21" s="14" t="s">
        <v>86</v>
      </c>
      <c r="Q21">
        <v>99.2</v>
      </c>
      <c r="R21">
        <v>1</v>
      </c>
      <c r="S21" s="2">
        <v>12</v>
      </c>
      <c r="T21" s="3">
        <v>0</v>
      </c>
      <c r="U21" s="3">
        <v>0</v>
      </c>
      <c r="V21" s="4">
        <v>0</v>
      </c>
      <c r="W21" s="2">
        <v>8</v>
      </c>
      <c r="X21" s="3">
        <v>0</v>
      </c>
      <c r="Y21" s="3">
        <v>0</v>
      </c>
      <c r="Z21" s="4">
        <v>0</v>
      </c>
      <c r="AA21" s="2">
        <v>1293</v>
      </c>
      <c r="AB21" s="3">
        <v>754</v>
      </c>
      <c r="AC21" s="3">
        <v>0</v>
      </c>
      <c r="AD21" s="4">
        <v>473</v>
      </c>
      <c r="AF21" s="26">
        <f t="shared" si="1"/>
        <v>1.0754873566722558E-2</v>
      </c>
      <c r="AG21" s="26">
        <f t="shared" si="2"/>
        <v>0.79102095083244406</v>
      </c>
      <c r="AI21">
        <v>64</v>
      </c>
      <c r="AJ21">
        <v>8</v>
      </c>
      <c r="AK21">
        <v>100</v>
      </c>
    </row>
    <row r="22" spans="1:37" x14ac:dyDescent="0.35">
      <c r="A22" t="s">
        <v>74</v>
      </c>
      <c r="B22">
        <v>2287</v>
      </c>
      <c r="C22" s="9" t="s">
        <v>7</v>
      </c>
      <c r="D22" s="9" t="s">
        <v>8</v>
      </c>
      <c r="E22" s="9" t="s">
        <v>605</v>
      </c>
      <c r="F22" s="9" t="s">
        <v>605</v>
      </c>
      <c r="G22" s="9" t="s">
        <v>605</v>
      </c>
      <c r="H22" s="9" t="s">
        <v>605</v>
      </c>
      <c r="I22" s="9" t="s">
        <v>605</v>
      </c>
      <c r="J22" s="9" t="s">
        <v>605</v>
      </c>
      <c r="K22" s="9" t="s">
        <v>605</v>
      </c>
      <c r="L22" s="9" t="s">
        <v>605</v>
      </c>
      <c r="M22" s="9" t="s">
        <v>605</v>
      </c>
      <c r="N22" s="9" t="s">
        <v>605</v>
      </c>
      <c r="O22" s="9">
        <v>0.95</v>
      </c>
      <c r="P22" s="14" t="s">
        <v>98</v>
      </c>
      <c r="Q22">
        <v>0</v>
      </c>
      <c r="R22">
        <v>1</v>
      </c>
      <c r="S22" s="2">
        <v>2</v>
      </c>
      <c r="T22" s="3">
        <v>0</v>
      </c>
      <c r="U22" s="3">
        <v>0</v>
      </c>
      <c r="V22" s="4">
        <v>0</v>
      </c>
      <c r="W22" s="2">
        <v>955</v>
      </c>
      <c r="X22" s="3">
        <v>556</v>
      </c>
      <c r="Y22" s="3">
        <v>482</v>
      </c>
      <c r="Z22" s="4">
        <v>292</v>
      </c>
      <c r="AA22" s="2">
        <v>0</v>
      </c>
      <c r="AB22" s="3">
        <v>0</v>
      </c>
      <c r="AC22" s="3">
        <v>0</v>
      </c>
      <c r="AD22" s="4">
        <v>0</v>
      </c>
      <c r="AF22" s="26">
        <f t="shared" si="1"/>
        <v>9.683620412241925E-3</v>
      </c>
      <c r="AG22" s="26">
        <f t="shared" si="2"/>
        <v>0.80070457124468597</v>
      </c>
      <c r="AI22">
        <v>0</v>
      </c>
      <c r="AJ22">
        <v>100</v>
      </c>
      <c r="AK22">
        <v>0</v>
      </c>
    </row>
    <row r="23" spans="1:37" x14ac:dyDescent="0.35">
      <c r="A23" t="s">
        <v>97</v>
      </c>
      <c r="B23">
        <v>2245</v>
      </c>
      <c r="C23" s="9" t="s">
        <v>7</v>
      </c>
      <c r="D23" s="9" t="s">
        <v>8</v>
      </c>
      <c r="E23" s="9" t="s">
        <v>46</v>
      </c>
      <c r="F23" s="9" t="s">
        <v>605</v>
      </c>
      <c r="G23" s="9" t="s">
        <v>47</v>
      </c>
      <c r="H23" s="9" t="s">
        <v>605</v>
      </c>
      <c r="I23" s="9" t="s">
        <v>61</v>
      </c>
      <c r="J23" s="9" t="s">
        <v>605</v>
      </c>
      <c r="K23" s="9" t="s">
        <v>605</v>
      </c>
      <c r="L23" s="9" t="s">
        <v>605</v>
      </c>
      <c r="M23" s="9" t="s">
        <v>605</v>
      </c>
      <c r="N23" s="9" t="s">
        <v>605</v>
      </c>
      <c r="O23" s="9">
        <v>0.81</v>
      </c>
      <c r="P23" s="14" t="s">
        <v>136</v>
      </c>
      <c r="Q23">
        <v>91.3</v>
      </c>
      <c r="R23">
        <v>2</v>
      </c>
      <c r="S23" s="2">
        <v>17</v>
      </c>
      <c r="T23" s="3">
        <v>0</v>
      </c>
      <c r="U23" s="3">
        <v>0</v>
      </c>
      <c r="V23" s="4">
        <v>0</v>
      </c>
      <c r="W23" s="2">
        <v>7</v>
      </c>
      <c r="X23" s="3">
        <v>0</v>
      </c>
      <c r="Y23" s="3">
        <v>0</v>
      </c>
      <c r="Z23" s="4">
        <v>0</v>
      </c>
      <c r="AA23" s="2">
        <v>477</v>
      </c>
      <c r="AB23" s="3">
        <v>343</v>
      </c>
      <c r="AC23" s="3">
        <v>946</v>
      </c>
      <c r="AD23" s="4">
        <v>455</v>
      </c>
      <c r="AF23" s="26">
        <f t="shared" si="1"/>
        <v>9.5057839201937566E-3</v>
      </c>
      <c r="AG23" s="26">
        <f t="shared" si="2"/>
        <v>0.81021035516487971</v>
      </c>
      <c r="AI23">
        <v>97</v>
      </c>
      <c r="AJ23">
        <v>46</v>
      </c>
      <c r="AK23">
        <v>100</v>
      </c>
    </row>
    <row r="24" spans="1:37" x14ac:dyDescent="0.35">
      <c r="A24" t="s">
        <v>294</v>
      </c>
      <c r="B24">
        <v>2114</v>
      </c>
      <c r="C24" s="9" t="s">
        <v>7</v>
      </c>
      <c r="D24" s="9" t="s">
        <v>24</v>
      </c>
      <c r="E24" s="9" t="s">
        <v>25</v>
      </c>
      <c r="F24" s="9" t="s">
        <v>605</v>
      </c>
      <c r="G24" s="9" t="s">
        <v>26</v>
      </c>
      <c r="H24" s="9" t="s">
        <v>605</v>
      </c>
      <c r="I24" s="9" t="s">
        <v>27</v>
      </c>
      <c r="J24" s="9" t="s">
        <v>605</v>
      </c>
      <c r="K24" s="9" t="s">
        <v>28</v>
      </c>
      <c r="L24" s="9" t="s">
        <v>605</v>
      </c>
      <c r="M24" s="9" t="s">
        <v>29</v>
      </c>
      <c r="N24" s="9" t="s">
        <v>605</v>
      </c>
      <c r="O24" s="9">
        <v>0.9</v>
      </c>
      <c r="P24" s="14" t="s">
        <v>88</v>
      </c>
      <c r="Q24">
        <v>100</v>
      </c>
      <c r="R24">
        <v>2</v>
      </c>
      <c r="S24" s="2">
        <v>2</v>
      </c>
      <c r="T24" s="3">
        <v>0</v>
      </c>
      <c r="U24" s="3">
        <v>0</v>
      </c>
      <c r="V24" s="4">
        <v>0</v>
      </c>
      <c r="W24" s="2">
        <v>1161</v>
      </c>
      <c r="X24" s="3">
        <v>100</v>
      </c>
      <c r="Y24" s="3">
        <v>0</v>
      </c>
      <c r="Z24" s="4">
        <v>0</v>
      </c>
      <c r="AA24" s="2">
        <v>586</v>
      </c>
      <c r="AB24" s="3">
        <v>265</v>
      </c>
      <c r="AC24" s="3">
        <v>0</v>
      </c>
      <c r="AD24" s="4">
        <v>0</v>
      </c>
      <c r="AF24" s="26">
        <f t="shared" si="1"/>
        <v>8.9511034330911378E-3</v>
      </c>
      <c r="AG24" s="26">
        <f t="shared" si="2"/>
        <v>0.81916145859797085</v>
      </c>
      <c r="AI24">
        <v>40</v>
      </c>
      <c r="AJ24">
        <v>100</v>
      </c>
      <c r="AK24">
        <v>100</v>
      </c>
    </row>
    <row r="25" spans="1:37" x14ac:dyDescent="0.35">
      <c r="A25" t="s">
        <v>99</v>
      </c>
      <c r="B25">
        <v>2099</v>
      </c>
      <c r="C25" s="9" t="s">
        <v>7</v>
      </c>
      <c r="D25" s="9" t="s">
        <v>8</v>
      </c>
      <c r="E25" s="9" t="s">
        <v>46</v>
      </c>
      <c r="F25" s="9" t="s">
        <v>605</v>
      </c>
      <c r="G25" s="9" t="s">
        <v>47</v>
      </c>
      <c r="H25" s="9" t="s">
        <v>605</v>
      </c>
      <c r="I25" s="9" t="s">
        <v>61</v>
      </c>
      <c r="J25" s="9" t="s">
        <v>605</v>
      </c>
      <c r="K25" s="9" t="s">
        <v>605</v>
      </c>
      <c r="L25" s="9" t="s">
        <v>605</v>
      </c>
      <c r="M25" s="9" t="s">
        <v>605</v>
      </c>
      <c r="N25" s="9" t="s">
        <v>605</v>
      </c>
      <c r="O25" s="9">
        <v>0.85</v>
      </c>
      <c r="P25" s="14" t="s">
        <v>90</v>
      </c>
      <c r="Q25">
        <v>91.3</v>
      </c>
      <c r="R25">
        <v>1</v>
      </c>
      <c r="S25" s="2">
        <v>5</v>
      </c>
      <c r="T25" s="3">
        <v>0</v>
      </c>
      <c r="U25" s="3">
        <v>0</v>
      </c>
      <c r="V25" s="4">
        <v>0</v>
      </c>
      <c r="W25" s="2">
        <v>5</v>
      </c>
      <c r="X25" s="3">
        <v>0</v>
      </c>
      <c r="Y25" s="3">
        <v>0</v>
      </c>
      <c r="Z25" s="4">
        <v>0</v>
      </c>
      <c r="AA25" s="2">
        <v>1124</v>
      </c>
      <c r="AB25" s="3">
        <v>965</v>
      </c>
      <c r="AC25" s="3">
        <v>0</v>
      </c>
      <c r="AD25" s="4">
        <v>0</v>
      </c>
      <c r="AF25" s="26">
        <f t="shared" si="1"/>
        <v>8.887590400216791E-3</v>
      </c>
      <c r="AG25" s="26">
        <f t="shared" si="2"/>
        <v>0.82804904899818765</v>
      </c>
      <c r="AI25">
        <v>9</v>
      </c>
      <c r="AJ25">
        <v>9</v>
      </c>
      <c r="AK25">
        <v>100</v>
      </c>
    </row>
    <row r="26" spans="1:37" x14ac:dyDescent="0.35">
      <c r="A26" t="s">
        <v>91</v>
      </c>
      <c r="B26">
        <v>2005</v>
      </c>
      <c r="C26" s="9" t="s">
        <v>7</v>
      </c>
      <c r="D26" s="9" t="s">
        <v>8</v>
      </c>
      <c r="E26" s="9" t="s">
        <v>100</v>
      </c>
      <c r="F26" s="9" t="s">
        <v>605</v>
      </c>
      <c r="G26" s="9" t="s">
        <v>101</v>
      </c>
      <c r="H26" s="9" t="s">
        <v>605</v>
      </c>
      <c r="I26" s="9" t="s">
        <v>102</v>
      </c>
      <c r="J26" s="9" t="s">
        <v>605</v>
      </c>
      <c r="K26" s="9" t="s">
        <v>103</v>
      </c>
      <c r="L26" s="9" t="s">
        <v>605</v>
      </c>
      <c r="M26" s="9" t="s">
        <v>104</v>
      </c>
      <c r="N26" s="9" t="s">
        <v>605</v>
      </c>
      <c r="O26" s="9">
        <v>1</v>
      </c>
      <c r="P26" s="14" t="s">
        <v>105</v>
      </c>
      <c r="Q26">
        <v>99.6</v>
      </c>
      <c r="R26">
        <v>1</v>
      </c>
      <c r="S26" s="2">
        <v>1</v>
      </c>
      <c r="T26" s="3">
        <v>0</v>
      </c>
      <c r="U26" s="3">
        <v>0</v>
      </c>
      <c r="V26" s="4">
        <v>0</v>
      </c>
      <c r="W26" s="2">
        <v>1089</v>
      </c>
      <c r="X26" s="3">
        <v>408</v>
      </c>
      <c r="Y26" s="3">
        <v>236</v>
      </c>
      <c r="Z26" s="4">
        <v>262</v>
      </c>
      <c r="AA26" s="2">
        <v>9</v>
      </c>
      <c r="AB26" s="3">
        <v>0</v>
      </c>
      <c r="AC26" s="3">
        <v>0</v>
      </c>
      <c r="AD26" s="4">
        <v>0</v>
      </c>
      <c r="AF26" s="26">
        <f t="shared" si="1"/>
        <v>8.489575394204224E-3</v>
      </c>
      <c r="AG26" s="26">
        <f t="shared" si="2"/>
        <v>0.83653862439239191</v>
      </c>
      <c r="AI26">
        <v>0</v>
      </c>
      <c r="AJ26">
        <v>100</v>
      </c>
      <c r="AK26">
        <v>0</v>
      </c>
    </row>
    <row r="27" spans="1:37" x14ac:dyDescent="0.35">
      <c r="A27" t="s">
        <v>93</v>
      </c>
      <c r="B27">
        <v>1974</v>
      </c>
      <c r="C27" s="9" t="s">
        <v>7</v>
      </c>
      <c r="D27" s="9" t="s">
        <v>8</v>
      </c>
      <c r="E27" s="9" t="s">
        <v>32</v>
      </c>
      <c r="F27" s="9" t="s">
        <v>605</v>
      </c>
      <c r="G27" s="9" t="s">
        <v>35</v>
      </c>
      <c r="H27" s="9" t="s">
        <v>605</v>
      </c>
      <c r="I27" s="9" t="s">
        <v>36</v>
      </c>
      <c r="J27" s="9" t="s">
        <v>605</v>
      </c>
      <c r="K27" s="9" t="s">
        <v>605</v>
      </c>
      <c r="L27" s="9" t="s">
        <v>605</v>
      </c>
      <c r="M27" s="9" t="s">
        <v>605</v>
      </c>
      <c r="N27" s="9" t="s">
        <v>605</v>
      </c>
      <c r="O27" s="9">
        <v>0.61</v>
      </c>
      <c r="P27" s="14" t="s">
        <v>92</v>
      </c>
      <c r="Q27">
        <v>86.2</v>
      </c>
      <c r="R27">
        <v>2</v>
      </c>
      <c r="S27" s="2">
        <v>1059</v>
      </c>
      <c r="T27" s="3">
        <v>128</v>
      </c>
      <c r="U27" s="3">
        <v>45</v>
      </c>
      <c r="V27" s="4">
        <v>61</v>
      </c>
      <c r="W27" s="2">
        <v>29</v>
      </c>
      <c r="X27" s="3">
        <v>0</v>
      </c>
      <c r="Y27" s="3">
        <v>0</v>
      </c>
      <c r="Z27" s="4">
        <v>0</v>
      </c>
      <c r="AA27" s="2">
        <v>389</v>
      </c>
      <c r="AB27" s="3">
        <v>129</v>
      </c>
      <c r="AC27" s="3">
        <v>71</v>
      </c>
      <c r="AD27" s="4">
        <v>63</v>
      </c>
      <c r="AF27" s="26">
        <f t="shared" si="1"/>
        <v>8.3583151262639089E-3</v>
      </c>
      <c r="AG27" s="26">
        <f t="shared" si="2"/>
        <v>0.84489693951865585</v>
      </c>
      <c r="AI27">
        <v>100</v>
      </c>
      <c r="AJ27">
        <v>2</v>
      </c>
      <c r="AK27">
        <v>100</v>
      </c>
    </row>
    <row r="28" spans="1:37" x14ac:dyDescent="0.35">
      <c r="A28" t="s">
        <v>106</v>
      </c>
      <c r="B28">
        <v>1955</v>
      </c>
      <c r="C28" s="9" t="s">
        <v>7</v>
      </c>
      <c r="D28" s="9" t="s">
        <v>8</v>
      </c>
      <c r="E28" s="9" t="s">
        <v>32</v>
      </c>
      <c r="F28" s="9" t="s">
        <v>605</v>
      </c>
      <c r="G28" s="9" t="s">
        <v>35</v>
      </c>
      <c r="H28" s="9" t="s">
        <v>605</v>
      </c>
      <c r="I28" s="9" t="s">
        <v>36</v>
      </c>
      <c r="J28" s="9" t="s">
        <v>605</v>
      </c>
      <c r="K28" s="9" t="s">
        <v>37</v>
      </c>
      <c r="L28" s="9" t="s">
        <v>605</v>
      </c>
      <c r="M28" s="9" t="s">
        <v>605</v>
      </c>
      <c r="N28" s="9" t="s">
        <v>605</v>
      </c>
      <c r="O28" s="9">
        <v>0.5</v>
      </c>
      <c r="P28" s="14" t="s">
        <v>112</v>
      </c>
      <c r="Q28">
        <v>85.8</v>
      </c>
      <c r="R28">
        <v>1</v>
      </c>
      <c r="S28" s="2">
        <v>4</v>
      </c>
      <c r="T28" s="3">
        <v>0</v>
      </c>
      <c r="U28" s="3">
        <v>0</v>
      </c>
      <c r="V28" s="4">
        <v>0</v>
      </c>
      <c r="W28" s="2">
        <v>2</v>
      </c>
      <c r="X28" s="3">
        <v>0</v>
      </c>
      <c r="Y28" s="3">
        <v>0</v>
      </c>
      <c r="Z28" s="4">
        <v>0</v>
      </c>
      <c r="AA28" s="2">
        <v>931</v>
      </c>
      <c r="AB28" s="3">
        <v>1018</v>
      </c>
      <c r="AC28" s="3">
        <v>0</v>
      </c>
      <c r="AD28" s="4">
        <v>0</v>
      </c>
      <c r="AF28" s="26">
        <f t="shared" si="1"/>
        <v>8.2778652846230705E-3</v>
      </c>
      <c r="AG28" s="26">
        <f t="shared" si="2"/>
        <v>0.8531748048032789</v>
      </c>
      <c r="AI28">
        <v>99</v>
      </c>
      <c r="AJ28">
        <v>18</v>
      </c>
      <c r="AK28">
        <v>100</v>
      </c>
    </row>
    <row r="29" spans="1:37" x14ac:dyDescent="0.35">
      <c r="A29" t="s">
        <v>83</v>
      </c>
      <c r="B29">
        <v>1941</v>
      </c>
      <c r="C29" s="9" t="s">
        <v>7</v>
      </c>
      <c r="D29" s="9" t="s">
        <v>8</v>
      </c>
      <c r="E29" s="9" t="s">
        <v>9</v>
      </c>
      <c r="F29" s="9" t="s">
        <v>605</v>
      </c>
      <c r="G29" s="9" t="s">
        <v>10</v>
      </c>
      <c r="H29" s="9" t="s">
        <v>605</v>
      </c>
      <c r="I29" s="9" t="s">
        <v>107</v>
      </c>
      <c r="J29" s="9" t="s">
        <v>605</v>
      </c>
      <c r="K29" s="9" t="s">
        <v>108</v>
      </c>
      <c r="L29" s="9" t="s">
        <v>605</v>
      </c>
      <c r="M29" s="9" t="s">
        <v>109</v>
      </c>
      <c r="N29" s="9" t="s">
        <v>605</v>
      </c>
      <c r="O29" s="9">
        <v>1</v>
      </c>
      <c r="P29" s="14" t="s">
        <v>110</v>
      </c>
      <c r="Q29">
        <v>100</v>
      </c>
      <c r="R29">
        <v>1</v>
      </c>
      <c r="S29" s="2">
        <v>19</v>
      </c>
      <c r="T29" s="3">
        <v>10</v>
      </c>
      <c r="U29" s="3">
        <v>0</v>
      </c>
      <c r="V29" s="4">
        <v>0</v>
      </c>
      <c r="W29" s="2">
        <v>2</v>
      </c>
      <c r="X29" s="3">
        <v>0</v>
      </c>
      <c r="Y29" s="3">
        <v>0</v>
      </c>
      <c r="Z29" s="4">
        <v>0</v>
      </c>
      <c r="AA29" s="2">
        <v>860</v>
      </c>
      <c r="AB29" s="3">
        <v>624</v>
      </c>
      <c r="AC29" s="3">
        <v>426</v>
      </c>
      <c r="AD29" s="4">
        <v>0</v>
      </c>
      <c r="AF29" s="26">
        <f t="shared" si="1"/>
        <v>8.2185864539403488E-3</v>
      </c>
      <c r="AG29" s="26">
        <f t="shared" si="2"/>
        <v>0.86139339125721925</v>
      </c>
      <c r="AI29">
        <v>75</v>
      </c>
      <c r="AJ29">
        <v>19</v>
      </c>
      <c r="AK29">
        <v>100</v>
      </c>
    </row>
    <row r="30" spans="1:37" x14ac:dyDescent="0.35">
      <c r="A30" t="s">
        <v>89</v>
      </c>
      <c r="B30">
        <v>1857</v>
      </c>
      <c r="C30" s="9" t="s">
        <v>7</v>
      </c>
      <c r="D30" s="9" t="s">
        <v>8</v>
      </c>
      <c r="E30" s="9" t="s">
        <v>46</v>
      </c>
      <c r="F30" s="9" t="s">
        <v>605</v>
      </c>
      <c r="G30" s="9" t="s">
        <v>64</v>
      </c>
      <c r="H30" s="9" t="s">
        <v>605</v>
      </c>
      <c r="I30" s="9" t="s">
        <v>65</v>
      </c>
      <c r="J30" s="9" t="s">
        <v>605</v>
      </c>
      <c r="K30" s="9" t="s">
        <v>66</v>
      </c>
      <c r="L30" s="9" t="s">
        <v>605</v>
      </c>
      <c r="M30" s="9" t="s">
        <v>146</v>
      </c>
      <c r="N30" s="9" t="s">
        <v>605</v>
      </c>
      <c r="O30" s="9">
        <v>0.96</v>
      </c>
      <c r="P30" s="14" t="s">
        <v>147</v>
      </c>
      <c r="Q30">
        <v>98</v>
      </c>
      <c r="R30">
        <v>3</v>
      </c>
      <c r="S30" s="2">
        <v>1</v>
      </c>
      <c r="T30" s="3">
        <v>0</v>
      </c>
      <c r="U30" s="3">
        <v>0</v>
      </c>
      <c r="V30" s="4">
        <v>0</v>
      </c>
      <c r="W30" s="2">
        <v>0</v>
      </c>
      <c r="X30" s="3">
        <v>0</v>
      </c>
      <c r="Y30" s="3">
        <v>0</v>
      </c>
      <c r="Z30" s="4">
        <v>0</v>
      </c>
      <c r="AA30" s="2">
        <v>306</v>
      </c>
      <c r="AB30" s="3">
        <v>175</v>
      </c>
      <c r="AC30" s="3">
        <v>805</v>
      </c>
      <c r="AD30" s="4">
        <v>570</v>
      </c>
      <c r="AF30" s="26">
        <f t="shared" si="1"/>
        <v>7.8629134698440118E-3</v>
      </c>
      <c r="AG30" s="26">
        <f t="shared" si="2"/>
        <v>0.86925630472706328</v>
      </c>
      <c r="AI30">
        <v>9</v>
      </c>
      <c r="AJ30">
        <v>21</v>
      </c>
      <c r="AK30">
        <v>100</v>
      </c>
    </row>
    <row r="31" spans="1:37" x14ac:dyDescent="0.35">
      <c r="A31" t="s">
        <v>87</v>
      </c>
      <c r="B31">
        <v>1822</v>
      </c>
      <c r="C31" s="9" t="s">
        <v>7</v>
      </c>
      <c r="D31" s="9" t="s">
        <v>8</v>
      </c>
      <c r="E31" s="9" t="s">
        <v>46</v>
      </c>
      <c r="F31" s="9" t="s">
        <v>605</v>
      </c>
      <c r="G31" s="9" t="s">
        <v>47</v>
      </c>
      <c r="H31" s="9" t="s">
        <v>605</v>
      </c>
      <c r="I31" s="9" t="s">
        <v>61</v>
      </c>
      <c r="J31" s="9" t="s">
        <v>605</v>
      </c>
      <c r="K31" s="9" t="s">
        <v>94</v>
      </c>
      <c r="L31" s="9" t="s">
        <v>605</v>
      </c>
      <c r="M31" s="9" t="s">
        <v>95</v>
      </c>
      <c r="N31" s="9" t="s">
        <v>605</v>
      </c>
      <c r="O31" s="9">
        <v>1</v>
      </c>
      <c r="P31" s="14" t="s">
        <v>96</v>
      </c>
      <c r="Q31">
        <v>100</v>
      </c>
      <c r="R31">
        <v>3</v>
      </c>
      <c r="S31" s="2">
        <v>929</v>
      </c>
      <c r="T31" s="3">
        <v>304</v>
      </c>
      <c r="U31" s="3">
        <v>37</v>
      </c>
      <c r="V31" s="4">
        <v>161</v>
      </c>
      <c r="W31" s="2">
        <v>16</v>
      </c>
      <c r="X31" s="3">
        <v>0</v>
      </c>
      <c r="Y31" s="3">
        <v>0</v>
      </c>
      <c r="Z31" s="4">
        <v>0</v>
      </c>
      <c r="AA31" s="2">
        <v>153</v>
      </c>
      <c r="AB31" s="3">
        <v>155</v>
      </c>
      <c r="AC31" s="3">
        <v>67</v>
      </c>
      <c r="AD31" s="4">
        <v>0</v>
      </c>
      <c r="AF31" s="26">
        <f t="shared" si="1"/>
        <v>7.714716393137205E-3</v>
      </c>
      <c r="AG31" s="26">
        <f t="shared" si="2"/>
        <v>0.87697102112020053</v>
      </c>
      <c r="AI31">
        <v>100</v>
      </c>
      <c r="AJ31">
        <v>1</v>
      </c>
      <c r="AK31">
        <v>100</v>
      </c>
    </row>
    <row r="32" spans="1:37" x14ac:dyDescent="0.35">
      <c r="A32" t="s">
        <v>145</v>
      </c>
      <c r="B32">
        <v>1536</v>
      </c>
      <c r="C32" s="9" t="s">
        <v>7</v>
      </c>
      <c r="D32" s="9" t="s">
        <v>8</v>
      </c>
      <c r="E32" s="9" t="s">
        <v>46</v>
      </c>
      <c r="F32" s="9" t="s">
        <v>605</v>
      </c>
      <c r="G32" s="9" t="s">
        <v>47</v>
      </c>
      <c r="H32" s="9" t="s">
        <v>605</v>
      </c>
      <c r="I32" s="9" t="s">
        <v>605</v>
      </c>
      <c r="J32" s="9" t="s">
        <v>605</v>
      </c>
      <c r="K32" s="9" t="s">
        <v>605</v>
      </c>
      <c r="L32" s="9" t="s">
        <v>605</v>
      </c>
      <c r="M32" s="9" t="s">
        <v>605</v>
      </c>
      <c r="N32" s="9" t="s">
        <v>605</v>
      </c>
      <c r="O32" s="9">
        <v>0.84</v>
      </c>
      <c r="P32" s="14" t="s">
        <v>127</v>
      </c>
      <c r="Q32">
        <v>88.9</v>
      </c>
      <c r="R32">
        <v>2</v>
      </c>
      <c r="S32" s="2">
        <v>1</v>
      </c>
      <c r="T32" s="3">
        <v>0</v>
      </c>
      <c r="U32" s="3">
        <v>0</v>
      </c>
      <c r="V32" s="4">
        <v>0</v>
      </c>
      <c r="W32" s="2">
        <v>129</v>
      </c>
      <c r="X32" s="3">
        <v>847</v>
      </c>
      <c r="Y32" s="3">
        <v>559</v>
      </c>
      <c r="Z32" s="4">
        <v>0</v>
      </c>
      <c r="AA32" s="2">
        <v>0</v>
      </c>
      <c r="AB32" s="3">
        <v>0</v>
      </c>
      <c r="AC32" s="3">
        <v>0</v>
      </c>
      <c r="AD32" s="4">
        <v>0</v>
      </c>
      <c r="AF32" s="26">
        <f t="shared" si="1"/>
        <v>6.5037345663330115E-3</v>
      </c>
      <c r="AG32" s="26">
        <f t="shared" si="2"/>
        <v>0.88347475568653355</v>
      </c>
      <c r="AI32">
        <v>15</v>
      </c>
      <c r="AJ32">
        <v>100</v>
      </c>
      <c r="AK32">
        <v>40</v>
      </c>
    </row>
    <row r="33" spans="1:37" x14ac:dyDescent="0.35">
      <c r="A33" t="s">
        <v>602</v>
      </c>
      <c r="B33">
        <v>1351</v>
      </c>
      <c r="C33" s="9" t="s">
        <v>7</v>
      </c>
      <c r="D33" s="9" t="s">
        <v>8</v>
      </c>
      <c r="E33" s="9" t="s">
        <v>9</v>
      </c>
      <c r="F33" s="9" t="s">
        <v>605</v>
      </c>
      <c r="G33" s="9" t="s">
        <v>10</v>
      </c>
      <c r="H33" s="9" t="s">
        <v>605</v>
      </c>
      <c r="I33" s="9" t="s">
        <v>605</v>
      </c>
      <c r="J33" s="9" t="s">
        <v>605</v>
      </c>
      <c r="K33" s="9" t="s">
        <v>605</v>
      </c>
      <c r="L33" s="9" t="s">
        <v>605</v>
      </c>
      <c r="M33" s="9" t="s">
        <v>605</v>
      </c>
      <c r="N33" s="9" t="s">
        <v>605</v>
      </c>
      <c r="O33" s="9">
        <v>0.5</v>
      </c>
      <c r="P33" s="14" t="s">
        <v>154</v>
      </c>
      <c r="Q33">
        <v>89.7</v>
      </c>
      <c r="R33">
        <v>1</v>
      </c>
      <c r="S33" s="2">
        <v>304</v>
      </c>
      <c r="T33" s="3">
        <v>98</v>
      </c>
      <c r="U33" s="3">
        <v>50</v>
      </c>
      <c r="V33" s="4">
        <v>894</v>
      </c>
      <c r="W33" s="2">
        <v>0</v>
      </c>
      <c r="X33" s="3">
        <v>0</v>
      </c>
      <c r="Y33" s="3">
        <v>0</v>
      </c>
      <c r="Z33" s="4">
        <v>0</v>
      </c>
      <c r="AA33" s="2">
        <v>5</v>
      </c>
      <c r="AB33" s="3">
        <v>0</v>
      </c>
      <c r="AC33" s="3">
        <v>0</v>
      </c>
      <c r="AD33" s="4">
        <v>0</v>
      </c>
      <c r="AF33" s="26">
        <f t="shared" si="1"/>
        <v>5.7204071608827466E-3</v>
      </c>
      <c r="AG33" s="26">
        <f t="shared" si="2"/>
        <v>0.88919516284741629</v>
      </c>
      <c r="AI33">
        <v>100</v>
      </c>
      <c r="AJ33">
        <v>0</v>
      </c>
      <c r="AK33">
        <v>61</v>
      </c>
    </row>
    <row r="34" spans="1:37" x14ac:dyDescent="0.35">
      <c r="A34" t="s">
        <v>181</v>
      </c>
      <c r="B34">
        <v>1322</v>
      </c>
      <c r="C34" s="9" t="s">
        <v>7</v>
      </c>
      <c r="D34" s="9" t="s">
        <v>8</v>
      </c>
      <c r="E34" s="9" t="s">
        <v>120</v>
      </c>
      <c r="F34" s="9" t="s">
        <v>605</v>
      </c>
      <c r="G34" s="9" t="s">
        <v>121</v>
      </c>
      <c r="H34" s="9" t="s">
        <v>605</v>
      </c>
      <c r="I34" s="9" t="s">
        <v>122</v>
      </c>
      <c r="J34" s="9" t="s">
        <v>605</v>
      </c>
      <c r="K34" s="9" t="s">
        <v>123</v>
      </c>
      <c r="L34" s="9" t="s">
        <v>605</v>
      </c>
      <c r="M34" s="9" t="s">
        <v>124</v>
      </c>
      <c r="N34" s="9" t="s">
        <v>605</v>
      </c>
      <c r="O34" s="9">
        <v>0.94</v>
      </c>
      <c r="P34" s="14" t="s">
        <v>125</v>
      </c>
      <c r="Q34">
        <v>89.7</v>
      </c>
      <c r="R34">
        <v>1</v>
      </c>
      <c r="S34" s="2">
        <v>796</v>
      </c>
      <c r="T34" s="3">
        <v>254</v>
      </c>
      <c r="U34" s="3">
        <v>154</v>
      </c>
      <c r="V34" s="4">
        <v>113</v>
      </c>
      <c r="W34" s="2">
        <v>3</v>
      </c>
      <c r="X34" s="3">
        <v>0</v>
      </c>
      <c r="Y34" s="3">
        <v>0</v>
      </c>
      <c r="Z34" s="4">
        <v>0</v>
      </c>
      <c r="AA34" s="2">
        <v>2</v>
      </c>
      <c r="AB34" s="3">
        <v>0</v>
      </c>
      <c r="AC34" s="3">
        <v>0</v>
      </c>
      <c r="AD34" s="4">
        <v>0</v>
      </c>
      <c r="AF34" s="26">
        <f t="shared" si="1"/>
        <v>5.5976152973256782E-3</v>
      </c>
      <c r="AG34" s="26">
        <f t="shared" si="2"/>
        <v>0.89479277814474201</v>
      </c>
      <c r="AI34">
        <v>100</v>
      </c>
      <c r="AJ34">
        <v>31</v>
      </c>
      <c r="AK34">
        <v>6</v>
      </c>
    </row>
    <row r="35" spans="1:37" x14ac:dyDescent="0.35">
      <c r="A35" t="s">
        <v>153</v>
      </c>
      <c r="B35">
        <v>1295</v>
      </c>
      <c r="C35" s="9" t="s">
        <v>7</v>
      </c>
      <c r="D35" s="9" t="s">
        <v>8</v>
      </c>
      <c r="E35" s="9" t="s">
        <v>46</v>
      </c>
      <c r="F35" s="9" t="s">
        <v>605</v>
      </c>
      <c r="G35" s="9" t="s">
        <v>47</v>
      </c>
      <c r="H35" s="9" t="s">
        <v>605</v>
      </c>
      <c r="I35" s="9" t="s">
        <v>605</v>
      </c>
      <c r="J35" s="9" t="s">
        <v>605</v>
      </c>
      <c r="K35" s="9" t="s">
        <v>605</v>
      </c>
      <c r="L35" s="9" t="s">
        <v>605</v>
      </c>
      <c r="M35" s="9" t="s">
        <v>605</v>
      </c>
      <c r="N35" s="9" t="s">
        <v>605</v>
      </c>
      <c r="O35" s="9">
        <v>0.84</v>
      </c>
      <c r="P35" s="14" t="s">
        <v>163</v>
      </c>
      <c r="Q35">
        <v>89.3</v>
      </c>
      <c r="R35">
        <v>2</v>
      </c>
      <c r="S35" s="2">
        <v>0</v>
      </c>
      <c r="T35" s="3">
        <v>0</v>
      </c>
      <c r="U35" s="3">
        <v>0</v>
      </c>
      <c r="V35" s="4">
        <v>0</v>
      </c>
      <c r="W35" s="2">
        <v>4</v>
      </c>
      <c r="X35" s="3">
        <v>0</v>
      </c>
      <c r="Y35" s="3">
        <v>0</v>
      </c>
      <c r="Z35" s="4">
        <v>0</v>
      </c>
      <c r="AA35" s="2">
        <v>23</v>
      </c>
      <c r="AB35" s="3">
        <v>19</v>
      </c>
      <c r="AC35" s="3">
        <v>0</v>
      </c>
      <c r="AD35" s="4">
        <v>1249</v>
      </c>
      <c r="AF35" s="26">
        <f t="shared" si="1"/>
        <v>5.4832918381518556E-3</v>
      </c>
      <c r="AG35" s="26">
        <f t="shared" si="2"/>
        <v>0.90027606998289389</v>
      </c>
      <c r="AI35">
        <v>13</v>
      </c>
      <c r="AJ35">
        <v>75</v>
      </c>
      <c r="AK35">
        <v>100</v>
      </c>
    </row>
    <row r="36" spans="1:37" x14ac:dyDescent="0.35">
      <c r="A36" t="s">
        <v>130</v>
      </c>
      <c r="B36">
        <v>1244</v>
      </c>
      <c r="C36" s="9" t="s">
        <v>7</v>
      </c>
      <c r="D36" s="9" t="s">
        <v>8</v>
      </c>
      <c r="E36" s="9" t="s">
        <v>9</v>
      </c>
      <c r="F36" s="9" t="s">
        <v>605</v>
      </c>
      <c r="G36" s="9" t="s">
        <v>10</v>
      </c>
      <c r="H36" s="9" t="s">
        <v>605</v>
      </c>
      <c r="I36" s="9" t="s">
        <v>131</v>
      </c>
      <c r="J36" s="9" t="s">
        <v>605</v>
      </c>
      <c r="K36" s="9" t="s">
        <v>132</v>
      </c>
      <c r="L36" s="9" t="s">
        <v>605</v>
      </c>
      <c r="M36" s="9" t="s">
        <v>133</v>
      </c>
      <c r="N36" s="9" t="s">
        <v>605</v>
      </c>
      <c r="O36" s="9">
        <v>1</v>
      </c>
      <c r="P36" s="14" t="s">
        <v>134</v>
      </c>
      <c r="Q36">
        <v>100</v>
      </c>
      <c r="R36">
        <v>1</v>
      </c>
      <c r="S36" s="2">
        <v>219</v>
      </c>
      <c r="T36" s="3">
        <v>65</v>
      </c>
      <c r="U36" s="3">
        <v>0</v>
      </c>
      <c r="V36" s="4">
        <v>190</v>
      </c>
      <c r="W36" s="2">
        <v>17</v>
      </c>
      <c r="X36" s="3">
        <v>0</v>
      </c>
      <c r="Y36" s="3">
        <v>0</v>
      </c>
      <c r="Z36" s="4">
        <v>0</v>
      </c>
      <c r="AA36" s="2">
        <v>254</v>
      </c>
      <c r="AB36" s="3">
        <v>139</v>
      </c>
      <c r="AC36" s="3">
        <v>186</v>
      </c>
      <c r="AD36" s="4">
        <v>174</v>
      </c>
      <c r="AF36" s="26">
        <f t="shared" si="1"/>
        <v>5.2673475263790796E-3</v>
      </c>
      <c r="AG36" s="26">
        <f t="shared" si="2"/>
        <v>0.90554341750927292</v>
      </c>
      <c r="AI36">
        <v>100</v>
      </c>
      <c r="AJ36">
        <v>100</v>
      </c>
      <c r="AK36">
        <v>100</v>
      </c>
    </row>
    <row r="37" spans="1:37" x14ac:dyDescent="0.35">
      <c r="A37" t="s">
        <v>193</v>
      </c>
      <c r="B37">
        <v>1224</v>
      </c>
      <c r="C37" s="9" t="s">
        <v>7</v>
      </c>
      <c r="D37" s="9" t="s">
        <v>8</v>
      </c>
      <c r="E37" s="9" t="s">
        <v>114</v>
      </c>
      <c r="F37" s="9" t="s">
        <v>605</v>
      </c>
      <c r="G37" s="9" t="s">
        <v>115</v>
      </c>
      <c r="H37" s="9" t="s">
        <v>605</v>
      </c>
      <c r="I37" s="9" t="s">
        <v>116</v>
      </c>
      <c r="J37" s="9" t="s">
        <v>605</v>
      </c>
      <c r="K37" s="9" t="s">
        <v>117</v>
      </c>
      <c r="L37" s="9" t="s">
        <v>605</v>
      </c>
      <c r="M37" s="9" t="s">
        <v>118</v>
      </c>
      <c r="N37" s="9" t="s">
        <v>605</v>
      </c>
      <c r="O37" s="9">
        <v>1</v>
      </c>
      <c r="P37" s="14" t="s">
        <v>16</v>
      </c>
      <c r="Q37">
        <v>96.4</v>
      </c>
      <c r="R37">
        <v>1</v>
      </c>
      <c r="S37" s="2">
        <v>2</v>
      </c>
      <c r="T37" s="3">
        <v>0</v>
      </c>
      <c r="U37" s="3">
        <v>0</v>
      </c>
      <c r="V37" s="4">
        <v>0</v>
      </c>
      <c r="W37" s="2">
        <v>722</v>
      </c>
      <c r="X37" s="3">
        <v>440</v>
      </c>
      <c r="Y37" s="3">
        <v>59</v>
      </c>
      <c r="Z37" s="4">
        <v>0</v>
      </c>
      <c r="AA37" s="2">
        <v>1</v>
      </c>
      <c r="AB37" s="3">
        <v>0</v>
      </c>
      <c r="AC37" s="3">
        <v>0</v>
      </c>
      <c r="AD37" s="4">
        <v>0</v>
      </c>
      <c r="AF37" s="26">
        <f t="shared" si="1"/>
        <v>5.1826634825466187E-3</v>
      </c>
      <c r="AG37" s="26">
        <f t="shared" si="2"/>
        <v>0.91072608099181951</v>
      </c>
      <c r="AI37">
        <v>0</v>
      </c>
      <c r="AJ37">
        <v>100</v>
      </c>
      <c r="AK37">
        <v>0</v>
      </c>
    </row>
    <row r="38" spans="1:37" x14ac:dyDescent="0.35">
      <c r="A38" t="s">
        <v>111</v>
      </c>
      <c r="B38">
        <v>1182</v>
      </c>
      <c r="C38" s="9" t="s">
        <v>7</v>
      </c>
      <c r="D38" s="9" t="s">
        <v>8</v>
      </c>
      <c r="E38" s="9" t="s">
        <v>165</v>
      </c>
      <c r="F38" s="9" t="s">
        <v>605</v>
      </c>
      <c r="G38" s="9" t="s">
        <v>166</v>
      </c>
      <c r="H38" s="9" t="s">
        <v>605</v>
      </c>
      <c r="I38" s="9" t="s">
        <v>167</v>
      </c>
      <c r="J38" s="9" t="s">
        <v>605</v>
      </c>
      <c r="K38" s="9" t="s">
        <v>168</v>
      </c>
      <c r="L38" s="9" t="s">
        <v>605</v>
      </c>
      <c r="M38" s="9" t="s">
        <v>169</v>
      </c>
      <c r="N38" s="9" t="s">
        <v>605</v>
      </c>
      <c r="O38" s="9">
        <v>1</v>
      </c>
      <c r="P38" s="14" t="s">
        <v>170</v>
      </c>
      <c r="Q38">
        <v>95.6</v>
      </c>
      <c r="R38">
        <v>1</v>
      </c>
      <c r="S38" s="2">
        <v>0</v>
      </c>
      <c r="T38" s="3">
        <v>0</v>
      </c>
      <c r="U38" s="3">
        <v>0</v>
      </c>
      <c r="V38" s="4">
        <v>0</v>
      </c>
      <c r="W38" s="2">
        <v>0</v>
      </c>
      <c r="X38" s="3">
        <v>0</v>
      </c>
      <c r="Y38" s="3">
        <v>0</v>
      </c>
      <c r="Z38" s="4">
        <v>0</v>
      </c>
      <c r="AA38" s="2">
        <v>0</v>
      </c>
      <c r="AB38" s="3">
        <v>4</v>
      </c>
      <c r="AC38" s="3">
        <v>1178</v>
      </c>
      <c r="AD38" s="4">
        <v>0</v>
      </c>
      <c r="AF38" s="26">
        <f t="shared" si="1"/>
        <v>5.0048269904984502E-3</v>
      </c>
      <c r="AG38" s="26">
        <f t="shared" si="2"/>
        <v>0.91573090798231793</v>
      </c>
      <c r="AI38">
        <v>75</v>
      </c>
      <c r="AJ38">
        <v>13</v>
      </c>
      <c r="AK38">
        <v>100</v>
      </c>
    </row>
    <row r="39" spans="1:37" x14ac:dyDescent="0.35">
      <c r="A39" t="s">
        <v>272</v>
      </c>
      <c r="B39">
        <v>1063</v>
      </c>
      <c r="C39" s="9" t="s">
        <v>7</v>
      </c>
      <c r="D39" s="9" t="s">
        <v>8</v>
      </c>
      <c r="E39" s="9" t="s">
        <v>46</v>
      </c>
      <c r="F39" s="9" t="s">
        <v>605</v>
      </c>
      <c r="G39" s="9" t="s">
        <v>47</v>
      </c>
      <c r="H39" s="9" t="s">
        <v>605</v>
      </c>
      <c r="I39" s="9" t="s">
        <v>61</v>
      </c>
      <c r="J39" s="9" t="s">
        <v>605</v>
      </c>
      <c r="K39" s="9" t="s">
        <v>190</v>
      </c>
      <c r="L39" s="9" t="s">
        <v>605</v>
      </c>
      <c r="M39" s="9" t="s">
        <v>273</v>
      </c>
      <c r="N39" s="9" t="s">
        <v>605</v>
      </c>
      <c r="O39" s="9">
        <v>0.95</v>
      </c>
      <c r="P39" s="14" t="s">
        <v>274</v>
      </c>
      <c r="Q39">
        <v>97.2</v>
      </c>
      <c r="R39">
        <v>3</v>
      </c>
      <c r="S39" s="2">
        <v>13</v>
      </c>
      <c r="T39" s="3">
        <v>14</v>
      </c>
      <c r="U39" s="3">
        <v>0</v>
      </c>
      <c r="V39" s="4">
        <v>997</v>
      </c>
      <c r="W39" s="2">
        <v>0</v>
      </c>
      <c r="X39" s="3">
        <v>0</v>
      </c>
      <c r="Y39" s="3">
        <v>0</v>
      </c>
      <c r="Z39" s="4">
        <v>0</v>
      </c>
      <c r="AA39" s="2">
        <v>27</v>
      </c>
      <c r="AB39" s="3">
        <v>12</v>
      </c>
      <c r="AC39" s="3">
        <v>0</v>
      </c>
      <c r="AD39" s="4">
        <v>0</v>
      </c>
      <c r="AF39" s="26">
        <f t="shared" si="1"/>
        <v>4.5009569296953064E-3</v>
      </c>
      <c r="AG39" s="26">
        <f t="shared" si="2"/>
        <v>0.92023186491201325</v>
      </c>
      <c r="AI39">
        <v>100</v>
      </c>
      <c r="AJ39">
        <v>15</v>
      </c>
      <c r="AK39">
        <v>96</v>
      </c>
    </row>
    <row r="40" spans="1:37" x14ac:dyDescent="0.35">
      <c r="A40" t="s">
        <v>113</v>
      </c>
      <c r="B40">
        <v>1005</v>
      </c>
      <c r="C40" s="9" t="s">
        <v>7</v>
      </c>
      <c r="D40" s="9" t="s">
        <v>8</v>
      </c>
      <c r="E40" s="9" t="s">
        <v>32</v>
      </c>
      <c r="F40" s="9" t="s">
        <v>605</v>
      </c>
      <c r="G40" s="9" t="s">
        <v>35</v>
      </c>
      <c r="H40" s="9" t="s">
        <v>605</v>
      </c>
      <c r="I40" s="9" t="s">
        <v>36</v>
      </c>
      <c r="J40" s="9" t="s">
        <v>605</v>
      </c>
      <c r="K40" s="9" t="s">
        <v>194</v>
      </c>
      <c r="L40" s="9" t="s">
        <v>605</v>
      </c>
      <c r="M40" s="9" t="s">
        <v>195</v>
      </c>
      <c r="N40" s="9" t="s">
        <v>605</v>
      </c>
      <c r="O40" s="9">
        <v>0.6</v>
      </c>
      <c r="P40" s="14" t="s">
        <v>196</v>
      </c>
      <c r="Q40">
        <v>92.5</v>
      </c>
      <c r="R40">
        <v>1</v>
      </c>
      <c r="S40" s="2">
        <v>0</v>
      </c>
      <c r="T40" s="3">
        <v>0</v>
      </c>
      <c r="U40" s="3">
        <v>0</v>
      </c>
      <c r="V40" s="4">
        <v>0</v>
      </c>
      <c r="W40" s="2">
        <v>0</v>
      </c>
      <c r="X40" s="3">
        <v>0</v>
      </c>
      <c r="Y40" s="3">
        <v>0</v>
      </c>
      <c r="Z40" s="4">
        <v>0</v>
      </c>
      <c r="AA40" s="2">
        <v>32</v>
      </c>
      <c r="AB40" s="3">
        <v>178</v>
      </c>
      <c r="AC40" s="3">
        <v>466</v>
      </c>
      <c r="AD40" s="4">
        <v>329</v>
      </c>
      <c r="AF40" s="26">
        <f t="shared" si="1"/>
        <v>4.2553732025811695E-3</v>
      </c>
      <c r="AG40" s="26">
        <f t="shared" si="2"/>
        <v>0.92448723811459443</v>
      </c>
      <c r="AI40">
        <v>0</v>
      </c>
      <c r="AJ40">
        <v>0</v>
      </c>
      <c r="AK40">
        <v>100</v>
      </c>
    </row>
    <row r="41" spans="1:37" x14ac:dyDescent="0.35">
      <c r="A41" t="s">
        <v>137</v>
      </c>
      <c r="B41">
        <v>973</v>
      </c>
      <c r="C41" s="9" t="s">
        <v>7</v>
      </c>
      <c r="D41" s="9" t="s">
        <v>8</v>
      </c>
      <c r="E41" s="9" t="s">
        <v>9</v>
      </c>
      <c r="F41" s="9" t="s">
        <v>605</v>
      </c>
      <c r="G41" s="9" t="s">
        <v>10</v>
      </c>
      <c r="H41" s="9" t="s">
        <v>605</v>
      </c>
      <c r="I41" s="9" t="s">
        <v>107</v>
      </c>
      <c r="J41" s="9" t="s">
        <v>605</v>
      </c>
      <c r="K41" s="9" t="s">
        <v>108</v>
      </c>
      <c r="L41" s="9" t="s">
        <v>605</v>
      </c>
      <c r="M41" s="9" t="s">
        <v>109</v>
      </c>
      <c r="N41" s="9" t="s">
        <v>605</v>
      </c>
      <c r="O41" s="9">
        <v>1</v>
      </c>
      <c r="P41" s="14" t="s">
        <v>129</v>
      </c>
      <c r="Q41">
        <v>99.2</v>
      </c>
      <c r="R41">
        <v>1</v>
      </c>
      <c r="S41" s="2">
        <v>108</v>
      </c>
      <c r="T41" s="3">
        <v>23</v>
      </c>
      <c r="U41" s="3">
        <v>8</v>
      </c>
      <c r="V41" s="4">
        <v>129</v>
      </c>
      <c r="W41" s="2">
        <v>4</v>
      </c>
      <c r="X41" s="3">
        <v>0</v>
      </c>
      <c r="Y41" s="3">
        <v>0</v>
      </c>
      <c r="Z41" s="4">
        <v>0</v>
      </c>
      <c r="AA41" s="2">
        <v>429</v>
      </c>
      <c r="AB41" s="3">
        <v>23</v>
      </c>
      <c r="AC41" s="3">
        <v>135</v>
      </c>
      <c r="AD41" s="4">
        <v>114</v>
      </c>
      <c r="AF41" s="26">
        <f t="shared" si="1"/>
        <v>4.1198787324492319E-3</v>
      </c>
      <c r="AG41" s="26">
        <f t="shared" si="2"/>
        <v>0.92860711684704367</v>
      </c>
      <c r="AI41">
        <v>100</v>
      </c>
      <c r="AJ41">
        <v>0</v>
      </c>
      <c r="AK41">
        <v>100</v>
      </c>
    </row>
    <row r="42" spans="1:37" x14ac:dyDescent="0.35">
      <c r="A42" t="s">
        <v>349</v>
      </c>
      <c r="B42">
        <v>944</v>
      </c>
      <c r="C42" s="9" t="s">
        <v>7</v>
      </c>
      <c r="D42" s="9" t="s">
        <v>8</v>
      </c>
      <c r="E42" s="9" t="s">
        <v>9</v>
      </c>
      <c r="F42" s="9" t="s">
        <v>605</v>
      </c>
      <c r="G42" s="9" t="s">
        <v>138</v>
      </c>
      <c r="H42" s="9" t="s">
        <v>605</v>
      </c>
      <c r="I42" s="9" t="s">
        <v>139</v>
      </c>
      <c r="J42" s="9" t="s">
        <v>605</v>
      </c>
      <c r="K42" s="9" t="s">
        <v>140</v>
      </c>
      <c r="L42" s="9" t="s">
        <v>605</v>
      </c>
      <c r="M42" s="9" t="s">
        <v>605</v>
      </c>
      <c r="N42" s="9" t="s">
        <v>605</v>
      </c>
      <c r="O42" s="9">
        <v>0.67</v>
      </c>
      <c r="P42" s="14" t="s">
        <v>141</v>
      </c>
      <c r="Q42">
        <v>90.1</v>
      </c>
      <c r="R42">
        <v>1</v>
      </c>
      <c r="S42" s="2">
        <v>6</v>
      </c>
      <c r="T42" s="3">
        <v>0</v>
      </c>
      <c r="U42" s="3">
        <v>0</v>
      </c>
      <c r="V42" s="4">
        <v>8</v>
      </c>
      <c r="W42" s="2">
        <v>5</v>
      </c>
      <c r="X42" s="3">
        <v>0</v>
      </c>
      <c r="Y42" s="3">
        <v>0</v>
      </c>
      <c r="Z42" s="4">
        <v>0</v>
      </c>
      <c r="AA42" s="2">
        <v>290</v>
      </c>
      <c r="AB42" s="3">
        <v>285</v>
      </c>
      <c r="AC42" s="3">
        <v>202</v>
      </c>
      <c r="AD42" s="4">
        <v>148</v>
      </c>
      <c r="AF42" s="26">
        <f t="shared" si="1"/>
        <v>3.9970868688921635E-3</v>
      </c>
      <c r="AG42" s="26">
        <f t="shared" si="2"/>
        <v>0.93260420371593589</v>
      </c>
      <c r="AI42">
        <v>100</v>
      </c>
      <c r="AJ42">
        <v>0</v>
      </c>
      <c r="AK42">
        <v>100</v>
      </c>
    </row>
    <row r="43" spans="1:37" x14ac:dyDescent="0.35">
      <c r="A43" t="s">
        <v>128</v>
      </c>
      <c r="B43">
        <v>910</v>
      </c>
      <c r="C43" s="9" t="s">
        <v>7</v>
      </c>
      <c r="D43" s="9" t="s">
        <v>8</v>
      </c>
      <c r="E43" s="9" t="s">
        <v>46</v>
      </c>
      <c r="F43" s="9" t="s">
        <v>605</v>
      </c>
      <c r="G43" s="9" t="s">
        <v>47</v>
      </c>
      <c r="H43" s="9" t="s">
        <v>605</v>
      </c>
      <c r="I43" s="9" t="s">
        <v>61</v>
      </c>
      <c r="J43" s="9" t="s">
        <v>605</v>
      </c>
      <c r="K43" s="9" t="s">
        <v>178</v>
      </c>
      <c r="L43" s="9" t="s">
        <v>605</v>
      </c>
      <c r="M43" s="9" t="s">
        <v>186</v>
      </c>
      <c r="N43" s="9" t="s">
        <v>605</v>
      </c>
      <c r="O43" s="9">
        <v>0.61</v>
      </c>
      <c r="P43" s="14" t="s">
        <v>187</v>
      </c>
      <c r="Q43">
        <v>92.1</v>
      </c>
      <c r="R43">
        <v>1</v>
      </c>
      <c r="S43" s="2">
        <v>0</v>
      </c>
      <c r="T43" s="3">
        <v>0</v>
      </c>
      <c r="U43" s="3">
        <v>0</v>
      </c>
      <c r="V43" s="4">
        <v>0</v>
      </c>
      <c r="W43" s="2">
        <v>1</v>
      </c>
      <c r="X43" s="3">
        <v>0</v>
      </c>
      <c r="Y43" s="3">
        <v>0</v>
      </c>
      <c r="Z43" s="4">
        <v>0</v>
      </c>
      <c r="AA43" s="2">
        <v>13</v>
      </c>
      <c r="AB43" s="3">
        <v>6</v>
      </c>
      <c r="AC43" s="3">
        <v>241</v>
      </c>
      <c r="AD43" s="4">
        <v>649</v>
      </c>
      <c r="AF43" s="26">
        <f t="shared" si="1"/>
        <v>3.8531239943769796E-3</v>
      </c>
      <c r="AG43" s="26">
        <f t="shared" si="2"/>
        <v>0.93645732771031287</v>
      </c>
      <c r="AI43">
        <v>34</v>
      </c>
      <c r="AJ43">
        <v>33</v>
      </c>
      <c r="AK43">
        <v>100</v>
      </c>
    </row>
    <row r="44" spans="1:37" x14ac:dyDescent="0.35">
      <c r="A44" t="s">
        <v>119</v>
      </c>
      <c r="B44">
        <v>866</v>
      </c>
      <c r="C44" s="9" t="s">
        <v>7</v>
      </c>
      <c r="D44" s="9" t="s">
        <v>8</v>
      </c>
      <c r="E44" s="9" t="s">
        <v>46</v>
      </c>
      <c r="F44" s="9" t="s">
        <v>605</v>
      </c>
      <c r="G44" s="9" t="s">
        <v>47</v>
      </c>
      <c r="H44" s="9" t="s">
        <v>605</v>
      </c>
      <c r="I44" s="9" t="s">
        <v>61</v>
      </c>
      <c r="J44" s="9" t="s">
        <v>605</v>
      </c>
      <c r="K44" s="9" t="s">
        <v>182</v>
      </c>
      <c r="L44" s="9" t="s">
        <v>605</v>
      </c>
      <c r="M44" s="9" t="s">
        <v>183</v>
      </c>
      <c r="N44" s="9" t="s">
        <v>605</v>
      </c>
      <c r="O44" s="9">
        <v>0.95</v>
      </c>
      <c r="P44" s="14" t="s">
        <v>184</v>
      </c>
      <c r="Q44">
        <v>99.2</v>
      </c>
      <c r="R44">
        <v>1</v>
      </c>
      <c r="S44" s="2">
        <v>4</v>
      </c>
      <c r="T44" s="3">
        <v>0</v>
      </c>
      <c r="U44" s="3">
        <v>0</v>
      </c>
      <c r="V44" s="4">
        <v>0</v>
      </c>
      <c r="W44" s="2">
        <v>188</v>
      </c>
      <c r="X44" s="3">
        <v>67</v>
      </c>
      <c r="Y44" s="3">
        <v>43</v>
      </c>
      <c r="Z44" s="4">
        <v>564</v>
      </c>
      <c r="AA44" s="2">
        <v>0</v>
      </c>
      <c r="AB44" s="3">
        <v>0</v>
      </c>
      <c r="AC44" s="3">
        <v>0</v>
      </c>
      <c r="AD44" s="4">
        <v>0</v>
      </c>
      <c r="AF44" s="26">
        <f t="shared" si="1"/>
        <v>3.6668190979455653E-3</v>
      </c>
      <c r="AG44" s="26">
        <f t="shared" si="2"/>
        <v>0.9401241468082584</v>
      </c>
      <c r="AI44">
        <v>7</v>
      </c>
      <c r="AJ44">
        <v>100</v>
      </c>
      <c r="AK44">
        <v>8</v>
      </c>
    </row>
    <row r="45" spans="1:37" x14ac:dyDescent="0.35">
      <c r="A45" t="s">
        <v>209</v>
      </c>
      <c r="B45">
        <v>774</v>
      </c>
      <c r="C45" s="9" t="s">
        <v>7</v>
      </c>
      <c r="D45" s="9" t="s">
        <v>8</v>
      </c>
      <c r="E45" s="9" t="s">
        <v>46</v>
      </c>
      <c r="F45" s="9" t="s">
        <v>605</v>
      </c>
      <c r="G45" s="9" t="s">
        <v>47</v>
      </c>
      <c r="H45" s="9" t="s">
        <v>605</v>
      </c>
      <c r="I45" s="9" t="s">
        <v>160</v>
      </c>
      <c r="J45" s="9" t="s">
        <v>605</v>
      </c>
      <c r="K45" s="9" t="s">
        <v>161</v>
      </c>
      <c r="L45" s="9" t="s">
        <v>605</v>
      </c>
      <c r="M45" s="9" t="s">
        <v>162</v>
      </c>
      <c r="N45" s="9" t="s">
        <v>605</v>
      </c>
      <c r="O45" s="9">
        <v>0.95</v>
      </c>
      <c r="P45" s="14" t="s">
        <v>163</v>
      </c>
      <c r="Q45">
        <v>96</v>
      </c>
      <c r="R45">
        <v>1</v>
      </c>
      <c r="S45" s="2">
        <v>4</v>
      </c>
      <c r="T45" s="3">
        <v>0</v>
      </c>
      <c r="U45" s="3">
        <v>0</v>
      </c>
      <c r="V45" s="4">
        <v>0</v>
      </c>
      <c r="W45" s="2">
        <v>43</v>
      </c>
      <c r="X45" s="3">
        <v>84</v>
      </c>
      <c r="Y45" s="3">
        <v>18</v>
      </c>
      <c r="Z45" s="4">
        <v>147</v>
      </c>
      <c r="AA45" s="2">
        <v>116</v>
      </c>
      <c r="AB45" s="3">
        <v>99</v>
      </c>
      <c r="AC45" s="3">
        <v>16</v>
      </c>
      <c r="AD45" s="4">
        <v>247</v>
      </c>
      <c r="AF45" s="26">
        <f t="shared" si="1"/>
        <v>3.2772724963162441E-3</v>
      </c>
      <c r="AG45" s="26">
        <f t="shared" si="2"/>
        <v>0.94340141930457466</v>
      </c>
      <c r="AI45">
        <v>9</v>
      </c>
      <c r="AJ45">
        <v>54</v>
      </c>
      <c r="AK45">
        <v>100</v>
      </c>
    </row>
    <row r="46" spans="1:37" x14ac:dyDescent="0.35">
      <c r="A46" t="s">
        <v>142</v>
      </c>
      <c r="B46">
        <v>749</v>
      </c>
      <c r="C46" s="9" t="s">
        <v>7</v>
      </c>
      <c r="D46" s="9" t="s">
        <v>8</v>
      </c>
      <c r="E46" s="9" t="s">
        <v>32</v>
      </c>
      <c r="F46" s="9" t="s">
        <v>605</v>
      </c>
      <c r="G46" s="9" t="s">
        <v>35</v>
      </c>
      <c r="H46" s="9" t="s">
        <v>605</v>
      </c>
      <c r="I46" s="9" t="s">
        <v>36</v>
      </c>
      <c r="J46" s="9" t="s">
        <v>605</v>
      </c>
      <c r="K46" s="9" t="s">
        <v>143</v>
      </c>
      <c r="L46" s="9" t="s">
        <v>605</v>
      </c>
      <c r="M46" s="9" t="s">
        <v>605</v>
      </c>
      <c r="N46" s="9" t="s">
        <v>605</v>
      </c>
      <c r="O46" s="9">
        <v>0.87</v>
      </c>
      <c r="P46" s="14" t="s">
        <v>144</v>
      </c>
      <c r="Q46">
        <v>91.7</v>
      </c>
      <c r="R46">
        <v>1</v>
      </c>
      <c r="S46" s="2">
        <v>53</v>
      </c>
      <c r="T46" s="3">
        <v>13</v>
      </c>
      <c r="U46" s="3">
        <v>15</v>
      </c>
      <c r="V46" s="4">
        <v>53</v>
      </c>
      <c r="W46" s="2">
        <v>111</v>
      </c>
      <c r="X46" s="3">
        <v>82</v>
      </c>
      <c r="Y46" s="3">
        <v>53</v>
      </c>
      <c r="Z46" s="4">
        <v>62</v>
      </c>
      <c r="AA46" s="2">
        <v>119</v>
      </c>
      <c r="AB46" s="3">
        <v>188</v>
      </c>
      <c r="AC46" s="3">
        <v>0</v>
      </c>
      <c r="AD46" s="4">
        <v>0</v>
      </c>
      <c r="AF46" s="26">
        <f t="shared" si="1"/>
        <v>3.1714174415256677E-3</v>
      </c>
      <c r="AG46" s="26">
        <f t="shared" si="2"/>
        <v>0.94657283674610038</v>
      </c>
      <c r="AI46">
        <v>100</v>
      </c>
      <c r="AJ46">
        <v>100</v>
      </c>
      <c r="AK46">
        <v>100</v>
      </c>
    </row>
    <row r="47" spans="1:37" x14ac:dyDescent="0.35">
      <c r="A47" t="s">
        <v>164</v>
      </c>
      <c r="B47">
        <v>604</v>
      </c>
      <c r="C47" s="9" t="s">
        <v>7</v>
      </c>
      <c r="D47" s="9" t="s">
        <v>8</v>
      </c>
      <c r="E47" s="9" t="s">
        <v>165</v>
      </c>
      <c r="F47" s="9" t="s">
        <v>605</v>
      </c>
      <c r="G47" s="9" t="s">
        <v>166</v>
      </c>
      <c r="H47" s="9" t="s">
        <v>605</v>
      </c>
      <c r="I47" s="9" t="s">
        <v>167</v>
      </c>
      <c r="J47" s="9" t="s">
        <v>605</v>
      </c>
      <c r="K47" s="9" t="s">
        <v>168</v>
      </c>
      <c r="L47" s="9" t="s">
        <v>605</v>
      </c>
      <c r="M47" s="9" t="s">
        <v>169</v>
      </c>
      <c r="N47" s="9" t="s">
        <v>605</v>
      </c>
      <c r="O47" s="9">
        <v>1</v>
      </c>
      <c r="P47" s="14" t="s">
        <v>170</v>
      </c>
      <c r="Q47">
        <v>99.6</v>
      </c>
      <c r="R47">
        <v>1</v>
      </c>
      <c r="S47" s="2">
        <v>205</v>
      </c>
      <c r="T47" s="3">
        <v>82</v>
      </c>
      <c r="U47" s="3">
        <v>53</v>
      </c>
      <c r="V47" s="4">
        <v>259</v>
      </c>
      <c r="W47" s="2">
        <v>2</v>
      </c>
      <c r="X47" s="3">
        <v>0</v>
      </c>
      <c r="Y47" s="3">
        <v>0</v>
      </c>
      <c r="Z47" s="4">
        <v>0</v>
      </c>
      <c r="AA47" s="2">
        <v>3</v>
      </c>
      <c r="AB47" s="3">
        <v>0</v>
      </c>
      <c r="AC47" s="3">
        <v>0</v>
      </c>
      <c r="AD47" s="4">
        <v>0</v>
      </c>
      <c r="AF47" s="26">
        <f t="shared" si="1"/>
        <v>2.5574581237403247E-3</v>
      </c>
      <c r="AG47" s="26">
        <f t="shared" si="2"/>
        <v>0.94913029486984068</v>
      </c>
      <c r="AI47">
        <v>100</v>
      </c>
      <c r="AJ47">
        <v>16</v>
      </c>
      <c r="AK47">
        <v>100</v>
      </c>
    </row>
    <row r="48" spans="1:37" x14ac:dyDescent="0.35">
      <c r="A48" t="s">
        <v>197</v>
      </c>
      <c r="B48">
        <v>601</v>
      </c>
      <c r="C48" s="9" t="s">
        <v>7</v>
      </c>
      <c r="D48" s="9" t="s">
        <v>8</v>
      </c>
      <c r="E48" s="9" t="s">
        <v>165</v>
      </c>
      <c r="F48" s="9" t="s">
        <v>605</v>
      </c>
      <c r="G48" s="9" t="s">
        <v>166</v>
      </c>
      <c r="H48" s="9" t="s">
        <v>605</v>
      </c>
      <c r="I48" s="9" t="s">
        <v>167</v>
      </c>
      <c r="J48" s="9" t="s">
        <v>605</v>
      </c>
      <c r="K48" s="9" t="s">
        <v>168</v>
      </c>
      <c r="L48" s="9" t="s">
        <v>605</v>
      </c>
      <c r="M48" s="9" t="s">
        <v>198</v>
      </c>
      <c r="N48" s="9" t="s">
        <v>605</v>
      </c>
      <c r="O48" s="9">
        <v>0.68</v>
      </c>
      <c r="P48" s="14" t="s">
        <v>199</v>
      </c>
      <c r="Q48">
        <v>91.7</v>
      </c>
      <c r="R48">
        <v>1</v>
      </c>
      <c r="S48" s="2">
        <v>128</v>
      </c>
      <c r="T48" s="3">
        <v>62</v>
      </c>
      <c r="U48" s="3">
        <v>6</v>
      </c>
      <c r="V48" s="4">
        <v>403</v>
      </c>
      <c r="W48" s="2">
        <v>2</v>
      </c>
      <c r="X48" s="3">
        <v>0</v>
      </c>
      <c r="Y48" s="3">
        <v>0</v>
      </c>
      <c r="Z48" s="4">
        <v>0</v>
      </c>
      <c r="AA48" s="2">
        <v>0</v>
      </c>
      <c r="AB48" s="3">
        <v>0</v>
      </c>
      <c r="AC48" s="3">
        <v>0</v>
      </c>
      <c r="AD48" s="4">
        <v>0</v>
      </c>
      <c r="AF48" s="26">
        <f t="shared" si="1"/>
        <v>2.5447555171654555E-3</v>
      </c>
      <c r="AG48" s="26">
        <f t="shared" si="2"/>
        <v>0.95167505038700617</v>
      </c>
      <c r="AI48">
        <v>100</v>
      </c>
      <c r="AJ48">
        <v>1</v>
      </c>
      <c r="AK48">
        <v>0</v>
      </c>
    </row>
    <row r="49" spans="1:37" x14ac:dyDescent="0.35">
      <c r="A49" t="s">
        <v>149</v>
      </c>
      <c r="B49">
        <v>563</v>
      </c>
      <c r="C49" s="9" t="s">
        <v>7</v>
      </c>
      <c r="D49" s="9" t="s">
        <v>8</v>
      </c>
      <c r="E49" s="9" t="s">
        <v>9</v>
      </c>
      <c r="F49" s="9" t="s">
        <v>605</v>
      </c>
      <c r="G49" s="9" t="s">
        <v>10</v>
      </c>
      <c r="H49" s="9" t="s">
        <v>605</v>
      </c>
      <c r="I49" s="9" t="s">
        <v>131</v>
      </c>
      <c r="J49" s="9" t="s">
        <v>605</v>
      </c>
      <c r="K49" s="9" t="s">
        <v>150</v>
      </c>
      <c r="L49" s="9" t="s">
        <v>605</v>
      </c>
      <c r="M49" s="9" t="s">
        <v>151</v>
      </c>
      <c r="N49" s="9" t="s">
        <v>605</v>
      </c>
      <c r="O49" s="9">
        <v>0.97</v>
      </c>
      <c r="P49" s="14" t="s">
        <v>152</v>
      </c>
      <c r="Q49">
        <v>98</v>
      </c>
      <c r="R49">
        <v>1</v>
      </c>
      <c r="S49" s="2">
        <v>7</v>
      </c>
      <c r="T49" s="3">
        <v>0</v>
      </c>
      <c r="U49" s="3">
        <v>0</v>
      </c>
      <c r="V49" s="4">
        <v>0</v>
      </c>
      <c r="W49" s="2">
        <v>217</v>
      </c>
      <c r="X49" s="3">
        <v>65</v>
      </c>
      <c r="Y49" s="3">
        <v>0</v>
      </c>
      <c r="Z49" s="4">
        <v>0</v>
      </c>
      <c r="AA49" s="2">
        <v>82</v>
      </c>
      <c r="AB49" s="3">
        <v>25</v>
      </c>
      <c r="AC49" s="3">
        <v>77</v>
      </c>
      <c r="AD49" s="4">
        <v>90</v>
      </c>
      <c r="AF49" s="26">
        <f t="shared" si="1"/>
        <v>2.3838558338837796E-3</v>
      </c>
      <c r="AG49" s="26">
        <f t="shared" si="2"/>
        <v>0.95405890622088996</v>
      </c>
      <c r="AI49">
        <v>44</v>
      </c>
      <c r="AJ49">
        <v>100</v>
      </c>
      <c r="AK49">
        <v>100</v>
      </c>
    </row>
    <row r="50" spans="1:37" x14ac:dyDescent="0.35">
      <c r="A50" t="s">
        <v>159</v>
      </c>
      <c r="B50">
        <v>472</v>
      </c>
      <c r="C50" s="9" t="s">
        <v>7</v>
      </c>
      <c r="D50" s="9" t="s">
        <v>8</v>
      </c>
      <c r="E50" s="9" t="s">
        <v>605</v>
      </c>
      <c r="F50" s="9" t="s">
        <v>605</v>
      </c>
      <c r="G50" s="9" t="s">
        <v>605</v>
      </c>
      <c r="H50" s="9" t="s">
        <v>605</v>
      </c>
      <c r="I50" s="9" t="s">
        <v>605</v>
      </c>
      <c r="J50" s="9" t="s">
        <v>605</v>
      </c>
      <c r="K50" s="9" t="s">
        <v>605</v>
      </c>
      <c r="L50" s="9" t="s">
        <v>605</v>
      </c>
      <c r="M50" s="9" t="s">
        <v>605</v>
      </c>
      <c r="N50" s="9" t="s">
        <v>605</v>
      </c>
      <c r="O50" s="9">
        <v>0.92</v>
      </c>
      <c r="P50" s="14" t="s">
        <v>98</v>
      </c>
      <c r="Q50">
        <v>0</v>
      </c>
      <c r="R50">
        <v>1</v>
      </c>
      <c r="S50" s="2">
        <v>0</v>
      </c>
      <c r="T50" s="3">
        <v>0</v>
      </c>
      <c r="U50" s="3">
        <v>0</v>
      </c>
      <c r="V50" s="4">
        <v>0</v>
      </c>
      <c r="W50" s="2">
        <v>259</v>
      </c>
      <c r="X50" s="3">
        <v>211</v>
      </c>
      <c r="Y50" s="3">
        <v>0</v>
      </c>
      <c r="Z50" s="4">
        <v>0</v>
      </c>
      <c r="AA50" s="2">
        <v>2</v>
      </c>
      <c r="AB50" s="3">
        <v>0</v>
      </c>
      <c r="AC50" s="3">
        <v>0</v>
      </c>
      <c r="AD50" s="4">
        <v>0</v>
      </c>
      <c r="AF50" s="26">
        <f t="shared" si="1"/>
        <v>1.9985434344460817E-3</v>
      </c>
      <c r="AG50" s="26">
        <f t="shared" si="2"/>
        <v>0.95605744965533601</v>
      </c>
      <c r="AI50">
        <v>0</v>
      </c>
      <c r="AJ50">
        <v>100</v>
      </c>
      <c r="AK50">
        <v>0</v>
      </c>
    </row>
    <row r="51" spans="1:37" x14ac:dyDescent="0.35">
      <c r="A51" t="s">
        <v>407</v>
      </c>
      <c r="B51">
        <v>461</v>
      </c>
      <c r="C51" s="9" t="s">
        <v>7</v>
      </c>
      <c r="D51" s="9" t="s">
        <v>8</v>
      </c>
      <c r="E51" s="9" t="s">
        <v>32</v>
      </c>
      <c r="F51" s="9" t="s">
        <v>605</v>
      </c>
      <c r="G51" s="9" t="s">
        <v>35</v>
      </c>
      <c r="H51" s="9" t="s">
        <v>605</v>
      </c>
      <c r="I51" s="9" t="s">
        <v>36</v>
      </c>
      <c r="J51" s="9" t="s">
        <v>605</v>
      </c>
      <c r="K51" s="9" t="s">
        <v>605</v>
      </c>
      <c r="L51" s="9" t="s">
        <v>605</v>
      </c>
      <c r="M51" s="9" t="s">
        <v>605</v>
      </c>
      <c r="N51" s="9" t="s">
        <v>605</v>
      </c>
      <c r="O51" s="9">
        <v>0.57999999999999996</v>
      </c>
      <c r="P51" s="14" t="s">
        <v>1496</v>
      </c>
      <c r="Q51">
        <v>85.4</v>
      </c>
      <c r="R51">
        <v>2</v>
      </c>
      <c r="S51" s="2">
        <v>1</v>
      </c>
      <c r="T51" s="3">
        <v>0</v>
      </c>
      <c r="U51" s="3">
        <v>0</v>
      </c>
      <c r="V51" s="4">
        <v>0</v>
      </c>
      <c r="W51" s="2">
        <v>269</v>
      </c>
      <c r="X51" s="3">
        <v>100</v>
      </c>
      <c r="Y51" s="3">
        <v>26</v>
      </c>
      <c r="Z51" s="4">
        <v>65</v>
      </c>
      <c r="AA51" s="2">
        <v>0</v>
      </c>
      <c r="AB51" s="3">
        <v>0</v>
      </c>
      <c r="AC51" s="3">
        <v>0</v>
      </c>
      <c r="AD51" s="4">
        <v>0</v>
      </c>
      <c r="AF51" s="26">
        <f t="shared" si="1"/>
        <v>1.9519672103382282E-3</v>
      </c>
      <c r="AG51" s="26">
        <f t="shared" si="2"/>
        <v>0.9580094168656742</v>
      </c>
      <c r="AI51">
        <v>21</v>
      </c>
      <c r="AJ51">
        <v>86</v>
      </c>
      <c r="AK51">
        <v>21</v>
      </c>
    </row>
    <row r="52" spans="1:37" x14ac:dyDescent="0.35">
      <c r="A52" t="s">
        <v>171</v>
      </c>
      <c r="B52">
        <v>447</v>
      </c>
      <c r="C52" s="9" t="s">
        <v>7</v>
      </c>
      <c r="D52" s="9" t="s">
        <v>8</v>
      </c>
      <c r="E52" s="9" t="s">
        <v>9</v>
      </c>
      <c r="F52" s="9" t="s">
        <v>605</v>
      </c>
      <c r="G52" s="9" t="s">
        <v>172</v>
      </c>
      <c r="H52" s="9" t="s">
        <v>605</v>
      </c>
      <c r="I52" s="9" t="s">
        <v>173</v>
      </c>
      <c r="J52" s="9" t="s">
        <v>605</v>
      </c>
      <c r="K52" s="9" t="s">
        <v>174</v>
      </c>
      <c r="L52" s="9" t="s">
        <v>605</v>
      </c>
      <c r="M52" s="9" t="s">
        <v>175</v>
      </c>
      <c r="N52" s="9" t="s">
        <v>605</v>
      </c>
      <c r="O52" s="9">
        <v>0.99</v>
      </c>
      <c r="P52" s="14" t="s">
        <v>176</v>
      </c>
      <c r="Q52">
        <v>100</v>
      </c>
      <c r="R52">
        <v>2</v>
      </c>
      <c r="S52" s="2">
        <v>6</v>
      </c>
      <c r="T52" s="3">
        <v>0</v>
      </c>
      <c r="U52" s="3">
        <v>0</v>
      </c>
      <c r="V52" s="4">
        <v>0</v>
      </c>
      <c r="W52" s="2">
        <v>1</v>
      </c>
      <c r="X52" s="3">
        <v>0</v>
      </c>
      <c r="Y52" s="3">
        <v>0</v>
      </c>
      <c r="Z52" s="4">
        <v>0</v>
      </c>
      <c r="AA52" s="2">
        <v>138</v>
      </c>
      <c r="AB52" s="3">
        <v>126</v>
      </c>
      <c r="AC52" s="3">
        <v>102</v>
      </c>
      <c r="AD52" s="4">
        <v>74</v>
      </c>
      <c r="AF52" s="26">
        <f t="shared" si="1"/>
        <v>1.8926883796555054E-3</v>
      </c>
      <c r="AG52" s="26">
        <f t="shared" si="2"/>
        <v>0.95990210524532971</v>
      </c>
      <c r="AI52">
        <v>56</v>
      </c>
      <c r="AJ52">
        <v>0</v>
      </c>
      <c r="AK52">
        <v>100</v>
      </c>
    </row>
    <row r="53" spans="1:37" x14ac:dyDescent="0.35">
      <c r="A53" t="s">
        <v>200</v>
      </c>
      <c r="B53">
        <v>441</v>
      </c>
      <c r="C53" s="9" t="s">
        <v>7</v>
      </c>
      <c r="D53" s="9" t="s">
        <v>8</v>
      </c>
      <c r="E53" s="9" t="s">
        <v>9</v>
      </c>
      <c r="F53" s="9" t="s">
        <v>605</v>
      </c>
      <c r="G53" s="9" t="s">
        <v>10</v>
      </c>
      <c r="H53" s="9" t="s">
        <v>605</v>
      </c>
      <c r="I53" s="9" t="s">
        <v>131</v>
      </c>
      <c r="J53" s="9" t="s">
        <v>605</v>
      </c>
      <c r="K53" s="9" t="s">
        <v>150</v>
      </c>
      <c r="L53" s="9" t="s">
        <v>605</v>
      </c>
      <c r="M53" s="9" t="s">
        <v>151</v>
      </c>
      <c r="N53" s="9" t="s">
        <v>605</v>
      </c>
      <c r="O53" s="9">
        <v>0.77</v>
      </c>
      <c r="P53" s="14" t="s">
        <v>152</v>
      </c>
      <c r="Q53">
        <v>97.6</v>
      </c>
      <c r="R53">
        <v>1</v>
      </c>
      <c r="S53" s="2">
        <v>84</v>
      </c>
      <c r="T53" s="3">
        <v>33</v>
      </c>
      <c r="U53" s="3">
        <v>0</v>
      </c>
      <c r="V53" s="4">
        <v>269</v>
      </c>
      <c r="W53" s="2">
        <v>3</v>
      </c>
      <c r="X53" s="3">
        <v>0</v>
      </c>
      <c r="Y53" s="3">
        <v>0</v>
      </c>
      <c r="Z53" s="4">
        <v>0</v>
      </c>
      <c r="AA53" s="2">
        <v>27</v>
      </c>
      <c r="AB53" s="3">
        <v>25</v>
      </c>
      <c r="AC53" s="3">
        <v>0</v>
      </c>
      <c r="AD53" s="4">
        <v>0</v>
      </c>
      <c r="AF53" s="26">
        <f t="shared" si="1"/>
        <v>1.867283166505767E-3</v>
      </c>
      <c r="AG53" s="26">
        <f t="shared" si="2"/>
        <v>0.96176938841183546</v>
      </c>
      <c r="AI53">
        <v>100</v>
      </c>
      <c r="AJ53">
        <v>46</v>
      </c>
      <c r="AK53">
        <v>79</v>
      </c>
    </row>
    <row r="54" spans="1:37" x14ac:dyDescent="0.35">
      <c r="A54" t="s">
        <v>203</v>
      </c>
      <c r="B54">
        <v>425</v>
      </c>
      <c r="C54" s="9" t="s">
        <v>7</v>
      </c>
      <c r="D54" s="9" t="s">
        <v>8</v>
      </c>
      <c r="E54" s="9" t="s">
        <v>46</v>
      </c>
      <c r="F54" s="9" t="s">
        <v>605</v>
      </c>
      <c r="G54" s="9" t="s">
        <v>47</v>
      </c>
      <c r="H54" s="9" t="s">
        <v>605</v>
      </c>
      <c r="I54" s="9" t="s">
        <v>61</v>
      </c>
      <c r="J54" s="9" t="s">
        <v>605</v>
      </c>
      <c r="K54" s="9" t="s">
        <v>210</v>
      </c>
      <c r="L54" s="9" t="s">
        <v>605</v>
      </c>
      <c r="M54" s="9" t="s">
        <v>211</v>
      </c>
      <c r="N54" s="9" t="s">
        <v>605</v>
      </c>
      <c r="O54" s="9">
        <v>1</v>
      </c>
      <c r="P54" s="14" t="s">
        <v>212</v>
      </c>
      <c r="Q54">
        <v>96.8</v>
      </c>
      <c r="R54">
        <v>1</v>
      </c>
      <c r="S54" s="2">
        <v>53</v>
      </c>
      <c r="T54" s="3">
        <v>21</v>
      </c>
      <c r="U54" s="3">
        <v>0</v>
      </c>
      <c r="V54" s="4">
        <v>12</v>
      </c>
      <c r="W54" s="2">
        <v>4</v>
      </c>
      <c r="X54" s="3">
        <v>0</v>
      </c>
      <c r="Y54" s="3">
        <v>0</v>
      </c>
      <c r="Z54" s="4">
        <v>0</v>
      </c>
      <c r="AA54" s="2">
        <v>61</v>
      </c>
      <c r="AB54" s="3">
        <v>69</v>
      </c>
      <c r="AC54" s="3">
        <v>0</v>
      </c>
      <c r="AD54" s="4">
        <v>205</v>
      </c>
      <c r="AF54" s="26">
        <f t="shared" si="1"/>
        <v>1.799535931439798E-3</v>
      </c>
      <c r="AG54" s="26">
        <f t="shared" si="2"/>
        <v>0.96356892434327523</v>
      </c>
      <c r="AI54">
        <v>100</v>
      </c>
      <c r="AJ54">
        <v>0</v>
      </c>
      <c r="AK54">
        <v>100</v>
      </c>
    </row>
    <row r="55" spans="1:37" x14ac:dyDescent="0.35">
      <c r="A55" t="s">
        <v>148</v>
      </c>
      <c r="B55">
        <v>409</v>
      </c>
      <c r="C55" s="9" t="s">
        <v>7</v>
      </c>
      <c r="D55" s="9" t="s">
        <v>24</v>
      </c>
      <c r="E55" s="9" t="s">
        <v>25</v>
      </c>
      <c r="F55" s="9" t="s">
        <v>605</v>
      </c>
      <c r="G55" s="9" t="s">
        <v>40</v>
      </c>
      <c r="H55" s="9" t="s">
        <v>605</v>
      </c>
      <c r="I55" s="9" t="s">
        <v>56</v>
      </c>
      <c r="J55" s="9" t="s">
        <v>605</v>
      </c>
      <c r="K55" s="9" t="s">
        <v>204</v>
      </c>
      <c r="L55" s="9" t="s">
        <v>605</v>
      </c>
      <c r="M55" s="9" t="s">
        <v>205</v>
      </c>
      <c r="N55" s="9" t="s">
        <v>605</v>
      </c>
      <c r="O55" s="9">
        <v>1</v>
      </c>
      <c r="P55" s="14" t="s">
        <v>206</v>
      </c>
      <c r="Q55">
        <v>98.4</v>
      </c>
      <c r="R55">
        <v>2</v>
      </c>
      <c r="S55" s="2">
        <v>67</v>
      </c>
      <c r="T55" s="3">
        <v>135</v>
      </c>
      <c r="U55" s="3">
        <v>0</v>
      </c>
      <c r="V55" s="4">
        <v>206</v>
      </c>
      <c r="W55" s="2">
        <v>0</v>
      </c>
      <c r="X55" s="3">
        <v>0</v>
      </c>
      <c r="Y55" s="3">
        <v>0</v>
      </c>
      <c r="Z55" s="4">
        <v>0</v>
      </c>
      <c r="AA55" s="2">
        <v>1</v>
      </c>
      <c r="AB55" s="3">
        <v>0</v>
      </c>
      <c r="AC55" s="3">
        <v>0</v>
      </c>
      <c r="AD55" s="4">
        <v>0</v>
      </c>
      <c r="AF55" s="26">
        <f t="shared" si="1"/>
        <v>1.7317886963738292E-3</v>
      </c>
      <c r="AG55" s="26">
        <f t="shared" si="2"/>
        <v>0.96530071303964904</v>
      </c>
      <c r="AI55">
        <v>100</v>
      </c>
      <c r="AJ55">
        <v>0</v>
      </c>
      <c r="AK55">
        <v>0</v>
      </c>
    </row>
    <row r="56" spans="1:37" x14ac:dyDescent="0.35">
      <c r="A56" t="s">
        <v>255</v>
      </c>
      <c r="B56">
        <v>397</v>
      </c>
      <c r="C56" s="9" t="s">
        <v>7</v>
      </c>
      <c r="D56" s="9" t="s">
        <v>8</v>
      </c>
      <c r="E56" s="9" t="s">
        <v>46</v>
      </c>
      <c r="F56" s="9" t="s">
        <v>605</v>
      </c>
      <c r="G56" s="9" t="s">
        <v>47</v>
      </c>
      <c r="H56" s="9" t="s">
        <v>605</v>
      </c>
      <c r="I56" s="9" t="s">
        <v>61</v>
      </c>
      <c r="J56" s="9" t="s">
        <v>605</v>
      </c>
      <c r="K56" s="9" t="s">
        <v>157</v>
      </c>
      <c r="L56" s="9" t="s">
        <v>605</v>
      </c>
      <c r="M56" s="9" t="s">
        <v>605</v>
      </c>
      <c r="N56" s="9" t="s">
        <v>605</v>
      </c>
      <c r="O56" s="9">
        <v>0.77</v>
      </c>
      <c r="P56" s="14" t="s">
        <v>158</v>
      </c>
      <c r="Q56">
        <v>94.8</v>
      </c>
      <c r="R56">
        <v>1</v>
      </c>
      <c r="S56" s="2">
        <v>230</v>
      </c>
      <c r="T56" s="3">
        <v>115</v>
      </c>
      <c r="U56" s="3">
        <v>0</v>
      </c>
      <c r="V56" s="4">
        <v>49</v>
      </c>
      <c r="W56" s="2">
        <v>0</v>
      </c>
      <c r="X56" s="3">
        <v>0</v>
      </c>
      <c r="Y56" s="3">
        <v>0</v>
      </c>
      <c r="Z56" s="4">
        <v>0</v>
      </c>
      <c r="AA56" s="2">
        <v>3</v>
      </c>
      <c r="AB56" s="3">
        <v>0</v>
      </c>
      <c r="AC56" s="3">
        <v>0</v>
      </c>
      <c r="AD56" s="4">
        <v>0</v>
      </c>
      <c r="AF56" s="26">
        <f t="shared" si="1"/>
        <v>1.6809782700743525E-3</v>
      </c>
      <c r="AG56" s="26">
        <f t="shared" si="2"/>
        <v>0.96698169130972345</v>
      </c>
      <c r="AI56">
        <v>100</v>
      </c>
      <c r="AJ56">
        <v>9</v>
      </c>
      <c r="AK56">
        <v>14</v>
      </c>
    </row>
    <row r="57" spans="1:37" x14ac:dyDescent="0.35">
      <c r="A57" t="s">
        <v>156</v>
      </c>
      <c r="B57">
        <v>316</v>
      </c>
      <c r="C57" s="9" t="s">
        <v>7</v>
      </c>
      <c r="D57" s="9" t="s">
        <v>8</v>
      </c>
      <c r="E57" s="9" t="s">
        <v>605</v>
      </c>
      <c r="F57" s="9" t="s">
        <v>605</v>
      </c>
      <c r="G57" s="9" t="s">
        <v>605</v>
      </c>
      <c r="H57" s="9" t="s">
        <v>605</v>
      </c>
      <c r="I57" s="9" t="s">
        <v>605</v>
      </c>
      <c r="J57" s="9" t="s">
        <v>605</v>
      </c>
      <c r="K57" s="9" t="s">
        <v>605</v>
      </c>
      <c r="L57" s="9" t="s">
        <v>605</v>
      </c>
      <c r="M57" s="9" t="s">
        <v>605</v>
      </c>
      <c r="N57" s="9" t="s">
        <v>605</v>
      </c>
      <c r="O57" s="9">
        <v>1</v>
      </c>
      <c r="P57" s="14" t="s">
        <v>256</v>
      </c>
      <c r="Q57">
        <v>90.1</v>
      </c>
      <c r="R57">
        <v>1</v>
      </c>
      <c r="S57" s="2">
        <v>0</v>
      </c>
      <c r="T57" s="3">
        <v>0</v>
      </c>
      <c r="U57" s="3">
        <v>0</v>
      </c>
      <c r="V57" s="4">
        <v>0</v>
      </c>
      <c r="W57" s="2">
        <v>44</v>
      </c>
      <c r="X57" s="3">
        <v>28</v>
      </c>
      <c r="Y57" s="3">
        <v>23</v>
      </c>
      <c r="Z57" s="4">
        <v>221</v>
      </c>
      <c r="AA57" s="2">
        <v>0</v>
      </c>
      <c r="AB57" s="3">
        <v>0</v>
      </c>
      <c r="AC57" s="3">
        <v>0</v>
      </c>
      <c r="AD57" s="4">
        <v>0</v>
      </c>
      <c r="AF57" s="26">
        <f t="shared" si="1"/>
        <v>1.3380078925528851E-3</v>
      </c>
      <c r="AG57" s="26">
        <f t="shared" si="2"/>
        <v>0.96831969920227634</v>
      </c>
      <c r="AI57">
        <v>2</v>
      </c>
      <c r="AJ57">
        <v>100</v>
      </c>
      <c r="AK57">
        <v>1</v>
      </c>
    </row>
    <row r="58" spans="1:37" x14ac:dyDescent="0.35">
      <c r="A58" t="s">
        <v>267</v>
      </c>
      <c r="B58">
        <v>315</v>
      </c>
      <c r="C58" s="9" t="s">
        <v>7</v>
      </c>
      <c r="D58" s="9" t="s">
        <v>8</v>
      </c>
      <c r="E58" s="9" t="s">
        <v>120</v>
      </c>
      <c r="F58" s="9" t="s">
        <v>605</v>
      </c>
      <c r="G58" s="9" t="s">
        <v>121</v>
      </c>
      <c r="H58" s="9" t="s">
        <v>605</v>
      </c>
      <c r="I58" s="9" t="s">
        <v>122</v>
      </c>
      <c r="J58" s="9" t="s">
        <v>605</v>
      </c>
      <c r="K58" s="9" t="s">
        <v>123</v>
      </c>
      <c r="L58" s="9" t="s">
        <v>605</v>
      </c>
      <c r="M58" s="9" t="s">
        <v>219</v>
      </c>
      <c r="N58" s="9" t="s">
        <v>605</v>
      </c>
      <c r="O58" s="9">
        <v>1</v>
      </c>
      <c r="P58" s="14" t="s">
        <v>220</v>
      </c>
      <c r="Q58">
        <v>98.8</v>
      </c>
      <c r="R58">
        <v>1</v>
      </c>
      <c r="S58" s="2">
        <v>2</v>
      </c>
      <c r="T58" s="3">
        <v>0</v>
      </c>
      <c r="U58" s="3">
        <v>0</v>
      </c>
      <c r="V58" s="4">
        <v>0</v>
      </c>
      <c r="W58" s="2">
        <v>93</v>
      </c>
      <c r="X58" s="3">
        <v>48</v>
      </c>
      <c r="Y58" s="3">
        <v>0</v>
      </c>
      <c r="Z58" s="4">
        <v>20</v>
      </c>
      <c r="AA58" s="2">
        <v>51</v>
      </c>
      <c r="AB58" s="3">
        <v>50</v>
      </c>
      <c r="AC58" s="3">
        <v>23</v>
      </c>
      <c r="AD58" s="4">
        <v>28</v>
      </c>
      <c r="AF58" s="26">
        <f t="shared" si="1"/>
        <v>1.3337736903612622E-3</v>
      </c>
      <c r="AG58" s="26">
        <f t="shared" si="2"/>
        <v>0.96965347289263759</v>
      </c>
      <c r="AI58">
        <v>15</v>
      </c>
      <c r="AJ58">
        <v>100</v>
      </c>
      <c r="AK58">
        <v>64</v>
      </c>
    </row>
    <row r="59" spans="1:37" x14ac:dyDescent="0.35">
      <c r="A59" t="s">
        <v>237</v>
      </c>
      <c r="B59">
        <v>276</v>
      </c>
      <c r="C59" s="9" t="s">
        <v>7</v>
      </c>
      <c r="D59" s="9" t="s">
        <v>8</v>
      </c>
      <c r="E59" s="9" t="s">
        <v>46</v>
      </c>
      <c r="F59" s="9" t="s">
        <v>605</v>
      </c>
      <c r="G59" s="9" t="s">
        <v>47</v>
      </c>
      <c r="H59" s="9" t="s">
        <v>605</v>
      </c>
      <c r="I59" s="9" t="s">
        <v>61</v>
      </c>
      <c r="J59" s="9" t="s">
        <v>605</v>
      </c>
      <c r="K59" s="9" t="s">
        <v>238</v>
      </c>
      <c r="L59" s="9" t="s">
        <v>605</v>
      </c>
      <c r="M59" s="9" t="s">
        <v>239</v>
      </c>
      <c r="N59" s="9" t="s">
        <v>605</v>
      </c>
      <c r="O59" s="9">
        <v>1</v>
      </c>
      <c r="P59" s="14" t="s">
        <v>240</v>
      </c>
      <c r="Q59">
        <v>98.4</v>
      </c>
      <c r="R59">
        <v>1</v>
      </c>
      <c r="S59" s="2">
        <v>0</v>
      </c>
      <c r="T59" s="3">
        <v>0</v>
      </c>
      <c r="U59" s="3">
        <v>0</v>
      </c>
      <c r="V59" s="4">
        <v>0</v>
      </c>
      <c r="W59" s="2">
        <v>0</v>
      </c>
      <c r="X59" s="3">
        <v>0</v>
      </c>
      <c r="Y59" s="3">
        <v>0</v>
      </c>
      <c r="Z59" s="4">
        <v>0</v>
      </c>
      <c r="AA59" s="2">
        <v>53</v>
      </c>
      <c r="AB59" s="3">
        <v>63</v>
      </c>
      <c r="AC59" s="3">
        <v>60</v>
      </c>
      <c r="AD59" s="4">
        <v>100</v>
      </c>
      <c r="AF59" s="26">
        <f t="shared" si="1"/>
        <v>1.1686398048879631E-3</v>
      </c>
      <c r="AG59" s="26">
        <f t="shared" si="2"/>
        <v>0.97082211269752561</v>
      </c>
      <c r="AI59">
        <v>3</v>
      </c>
      <c r="AJ59">
        <v>0</v>
      </c>
      <c r="AK59">
        <v>100</v>
      </c>
    </row>
    <row r="60" spans="1:37" x14ac:dyDescent="0.35">
      <c r="A60" t="s">
        <v>189</v>
      </c>
      <c r="B60">
        <v>275</v>
      </c>
      <c r="C60" s="9" t="s">
        <v>7</v>
      </c>
      <c r="D60" s="9" t="s">
        <v>8</v>
      </c>
      <c r="E60" s="9" t="s">
        <v>46</v>
      </c>
      <c r="F60" s="9" t="s">
        <v>605</v>
      </c>
      <c r="G60" s="9" t="s">
        <v>47</v>
      </c>
      <c r="H60" s="9" t="s">
        <v>605</v>
      </c>
      <c r="I60" s="9" t="s">
        <v>61</v>
      </c>
      <c r="J60" s="9" t="s">
        <v>605</v>
      </c>
      <c r="K60" s="9" t="s">
        <v>190</v>
      </c>
      <c r="L60" s="9" t="s">
        <v>605</v>
      </c>
      <c r="M60" s="9" t="s">
        <v>191</v>
      </c>
      <c r="N60" s="9" t="s">
        <v>605</v>
      </c>
      <c r="O60" s="9">
        <v>0.84</v>
      </c>
      <c r="P60" s="14" t="s">
        <v>192</v>
      </c>
      <c r="Q60">
        <v>96</v>
      </c>
      <c r="R60">
        <v>1</v>
      </c>
      <c r="S60" s="2">
        <v>169</v>
      </c>
      <c r="T60" s="3">
        <v>47</v>
      </c>
      <c r="U60" s="3">
        <v>31</v>
      </c>
      <c r="V60" s="4">
        <v>25</v>
      </c>
      <c r="W60" s="2">
        <v>2</v>
      </c>
      <c r="X60" s="3">
        <v>0</v>
      </c>
      <c r="Y60" s="3">
        <v>0</v>
      </c>
      <c r="Z60" s="4">
        <v>0</v>
      </c>
      <c r="AA60" s="2">
        <v>1</v>
      </c>
      <c r="AB60" s="3">
        <v>0</v>
      </c>
      <c r="AC60" s="3">
        <v>0</v>
      </c>
      <c r="AD60" s="4">
        <v>0</v>
      </c>
      <c r="AF60" s="26">
        <f t="shared" si="1"/>
        <v>1.16440560269634E-3</v>
      </c>
      <c r="AG60" s="26">
        <f t="shared" si="2"/>
        <v>0.97198651830022198</v>
      </c>
      <c r="AI60">
        <v>100</v>
      </c>
      <c r="AJ60">
        <v>0</v>
      </c>
      <c r="AK60">
        <v>45</v>
      </c>
    </row>
    <row r="61" spans="1:37" x14ac:dyDescent="0.35">
      <c r="A61" t="s">
        <v>177</v>
      </c>
      <c r="B61">
        <v>265</v>
      </c>
      <c r="C61" s="9" t="s">
        <v>7</v>
      </c>
      <c r="D61" s="9" t="s">
        <v>8</v>
      </c>
      <c r="E61" s="9" t="s">
        <v>46</v>
      </c>
      <c r="F61" s="9" t="s">
        <v>605</v>
      </c>
      <c r="G61" s="9" t="s">
        <v>47</v>
      </c>
      <c r="H61" s="9" t="s">
        <v>605</v>
      </c>
      <c r="I61" s="9" t="s">
        <v>61</v>
      </c>
      <c r="J61" s="9" t="s">
        <v>605</v>
      </c>
      <c r="K61" s="9" t="s">
        <v>178</v>
      </c>
      <c r="L61" s="9" t="s">
        <v>605</v>
      </c>
      <c r="M61" s="9" t="s">
        <v>179</v>
      </c>
      <c r="N61" s="9" t="s">
        <v>605</v>
      </c>
      <c r="O61" s="9">
        <v>0.9</v>
      </c>
      <c r="P61" s="14" t="s">
        <v>180</v>
      </c>
      <c r="Q61">
        <v>97.6</v>
      </c>
      <c r="R61">
        <v>1</v>
      </c>
      <c r="S61" s="2">
        <v>0</v>
      </c>
      <c r="T61" s="3">
        <v>0</v>
      </c>
      <c r="U61" s="3">
        <v>0</v>
      </c>
      <c r="V61" s="4">
        <v>0</v>
      </c>
      <c r="W61" s="2">
        <v>1</v>
      </c>
      <c r="X61" s="3">
        <v>0</v>
      </c>
      <c r="Y61" s="3">
        <v>0</v>
      </c>
      <c r="Z61" s="4">
        <v>0</v>
      </c>
      <c r="AA61" s="2">
        <v>146</v>
      </c>
      <c r="AB61" s="3">
        <v>118</v>
      </c>
      <c r="AC61" s="3">
        <v>0</v>
      </c>
      <c r="AD61" s="4">
        <v>0</v>
      </c>
      <c r="AF61" s="26">
        <f t="shared" si="1"/>
        <v>1.1220635807801095E-3</v>
      </c>
      <c r="AG61" s="26">
        <f t="shared" si="2"/>
        <v>0.97310858188100213</v>
      </c>
      <c r="AI61">
        <v>14</v>
      </c>
      <c r="AJ61">
        <v>21</v>
      </c>
      <c r="AK61">
        <v>100</v>
      </c>
    </row>
    <row r="62" spans="1:37" x14ac:dyDescent="0.35">
      <c r="A62" t="s">
        <v>185</v>
      </c>
      <c r="B62">
        <v>257</v>
      </c>
      <c r="C62" s="9" t="s">
        <v>7</v>
      </c>
      <c r="D62" s="9" t="s">
        <v>8</v>
      </c>
      <c r="E62" s="9" t="s">
        <v>46</v>
      </c>
      <c r="F62" s="9" t="s">
        <v>605</v>
      </c>
      <c r="G62" s="9" t="s">
        <v>47</v>
      </c>
      <c r="H62" s="9" t="s">
        <v>605</v>
      </c>
      <c r="I62" s="9" t="s">
        <v>61</v>
      </c>
      <c r="J62" s="9" t="s">
        <v>605</v>
      </c>
      <c r="K62" s="9" t="s">
        <v>178</v>
      </c>
      <c r="L62" s="9" t="s">
        <v>605</v>
      </c>
      <c r="M62" s="9" t="s">
        <v>186</v>
      </c>
      <c r="N62" s="9" t="s">
        <v>605</v>
      </c>
      <c r="O62" s="9">
        <v>1</v>
      </c>
      <c r="P62" s="14" t="s">
        <v>187</v>
      </c>
      <c r="Q62">
        <v>98.8</v>
      </c>
      <c r="R62">
        <v>1</v>
      </c>
      <c r="S62" s="2">
        <v>0</v>
      </c>
      <c r="T62" s="3">
        <v>0</v>
      </c>
      <c r="U62" s="3">
        <v>0</v>
      </c>
      <c r="V62" s="4">
        <v>0</v>
      </c>
      <c r="W62" s="2">
        <v>2</v>
      </c>
      <c r="X62" s="3">
        <v>0</v>
      </c>
      <c r="Y62" s="3">
        <v>0</v>
      </c>
      <c r="Z62" s="4">
        <v>0</v>
      </c>
      <c r="AA62" s="2">
        <v>181</v>
      </c>
      <c r="AB62" s="3">
        <v>74</v>
      </c>
      <c r="AC62" s="3">
        <v>0</v>
      </c>
      <c r="AD62" s="4">
        <v>0</v>
      </c>
      <c r="AF62" s="26">
        <f t="shared" si="1"/>
        <v>1.0881899632471249E-3</v>
      </c>
      <c r="AG62" s="26">
        <f t="shared" si="2"/>
        <v>0.97419677184424924</v>
      </c>
      <c r="AI62">
        <v>16</v>
      </c>
      <c r="AJ62">
        <v>12</v>
      </c>
      <c r="AK62">
        <v>100</v>
      </c>
    </row>
    <row r="63" spans="1:37" x14ac:dyDescent="0.35">
      <c r="A63" t="s">
        <v>230</v>
      </c>
      <c r="B63">
        <v>242</v>
      </c>
      <c r="C63" s="9" t="s">
        <v>7</v>
      </c>
      <c r="D63" s="9" t="s">
        <v>8</v>
      </c>
      <c r="E63" s="9" t="s">
        <v>32</v>
      </c>
      <c r="F63" s="9" t="s">
        <v>605</v>
      </c>
      <c r="G63" s="9" t="s">
        <v>605</v>
      </c>
      <c r="H63" s="9" t="s">
        <v>605</v>
      </c>
      <c r="I63" s="9" t="s">
        <v>605</v>
      </c>
      <c r="J63" s="9" t="s">
        <v>605</v>
      </c>
      <c r="K63" s="9" t="s">
        <v>605</v>
      </c>
      <c r="L63" s="9" t="s">
        <v>605</v>
      </c>
      <c r="M63" s="9" t="s">
        <v>605</v>
      </c>
      <c r="N63" s="9" t="s">
        <v>605</v>
      </c>
      <c r="O63" s="9">
        <v>1</v>
      </c>
      <c r="P63" s="14" t="s">
        <v>217</v>
      </c>
      <c r="Q63">
        <v>87</v>
      </c>
      <c r="R63">
        <v>3</v>
      </c>
      <c r="S63" s="2">
        <v>125</v>
      </c>
      <c r="T63" s="3">
        <v>58</v>
      </c>
      <c r="U63" s="3">
        <v>9</v>
      </c>
      <c r="V63" s="4">
        <v>41</v>
      </c>
      <c r="W63" s="2">
        <v>8</v>
      </c>
      <c r="X63" s="3">
        <v>0</v>
      </c>
      <c r="Y63" s="3">
        <v>0</v>
      </c>
      <c r="Z63" s="4">
        <v>0</v>
      </c>
      <c r="AA63" s="2">
        <v>1</v>
      </c>
      <c r="AB63" s="3">
        <v>0</v>
      </c>
      <c r="AC63" s="3">
        <v>0</v>
      </c>
      <c r="AD63" s="4">
        <v>0</v>
      </c>
      <c r="AF63" s="26">
        <f t="shared" si="1"/>
        <v>1.0246769303727792E-3</v>
      </c>
      <c r="AG63" s="26">
        <f t="shared" si="2"/>
        <v>0.97522144877462202</v>
      </c>
      <c r="AI63">
        <v>100</v>
      </c>
      <c r="AJ63">
        <v>2</v>
      </c>
      <c r="AK63">
        <v>2</v>
      </c>
    </row>
    <row r="64" spans="1:37" x14ac:dyDescent="0.35">
      <c r="A64" t="s">
        <v>188</v>
      </c>
      <c r="B64">
        <v>232</v>
      </c>
      <c r="C64" s="9" t="s">
        <v>7</v>
      </c>
      <c r="D64" s="9" t="s">
        <v>8</v>
      </c>
      <c r="E64" s="9" t="s">
        <v>605</v>
      </c>
      <c r="F64" s="9" t="s">
        <v>605</v>
      </c>
      <c r="G64" s="9" t="s">
        <v>605</v>
      </c>
      <c r="H64" s="9" t="s">
        <v>605</v>
      </c>
      <c r="I64" s="9" t="s">
        <v>605</v>
      </c>
      <c r="J64" s="9" t="s">
        <v>605</v>
      </c>
      <c r="K64" s="9" t="s">
        <v>605</v>
      </c>
      <c r="L64" s="9" t="s">
        <v>605</v>
      </c>
      <c r="M64" s="9" t="s">
        <v>605</v>
      </c>
      <c r="N64" s="9" t="s">
        <v>605</v>
      </c>
      <c r="O64" s="9">
        <v>0.94</v>
      </c>
      <c r="P64" s="14" t="s">
        <v>98</v>
      </c>
      <c r="Q64">
        <v>0</v>
      </c>
      <c r="R64">
        <v>1</v>
      </c>
      <c r="S64" s="2">
        <v>161</v>
      </c>
      <c r="T64" s="3">
        <v>70</v>
      </c>
      <c r="U64" s="3">
        <v>0</v>
      </c>
      <c r="V64" s="4">
        <v>0</v>
      </c>
      <c r="W64" s="2">
        <v>1</v>
      </c>
      <c r="X64" s="3">
        <v>0</v>
      </c>
      <c r="Y64" s="3">
        <v>0</v>
      </c>
      <c r="Z64" s="4">
        <v>0</v>
      </c>
      <c r="AA64" s="2">
        <v>0</v>
      </c>
      <c r="AB64" s="3">
        <v>0</v>
      </c>
      <c r="AC64" s="3">
        <v>0</v>
      </c>
      <c r="AD64" s="4">
        <v>0</v>
      </c>
      <c r="AF64" s="26">
        <f t="shared" si="1"/>
        <v>9.8233490845654856E-4</v>
      </c>
      <c r="AG64" s="26">
        <f t="shared" si="2"/>
        <v>0.97620378368307859</v>
      </c>
      <c r="AI64">
        <v>100</v>
      </c>
      <c r="AJ64">
        <v>0</v>
      </c>
      <c r="AK64">
        <v>25</v>
      </c>
    </row>
    <row r="65" spans="1:37" x14ac:dyDescent="0.35">
      <c r="A65" t="s">
        <v>307</v>
      </c>
      <c r="B65">
        <v>230</v>
      </c>
      <c r="C65" s="9" t="s">
        <v>7</v>
      </c>
      <c r="D65" s="9" t="s">
        <v>8</v>
      </c>
      <c r="E65" s="9" t="s">
        <v>9</v>
      </c>
      <c r="F65" s="9" t="s">
        <v>605</v>
      </c>
      <c r="G65" s="9" t="s">
        <v>10</v>
      </c>
      <c r="H65" s="9" t="s">
        <v>605</v>
      </c>
      <c r="I65" s="9" t="s">
        <v>107</v>
      </c>
      <c r="J65" s="9" t="s">
        <v>605</v>
      </c>
      <c r="K65" s="9" t="s">
        <v>308</v>
      </c>
      <c r="L65" s="9" t="s">
        <v>605</v>
      </c>
      <c r="M65" s="9" t="s">
        <v>309</v>
      </c>
      <c r="N65" s="9" t="s">
        <v>605</v>
      </c>
      <c r="O65" s="9">
        <v>1</v>
      </c>
      <c r="P65" s="14" t="s">
        <v>310</v>
      </c>
      <c r="Q65">
        <v>98.8</v>
      </c>
      <c r="R65">
        <v>2</v>
      </c>
      <c r="S65" s="2">
        <v>25</v>
      </c>
      <c r="T65" s="3">
        <v>8</v>
      </c>
      <c r="U65" s="3">
        <v>0</v>
      </c>
      <c r="V65" s="4">
        <v>193</v>
      </c>
      <c r="W65" s="2">
        <v>0</v>
      </c>
      <c r="X65" s="3">
        <v>0</v>
      </c>
      <c r="Y65" s="3">
        <v>0</v>
      </c>
      <c r="Z65" s="4">
        <v>0</v>
      </c>
      <c r="AA65" s="2">
        <v>4</v>
      </c>
      <c r="AB65" s="3">
        <v>0</v>
      </c>
      <c r="AC65" s="3">
        <v>0</v>
      </c>
      <c r="AD65" s="4">
        <v>0</v>
      </c>
      <c r="AF65" s="26">
        <f t="shared" si="1"/>
        <v>9.7386650407330251E-4</v>
      </c>
      <c r="AG65" s="26">
        <f t="shared" si="2"/>
        <v>0.97717765018715186</v>
      </c>
      <c r="AI65">
        <v>100</v>
      </c>
      <c r="AJ65">
        <v>0</v>
      </c>
      <c r="AK65">
        <v>1</v>
      </c>
    </row>
    <row r="66" spans="1:37" x14ac:dyDescent="0.35">
      <c r="A66" t="s">
        <v>213</v>
      </c>
      <c r="B66">
        <v>212</v>
      </c>
      <c r="C66" s="9" t="s">
        <v>7</v>
      </c>
      <c r="D66" s="9" t="s">
        <v>8</v>
      </c>
      <c r="E66" s="9" t="s">
        <v>32</v>
      </c>
      <c r="F66" s="9" t="s">
        <v>605</v>
      </c>
      <c r="G66" s="9" t="s">
        <v>35</v>
      </c>
      <c r="H66" s="9" t="s">
        <v>605</v>
      </c>
      <c r="I66" s="9" t="s">
        <v>36</v>
      </c>
      <c r="J66" s="9" t="s">
        <v>605</v>
      </c>
      <c r="K66" s="9" t="s">
        <v>37</v>
      </c>
      <c r="L66" s="9" t="s">
        <v>605</v>
      </c>
      <c r="M66" s="9" t="s">
        <v>201</v>
      </c>
      <c r="N66" s="9" t="s">
        <v>605</v>
      </c>
      <c r="O66" s="9">
        <v>0.54</v>
      </c>
      <c r="P66" s="14" t="s">
        <v>202</v>
      </c>
      <c r="Q66">
        <v>86.2</v>
      </c>
      <c r="R66">
        <v>1</v>
      </c>
      <c r="S66" s="2">
        <v>175</v>
      </c>
      <c r="T66" s="3">
        <v>33</v>
      </c>
      <c r="U66" s="3">
        <v>0</v>
      </c>
      <c r="V66" s="4">
        <v>0</v>
      </c>
      <c r="W66" s="2">
        <v>0</v>
      </c>
      <c r="X66" s="3">
        <v>0</v>
      </c>
      <c r="Y66" s="3">
        <v>0</v>
      </c>
      <c r="Z66" s="4">
        <v>0</v>
      </c>
      <c r="AA66" s="2">
        <v>4</v>
      </c>
      <c r="AB66" s="3">
        <v>0</v>
      </c>
      <c r="AC66" s="3">
        <v>0</v>
      </c>
      <c r="AD66" s="4">
        <v>0</v>
      </c>
      <c r="AF66" s="26">
        <f t="shared" si="1"/>
        <v>8.9765086462408755E-4</v>
      </c>
      <c r="AG66" s="26">
        <f t="shared" si="2"/>
        <v>0.97807530105177598</v>
      </c>
      <c r="AI66">
        <v>100</v>
      </c>
      <c r="AJ66">
        <v>0</v>
      </c>
      <c r="AK66">
        <v>8</v>
      </c>
    </row>
    <row r="67" spans="1:37" x14ac:dyDescent="0.35">
      <c r="A67" t="s">
        <v>223</v>
      </c>
      <c r="B67">
        <v>201</v>
      </c>
      <c r="C67" s="9" t="s">
        <v>7</v>
      </c>
      <c r="D67" s="9" t="s">
        <v>8</v>
      </c>
      <c r="E67" s="9" t="s">
        <v>32</v>
      </c>
      <c r="F67" s="9" t="s">
        <v>605</v>
      </c>
      <c r="G67" s="9" t="s">
        <v>35</v>
      </c>
      <c r="H67" s="9" t="s">
        <v>605</v>
      </c>
      <c r="I67" s="9" t="s">
        <v>36</v>
      </c>
      <c r="J67" s="9" t="s">
        <v>605</v>
      </c>
      <c r="K67" s="9" t="s">
        <v>37</v>
      </c>
      <c r="L67" s="9" t="s">
        <v>605</v>
      </c>
      <c r="M67" s="9" t="s">
        <v>231</v>
      </c>
      <c r="N67" s="9" t="s">
        <v>605</v>
      </c>
      <c r="O67" s="9">
        <v>1</v>
      </c>
      <c r="P67" s="14" t="s">
        <v>232</v>
      </c>
      <c r="Q67">
        <v>100</v>
      </c>
      <c r="R67">
        <v>1</v>
      </c>
      <c r="S67" s="2">
        <v>104</v>
      </c>
      <c r="T67" s="3">
        <v>16</v>
      </c>
      <c r="U67" s="3">
        <v>16</v>
      </c>
      <c r="V67" s="4">
        <v>65</v>
      </c>
      <c r="W67" s="2">
        <v>0</v>
      </c>
      <c r="X67" s="3">
        <v>0</v>
      </c>
      <c r="Y67" s="3">
        <v>0</v>
      </c>
      <c r="Z67" s="4">
        <v>0</v>
      </c>
      <c r="AA67" s="2">
        <v>0</v>
      </c>
      <c r="AB67" s="3">
        <v>0</v>
      </c>
      <c r="AC67" s="3">
        <v>0</v>
      </c>
      <c r="AD67" s="4">
        <v>0</v>
      </c>
      <c r="AF67" s="26">
        <f t="shared" si="1"/>
        <v>8.5107464051623397E-4</v>
      </c>
      <c r="AG67" s="26">
        <f t="shared" si="2"/>
        <v>0.97892637569229224</v>
      </c>
      <c r="AI67">
        <v>100</v>
      </c>
      <c r="AJ67">
        <v>0</v>
      </c>
      <c r="AK67">
        <v>0</v>
      </c>
    </row>
    <row r="68" spans="1:37" x14ac:dyDescent="0.35">
      <c r="A68" t="s">
        <v>234</v>
      </c>
      <c r="B68">
        <v>193</v>
      </c>
      <c r="C68" s="9" t="s">
        <v>7</v>
      </c>
      <c r="D68" s="9" t="s">
        <v>8</v>
      </c>
      <c r="E68" s="9" t="s">
        <v>120</v>
      </c>
      <c r="F68" s="9" t="s">
        <v>605</v>
      </c>
      <c r="G68" s="9" t="s">
        <v>121</v>
      </c>
      <c r="H68" s="9" t="s">
        <v>605</v>
      </c>
      <c r="I68" s="9" t="s">
        <v>122</v>
      </c>
      <c r="J68" s="9" t="s">
        <v>605</v>
      </c>
      <c r="K68" s="9" t="s">
        <v>123</v>
      </c>
      <c r="L68" s="9" t="s">
        <v>605</v>
      </c>
      <c r="M68" s="9" t="s">
        <v>605</v>
      </c>
      <c r="N68" s="9" t="s">
        <v>605</v>
      </c>
      <c r="O68" s="9">
        <v>0.69</v>
      </c>
      <c r="P68" s="14" t="s">
        <v>224</v>
      </c>
      <c r="Q68">
        <v>87.4</v>
      </c>
      <c r="R68">
        <v>2</v>
      </c>
      <c r="S68" s="2">
        <v>0</v>
      </c>
      <c r="T68" s="3">
        <v>0</v>
      </c>
      <c r="U68" s="3">
        <v>0</v>
      </c>
      <c r="V68" s="4">
        <v>0</v>
      </c>
      <c r="W68" s="2">
        <v>70</v>
      </c>
      <c r="X68" s="3">
        <v>79</v>
      </c>
      <c r="Y68" s="3">
        <v>0</v>
      </c>
      <c r="Z68" s="4">
        <v>44</v>
      </c>
      <c r="AA68" s="2">
        <v>0</v>
      </c>
      <c r="AB68" s="3">
        <v>0</v>
      </c>
      <c r="AC68" s="3">
        <v>0</v>
      </c>
      <c r="AD68" s="4">
        <v>0</v>
      </c>
      <c r="AF68" s="26">
        <f t="shared" ref="AF68:AF131" si="3">B68/B$2</f>
        <v>8.1720102298324946E-4</v>
      </c>
      <c r="AG68" s="26">
        <f t="shared" si="2"/>
        <v>0.97974357671527545</v>
      </c>
      <c r="AI68">
        <v>0</v>
      </c>
      <c r="AJ68">
        <v>100</v>
      </c>
      <c r="AK68">
        <v>0</v>
      </c>
    </row>
    <row r="69" spans="1:37" x14ac:dyDescent="0.35">
      <c r="A69" t="s">
        <v>579</v>
      </c>
      <c r="B69">
        <v>192</v>
      </c>
      <c r="C69" s="9" t="s">
        <v>7</v>
      </c>
      <c r="D69" s="9" t="s">
        <v>8</v>
      </c>
      <c r="E69" s="9" t="s">
        <v>46</v>
      </c>
      <c r="F69" s="9" t="s">
        <v>605</v>
      </c>
      <c r="G69" s="9" t="s">
        <v>47</v>
      </c>
      <c r="H69" s="9" t="s">
        <v>605</v>
      </c>
      <c r="I69" s="9" t="s">
        <v>61</v>
      </c>
      <c r="J69" s="9" t="s">
        <v>605</v>
      </c>
      <c r="K69" s="9" t="s">
        <v>605</v>
      </c>
      <c r="L69" s="9" t="s">
        <v>605</v>
      </c>
      <c r="M69" s="9" t="s">
        <v>605</v>
      </c>
      <c r="N69" s="9" t="s">
        <v>605</v>
      </c>
      <c r="O69" s="9">
        <v>0.7</v>
      </c>
      <c r="P69" s="14" t="s">
        <v>208</v>
      </c>
      <c r="Q69">
        <v>92.1</v>
      </c>
      <c r="R69">
        <v>2</v>
      </c>
      <c r="S69" s="2">
        <v>0</v>
      </c>
      <c r="T69" s="3">
        <v>0</v>
      </c>
      <c r="U69" s="3">
        <v>0</v>
      </c>
      <c r="V69" s="4">
        <v>0</v>
      </c>
      <c r="W69" s="2">
        <v>132</v>
      </c>
      <c r="X69" s="3">
        <v>60</v>
      </c>
      <c r="Y69" s="3">
        <v>0</v>
      </c>
      <c r="Z69" s="4">
        <v>0</v>
      </c>
      <c r="AA69" s="2">
        <v>0</v>
      </c>
      <c r="AB69" s="3">
        <v>0</v>
      </c>
      <c r="AC69" s="3">
        <v>0</v>
      </c>
      <c r="AD69" s="4">
        <v>0</v>
      </c>
      <c r="AF69" s="26">
        <f t="shared" si="3"/>
        <v>8.1296682079162643E-4</v>
      </c>
      <c r="AG69" s="60">
        <f t="shared" si="2"/>
        <v>0.98055654353606703</v>
      </c>
      <c r="AI69">
        <v>34</v>
      </c>
      <c r="AJ69">
        <v>91</v>
      </c>
      <c r="AK69">
        <v>34</v>
      </c>
    </row>
    <row r="70" spans="1:37" x14ac:dyDescent="0.35">
      <c r="A70" t="s">
        <v>603</v>
      </c>
      <c r="B70">
        <v>184</v>
      </c>
      <c r="C70" s="9" t="s">
        <v>7</v>
      </c>
      <c r="D70" s="9" t="s">
        <v>8</v>
      </c>
      <c r="E70" s="9" t="s">
        <v>114</v>
      </c>
      <c r="F70" s="9" t="s">
        <v>605</v>
      </c>
      <c r="G70" s="9" t="s">
        <v>115</v>
      </c>
      <c r="H70" s="9" t="s">
        <v>605</v>
      </c>
      <c r="I70" s="9" t="s">
        <v>116</v>
      </c>
      <c r="J70" s="9" t="s">
        <v>605</v>
      </c>
      <c r="K70" s="9" t="s">
        <v>117</v>
      </c>
      <c r="L70" s="9" t="s">
        <v>605</v>
      </c>
      <c r="M70" s="9" t="s">
        <v>118</v>
      </c>
      <c r="N70" s="9" t="s">
        <v>605</v>
      </c>
      <c r="O70" s="9">
        <v>1</v>
      </c>
      <c r="P70" s="14" t="s">
        <v>215</v>
      </c>
      <c r="Q70">
        <v>100</v>
      </c>
      <c r="R70">
        <v>1</v>
      </c>
      <c r="S70" s="2">
        <v>0</v>
      </c>
      <c r="T70" s="3">
        <v>0</v>
      </c>
      <c r="U70" s="3">
        <v>0</v>
      </c>
      <c r="V70" s="4">
        <v>0</v>
      </c>
      <c r="W70" s="2">
        <v>107</v>
      </c>
      <c r="X70" s="3">
        <v>77</v>
      </c>
      <c r="Y70" s="3">
        <v>0</v>
      </c>
      <c r="Z70" s="4">
        <v>0</v>
      </c>
      <c r="AA70" s="2">
        <v>0</v>
      </c>
      <c r="AB70" s="3">
        <v>0</v>
      </c>
      <c r="AC70" s="3">
        <v>0</v>
      </c>
      <c r="AD70" s="4">
        <v>0</v>
      </c>
      <c r="AF70" s="26">
        <f t="shared" si="3"/>
        <v>7.7909320325864203E-4</v>
      </c>
      <c r="AG70" s="26">
        <f t="shared" ref="AG70:AG133" si="4">AG69+AF70</f>
        <v>0.98133563673932567</v>
      </c>
      <c r="AI70">
        <v>0</v>
      </c>
      <c r="AJ70">
        <v>100</v>
      </c>
      <c r="AK70">
        <v>0</v>
      </c>
    </row>
    <row r="71" spans="1:37" x14ac:dyDescent="0.35">
      <c r="A71" t="s">
        <v>216</v>
      </c>
      <c r="B71">
        <v>178</v>
      </c>
      <c r="C71" s="9" t="s">
        <v>7</v>
      </c>
      <c r="D71" s="9" t="s">
        <v>8</v>
      </c>
      <c r="E71" s="9" t="s">
        <v>18</v>
      </c>
      <c r="F71" s="9" t="s">
        <v>605</v>
      </c>
      <c r="G71" s="9" t="s">
        <v>19</v>
      </c>
      <c r="H71" s="9" t="s">
        <v>605</v>
      </c>
      <c r="I71" s="9" t="s">
        <v>20</v>
      </c>
      <c r="J71" s="9" t="s">
        <v>605</v>
      </c>
      <c r="K71" s="9" t="s">
        <v>21</v>
      </c>
      <c r="L71" s="9" t="s">
        <v>605</v>
      </c>
      <c r="M71" s="9" t="s">
        <v>235</v>
      </c>
      <c r="N71" s="9" t="s">
        <v>605</v>
      </c>
      <c r="O71" s="9">
        <v>0.51</v>
      </c>
      <c r="P71" s="14" t="s">
        <v>236</v>
      </c>
      <c r="Q71">
        <v>88.1</v>
      </c>
      <c r="R71">
        <v>1</v>
      </c>
      <c r="S71" s="2">
        <v>4</v>
      </c>
      <c r="T71" s="3">
        <v>0</v>
      </c>
      <c r="U71" s="3">
        <v>0</v>
      </c>
      <c r="V71" s="4">
        <v>0</v>
      </c>
      <c r="W71" s="2">
        <v>0</v>
      </c>
      <c r="X71" s="3">
        <v>0</v>
      </c>
      <c r="Y71" s="3">
        <v>0</v>
      </c>
      <c r="Z71" s="4">
        <v>0</v>
      </c>
      <c r="AA71" s="2">
        <v>61</v>
      </c>
      <c r="AB71" s="3">
        <v>53</v>
      </c>
      <c r="AC71" s="3">
        <v>29</v>
      </c>
      <c r="AD71" s="4">
        <v>31</v>
      </c>
      <c r="AF71" s="26">
        <f t="shared" si="3"/>
        <v>7.5368799010890367E-4</v>
      </c>
      <c r="AG71" s="26">
        <f t="shared" si="4"/>
        <v>0.98208932472943455</v>
      </c>
      <c r="AI71">
        <v>48</v>
      </c>
      <c r="AJ71">
        <v>0</v>
      </c>
      <c r="AK71">
        <v>100</v>
      </c>
    </row>
    <row r="72" spans="1:37" x14ac:dyDescent="0.35">
      <c r="A72" t="s">
        <v>284</v>
      </c>
      <c r="B72">
        <v>175</v>
      </c>
      <c r="C72" s="9" t="s">
        <v>7</v>
      </c>
      <c r="D72" s="9" t="s">
        <v>8</v>
      </c>
      <c r="E72" s="9" t="s">
        <v>9</v>
      </c>
      <c r="F72" s="9" t="s">
        <v>605</v>
      </c>
      <c r="G72" s="9" t="s">
        <v>10</v>
      </c>
      <c r="H72" s="9" t="s">
        <v>605</v>
      </c>
      <c r="I72" s="9" t="s">
        <v>605</v>
      </c>
      <c r="J72" s="9" t="s">
        <v>605</v>
      </c>
      <c r="K72" s="9" t="s">
        <v>227</v>
      </c>
      <c r="L72" s="9" t="s">
        <v>605</v>
      </c>
      <c r="M72" s="9" t="s">
        <v>228</v>
      </c>
      <c r="N72" s="9" t="s">
        <v>605</v>
      </c>
      <c r="O72" s="9">
        <v>1</v>
      </c>
      <c r="P72" s="14" t="s">
        <v>229</v>
      </c>
      <c r="Q72">
        <v>97.2</v>
      </c>
      <c r="R72">
        <v>1</v>
      </c>
      <c r="S72" s="2">
        <v>25</v>
      </c>
      <c r="T72" s="3">
        <v>3</v>
      </c>
      <c r="U72" s="3">
        <v>0</v>
      </c>
      <c r="V72" s="4">
        <v>0</v>
      </c>
      <c r="W72" s="2">
        <v>47</v>
      </c>
      <c r="X72" s="3">
        <v>19</v>
      </c>
      <c r="Y72" s="3">
        <v>0</v>
      </c>
      <c r="Z72" s="4">
        <v>0</v>
      </c>
      <c r="AA72" s="2">
        <v>25</v>
      </c>
      <c r="AB72" s="3">
        <v>56</v>
      </c>
      <c r="AC72" s="3">
        <v>0</v>
      </c>
      <c r="AD72" s="4">
        <v>0</v>
      </c>
      <c r="AF72" s="26">
        <f t="shared" si="3"/>
        <v>7.409853835340345E-4</v>
      </c>
      <c r="AG72" s="26">
        <f t="shared" si="4"/>
        <v>0.98283031011296862</v>
      </c>
      <c r="AI72">
        <v>100</v>
      </c>
      <c r="AJ72">
        <v>69</v>
      </c>
      <c r="AK72">
        <v>100</v>
      </c>
    </row>
    <row r="73" spans="1:37" x14ac:dyDescent="0.35">
      <c r="A73" t="s">
        <v>221</v>
      </c>
      <c r="B73">
        <v>157</v>
      </c>
      <c r="C73" s="9" t="s">
        <v>7</v>
      </c>
      <c r="D73" s="9" t="s">
        <v>8</v>
      </c>
      <c r="E73" s="9" t="s">
        <v>46</v>
      </c>
      <c r="F73" s="9" t="s">
        <v>605</v>
      </c>
      <c r="G73" s="9" t="s">
        <v>605</v>
      </c>
      <c r="H73" s="9" t="s">
        <v>605</v>
      </c>
      <c r="I73" s="9" t="s">
        <v>605</v>
      </c>
      <c r="J73" s="9" t="s">
        <v>605</v>
      </c>
      <c r="K73" s="9" t="s">
        <v>605</v>
      </c>
      <c r="L73" s="9" t="s">
        <v>605</v>
      </c>
      <c r="M73" s="9" t="s">
        <v>605</v>
      </c>
      <c r="N73" s="9" t="s">
        <v>605</v>
      </c>
      <c r="O73" s="9">
        <v>0.96</v>
      </c>
      <c r="P73" s="14" t="s">
        <v>222</v>
      </c>
      <c r="Q73">
        <v>92.5</v>
      </c>
      <c r="R73">
        <v>5</v>
      </c>
      <c r="S73" s="2">
        <v>0</v>
      </c>
      <c r="T73" s="3">
        <v>0</v>
      </c>
      <c r="U73" s="3">
        <v>0</v>
      </c>
      <c r="V73" s="4">
        <v>0</v>
      </c>
      <c r="W73" s="2">
        <v>2</v>
      </c>
      <c r="X73" s="3">
        <v>0</v>
      </c>
      <c r="Y73" s="3">
        <v>0</v>
      </c>
      <c r="Z73" s="4">
        <v>0</v>
      </c>
      <c r="AA73" s="2">
        <v>106</v>
      </c>
      <c r="AB73" s="3">
        <v>49</v>
      </c>
      <c r="AC73" s="3">
        <v>0</v>
      </c>
      <c r="AD73" s="4">
        <v>0</v>
      </c>
      <c r="AF73" s="26">
        <f t="shared" si="3"/>
        <v>6.6476974408481953E-4</v>
      </c>
      <c r="AG73" s="26">
        <f t="shared" si="4"/>
        <v>0.98349507985705342</v>
      </c>
      <c r="AI73">
        <v>11</v>
      </c>
      <c r="AJ73">
        <v>13</v>
      </c>
      <c r="AK73">
        <v>100</v>
      </c>
    </row>
    <row r="74" spans="1:37" x14ac:dyDescent="0.35">
      <c r="A74" t="s">
        <v>225</v>
      </c>
      <c r="B74">
        <v>148</v>
      </c>
      <c r="C74" s="9" t="s">
        <v>7</v>
      </c>
      <c r="D74" s="9" t="s">
        <v>8</v>
      </c>
      <c r="E74" s="9" t="s">
        <v>120</v>
      </c>
      <c r="F74" s="9" t="s">
        <v>605</v>
      </c>
      <c r="G74" s="9" t="s">
        <v>121</v>
      </c>
      <c r="H74" s="9" t="s">
        <v>605</v>
      </c>
      <c r="I74" s="9" t="s">
        <v>122</v>
      </c>
      <c r="J74" s="9" t="s">
        <v>605</v>
      </c>
      <c r="K74" s="9" t="s">
        <v>123</v>
      </c>
      <c r="L74" s="9" t="s">
        <v>605</v>
      </c>
      <c r="M74" s="9" t="s">
        <v>124</v>
      </c>
      <c r="N74" s="9" t="s">
        <v>605</v>
      </c>
      <c r="O74" s="9">
        <v>1</v>
      </c>
      <c r="P74" s="14" t="s">
        <v>125</v>
      </c>
      <c r="Q74">
        <v>99.6</v>
      </c>
      <c r="R74">
        <v>1</v>
      </c>
      <c r="S74" s="2">
        <v>109</v>
      </c>
      <c r="T74" s="3">
        <v>34</v>
      </c>
      <c r="U74" s="3">
        <v>0</v>
      </c>
      <c r="V74" s="4">
        <v>0</v>
      </c>
      <c r="W74" s="2">
        <v>2</v>
      </c>
      <c r="X74" s="3">
        <v>0</v>
      </c>
      <c r="Y74" s="3">
        <v>0</v>
      </c>
      <c r="Z74" s="4">
        <v>0</v>
      </c>
      <c r="AA74" s="2">
        <v>3</v>
      </c>
      <c r="AB74" s="3">
        <v>0</v>
      </c>
      <c r="AC74" s="3">
        <v>0</v>
      </c>
      <c r="AD74" s="4">
        <v>0</v>
      </c>
      <c r="AF74" s="26">
        <f t="shared" si="3"/>
        <v>6.26661924360212E-4</v>
      </c>
      <c r="AG74" s="26">
        <f t="shared" si="4"/>
        <v>0.98412174178141365</v>
      </c>
      <c r="AI74">
        <v>100</v>
      </c>
      <c r="AJ74">
        <v>17</v>
      </c>
      <c r="AK74">
        <v>22</v>
      </c>
    </row>
    <row r="75" spans="1:37" x14ac:dyDescent="0.35">
      <c r="A75" t="s">
        <v>214</v>
      </c>
      <c r="B75">
        <v>134</v>
      </c>
      <c r="C75" s="9" t="s">
        <v>7</v>
      </c>
      <c r="D75" s="9" t="s">
        <v>8</v>
      </c>
      <c r="E75" s="9" t="s">
        <v>46</v>
      </c>
      <c r="F75" s="9" t="s">
        <v>605</v>
      </c>
      <c r="G75" s="9" t="s">
        <v>47</v>
      </c>
      <c r="H75" s="9" t="s">
        <v>605</v>
      </c>
      <c r="I75" s="9" t="s">
        <v>61</v>
      </c>
      <c r="J75" s="9" t="s">
        <v>605</v>
      </c>
      <c r="K75" s="9" t="s">
        <v>268</v>
      </c>
      <c r="L75" s="9" t="s">
        <v>605</v>
      </c>
      <c r="M75" s="9" t="s">
        <v>269</v>
      </c>
      <c r="N75" s="9" t="s">
        <v>605</v>
      </c>
      <c r="O75" s="9">
        <v>0.99</v>
      </c>
      <c r="P75" s="14" t="s">
        <v>270</v>
      </c>
      <c r="Q75">
        <v>95.7</v>
      </c>
      <c r="R75">
        <v>1</v>
      </c>
      <c r="S75" s="2">
        <v>0</v>
      </c>
      <c r="T75" s="3">
        <v>0</v>
      </c>
      <c r="U75" s="3">
        <v>0</v>
      </c>
      <c r="V75" s="4">
        <v>0</v>
      </c>
      <c r="W75" s="2">
        <v>0</v>
      </c>
      <c r="X75" s="3">
        <v>0</v>
      </c>
      <c r="Y75" s="3">
        <v>0</v>
      </c>
      <c r="Z75" s="4">
        <v>0</v>
      </c>
      <c r="AA75" s="2">
        <v>32</v>
      </c>
      <c r="AB75" s="3">
        <v>40</v>
      </c>
      <c r="AC75" s="3">
        <v>62</v>
      </c>
      <c r="AD75" s="4">
        <v>0</v>
      </c>
      <c r="AF75" s="26">
        <f t="shared" si="3"/>
        <v>5.6738309367748924E-4</v>
      </c>
      <c r="AG75" s="26">
        <f t="shared" si="4"/>
        <v>0.98468912487509119</v>
      </c>
      <c r="AI75">
        <v>69</v>
      </c>
      <c r="AJ75">
        <v>0</v>
      </c>
      <c r="AK75">
        <v>100</v>
      </c>
    </row>
    <row r="76" spans="1:37" x14ac:dyDescent="0.35">
      <c r="A76" t="s">
        <v>218</v>
      </c>
      <c r="B76">
        <v>129</v>
      </c>
      <c r="C76" s="9" t="s">
        <v>7</v>
      </c>
      <c r="D76" s="9" t="s">
        <v>8</v>
      </c>
      <c r="E76" s="9" t="s">
        <v>46</v>
      </c>
      <c r="F76" s="9" t="s">
        <v>605</v>
      </c>
      <c r="G76" s="9" t="s">
        <v>47</v>
      </c>
      <c r="H76" s="9" t="s">
        <v>605</v>
      </c>
      <c r="I76" s="9" t="s">
        <v>61</v>
      </c>
      <c r="J76" s="9" t="s">
        <v>605</v>
      </c>
      <c r="K76" s="9" t="s">
        <v>605</v>
      </c>
      <c r="L76" s="9" t="s">
        <v>605</v>
      </c>
      <c r="M76" s="9" t="s">
        <v>605</v>
      </c>
      <c r="N76" s="9" t="s">
        <v>605</v>
      </c>
      <c r="O76" s="9">
        <v>0.69</v>
      </c>
      <c r="P76" s="14" t="s">
        <v>604</v>
      </c>
      <c r="Q76">
        <v>88.5</v>
      </c>
      <c r="R76">
        <v>1</v>
      </c>
      <c r="S76" s="2">
        <v>0</v>
      </c>
      <c r="T76" s="3">
        <v>0</v>
      </c>
      <c r="U76" s="3">
        <v>0</v>
      </c>
      <c r="V76" s="4">
        <v>129</v>
      </c>
      <c r="W76" s="2">
        <v>0</v>
      </c>
      <c r="X76" s="3">
        <v>0</v>
      </c>
      <c r="Y76" s="3">
        <v>0</v>
      </c>
      <c r="Z76" s="4">
        <v>0</v>
      </c>
      <c r="AA76" s="2">
        <v>0</v>
      </c>
      <c r="AB76" s="3">
        <v>0</v>
      </c>
      <c r="AC76" s="3">
        <v>0</v>
      </c>
      <c r="AD76" s="4">
        <v>0</v>
      </c>
      <c r="AF76" s="26">
        <f t="shared" si="3"/>
        <v>5.4621208271937402E-4</v>
      </c>
      <c r="AG76" s="26">
        <f t="shared" si="4"/>
        <v>0.98523533695781051</v>
      </c>
      <c r="AI76">
        <v>91</v>
      </c>
      <c r="AJ76">
        <v>12</v>
      </c>
      <c r="AK76">
        <v>37</v>
      </c>
    </row>
    <row r="77" spans="1:37" x14ac:dyDescent="0.35">
      <c r="A77" t="s">
        <v>253</v>
      </c>
      <c r="B77">
        <v>127</v>
      </c>
      <c r="C77" s="9" t="s">
        <v>7</v>
      </c>
      <c r="D77" s="9" t="s">
        <v>8</v>
      </c>
      <c r="E77" s="9" t="s">
        <v>9</v>
      </c>
      <c r="F77" s="9" t="s">
        <v>605</v>
      </c>
      <c r="G77" s="9" t="s">
        <v>243</v>
      </c>
      <c r="H77" s="9" t="s">
        <v>605</v>
      </c>
      <c r="I77" s="9" t="s">
        <v>244</v>
      </c>
      <c r="J77" s="9" t="s">
        <v>605</v>
      </c>
      <c r="K77" s="9" t="s">
        <v>245</v>
      </c>
      <c r="L77" s="9" t="s">
        <v>605</v>
      </c>
      <c r="M77" s="9" t="s">
        <v>246</v>
      </c>
      <c r="N77" s="9" t="s">
        <v>605</v>
      </c>
      <c r="O77" s="9">
        <v>0.98</v>
      </c>
      <c r="P77" s="14" t="s">
        <v>247</v>
      </c>
      <c r="Q77">
        <v>99.2</v>
      </c>
      <c r="R77">
        <v>1</v>
      </c>
      <c r="S77" s="2">
        <v>71</v>
      </c>
      <c r="T77" s="3">
        <v>18</v>
      </c>
      <c r="U77" s="3">
        <v>15</v>
      </c>
      <c r="V77" s="4">
        <v>0</v>
      </c>
      <c r="W77" s="2">
        <v>10</v>
      </c>
      <c r="X77" s="3">
        <v>0</v>
      </c>
      <c r="Y77" s="3">
        <v>0</v>
      </c>
      <c r="Z77" s="4">
        <v>0</v>
      </c>
      <c r="AA77" s="2">
        <v>13</v>
      </c>
      <c r="AB77" s="3">
        <v>0</v>
      </c>
      <c r="AC77" s="3">
        <v>0</v>
      </c>
      <c r="AD77" s="4">
        <v>0</v>
      </c>
      <c r="AF77" s="26">
        <f t="shared" si="3"/>
        <v>5.3774367833612786E-4</v>
      </c>
      <c r="AG77" s="26">
        <f t="shared" si="4"/>
        <v>0.98577308063614666</v>
      </c>
      <c r="AI77">
        <v>100</v>
      </c>
      <c r="AJ77">
        <v>0</v>
      </c>
      <c r="AK77">
        <v>4</v>
      </c>
    </row>
    <row r="78" spans="1:37" x14ac:dyDescent="0.35">
      <c r="A78" t="s">
        <v>286</v>
      </c>
      <c r="B78">
        <v>125</v>
      </c>
      <c r="C78" s="9" t="s">
        <v>7</v>
      </c>
      <c r="D78" s="9" t="s">
        <v>8</v>
      </c>
      <c r="E78" s="9" t="s">
        <v>9</v>
      </c>
      <c r="F78" s="9" t="s">
        <v>605</v>
      </c>
      <c r="G78" s="9" t="s">
        <v>10</v>
      </c>
      <c r="H78" s="9" t="s">
        <v>605</v>
      </c>
      <c r="I78" s="9" t="s">
        <v>605</v>
      </c>
      <c r="J78" s="9" t="s">
        <v>605</v>
      </c>
      <c r="K78" s="9" t="s">
        <v>227</v>
      </c>
      <c r="L78" s="9" t="s">
        <v>605</v>
      </c>
      <c r="M78" s="9" t="s">
        <v>228</v>
      </c>
      <c r="N78" s="9" t="s">
        <v>605</v>
      </c>
      <c r="O78" s="9">
        <v>0.99</v>
      </c>
      <c r="P78" s="14" t="s">
        <v>229</v>
      </c>
      <c r="Q78">
        <v>94.9</v>
      </c>
      <c r="R78">
        <v>1</v>
      </c>
      <c r="S78" s="2">
        <v>7</v>
      </c>
      <c r="T78" s="3">
        <v>0</v>
      </c>
      <c r="U78" s="3">
        <v>0</v>
      </c>
      <c r="V78" s="4">
        <v>0</v>
      </c>
      <c r="W78" s="2">
        <v>2</v>
      </c>
      <c r="X78" s="3">
        <v>0</v>
      </c>
      <c r="Y78" s="3">
        <v>0</v>
      </c>
      <c r="Z78" s="4">
        <v>0</v>
      </c>
      <c r="AA78" s="2">
        <v>82</v>
      </c>
      <c r="AB78" s="3">
        <v>34</v>
      </c>
      <c r="AC78" s="3">
        <v>0</v>
      </c>
      <c r="AD78" s="4">
        <v>0</v>
      </c>
      <c r="AF78" s="26">
        <f t="shared" si="3"/>
        <v>5.2927527395288181E-4</v>
      </c>
      <c r="AG78" s="26">
        <f t="shared" si="4"/>
        <v>0.98630235591009952</v>
      </c>
      <c r="AI78">
        <v>99</v>
      </c>
      <c r="AJ78">
        <v>18</v>
      </c>
      <c r="AK78">
        <v>100</v>
      </c>
    </row>
    <row r="79" spans="1:37" x14ac:dyDescent="0.35">
      <c r="A79" t="s">
        <v>275</v>
      </c>
      <c r="B79">
        <v>118</v>
      </c>
      <c r="C79" s="9" t="s">
        <v>7</v>
      </c>
      <c r="D79" s="9" t="s">
        <v>8</v>
      </c>
      <c r="E79" s="9" t="s">
        <v>9</v>
      </c>
      <c r="F79" s="9" t="s">
        <v>605</v>
      </c>
      <c r="G79" s="9" t="s">
        <v>10</v>
      </c>
      <c r="H79" s="9" t="s">
        <v>605</v>
      </c>
      <c r="I79" s="9" t="s">
        <v>11</v>
      </c>
      <c r="J79" s="9" t="s">
        <v>605</v>
      </c>
      <c r="K79" s="9" t="s">
        <v>249</v>
      </c>
      <c r="L79" s="9" t="s">
        <v>605</v>
      </c>
      <c r="M79" s="9" t="s">
        <v>250</v>
      </c>
      <c r="N79" s="9" t="s">
        <v>605</v>
      </c>
      <c r="O79" s="9">
        <v>0.94</v>
      </c>
      <c r="P79" s="14" t="s">
        <v>251</v>
      </c>
      <c r="Q79">
        <v>96.8</v>
      </c>
      <c r="R79">
        <v>1</v>
      </c>
      <c r="S79" s="2">
        <v>4</v>
      </c>
      <c r="T79" s="3">
        <v>0</v>
      </c>
      <c r="U79" s="3">
        <v>0</v>
      </c>
      <c r="V79" s="4">
        <v>0</v>
      </c>
      <c r="W79" s="2">
        <v>2</v>
      </c>
      <c r="X79" s="3">
        <v>0</v>
      </c>
      <c r="Y79" s="3">
        <v>0</v>
      </c>
      <c r="Z79" s="4">
        <v>0</v>
      </c>
      <c r="AA79" s="2">
        <v>61</v>
      </c>
      <c r="AB79" s="3">
        <v>51</v>
      </c>
      <c r="AC79" s="3">
        <v>0</v>
      </c>
      <c r="AD79" s="4">
        <v>0</v>
      </c>
      <c r="AF79" s="26">
        <f t="shared" si="3"/>
        <v>4.9963585861152043E-4</v>
      </c>
      <c r="AG79" s="26">
        <f t="shared" si="4"/>
        <v>0.98680199176871108</v>
      </c>
      <c r="AI79">
        <v>10</v>
      </c>
      <c r="AJ79">
        <v>25</v>
      </c>
      <c r="AK79">
        <v>100</v>
      </c>
    </row>
    <row r="80" spans="1:37" x14ac:dyDescent="0.35">
      <c r="A80" t="s">
        <v>544</v>
      </c>
      <c r="B80">
        <v>114</v>
      </c>
      <c r="C80" s="9" t="s">
        <v>7</v>
      </c>
      <c r="D80" s="9" t="s">
        <v>8</v>
      </c>
      <c r="E80" s="9" t="s">
        <v>46</v>
      </c>
      <c r="F80" s="9" t="s">
        <v>605</v>
      </c>
      <c r="G80" s="9" t="s">
        <v>47</v>
      </c>
      <c r="H80" s="9" t="s">
        <v>605</v>
      </c>
      <c r="I80" s="9" t="s">
        <v>160</v>
      </c>
      <c r="J80" s="9" t="s">
        <v>605</v>
      </c>
      <c r="K80" s="9" t="s">
        <v>161</v>
      </c>
      <c r="L80" s="9" t="s">
        <v>605</v>
      </c>
      <c r="M80" s="9" t="s">
        <v>162</v>
      </c>
      <c r="N80" s="9" t="s">
        <v>605</v>
      </c>
      <c r="O80" s="9">
        <v>0.84</v>
      </c>
      <c r="P80" s="14" t="s">
        <v>163</v>
      </c>
      <c r="Q80">
        <v>95.3</v>
      </c>
      <c r="R80">
        <v>1</v>
      </c>
      <c r="S80" s="2">
        <v>1</v>
      </c>
      <c r="T80" s="3">
        <v>0</v>
      </c>
      <c r="U80" s="3">
        <v>0</v>
      </c>
      <c r="V80" s="4">
        <v>0</v>
      </c>
      <c r="W80" s="2">
        <v>63</v>
      </c>
      <c r="X80" s="3">
        <v>30</v>
      </c>
      <c r="Y80" s="3">
        <v>0</v>
      </c>
      <c r="Z80" s="4">
        <v>0</v>
      </c>
      <c r="AA80" s="2">
        <v>15</v>
      </c>
      <c r="AB80" s="3">
        <v>5</v>
      </c>
      <c r="AC80" s="3">
        <v>0</v>
      </c>
      <c r="AD80" s="4">
        <v>0</v>
      </c>
      <c r="AF80" s="26">
        <f t="shared" si="3"/>
        <v>4.8269904984502818E-4</v>
      </c>
      <c r="AG80" s="26">
        <f t="shared" si="4"/>
        <v>0.98728469081855608</v>
      </c>
      <c r="AI80">
        <v>9</v>
      </c>
      <c r="AJ80">
        <v>93</v>
      </c>
      <c r="AK80">
        <v>92</v>
      </c>
    </row>
    <row r="81" spans="1:37" x14ac:dyDescent="0.35">
      <c r="A81" t="s">
        <v>226</v>
      </c>
      <c r="B81">
        <v>111</v>
      </c>
      <c r="C81" s="9" t="s">
        <v>7</v>
      </c>
      <c r="D81" s="9" t="s">
        <v>8</v>
      </c>
      <c r="E81" s="9" t="s">
        <v>32</v>
      </c>
      <c r="F81" s="9" t="s">
        <v>605</v>
      </c>
      <c r="G81" s="9" t="s">
        <v>605</v>
      </c>
      <c r="H81" s="9" t="s">
        <v>605</v>
      </c>
      <c r="I81" s="9" t="s">
        <v>605</v>
      </c>
      <c r="J81" s="9" t="s">
        <v>605</v>
      </c>
      <c r="K81" s="9" t="s">
        <v>605</v>
      </c>
      <c r="L81" s="9" t="s">
        <v>605</v>
      </c>
      <c r="M81" s="9" t="s">
        <v>605</v>
      </c>
      <c r="N81" s="9" t="s">
        <v>605</v>
      </c>
      <c r="O81" s="9">
        <v>0.96</v>
      </c>
      <c r="P81" s="14" t="s">
        <v>285</v>
      </c>
      <c r="Q81">
        <v>88.1</v>
      </c>
      <c r="R81">
        <v>4</v>
      </c>
      <c r="S81" s="2">
        <v>38</v>
      </c>
      <c r="T81" s="3">
        <v>37</v>
      </c>
      <c r="U81" s="3">
        <v>6</v>
      </c>
      <c r="V81" s="4">
        <v>28</v>
      </c>
      <c r="W81" s="2">
        <v>2</v>
      </c>
      <c r="X81" s="3">
        <v>0</v>
      </c>
      <c r="Y81" s="3">
        <v>0</v>
      </c>
      <c r="Z81" s="4">
        <v>0</v>
      </c>
      <c r="AA81" s="2">
        <v>0</v>
      </c>
      <c r="AB81" s="3">
        <v>0</v>
      </c>
      <c r="AC81" s="3">
        <v>0</v>
      </c>
      <c r="AD81" s="4">
        <v>0</v>
      </c>
      <c r="AF81" s="26">
        <f t="shared" si="3"/>
        <v>4.6999644327015905E-4</v>
      </c>
      <c r="AG81" s="26">
        <f t="shared" si="4"/>
        <v>0.98775468726182625</v>
      </c>
      <c r="AI81">
        <v>100</v>
      </c>
      <c r="AJ81">
        <v>0</v>
      </c>
      <c r="AK81">
        <v>0</v>
      </c>
    </row>
    <row r="82" spans="1:37" x14ac:dyDescent="0.35">
      <c r="A82" t="s">
        <v>248</v>
      </c>
      <c r="B82">
        <v>101</v>
      </c>
      <c r="C82" s="9" t="s">
        <v>7</v>
      </c>
      <c r="D82" s="9" t="s">
        <v>8</v>
      </c>
      <c r="E82" s="9" t="s">
        <v>46</v>
      </c>
      <c r="F82" s="9" t="s">
        <v>605</v>
      </c>
      <c r="G82" s="9" t="s">
        <v>47</v>
      </c>
      <c r="H82" s="9" t="s">
        <v>605</v>
      </c>
      <c r="I82" s="9" t="s">
        <v>605</v>
      </c>
      <c r="J82" s="9" t="s">
        <v>605</v>
      </c>
      <c r="K82" s="9" t="s">
        <v>605</v>
      </c>
      <c r="L82" s="9" t="s">
        <v>605</v>
      </c>
      <c r="M82" s="9" t="s">
        <v>605</v>
      </c>
      <c r="N82" s="9" t="s">
        <v>605</v>
      </c>
      <c r="O82" s="9">
        <v>0.65</v>
      </c>
      <c r="P82" s="14" t="s">
        <v>163</v>
      </c>
      <c r="Q82">
        <v>91.7</v>
      </c>
      <c r="R82">
        <v>1</v>
      </c>
      <c r="S82" s="2">
        <v>0</v>
      </c>
      <c r="T82" s="3">
        <v>0</v>
      </c>
      <c r="U82" s="3">
        <v>0</v>
      </c>
      <c r="V82" s="4">
        <v>0</v>
      </c>
      <c r="W82" s="2">
        <v>58</v>
      </c>
      <c r="X82" s="3">
        <v>41</v>
      </c>
      <c r="Y82" s="3">
        <v>0</v>
      </c>
      <c r="Z82" s="4">
        <v>0</v>
      </c>
      <c r="AA82" s="2">
        <v>2</v>
      </c>
      <c r="AB82" s="3">
        <v>0</v>
      </c>
      <c r="AC82" s="3">
        <v>0</v>
      </c>
      <c r="AD82" s="4">
        <v>0</v>
      </c>
      <c r="AF82" s="26">
        <f t="shared" si="3"/>
        <v>4.276544213539285E-4</v>
      </c>
      <c r="AG82" s="26">
        <f t="shared" si="4"/>
        <v>0.9881823416831802</v>
      </c>
      <c r="AI82">
        <v>3</v>
      </c>
      <c r="AJ82">
        <v>100</v>
      </c>
      <c r="AK82">
        <v>8</v>
      </c>
    </row>
    <row r="83" spans="1:37" x14ac:dyDescent="0.35">
      <c r="A83" t="s">
        <v>242</v>
      </c>
      <c r="B83">
        <v>92</v>
      </c>
      <c r="C83" s="9" t="s">
        <v>7</v>
      </c>
      <c r="D83" s="9" t="s">
        <v>8</v>
      </c>
      <c r="E83" s="9" t="s">
        <v>605</v>
      </c>
      <c r="F83" s="9" t="s">
        <v>605</v>
      </c>
      <c r="G83" s="9" t="s">
        <v>605</v>
      </c>
      <c r="H83" s="9" t="s">
        <v>605</v>
      </c>
      <c r="I83" s="9" t="s">
        <v>605</v>
      </c>
      <c r="J83" s="9" t="s">
        <v>605</v>
      </c>
      <c r="K83" s="9" t="s">
        <v>605</v>
      </c>
      <c r="L83" s="9" t="s">
        <v>605</v>
      </c>
      <c r="M83" s="9" t="s">
        <v>605</v>
      </c>
      <c r="N83" s="9" t="s">
        <v>605</v>
      </c>
      <c r="O83" s="9">
        <v>0.99</v>
      </c>
      <c r="P83" s="14" t="s">
        <v>98</v>
      </c>
      <c r="Q83">
        <v>0</v>
      </c>
      <c r="R83">
        <v>1</v>
      </c>
      <c r="S83" s="2">
        <v>0</v>
      </c>
      <c r="T83" s="3">
        <v>0</v>
      </c>
      <c r="U83" s="3">
        <v>0</v>
      </c>
      <c r="V83" s="4">
        <v>0</v>
      </c>
      <c r="W83" s="2">
        <v>0</v>
      </c>
      <c r="X83" s="3">
        <v>0</v>
      </c>
      <c r="Y83" s="3">
        <v>0</v>
      </c>
      <c r="Z83" s="4">
        <v>0</v>
      </c>
      <c r="AA83" s="2">
        <v>11</v>
      </c>
      <c r="AB83" s="3">
        <v>40</v>
      </c>
      <c r="AC83" s="3">
        <v>23</v>
      </c>
      <c r="AD83" s="4">
        <v>18</v>
      </c>
      <c r="AF83" s="26">
        <f t="shared" si="3"/>
        <v>3.8954660162932102E-4</v>
      </c>
      <c r="AG83" s="26">
        <f t="shared" si="4"/>
        <v>0.98857188828480957</v>
      </c>
      <c r="AI83">
        <v>25</v>
      </c>
      <c r="AJ83">
        <v>0</v>
      </c>
      <c r="AK83">
        <v>100</v>
      </c>
    </row>
    <row r="84" spans="1:37" x14ac:dyDescent="0.35">
      <c r="A84" t="s">
        <v>257</v>
      </c>
      <c r="B84">
        <v>92</v>
      </c>
      <c r="C84" s="9" t="s">
        <v>7</v>
      </c>
      <c r="D84" s="9" t="s">
        <v>8</v>
      </c>
      <c r="E84" s="9" t="s">
        <v>9</v>
      </c>
      <c r="F84" s="9" t="s">
        <v>605</v>
      </c>
      <c r="G84" s="9" t="s">
        <v>10</v>
      </c>
      <c r="H84" s="9" t="s">
        <v>605</v>
      </c>
      <c r="I84" s="9" t="s">
        <v>131</v>
      </c>
      <c r="J84" s="9" t="s">
        <v>605</v>
      </c>
      <c r="K84" s="9" t="s">
        <v>150</v>
      </c>
      <c r="L84" s="9" t="s">
        <v>605</v>
      </c>
      <c r="M84" s="9" t="s">
        <v>151</v>
      </c>
      <c r="N84" s="9" t="s">
        <v>605</v>
      </c>
      <c r="O84" s="9">
        <v>0.57999999999999996</v>
      </c>
      <c r="P84" s="14" t="s">
        <v>152</v>
      </c>
      <c r="Q84">
        <v>92.5</v>
      </c>
      <c r="R84">
        <v>2</v>
      </c>
      <c r="S84" s="2">
        <v>59</v>
      </c>
      <c r="T84" s="3">
        <v>32</v>
      </c>
      <c r="U84" s="3">
        <v>0</v>
      </c>
      <c r="V84" s="4">
        <v>0</v>
      </c>
      <c r="W84" s="2">
        <v>1</v>
      </c>
      <c r="X84" s="3">
        <v>0</v>
      </c>
      <c r="Y84" s="3">
        <v>0</v>
      </c>
      <c r="Z84" s="4">
        <v>0</v>
      </c>
      <c r="AA84" s="2">
        <v>0</v>
      </c>
      <c r="AB84" s="3">
        <v>0</v>
      </c>
      <c r="AC84" s="3">
        <v>0</v>
      </c>
      <c r="AD84" s="4">
        <v>0</v>
      </c>
      <c r="AF84" s="26">
        <f t="shared" si="3"/>
        <v>3.8954660162932102E-4</v>
      </c>
      <c r="AG84" s="26">
        <f t="shared" si="4"/>
        <v>0.98896143488643895</v>
      </c>
      <c r="AI84">
        <v>100</v>
      </c>
      <c r="AJ84">
        <v>18</v>
      </c>
      <c r="AK84">
        <v>18</v>
      </c>
    </row>
    <row r="85" spans="1:37" x14ac:dyDescent="0.35">
      <c r="A85" t="s">
        <v>266</v>
      </c>
      <c r="B85">
        <v>86</v>
      </c>
      <c r="C85" s="9" t="s">
        <v>7</v>
      </c>
      <c r="D85" s="9" t="s">
        <v>8</v>
      </c>
      <c r="E85" s="9" t="s">
        <v>46</v>
      </c>
      <c r="F85" s="9" t="s">
        <v>605</v>
      </c>
      <c r="G85" s="9" t="s">
        <v>47</v>
      </c>
      <c r="H85" s="9" t="s">
        <v>605</v>
      </c>
      <c r="I85" s="9" t="s">
        <v>605</v>
      </c>
      <c r="J85" s="9" t="s">
        <v>605</v>
      </c>
      <c r="K85" s="9" t="s">
        <v>605</v>
      </c>
      <c r="L85" s="9" t="s">
        <v>605</v>
      </c>
      <c r="M85" s="9" t="s">
        <v>605</v>
      </c>
      <c r="N85" s="9" t="s">
        <v>605</v>
      </c>
      <c r="O85" s="9">
        <v>0.67</v>
      </c>
      <c r="P85" s="14" t="s">
        <v>254</v>
      </c>
      <c r="Q85">
        <v>89.7</v>
      </c>
      <c r="R85">
        <v>2</v>
      </c>
      <c r="S85" s="2">
        <v>0</v>
      </c>
      <c r="T85" s="3">
        <v>0</v>
      </c>
      <c r="U85" s="3">
        <v>0</v>
      </c>
      <c r="V85" s="4">
        <v>0</v>
      </c>
      <c r="W85" s="2">
        <v>50</v>
      </c>
      <c r="X85" s="3">
        <v>35</v>
      </c>
      <c r="Y85" s="3">
        <v>0</v>
      </c>
      <c r="Z85" s="4">
        <v>0</v>
      </c>
      <c r="AA85" s="2">
        <v>1</v>
      </c>
      <c r="AB85" s="3">
        <v>0</v>
      </c>
      <c r="AC85" s="3">
        <v>0</v>
      </c>
      <c r="AD85" s="4">
        <v>0</v>
      </c>
      <c r="AF85" s="26">
        <f t="shared" si="3"/>
        <v>3.6414138847958266E-4</v>
      </c>
      <c r="AG85" s="26">
        <f t="shared" si="4"/>
        <v>0.98932557627491857</v>
      </c>
      <c r="AI85">
        <v>0</v>
      </c>
      <c r="AJ85">
        <v>100</v>
      </c>
      <c r="AK85">
        <v>0</v>
      </c>
    </row>
    <row r="86" spans="1:37" x14ac:dyDescent="0.35">
      <c r="A86" t="s">
        <v>264</v>
      </c>
      <c r="B86">
        <v>84</v>
      </c>
      <c r="C86" s="9" t="s">
        <v>7</v>
      </c>
      <c r="D86" s="9" t="s">
        <v>8</v>
      </c>
      <c r="E86" s="9" t="s">
        <v>120</v>
      </c>
      <c r="F86" s="9" t="s">
        <v>605</v>
      </c>
      <c r="G86" s="9" t="s">
        <v>121</v>
      </c>
      <c r="H86" s="9" t="s">
        <v>605</v>
      </c>
      <c r="I86" s="9" t="s">
        <v>122</v>
      </c>
      <c r="J86" s="9" t="s">
        <v>605</v>
      </c>
      <c r="K86" s="9" t="s">
        <v>123</v>
      </c>
      <c r="L86" s="9" t="s">
        <v>605</v>
      </c>
      <c r="M86" s="9" t="s">
        <v>605</v>
      </c>
      <c r="N86" s="9" t="s">
        <v>605</v>
      </c>
      <c r="O86" s="9">
        <v>0.99</v>
      </c>
      <c r="P86" s="14" t="s">
        <v>276</v>
      </c>
      <c r="Q86">
        <v>93.7</v>
      </c>
      <c r="R86">
        <v>1</v>
      </c>
      <c r="S86" s="2">
        <v>0</v>
      </c>
      <c r="T86" s="3">
        <v>0</v>
      </c>
      <c r="U86" s="3">
        <v>0</v>
      </c>
      <c r="V86" s="4">
        <v>0</v>
      </c>
      <c r="W86" s="2">
        <v>29</v>
      </c>
      <c r="X86" s="3">
        <v>37</v>
      </c>
      <c r="Y86" s="3">
        <v>18</v>
      </c>
      <c r="Z86" s="4">
        <v>0</v>
      </c>
      <c r="AA86" s="2">
        <v>0</v>
      </c>
      <c r="AB86" s="3">
        <v>0</v>
      </c>
      <c r="AC86" s="3">
        <v>0</v>
      </c>
      <c r="AD86" s="4">
        <v>0</v>
      </c>
      <c r="AF86" s="26">
        <f t="shared" si="3"/>
        <v>3.5567298409633656E-4</v>
      </c>
      <c r="AG86" s="26">
        <f t="shared" si="4"/>
        <v>0.98968124925901491</v>
      </c>
      <c r="AI86">
        <v>0</v>
      </c>
      <c r="AJ86">
        <v>100</v>
      </c>
      <c r="AK86">
        <v>0</v>
      </c>
    </row>
    <row r="87" spans="1:37" x14ac:dyDescent="0.35">
      <c r="A87" t="s">
        <v>233</v>
      </c>
      <c r="B87">
        <v>83</v>
      </c>
      <c r="C87" s="9" t="s">
        <v>7</v>
      </c>
      <c r="D87" s="9" t="s">
        <v>8</v>
      </c>
      <c r="E87" s="9" t="s">
        <v>9</v>
      </c>
      <c r="F87" s="9" t="s">
        <v>605</v>
      </c>
      <c r="G87" s="9" t="s">
        <v>10</v>
      </c>
      <c r="H87" s="9" t="s">
        <v>605</v>
      </c>
      <c r="I87" s="9" t="s">
        <v>131</v>
      </c>
      <c r="J87" s="9" t="s">
        <v>605</v>
      </c>
      <c r="K87" s="9" t="s">
        <v>150</v>
      </c>
      <c r="L87" s="9" t="s">
        <v>605</v>
      </c>
      <c r="M87" s="9" t="s">
        <v>278</v>
      </c>
      <c r="N87" s="9" t="s">
        <v>605</v>
      </c>
      <c r="O87" s="9">
        <v>0.75</v>
      </c>
      <c r="P87" s="14" t="s">
        <v>152</v>
      </c>
      <c r="Q87">
        <v>95.3</v>
      </c>
      <c r="R87">
        <v>1</v>
      </c>
      <c r="S87" s="2">
        <v>54</v>
      </c>
      <c r="T87" s="3">
        <v>24</v>
      </c>
      <c r="U87" s="3">
        <v>0</v>
      </c>
      <c r="V87" s="4">
        <v>0</v>
      </c>
      <c r="W87" s="2">
        <v>3</v>
      </c>
      <c r="X87" s="3">
        <v>0</v>
      </c>
      <c r="Y87" s="3">
        <v>0</v>
      </c>
      <c r="Z87" s="4">
        <v>0</v>
      </c>
      <c r="AA87" s="2">
        <v>2</v>
      </c>
      <c r="AB87" s="3">
        <v>0</v>
      </c>
      <c r="AC87" s="3">
        <v>0</v>
      </c>
      <c r="AD87" s="4">
        <v>0</v>
      </c>
      <c r="AF87" s="26">
        <f t="shared" si="3"/>
        <v>3.5143878190471353E-4</v>
      </c>
      <c r="AG87" s="60">
        <f t="shared" si="4"/>
        <v>0.9900326880409196</v>
      </c>
      <c r="AI87">
        <v>100</v>
      </c>
      <c r="AJ87">
        <v>11</v>
      </c>
      <c r="AK87">
        <v>17</v>
      </c>
    </row>
    <row r="88" spans="1:37" x14ac:dyDescent="0.35">
      <c r="A88" t="s">
        <v>295</v>
      </c>
      <c r="B88">
        <v>79</v>
      </c>
      <c r="C88" s="9" t="s">
        <v>7</v>
      </c>
      <c r="D88" s="9" t="s">
        <v>8</v>
      </c>
      <c r="E88" s="9" t="s">
        <v>258</v>
      </c>
      <c r="F88" s="9" t="s">
        <v>605</v>
      </c>
      <c r="G88" s="9" t="s">
        <v>258</v>
      </c>
      <c r="H88" s="9" t="s">
        <v>259</v>
      </c>
      <c r="I88" s="9" t="s">
        <v>260</v>
      </c>
      <c r="J88" s="9" t="s">
        <v>261</v>
      </c>
      <c r="K88" s="9" t="s">
        <v>262</v>
      </c>
      <c r="L88" s="9" t="s">
        <v>605</v>
      </c>
      <c r="M88" s="9" t="s">
        <v>605</v>
      </c>
      <c r="N88" s="9" t="s">
        <v>605</v>
      </c>
      <c r="O88" s="9">
        <v>0.59</v>
      </c>
      <c r="P88" s="14" t="s">
        <v>263</v>
      </c>
      <c r="Q88">
        <v>88.5</v>
      </c>
      <c r="R88">
        <v>1</v>
      </c>
      <c r="S88" s="2">
        <v>51</v>
      </c>
      <c r="T88" s="3">
        <v>0</v>
      </c>
      <c r="U88" s="3">
        <v>0</v>
      </c>
      <c r="V88" s="4">
        <v>0</v>
      </c>
      <c r="W88" s="2">
        <v>14</v>
      </c>
      <c r="X88" s="3">
        <v>0</v>
      </c>
      <c r="Y88" s="3">
        <v>0</v>
      </c>
      <c r="Z88" s="4">
        <v>0</v>
      </c>
      <c r="AA88" s="2">
        <v>14</v>
      </c>
      <c r="AB88" s="3">
        <v>0</v>
      </c>
      <c r="AC88" s="3">
        <v>0</v>
      </c>
      <c r="AD88" s="4">
        <v>0</v>
      </c>
      <c r="AF88" s="26">
        <f t="shared" si="3"/>
        <v>3.3450197313822128E-4</v>
      </c>
      <c r="AG88" s="26">
        <f t="shared" si="4"/>
        <v>0.99036719001405782</v>
      </c>
      <c r="AI88">
        <v>47</v>
      </c>
      <c r="AJ88">
        <v>31</v>
      </c>
      <c r="AK88">
        <v>23</v>
      </c>
    </row>
    <row r="89" spans="1:37" x14ac:dyDescent="0.35">
      <c r="A89" t="s">
        <v>265</v>
      </c>
      <c r="B89">
        <v>78</v>
      </c>
      <c r="C89" s="9" t="s">
        <v>7</v>
      </c>
      <c r="D89" s="9" t="s">
        <v>8</v>
      </c>
      <c r="E89" s="9" t="s">
        <v>46</v>
      </c>
      <c r="F89" s="9" t="s">
        <v>605</v>
      </c>
      <c r="G89" s="9" t="s">
        <v>47</v>
      </c>
      <c r="H89" s="9" t="s">
        <v>605</v>
      </c>
      <c r="I89" s="9" t="s">
        <v>61</v>
      </c>
      <c r="J89" s="9" t="s">
        <v>605</v>
      </c>
      <c r="K89" s="9" t="s">
        <v>605</v>
      </c>
      <c r="L89" s="9" t="s">
        <v>605</v>
      </c>
      <c r="M89" s="9" t="s">
        <v>605</v>
      </c>
      <c r="N89" s="9" t="s">
        <v>605</v>
      </c>
      <c r="O89" s="9">
        <v>0.73</v>
      </c>
      <c r="P89" s="14" t="s">
        <v>98</v>
      </c>
      <c r="Q89">
        <v>0</v>
      </c>
      <c r="R89">
        <v>1</v>
      </c>
      <c r="S89" s="2">
        <v>43</v>
      </c>
      <c r="T89" s="3">
        <v>35</v>
      </c>
      <c r="U89" s="3">
        <v>0</v>
      </c>
      <c r="V89" s="4">
        <v>0</v>
      </c>
      <c r="W89" s="2">
        <v>0</v>
      </c>
      <c r="X89" s="3">
        <v>0</v>
      </c>
      <c r="Y89" s="3">
        <v>0</v>
      </c>
      <c r="Z89" s="4">
        <v>0</v>
      </c>
      <c r="AA89" s="2">
        <v>0</v>
      </c>
      <c r="AB89" s="3">
        <v>0</v>
      </c>
      <c r="AC89" s="3">
        <v>0</v>
      </c>
      <c r="AD89" s="4">
        <v>0</v>
      </c>
      <c r="AF89" s="26">
        <f t="shared" si="3"/>
        <v>3.3026777094659826E-4</v>
      </c>
      <c r="AG89" s="26">
        <f t="shared" si="4"/>
        <v>0.9906974577850044</v>
      </c>
      <c r="AI89">
        <v>100</v>
      </c>
      <c r="AJ89">
        <v>9</v>
      </c>
      <c r="AK89">
        <v>9</v>
      </c>
    </row>
    <row r="90" spans="1:37" x14ac:dyDescent="0.35">
      <c r="A90" t="s">
        <v>280</v>
      </c>
      <c r="B90">
        <v>75</v>
      </c>
      <c r="C90" s="9" t="s">
        <v>7</v>
      </c>
      <c r="D90" s="9" t="s">
        <v>8</v>
      </c>
      <c r="E90" s="9" t="s">
        <v>46</v>
      </c>
      <c r="F90" s="9" t="s">
        <v>605</v>
      </c>
      <c r="G90" s="9" t="s">
        <v>47</v>
      </c>
      <c r="H90" s="9" t="s">
        <v>605</v>
      </c>
      <c r="I90" s="9" t="s">
        <v>61</v>
      </c>
      <c r="J90" s="9" t="s">
        <v>605</v>
      </c>
      <c r="K90" s="9" t="s">
        <v>190</v>
      </c>
      <c r="L90" s="9" t="s">
        <v>605</v>
      </c>
      <c r="M90" s="9" t="s">
        <v>191</v>
      </c>
      <c r="N90" s="9" t="s">
        <v>605</v>
      </c>
      <c r="O90" s="9">
        <v>0.99</v>
      </c>
      <c r="P90" s="14" t="s">
        <v>192</v>
      </c>
      <c r="Q90">
        <v>100</v>
      </c>
      <c r="R90">
        <v>1</v>
      </c>
      <c r="S90" s="2">
        <v>4</v>
      </c>
      <c r="T90" s="3">
        <v>0</v>
      </c>
      <c r="U90" s="3">
        <v>0</v>
      </c>
      <c r="V90" s="4">
        <v>0</v>
      </c>
      <c r="W90" s="2">
        <v>1</v>
      </c>
      <c r="X90" s="3">
        <v>0</v>
      </c>
      <c r="Y90" s="3">
        <v>0</v>
      </c>
      <c r="Z90" s="4">
        <v>0</v>
      </c>
      <c r="AA90" s="2">
        <v>46</v>
      </c>
      <c r="AB90" s="3">
        <v>24</v>
      </c>
      <c r="AC90" s="3">
        <v>0</v>
      </c>
      <c r="AD90" s="4">
        <v>0</v>
      </c>
      <c r="AF90" s="26">
        <f t="shared" si="3"/>
        <v>3.1756516437172908E-4</v>
      </c>
      <c r="AG90" s="26">
        <f t="shared" si="4"/>
        <v>0.99101502294937616</v>
      </c>
      <c r="AI90">
        <v>91</v>
      </c>
      <c r="AJ90">
        <v>0</v>
      </c>
      <c r="AK90">
        <v>100</v>
      </c>
    </row>
    <row r="91" spans="1:37" x14ac:dyDescent="0.35">
      <c r="A91" t="s">
        <v>287</v>
      </c>
      <c r="B91">
        <v>71</v>
      </c>
      <c r="C91" s="9" t="s">
        <v>7</v>
      </c>
      <c r="D91" s="9" t="s">
        <v>8</v>
      </c>
      <c r="E91" s="9" t="s">
        <v>120</v>
      </c>
      <c r="F91" s="9" t="s">
        <v>605</v>
      </c>
      <c r="G91" s="9" t="s">
        <v>121</v>
      </c>
      <c r="H91" s="9" t="s">
        <v>605</v>
      </c>
      <c r="I91" s="9" t="s">
        <v>122</v>
      </c>
      <c r="J91" s="9" t="s">
        <v>605</v>
      </c>
      <c r="K91" s="9" t="s">
        <v>123</v>
      </c>
      <c r="L91" s="9" t="s">
        <v>605</v>
      </c>
      <c r="M91" s="9" t="s">
        <v>605</v>
      </c>
      <c r="N91" s="9" t="s">
        <v>605</v>
      </c>
      <c r="O91" s="9">
        <v>0.63</v>
      </c>
      <c r="P91" s="14" t="s">
        <v>324</v>
      </c>
      <c r="Q91">
        <v>86.6</v>
      </c>
      <c r="R91">
        <v>2</v>
      </c>
      <c r="S91" s="2">
        <v>0</v>
      </c>
      <c r="T91" s="3">
        <v>0</v>
      </c>
      <c r="U91" s="3">
        <v>0</v>
      </c>
      <c r="V91" s="4">
        <v>0</v>
      </c>
      <c r="W91" s="2">
        <v>1</v>
      </c>
      <c r="X91" s="3">
        <v>0</v>
      </c>
      <c r="Y91" s="3">
        <v>0</v>
      </c>
      <c r="Z91" s="4">
        <v>0</v>
      </c>
      <c r="AA91" s="2">
        <v>22</v>
      </c>
      <c r="AB91" s="3">
        <v>35</v>
      </c>
      <c r="AC91" s="3">
        <v>6</v>
      </c>
      <c r="AD91" s="4">
        <v>7</v>
      </c>
      <c r="AF91" s="26">
        <f t="shared" si="3"/>
        <v>3.0062835560523688E-4</v>
      </c>
      <c r="AG91" s="26">
        <f t="shared" si="4"/>
        <v>0.99131565130498134</v>
      </c>
      <c r="AI91">
        <v>0</v>
      </c>
      <c r="AJ91">
        <v>21</v>
      </c>
      <c r="AK91">
        <v>100</v>
      </c>
    </row>
    <row r="92" spans="1:37" x14ac:dyDescent="0.35">
      <c r="A92" t="s">
        <v>522</v>
      </c>
      <c r="B92">
        <v>65</v>
      </c>
      <c r="C92" s="9" t="s">
        <v>7</v>
      </c>
      <c r="D92" s="9" t="s">
        <v>8</v>
      </c>
      <c r="E92" s="9" t="s">
        <v>165</v>
      </c>
      <c r="F92" s="9" t="s">
        <v>605</v>
      </c>
      <c r="G92" s="9" t="s">
        <v>166</v>
      </c>
      <c r="H92" s="9" t="s">
        <v>605</v>
      </c>
      <c r="I92" s="9" t="s">
        <v>167</v>
      </c>
      <c r="J92" s="9" t="s">
        <v>605</v>
      </c>
      <c r="K92" s="9" t="s">
        <v>168</v>
      </c>
      <c r="L92" s="9" t="s">
        <v>605</v>
      </c>
      <c r="M92" s="9" t="s">
        <v>198</v>
      </c>
      <c r="N92" s="9" t="s">
        <v>605</v>
      </c>
      <c r="O92" s="9">
        <v>0.91</v>
      </c>
      <c r="P92" s="14" t="s">
        <v>199</v>
      </c>
      <c r="Q92">
        <v>91.7</v>
      </c>
      <c r="R92">
        <v>1</v>
      </c>
      <c r="S92" s="2">
        <v>60</v>
      </c>
      <c r="T92" s="3">
        <v>5</v>
      </c>
      <c r="U92" s="3">
        <v>0</v>
      </c>
      <c r="V92" s="4">
        <v>0</v>
      </c>
      <c r="W92" s="2">
        <v>0</v>
      </c>
      <c r="X92" s="3">
        <v>0</v>
      </c>
      <c r="Y92" s="3">
        <v>0</v>
      </c>
      <c r="Z92" s="4">
        <v>0</v>
      </c>
      <c r="AA92" s="2">
        <v>0</v>
      </c>
      <c r="AB92" s="3">
        <v>0</v>
      </c>
      <c r="AC92" s="3">
        <v>0</v>
      </c>
      <c r="AD92" s="4">
        <v>0</v>
      </c>
      <c r="AF92" s="26">
        <f t="shared" si="3"/>
        <v>2.7522314245549852E-4</v>
      </c>
      <c r="AG92" s="26">
        <f t="shared" si="4"/>
        <v>0.99159087444743688</v>
      </c>
      <c r="AI92">
        <v>93</v>
      </c>
      <c r="AJ92">
        <v>1</v>
      </c>
      <c r="AK92">
        <v>0</v>
      </c>
    </row>
    <row r="93" spans="1:37" x14ac:dyDescent="0.35">
      <c r="A93" t="s">
        <v>282</v>
      </c>
      <c r="B93">
        <v>63</v>
      </c>
      <c r="C93" s="9" t="s">
        <v>7</v>
      </c>
      <c r="D93" s="9" t="s">
        <v>8</v>
      </c>
      <c r="E93" s="9" t="s">
        <v>46</v>
      </c>
      <c r="F93" s="9" t="s">
        <v>605</v>
      </c>
      <c r="G93" s="9" t="s">
        <v>47</v>
      </c>
      <c r="H93" s="9" t="s">
        <v>605</v>
      </c>
      <c r="I93" s="9" t="s">
        <v>61</v>
      </c>
      <c r="J93" s="9" t="s">
        <v>605</v>
      </c>
      <c r="K93" s="9" t="s">
        <v>605</v>
      </c>
      <c r="L93" s="9" t="s">
        <v>605</v>
      </c>
      <c r="M93" s="9" t="s">
        <v>605</v>
      </c>
      <c r="N93" s="9" t="s">
        <v>605</v>
      </c>
      <c r="O93" s="9">
        <v>0.52</v>
      </c>
      <c r="P93" s="14" t="s">
        <v>288</v>
      </c>
      <c r="Q93">
        <v>88.2</v>
      </c>
      <c r="R93">
        <v>1</v>
      </c>
      <c r="S93" s="2">
        <v>2</v>
      </c>
      <c r="T93" s="3">
        <v>0</v>
      </c>
      <c r="U93" s="3">
        <v>0</v>
      </c>
      <c r="V93" s="4">
        <v>0</v>
      </c>
      <c r="W93" s="2">
        <v>0</v>
      </c>
      <c r="X93" s="3">
        <v>0</v>
      </c>
      <c r="Y93" s="3">
        <v>0</v>
      </c>
      <c r="Z93" s="4">
        <v>0</v>
      </c>
      <c r="AA93" s="2">
        <v>39</v>
      </c>
      <c r="AB93" s="3">
        <v>11</v>
      </c>
      <c r="AC93" s="3">
        <v>11</v>
      </c>
      <c r="AD93" s="4">
        <v>0</v>
      </c>
      <c r="AF93" s="26">
        <f t="shared" si="3"/>
        <v>2.6675473807225242E-4</v>
      </c>
      <c r="AG93" s="26">
        <f t="shared" si="4"/>
        <v>0.99185762918550913</v>
      </c>
      <c r="AI93">
        <v>23</v>
      </c>
      <c r="AJ93">
        <v>0</v>
      </c>
      <c r="AK93">
        <v>100</v>
      </c>
    </row>
    <row r="94" spans="1:37" x14ac:dyDescent="0.35">
      <c r="A94" t="s">
        <v>277</v>
      </c>
      <c r="B94">
        <v>61</v>
      </c>
      <c r="C94" s="9" t="s">
        <v>7</v>
      </c>
      <c r="D94" s="9" t="s">
        <v>24</v>
      </c>
      <c r="E94" s="9" t="s">
        <v>25</v>
      </c>
      <c r="F94" s="9" t="s">
        <v>605</v>
      </c>
      <c r="G94" s="9" t="s">
        <v>26</v>
      </c>
      <c r="H94" s="9" t="s">
        <v>605</v>
      </c>
      <c r="I94" s="9" t="s">
        <v>27</v>
      </c>
      <c r="J94" s="9" t="s">
        <v>605</v>
      </c>
      <c r="K94" s="9" t="s">
        <v>28</v>
      </c>
      <c r="L94" s="9" t="s">
        <v>605</v>
      </c>
      <c r="M94" s="9" t="s">
        <v>29</v>
      </c>
      <c r="N94" s="9" t="s">
        <v>605</v>
      </c>
      <c r="O94" s="9">
        <v>1</v>
      </c>
      <c r="P94" s="14" t="s">
        <v>283</v>
      </c>
      <c r="Q94">
        <v>99.6</v>
      </c>
      <c r="R94">
        <v>1</v>
      </c>
      <c r="S94" s="2">
        <v>10</v>
      </c>
      <c r="T94" s="3">
        <v>0</v>
      </c>
      <c r="U94" s="3">
        <v>0</v>
      </c>
      <c r="V94" s="4">
        <v>0</v>
      </c>
      <c r="W94" s="2">
        <v>18</v>
      </c>
      <c r="X94" s="3">
        <v>0</v>
      </c>
      <c r="Y94" s="3">
        <v>0</v>
      </c>
      <c r="Z94" s="4">
        <v>0</v>
      </c>
      <c r="AA94" s="2">
        <v>33</v>
      </c>
      <c r="AB94" s="3">
        <v>0</v>
      </c>
      <c r="AC94" s="3">
        <v>0</v>
      </c>
      <c r="AD94" s="4">
        <v>0</v>
      </c>
      <c r="AF94" s="26">
        <f t="shared" si="3"/>
        <v>2.5828633368900632E-4</v>
      </c>
      <c r="AG94" s="26">
        <f t="shared" si="4"/>
        <v>0.99211591551919809</v>
      </c>
      <c r="AI94">
        <v>0</v>
      </c>
      <c r="AJ94">
        <v>14</v>
      </c>
      <c r="AK94">
        <v>100</v>
      </c>
    </row>
    <row r="95" spans="1:37" x14ac:dyDescent="0.35">
      <c r="A95" t="s">
        <v>271</v>
      </c>
      <c r="B95">
        <v>60</v>
      </c>
      <c r="C95" s="9" t="s">
        <v>7</v>
      </c>
      <c r="D95" s="9" t="s">
        <v>8</v>
      </c>
      <c r="E95" s="9" t="s">
        <v>46</v>
      </c>
      <c r="F95" s="9" t="s">
        <v>605</v>
      </c>
      <c r="G95" s="9" t="s">
        <v>64</v>
      </c>
      <c r="H95" s="9" t="s">
        <v>605</v>
      </c>
      <c r="I95" s="9" t="s">
        <v>65</v>
      </c>
      <c r="J95" s="9" t="s">
        <v>605</v>
      </c>
      <c r="K95" s="9" t="s">
        <v>66</v>
      </c>
      <c r="L95" s="9" t="s">
        <v>605</v>
      </c>
      <c r="M95" s="9" t="s">
        <v>605</v>
      </c>
      <c r="N95" s="9" t="s">
        <v>605</v>
      </c>
      <c r="O95" s="9">
        <v>0.83</v>
      </c>
      <c r="P95" s="14" t="s">
        <v>281</v>
      </c>
      <c r="Q95">
        <v>89.3</v>
      </c>
      <c r="R95">
        <v>1</v>
      </c>
      <c r="S95" s="2">
        <v>5</v>
      </c>
      <c r="T95" s="3">
        <v>0</v>
      </c>
      <c r="U95" s="3">
        <v>0</v>
      </c>
      <c r="V95" s="4">
        <v>0</v>
      </c>
      <c r="W95" s="2">
        <v>0</v>
      </c>
      <c r="X95" s="3">
        <v>0</v>
      </c>
      <c r="Y95" s="3">
        <v>0</v>
      </c>
      <c r="Z95" s="4">
        <v>0</v>
      </c>
      <c r="AA95" s="2">
        <v>28</v>
      </c>
      <c r="AB95" s="3">
        <v>27</v>
      </c>
      <c r="AC95" s="3">
        <v>0</v>
      </c>
      <c r="AD95" s="4">
        <v>0</v>
      </c>
      <c r="AF95" s="26">
        <f t="shared" si="3"/>
        <v>2.5405213149738324E-4</v>
      </c>
      <c r="AG95" s="26">
        <f t="shared" si="4"/>
        <v>0.99236996765069552</v>
      </c>
      <c r="AI95">
        <v>24</v>
      </c>
      <c r="AJ95">
        <v>0</v>
      </c>
      <c r="AK95">
        <v>100</v>
      </c>
    </row>
    <row r="96" spans="1:37" x14ac:dyDescent="0.35">
      <c r="A96" t="s">
        <v>323</v>
      </c>
      <c r="B96">
        <v>53</v>
      </c>
      <c r="C96" s="9" t="s">
        <v>7</v>
      </c>
      <c r="D96" s="9" t="s">
        <v>8</v>
      </c>
      <c r="E96" s="9" t="s">
        <v>9</v>
      </c>
      <c r="F96" s="9" t="s">
        <v>605</v>
      </c>
      <c r="G96" s="9" t="s">
        <v>138</v>
      </c>
      <c r="H96" s="9" t="s">
        <v>605</v>
      </c>
      <c r="I96" s="9" t="s">
        <v>296</v>
      </c>
      <c r="J96" s="9" t="s">
        <v>605</v>
      </c>
      <c r="K96" s="9" t="s">
        <v>297</v>
      </c>
      <c r="L96" s="9" t="s">
        <v>605</v>
      </c>
      <c r="M96" s="9" t="s">
        <v>298</v>
      </c>
      <c r="N96" s="9" t="s">
        <v>605</v>
      </c>
      <c r="O96" s="9">
        <v>1</v>
      </c>
      <c r="P96" s="64" t="s">
        <v>299</v>
      </c>
      <c r="Q96">
        <v>100</v>
      </c>
      <c r="R96">
        <v>1</v>
      </c>
      <c r="S96" s="2">
        <v>0</v>
      </c>
      <c r="T96" s="3">
        <v>0</v>
      </c>
      <c r="U96" s="3">
        <v>0</v>
      </c>
      <c r="V96" s="4">
        <v>8</v>
      </c>
      <c r="W96" s="2">
        <v>0</v>
      </c>
      <c r="X96" s="3">
        <v>0</v>
      </c>
      <c r="Y96" s="3">
        <v>0</v>
      </c>
      <c r="Z96" s="4">
        <v>0</v>
      </c>
      <c r="AA96" s="2">
        <v>0</v>
      </c>
      <c r="AB96" s="91">
        <v>45</v>
      </c>
      <c r="AC96" s="3">
        <v>0</v>
      </c>
      <c r="AD96" s="4">
        <v>0</v>
      </c>
      <c r="AF96" s="26">
        <f t="shared" si="3"/>
        <v>2.2441271615602189E-4</v>
      </c>
      <c r="AG96" s="26">
        <f t="shared" si="4"/>
        <v>0.99259438036685155</v>
      </c>
      <c r="AI96">
        <v>100</v>
      </c>
      <c r="AJ96">
        <v>0</v>
      </c>
      <c r="AK96">
        <v>100</v>
      </c>
    </row>
    <row r="97" spans="1:37" x14ac:dyDescent="0.35">
      <c r="A97" t="s">
        <v>306</v>
      </c>
      <c r="B97">
        <v>52</v>
      </c>
      <c r="C97" s="9" t="s">
        <v>7</v>
      </c>
      <c r="D97" s="9" t="s">
        <v>8</v>
      </c>
      <c r="E97" s="9" t="s">
        <v>46</v>
      </c>
      <c r="F97" s="9" t="s">
        <v>605</v>
      </c>
      <c r="G97" s="9" t="s">
        <v>47</v>
      </c>
      <c r="H97" s="9" t="s">
        <v>605</v>
      </c>
      <c r="I97" s="9" t="s">
        <v>61</v>
      </c>
      <c r="J97" s="9" t="s">
        <v>605</v>
      </c>
      <c r="K97" s="9" t="s">
        <v>605</v>
      </c>
      <c r="L97" s="9" t="s">
        <v>605</v>
      </c>
      <c r="M97" s="9" t="s">
        <v>605</v>
      </c>
      <c r="N97" s="9" t="s">
        <v>605</v>
      </c>
      <c r="O97" s="9">
        <v>0.94</v>
      </c>
      <c r="P97" s="14" t="s">
        <v>302</v>
      </c>
      <c r="Q97">
        <v>92.1</v>
      </c>
      <c r="R97">
        <v>1</v>
      </c>
      <c r="S97" s="2">
        <v>23</v>
      </c>
      <c r="T97" s="3">
        <v>23</v>
      </c>
      <c r="U97" s="3">
        <v>0</v>
      </c>
      <c r="V97" s="4">
        <v>0</v>
      </c>
      <c r="W97" s="2">
        <v>4</v>
      </c>
      <c r="X97" s="3">
        <v>0</v>
      </c>
      <c r="Y97" s="3">
        <v>0</v>
      </c>
      <c r="Z97" s="4">
        <v>0</v>
      </c>
      <c r="AA97" s="43">
        <v>2</v>
      </c>
      <c r="AB97" s="44">
        <v>0</v>
      </c>
      <c r="AC97" s="3">
        <v>0</v>
      </c>
      <c r="AD97" s="4">
        <v>0</v>
      </c>
      <c r="AF97" s="26">
        <f t="shared" si="3"/>
        <v>2.2017851396439884E-4</v>
      </c>
      <c r="AG97" s="26">
        <f t="shared" si="4"/>
        <v>0.99281455888081593</v>
      </c>
      <c r="AI97">
        <v>100</v>
      </c>
      <c r="AJ97">
        <v>18</v>
      </c>
      <c r="AK97">
        <v>22</v>
      </c>
    </row>
    <row r="98" spans="1:37" x14ac:dyDescent="0.35">
      <c r="A98" t="s">
        <v>289</v>
      </c>
      <c r="B98">
        <v>52</v>
      </c>
      <c r="C98" s="9" t="s">
        <v>7</v>
      </c>
      <c r="D98" s="9" t="s">
        <v>8</v>
      </c>
      <c r="E98" s="9" t="s">
        <v>290</v>
      </c>
      <c r="F98" s="9" t="s">
        <v>605</v>
      </c>
      <c r="G98" s="9" t="s">
        <v>291</v>
      </c>
      <c r="H98" s="9" t="s">
        <v>605</v>
      </c>
      <c r="I98" s="9" t="s">
        <v>605</v>
      </c>
      <c r="J98" s="9" t="s">
        <v>605</v>
      </c>
      <c r="K98" s="9" t="s">
        <v>605</v>
      </c>
      <c r="L98" s="9" t="s">
        <v>605</v>
      </c>
      <c r="M98" s="9" t="s">
        <v>292</v>
      </c>
      <c r="N98" s="9" t="s">
        <v>605</v>
      </c>
      <c r="O98" s="9">
        <v>0.69</v>
      </c>
      <c r="P98" s="14" t="s">
        <v>293</v>
      </c>
      <c r="Q98">
        <v>96</v>
      </c>
      <c r="R98">
        <v>1</v>
      </c>
      <c r="S98" s="2">
        <v>0</v>
      </c>
      <c r="T98" s="3">
        <v>0</v>
      </c>
      <c r="U98" s="3">
        <v>0</v>
      </c>
      <c r="V98" s="4">
        <v>0</v>
      </c>
      <c r="W98" s="2">
        <v>31</v>
      </c>
      <c r="X98" s="3">
        <v>21</v>
      </c>
      <c r="Y98" s="3">
        <v>0</v>
      </c>
      <c r="Z98" s="4">
        <v>0</v>
      </c>
      <c r="AA98" s="2">
        <v>0</v>
      </c>
      <c r="AB98" s="3">
        <v>0</v>
      </c>
      <c r="AC98" s="3">
        <v>0</v>
      </c>
      <c r="AD98" s="4">
        <v>0</v>
      </c>
      <c r="AF98" s="26">
        <f t="shared" si="3"/>
        <v>2.2017851396439884E-4</v>
      </c>
      <c r="AG98" s="26">
        <f t="shared" si="4"/>
        <v>0.99303473739478032</v>
      </c>
      <c r="AI98">
        <v>0</v>
      </c>
      <c r="AJ98">
        <v>100</v>
      </c>
      <c r="AK98">
        <v>0</v>
      </c>
    </row>
    <row r="99" spans="1:37" x14ac:dyDescent="0.35">
      <c r="A99" t="s">
        <v>320</v>
      </c>
      <c r="B99">
        <v>47</v>
      </c>
      <c r="C99" s="9" t="s">
        <v>7</v>
      </c>
      <c r="D99" s="9" t="s">
        <v>8</v>
      </c>
      <c r="E99" s="9" t="s">
        <v>9</v>
      </c>
      <c r="F99" s="9" t="s">
        <v>605</v>
      </c>
      <c r="G99" s="9" t="s">
        <v>138</v>
      </c>
      <c r="H99" s="9" t="s">
        <v>605</v>
      </c>
      <c r="I99" s="9" t="s">
        <v>345</v>
      </c>
      <c r="J99" s="9" t="s">
        <v>605</v>
      </c>
      <c r="K99" s="9" t="s">
        <v>605</v>
      </c>
      <c r="L99" s="9" t="s">
        <v>605</v>
      </c>
      <c r="M99" s="9" t="s">
        <v>605</v>
      </c>
      <c r="N99" s="9" t="s">
        <v>605</v>
      </c>
      <c r="O99" s="9">
        <v>0.63</v>
      </c>
      <c r="P99" s="14" t="s">
        <v>625</v>
      </c>
      <c r="Q99">
        <v>92.1</v>
      </c>
      <c r="R99">
        <v>3</v>
      </c>
      <c r="S99" s="2">
        <v>20</v>
      </c>
      <c r="T99" s="3">
        <v>11</v>
      </c>
      <c r="U99" s="3">
        <v>0</v>
      </c>
      <c r="V99" s="4">
        <v>14</v>
      </c>
      <c r="W99" s="2">
        <v>1</v>
      </c>
      <c r="X99" s="3">
        <v>0</v>
      </c>
      <c r="Y99" s="3">
        <v>0</v>
      </c>
      <c r="Z99" s="4">
        <v>0</v>
      </c>
      <c r="AA99" s="2">
        <v>1</v>
      </c>
      <c r="AB99" s="3">
        <v>0</v>
      </c>
      <c r="AC99" s="3">
        <v>0</v>
      </c>
      <c r="AD99" s="4">
        <v>0</v>
      </c>
      <c r="AF99" s="26">
        <f t="shared" si="3"/>
        <v>1.9900750300628356E-4</v>
      </c>
      <c r="AG99" s="26">
        <f t="shared" si="4"/>
        <v>0.9932337448977866</v>
      </c>
      <c r="AI99">
        <v>100</v>
      </c>
      <c r="AJ99">
        <v>0</v>
      </c>
      <c r="AK99">
        <v>0</v>
      </c>
    </row>
    <row r="100" spans="1:37" x14ac:dyDescent="0.35">
      <c r="A100" t="s">
        <v>329</v>
      </c>
      <c r="B100">
        <v>45</v>
      </c>
      <c r="C100" s="9" t="s">
        <v>7</v>
      </c>
      <c r="D100" s="9" t="s">
        <v>8</v>
      </c>
      <c r="E100" s="9" t="s">
        <v>46</v>
      </c>
      <c r="F100" s="9" t="s">
        <v>605</v>
      </c>
      <c r="G100" s="9" t="s">
        <v>47</v>
      </c>
      <c r="H100" s="9" t="s">
        <v>605</v>
      </c>
      <c r="I100" s="9" t="s">
        <v>61</v>
      </c>
      <c r="J100" s="9" t="s">
        <v>605</v>
      </c>
      <c r="K100" s="9" t="s">
        <v>605</v>
      </c>
      <c r="L100" s="9" t="s">
        <v>605</v>
      </c>
      <c r="M100" s="9" t="s">
        <v>605</v>
      </c>
      <c r="N100" s="9" t="s">
        <v>605</v>
      </c>
      <c r="O100" s="9">
        <v>0.84</v>
      </c>
      <c r="P100" s="14" t="s">
        <v>321</v>
      </c>
      <c r="Q100">
        <v>90.5</v>
      </c>
      <c r="R100">
        <v>1</v>
      </c>
      <c r="S100" s="2">
        <v>18</v>
      </c>
      <c r="T100" s="3">
        <v>0</v>
      </c>
      <c r="U100" s="3">
        <v>0</v>
      </c>
      <c r="V100" s="4">
        <v>0</v>
      </c>
      <c r="W100" s="2">
        <v>0</v>
      </c>
      <c r="X100" s="3">
        <v>0</v>
      </c>
      <c r="Y100" s="3">
        <v>0</v>
      </c>
      <c r="Z100" s="4">
        <v>0</v>
      </c>
      <c r="AA100" s="2">
        <v>14</v>
      </c>
      <c r="AB100" s="3">
        <v>13</v>
      </c>
      <c r="AC100" s="3">
        <v>0</v>
      </c>
      <c r="AD100" s="4">
        <v>0</v>
      </c>
      <c r="AF100" s="26">
        <f t="shared" si="3"/>
        <v>1.9053909862303746E-4</v>
      </c>
      <c r="AG100" s="26">
        <f t="shared" si="4"/>
        <v>0.99342428399640959</v>
      </c>
      <c r="AI100">
        <v>100</v>
      </c>
      <c r="AJ100">
        <v>31</v>
      </c>
      <c r="AK100">
        <v>97</v>
      </c>
    </row>
    <row r="101" spans="1:37" x14ac:dyDescent="0.35">
      <c r="A101" t="s">
        <v>340</v>
      </c>
      <c r="B101">
        <v>44</v>
      </c>
      <c r="C101" s="9" t="s">
        <v>7</v>
      </c>
      <c r="D101" s="9" t="s">
        <v>8</v>
      </c>
      <c r="E101" s="9" t="s">
        <v>32</v>
      </c>
      <c r="F101" s="9" t="s">
        <v>605</v>
      </c>
      <c r="G101" s="9" t="s">
        <v>35</v>
      </c>
      <c r="H101" s="9" t="s">
        <v>605</v>
      </c>
      <c r="I101" s="9" t="s">
        <v>36</v>
      </c>
      <c r="J101" s="9" t="s">
        <v>605</v>
      </c>
      <c r="K101" s="9" t="s">
        <v>37</v>
      </c>
      <c r="L101" s="9" t="s">
        <v>605</v>
      </c>
      <c r="M101" s="9" t="s">
        <v>304</v>
      </c>
      <c r="N101" s="9" t="s">
        <v>605</v>
      </c>
      <c r="O101" s="9">
        <v>0.88</v>
      </c>
      <c r="P101" s="14" t="s">
        <v>305</v>
      </c>
      <c r="Q101">
        <v>98</v>
      </c>
      <c r="R101">
        <v>1</v>
      </c>
      <c r="S101" s="2">
        <v>27</v>
      </c>
      <c r="T101" s="3">
        <v>6</v>
      </c>
      <c r="U101" s="3">
        <v>0</v>
      </c>
      <c r="V101" s="4">
        <v>0</v>
      </c>
      <c r="W101" s="2">
        <v>4</v>
      </c>
      <c r="X101" s="3">
        <v>0</v>
      </c>
      <c r="Y101" s="3">
        <v>0</v>
      </c>
      <c r="Z101" s="4">
        <v>0</v>
      </c>
      <c r="AA101" s="2">
        <v>7</v>
      </c>
      <c r="AB101" s="3">
        <v>0</v>
      </c>
      <c r="AC101" s="3">
        <v>0</v>
      </c>
      <c r="AD101" s="4">
        <v>0</v>
      </c>
      <c r="AF101" s="26">
        <f t="shared" si="3"/>
        <v>1.8630489643141438E-4</v>
      </c>
      <c r="AG101" s="26">
        <f t="shared" si="4"/>
        <v>0.99361058889284104</v>
      </c>
      <c r="AI101">
        <v>100</v>
      </c>
      <c r="AJ101">
        <v>0</v>
      </c>
      <c r="AK101">
        <v>0</v>
      </c>
    </row>
    <row r="102" spans="1:37" x14ac:dyDescent="0.35">
      <c r="A102" t="s">
        <v>311</v>
      </c>
      <c r="B102">
        <v>42</v>
      </c>
      <c r="C102" s="9" t="s">
        <v>7</v>
      </c>
      <c r="D102" s="9" t="s">
        <v>8</v>
      </c>
      <c r="E102" s="9" t="s">
        <v>258</v>
      </c>
      <c r="F102" s="9" t="s">
        <v>605</v>
      </c>
      <c r="G102" s="9" t="s">
        <v>258</v>
      </c>
      <c r="H102" s="9" t="s">
        <v>259</v>
      </c>
      <c r="I102" s="9" t="s">
        <v>260</v>
      </c>
      <c r="J102" s="9" t="s">
        <v>261</v>
      </c>
      <c r="K102" s="9" t="s">
        <v>262</v>
      </c>
      <c r="L102" s="9" t="s">
        <v>605</v>
      </c>
      <c r="M102" s="9" t="s">
        <v>605</v>
      </c>
      <c r="N102" s="9" t="s">
        <v>605</v>
      </c>
      <c r="O102" s="9">
        <v>0.5</v>
      </c>
      <c r="P102" s="14" t="s">
        <v>328</v>
      </c>
      <c r="Q102">
        <v>89.7</v>
      </c>
      <c r="R102">
        <v>1</v>
      </c>
      <c r="S102" s="2">
        <v>0</v>
      </c>
      <c r="T102" s="3">
        <v>0</v>
      </c>
      <c r="U102" s="3">
        <v>0</v>
      </c>
      <c r="V102" s="4">
        <v>0</v>
      </c>
      <c r="W102" s="2">
        <v>20</v>
      </c>
      <c r="X102" s="3">
        <v>21</v>
      </c>
      <c r="Y102" s="3">
        <v>0</v>
      </c>
      <c r="Z102" s="4">
        <v>0</v>
      </c>
      <c r="AA102" s="2">
        <v>1</v>
      </c>
      <c r="AB102" s="3">
        <v>0</v>
      </c>
      <c r="AC102" s="3">
        <v>0</v>
      </c>
      <c r="AD102" s="4">
        <v>0</v>
      </c>
      <c r="AF102" s="26">
        <f t="shared" si="3"/>
        <v>1.7783649204816828E-4</v>
      </c>
      <c r="AG102" s="26">
        <f t="shared" si="4"/>
        <v>0.99378842538488921</v>
      </c>
      <c r="AI102">
        <v>10</v>
      </c>
      <c r="AJ102">
        <v>100</v>
      </c>
      <c r="AK102">
        <v>25</v>
      </c>
    </row>
    <row r="103" spans="1:37" x14ac:dyDescent="0.35">
      <c r="A103" t="s">
        <v>241</v>
      </c>
      <c r="B103">
        <v>41</v>
      </c>
      <c r="C103" s="9" t="s">
        <v>7</v>
      </c>
      <c r="D103" s="9" t="s">
        <v>8</v>
      </c>
      <c r="E103" s="9" t="s">
        <v>46</v>
      </c>
      <c r="F103" s="9" t="s">
        <v>605</v>
      </c>
      <c r="G103" s="9" t="s">
        <v>47</v>
      </c>
      <c r="H103" s="9" t="s">
        <v>605</v>
      </c>
      <c r="I103" s="9" t="s">
        <v>61</v>
      </c>
      <c r="J103" s="9" t="s">
        <v>605</v>
      </c>
      <c r="K103" s="9" t="s">
        <v>190</v>
      </c>
      <c r="L103" s="9" t="s">
        <v>605</v>
      </c>
      <c r="M103" s="9" t="s">
        <v>273</v>
      </c>
      <c r="N103" s="9" t="s">
        <v>605</v>
      </c>
      <c r="O103" s="9">
        <v>0.54</v>
      </c>
      <c r="P103" s="14" t="s">
        <v>90</v>
      </c>
      <c r="Q103">
        <v>94.9</v>
      </c>
      <c r="R103">
        <v>2</v>
      </c>
      <c r="S103" s="2">
        <v>32</v>
      </c>
      <c r="T103" s="3">
        <v>9</v>
      </c>
      <c r="U103" s="3">
        <v>0</v>
      </c>
      <c r="V103" s="4">
        <v>0</v>
      </c>
      <c r="W103" s="2">
        <v>0</v>
      </c>
      <c r="X103" s="3">
        <v>0</v>
      </c>
      <c r="Y103" s="3">
        <v>0</v>
      </c>
      <c r="Z103" s="4">
        <v>0</v>
      </c>
      <c r="AA103" s="2">
        <v>0</v>
      </c>
      <c r="AB103" s="3">
        <v>0</v>
      </c>
      <c r="AC103" s="3">
        <v>0</v>
      </c>
      <c r="AD103" s="4">
        <v>0</v>
      </c>
      <c r="AF103" s="26">
        <f t="shared" si="3"/>
        <v>1.7360228985654523E-4</v>
      </c>
      <c r="AG103" s="26">
        <f t="shared" si="4"/>
        <v>0.99396202767474573</v>
      </c>
      <c r="AI103">
        <v>100</v>
      </c>
      <c r="AJ103">
        <v>7</v>
      </c>
      <c r="AK103">
        <v>29</v>
      </c>
    </row>
    <row r="104" spans="1:37" x14ac:dyDescent="0.35">
      <c r="A104" t="s">
        <v>356</v>
      </c>
      <c r="B104">
        <v>41</v>
      </c>
      <c r="C104" s="9" t="s">
        <v>7</v>
      </c>
      <c r="D104" s="9" t="s">
        <v>8</v>
      </c>
      <c r="E104" s="9" t="s">
        <v>46</v>
      </c>
      <c r="F104" s="9" t="s">
        <v>605</v>
      </c>
      <c r="G104" s="9" t="s">
        <v>47</v>
      </c>
      <c r="H104" s="9" t="s">
        <v>605</v>
      </c>
      <c r="I104" s="9" t="s">
        <v>160</v>
      </c>
      <c r="J104" s="9" t="s">
        <v>605</v>
      </c>
      <c r="K104" s="9" t="s">
        <v>161</v>
      </c>
      <c r="L104" s="9" t="s">
        <v>605</v>
      </c>
      <c r="M104" s="9" t="s">
        <v>162</v>
      </c>
      <c r="N104" s="9" t="s">
        <v>605</v>
      </c>
      <c r="O104" s="9">
        <v>0.57999999999999996</v>
      </c>
      <c r="P104" s="14" t="s">
        <v>163</v>
      </c>
      <c r="Q104">
        <v>89.7</v>
      </c>
      <c r="R104">
        <v>1</v>
      </c>
      <c r="S104" s="2">
        <v>15</v>
      </c>
      <c r="T104" s="3">
        <v>0</v>
      </c>
      <c r="U104" s="3">
        <v>0</v>
      </c>
      <c r="V104" s="4">
        <v>0</v>
      </c>
      <c r="W104" s="2">
        <v>14</v>
      </c>
      <c r="X104" s="3">
        <v>0</v>
      </c>
      <c r="Y104" s="3">
        <v>0</v>
      </c>
      <c r="Z104" s="4">
        <v>0</v>
      </c>
      <c r="AA104" s="2">
        <v>12</v>
      </c>
      <c r="AB104" s="3">
        <v>0</v>
      </c>
      <c r="AC104" s="3">
        <v>0</v>
      </c>
      <c r="AD104" s="4">
        <v>0</v>
      </c>
      <c r="AF104" s="26">
        <f t="shared" si="3"/>
        <v>1.7360228985654523E-4</v>
      </c>
      <c r="AG104" s="26">
        <f t="shared" si="4"/>
        <v>0.99413562996460225</v>
      </c>
      <c r="AI104">
        <v>4</v>
      </c>
      <c r="AJ104">
        <v>4</v>
      </c>
      <c r="AK104">
        <v>22</v>
      </c>
    </row>
    <row r="105" spans="1:37" x14ac:dyDescent="0.35">
      <c r="A105" t="s">
        <v>300</v>
      </c>
      <c r="B105">
        <v>38</v>
      </c>
      <c r="C105" s="9" t="s">
        <v>7</v>
      </c>
      <c r="D105" s="9" t="s">
        <v>8</v>
      </c>
      <c r="E105" s="9" t="s">
        <v>46</v>
      </c>
      <c r="F105" s="9" t="s">
        <v>605</v>
      </c>
      <c r="G105" s="9" t="s">
        <v>47</v>
      </c>
      <c r="H105" s="9" t="s">
        <v>605</v>
      </c>
      <c r="I105" s="9" t="s">
        <v>61</v>
      </c>
      <c r="J105" s="9" t="s">
        <v>605</v>
      </c>
      <c r="K105" s="9" t="s">
        <v>238</v>
      </c>
      <c r="L105" s="9" t="s">
        <v>605</v>
      </c>
      <c r="M105" s="9" t="s">
        <v>239</v>
      </c>
      <c r="N105" s="9" t="s">
        <v>605</v>
      </c>
      <c r="O105" s="9">
        <v>1</v>
      </c>
      <c r="P105" s="14" t="s">
        <v>787</v>
      </c>
      <c r="Q105">
        <v>98</v>
      </c>
      <c r="R105">
        <v>1</v>
      </c>
      <c r="S105" s="2">
        <v>0</v>
      </c>
      <c r="T105" s="3">
        <v>0</v>
      </c>
      <c r="U105" s="3">
        <v>0</v>
      </c>
      <c r="V105" s="4">
        <v>0</v>
      </c>
      <c r="W105" s="2">
        <v>0</v>
      </c>
      <c r="X105" s="3">
        <v>0</v>
      </c>
      <c r="Y105" s="3">
        <v>0</v>
      </c>
      <c r="Z105" s="4">
        <v>0</v>
      </c>
      <c r="AA105" s="2">
        <v>17</v>
      </c>
      <c r="AB105" s="3">
        <v>21</v>
      </c>
      <c r="AC105" s="3">
        <v>0</v>
      </c>
      <c r="AD105" s="4">
        <v>0</v>
      </c>
      <c r="AF105" s="26">
        <f t="shared" si="3"/>
        <v>1.6089968328167608E-4</v>
      </c>
      <c r="AG105" s="26">
        <f t="shared" si="4"/>
        <v>0.99429652964788395</v>
      </c>
      <c r="AI105">
        <v>25</v>
      </c>
      <c r="AJ105">
        <v>0</v>
      </c>
      <c r="AK105">
        <v>100</v>
      </c>
    </row>
    <row r="106" spans="1:37" x14ac:dyDescent="0.35">
      <c r="A106" t="s">
        <v>301</v>
      </c>
      <c r="B106">
        <v>36</v>
      </c>
      <c r="C106" s="9" t="s">
        <v>7</v>
      </c>
      <c r="D106" s="9" t="s">
        <v>24</v>
      </c>
      <c r="E106" s="9" t="s">
        <v>25</v>
      </c>
      <c r="F106" s="9" t="s">
        <v>605</v>
      </c>
      <c r="G106" s="9" t="s">
        <v>40</v>
      </c>
      <c r="H106" s="9" t="s">
        <v>605</v>
      </c>
      <c r="I106" s="9" t="s">
        <v>56</v>
      </c>
      <c r="J106" s="9" t="s">
        <v>605</v>
      </c>
      <c r="K106" s="9" t="s">
        <v>466</v>
      </c>
      <c r="L106" s="9" t="s">
        <v>605</v>
      </c>
      <c r="M106" s="9" t="s">
        <v>467</v>
      </c>
      <c r="N106" s="9" t="s">
        <v>605</v>
      </c>
      <c r="O106" s="9">
        <v>0.91</v>
      </c>
      <c r="P106" s="14" t="s">
        <v>468</v>
      </c>
      <c r="Q106">
        <v>96.5</v>
      </c>
      <c r="R106">
        <v>1</v>
      </c>
      <c r="S106" s="2">
        <v>0</v>
      </c>
      <c r="T106" s="3">
        <v>0</v>
      </c>
      <c r="U106" s="3">
        <v>0</v>
      </c>
      <c r="V106" s="4">
        <v>0</v>
      </c>
      <c r="W106" s="2">
        <v>0</v>
      </c>
      <c r="X106" s="3">
        <v>0</v>
      </c>
      <c r="Y106" s="3">
        <v>0</v>
      </c>
      <c r="Z106" s="4">
        <v>0</v>
      </c>
      <c r="AA106" s="2">
        <v>6</v>
      </c>
      <c r="AB106" s="3">
        <v>19</v>
      </c>
      <c r="AC106" s="3">
        <v>11</v>
      </c>
      <c r="AD106" s="4">
        <v>0</v>
      </c>
      <c r="AF106" s="26">
        <f t="shared" si="3"/>
        <v>1.5243127889842995E-4</v>
      </c>
      <c r="AG106" s="26">
        <f t="shared" si="4"/>
        <v>0.99444896092678237</v>
      </c>
      <c r="AI106">
        <v>5</v>
      </c>
      <c r="AJ106">
        <v>0</v>
      </c>
      <c r="AK106">
        <v>100</v>
      </c>
    </row>
    <row r="107" spans="1:37" x14ac:dyDescent="0.35">
      <c r="A107" t="s">
        <v>327</v>
      </c>
      <c r="B107">
        <v>35</v>
      </c>
      <c r="C107" s="9" t="s">
        <v>7</v>
      </c>
      <c r="D107" s="9" t="s">
        <v>8</v>
      </c>
      <c r="E107" s="9" t="s">
        <v>32</v>
      </c>
      <c r="F107" s="9" t="s">
        <v>605</v>
      </c>
      <c r="G107" s="9" t="s">
        <v>35</v>
      </c>
      <c r="H107" s="9" t="s">
        <v>605</v>
      </c>
      <c r="I107" s="9" t="s">
        <v>36</v>
      </c>
      <c r="J107" s="9" t="s">
        <v>605</v>
      </c>
      <c r="K107" s="9" t="s">
        <v>37</v>
      </c>
      <c r="L107" s="9" t="s">
        <v>605</v>
      </c>
      <c r="M107" s="9" t="s">
        <v>231</v>
      </c>
      <c r="N107" s="9" t="s">
        <v>605</v>
      </c>
      <c r="O107" s="9">
        <v>0.95</v>
      </c>
      <c r="P107" s="14" t="s">
        <v>312</v>
      </c>
      <c r="Q107">
        <v>97.2</v>
      </c>
      <c r="R107">
        <v>1</v>
      </c>
      <c r="S107" s="2">
        <v>29</v>
      </c>
      <c r="T107" s="3">
        <v>0</v>
      </c>
      <c r="U107" s="3">
        <v>0</v>
      </c>
      <c r="V107" s="4">
        <v>0</v>
      </c>
      <c r="W107" s="2">
        <v>2</v>
      </c>
      <c r="X107" s="3">
        <v>0</v>
      </c>
      <c r="Y107" s="3">
        <v>0</v>
      </c>
      <c r="Z107" s="4">
        <v>0</v>
      </c>
      <c r="AA107" s="2">
        <v>4</v>
      </c>
      <c r="AB107" s="3">
        <v>0</v>
      </c>
      <c r="AC107" s="3">
        <v>0</v>
      </c>
      <c r="AD107" s="4">
        <v>0</v>
      </c>
      <c r="AF107" s="26">
        <f t="shared" si="3"/>
        <v>1.481970767068069E-4</v>
      </c>
      <c r="AG107" s="26">
        <f t="shared" si="4"/>
        <v>0.99459715800348913</v>
      </c>
      <c r="AI107">
        <v>75</v>
      </c>
      <c r="AJ107">
        <v>0</v>
      </c>
      <c r="AK107">
        <v>0</v>
      </c>
    </row>
    <row r="108" spans="1:37" x14ac:dyDescent="0.35">
      <c r="A108" t="s">
        <v>336</v>
      </c>
      <c r="B108">
        <v>35</v>
      </c>
      <c r="C108" s="9" t="s">
        <v>7</v>
      </c>
      <c r="D108" s="9" t="s">
        <v>8</v>
      </c>
      <c r="E108" s="9" t="s">
        <v>32</v>
      </c>
      <c r="F108" s="9" t="s">
        <v>605</v>
      </c>
      <c r="G108" s="9" t="s">
        <v>605</v>
      </c>
      <c r="H108" s="9" t="s">
        <v>605</v>
      </c>
      <c r="I108" s="9" t="s">
        <v>605</v>
      </c>
      <c r="J108" s="9" t="s">
        <v>605</v>
      </c>
      <c r="K108" s="9" t="s">
        <v>605</v>
      </c>
      <c r="L108" s="9" t="s">
        <v>605</v>
      </c>
      <c r="M108" s="9" t="s">
        <v>605</v>
      </c>
      <c r="N108" s="9" t="s">
        <v>605</v>
      </c>
      <c r="O108" s="9">
        <v>0.99</v>
      </c>
      <c r="P108" s="14" t="s">
        <v>314</v>
      </c>
      <c r="Q108">
        <v>87</v>
      </c>
      <c r="R108">
        <v>1</v>
      </c>
      <c r="S108" s="2">
        <v>13</v>
      </c>
      <c r="T108" s="3">
        <v>0</v>
      </c>
      <c r="U108" s="3">
        <v>0</v>
      </c>
      <c r="V108" s="4">
        <v>0</v>
      </c>
      <c r="W108" s="2">
        <v>18</v>
      </c>
      <c r="X108" s="3">
        <v>0</v>
      </c>
      <c r="Y108" s="3">
        <v>0</v>
      </c>
      <c r="Z108" s="4">
        <v>0</v>
      </c>
      <c r="AA108" s="2">
        <v>4</v>
      </c>
      <c r="AB108" s="3">
        <v>0</v>
      </c>
      <c r="AC108" s="3">
        <v>0</v>
      </c>
      <c r="AD108" s="4">
        <v>0</v>
      </c>
      <c r="AF108" s="26">
        <f t="shared" si="3"/>
        <v>1.481970767068069E-4</v>
      </c>
      <c r="AG108" s="26">
        <f t="shared" si="4"/>
        <v>0.9947453550801959</v>
      </c>
      <c r="AI108">
        <v>4</v>
      </c>
      <c r="AJ108">
        <v>39</v>
      </c>
      <c r="AK108">
        <v>21</v>
      </c>
    </row>
    <row r="109" spans="1:37" x14ac:dyDescent="0.35">
      <c r="A109" t="s">
        <v>315</v>
      </c>
      <c r="B109">
        <v>33</v>
      </c>
      <c r="C109" s="9" t="s">
        <v>7</v>
      </c>
      <c r="D109" s="9" t="s">
        <v>8</v>
      </c>
      <c r="E109" s="9" t="s">
        <v>46</v>
      </c>
      <c r="F109" s="9" t="s">
        <v>605</v>
      </c>
      <c r="G109" s="9" t="s">
        <v>47</v>
      </c>
      <c r="H109" s="9" t="s">
        <v>605</v>
      </c>
      <c r="I109" s="9" t="s">
        <v>61</v>
      </c>
      <c r="J109" s="9" t="s">
        <v>605</v>
      </c>
      <c r="K109" s="9" t="s">
        <v>190</v>
      </c>
      <c r="L109" s="9" t="s">
        <v>605</v>
      </c>
      <c r="M109" s="9" t="s">
        <v>605</v>
      </c>
      <c r="N109" s="9" t="s">
        <v>605</v>
      </c>
      <c r="O109" s="9">
        <v>0.5</v>
      </c>
      <c r="P109" s="14" t="s">
        <v>319</v>
      </c>
      <c r="Q109">
        <v>89.3</v>
      </c>
      <c r="R109">
        <v>1</v>
      </c>
      <c r="S109" s="2">
        <v>9</v>
      </c>
      <c r="T109" s="3">
        <v>0</v>
      </c>
      <c r="U109" s="3">
        <v>0</v>
      </c>
      <c r="V109" s="4">
        <v>0</v>
      </c>
      <c r="W109" s="2">
        <v>10</v>
      </c>
      <c r="X109" s="3">
        <v>0</v>
      </c>
      <c r="Y109" s="3">
        <v>0</v>
      </c>
      <c r="Z109" s="4">
        <v>0</v>
      </c>
      <c r="AA109" s="2">
        <v>14</v>
      </c>
      <c r="AB109" s="3">
        <v>0</v>
      </c>
      <c r="AC109" s="3">
        <v>0</v>
      </c>
      <c r="AD109" s="4">
        <v>0</v>
      </c>
      <c r="AF109" s="26">
        <f t="shared" si="3"/>
        <v>1.397286723235608E-4</v>
      </c>
      <c r="AG109" s="26">
        <f t="shared" si="4"/>
        <v>0.99488508375251949</v>
      </c>
      <c r="AI109">
        <v>39</v>
      </c>
      <c r="AJ109">
        <v>15</v>
      </c>
      <c r="AK109">
        <v>16</v>
      </c>
    </row>
    <row r="110" spans="1:37" x14ac:dyDescent="0.35">
      <c r="A110" t="s">
        <v>465</v>
      </c>
      <c r="B110">
        <v>33</v>
      </c>
      <c r="C110" s="9" t="s">
        <v>7</v>
      </c>
      <c r="D110" s="9" t="s">
        <v>8</v>
      </c>
      <c r="E110" s="9" t="s">
        <v>46</v>
      </c>
      <c r="F110" s="9" t="s">
        <v>605</v>
      </c>
      <c r="G110" s="9" t="s">
        <v>47</v>
      </c>
      <c r="H110" s="9" t="s">
        <v>605</v>
      </c>
      <c r="I110" s="9" t="s">
        <v>61</v>
      </c>
      <c r="J110" s="9" t="s">
        <v>605</v>
      </c>
      <c r="K110" s="9" t="s">
        <v>94</v>
      </c>
      <c r="L110" s="9" t="s">
        <v>605</v>
      </c>
      <c r="M110" s="9" t="s">
        <v>316</v>
      </c>
      <c r="N110" s="9" t="s">
        <v>605</v>
      </c>
      <c r="O110" s="9">
        <v>1</v>
      </c>
      <c r="P110" s="14" t="s">
        <v>317</v>
      </c>
      <c r="Q110">
        <v>100</v>
      </c>
      <c r="R110">
        <v>1</v>
      </c>
      <c r="S110" s="2">
        <v>18</v>
      </c>
      <c r="T110" s="3">
        <v>0</v>
      </c>
      <c r="U110" s="3">
        <v>0</v>
      </c>
      <c r="V110" s="4">
        <v>0</v>
      </c>
      <c r="W110" s="2">
        <v>9</v>
      </c>
      <c r="X110" s="3">
        <v>0</v>
      </c>
      <c r="Y110" s="3">
        <v>0</v>
      </c>
      <c r="Z110" s="4">
        <v>0</v>
      </c>
      <c r="AA110" s="2">
        <v>6</v>
      </c>
      <c r="AB110" s="3">
        <v>0</v>
      </c>
      <c r="AC110" s="3">
        <v>0</v>
      </c>
      <c r="AD110" s="4">
        <v>0</v>
      </c>
      <c r="AF110" s="26">
        <f t="shared" si="3"/>
        <v>1.397286723235608E-4</v>
      </c>
      <c r="AG110" s="26">
        <f t="shared" si="4"/>
        <v>0.99502481242484309</v>
      </c>
      <c r="AI110">
        <v>29</v>
      </c>
      <c r="AJ110">
        <v>9</v>
      </c>
      <c r="AK110">
        <v>13</v>
      </c>
    </row>
    <row r="111" spans="1:37" x14ac:dyDescent="0.35">
      <c r="A111" t="s">
        <v>303</v>
      </c>
      <c r="B111">
        <v>31</v>
      </c>
      <c r="C111" s="9" t="s">
        <v>7</v>
      </c>
      <c r="D111" s="9" t="s">
        <v>8</v>
      </c>
      <c r="E111" s="9" t="s">
        <v>32</v>
      </c>
      <c r="F111" s="9" t="s">
        <v>605</v>
      </c>
      <c r="G111" s="9" t="s">
        <v>605</v>
      </c>
      <c r="H111" s="9" t="s">
        <v>605</v>
      </c>
      <c r="I111" s="9" t="s">
        <v>605</v>
      </c>
      <c r="J111" s="9" t="s">
        <v>605</v>
      </c>
      <c r="K111" s="9" t="s">
        <v>605</v>
      </c>
      <c r="L111" s="9" t="s">
        <v>605</v>
      </c>
      <c r="M111" s="9" t="s">
        <v>605</v>
      </c>
      <c r="N111" s="9" t="s">
        <v>605</v>
      </c>
      <c r="O111" s="9">
        <v>0.99</v>
      </c>
      <c r="P111" s="14" t="s">
        <v>326</v>
      </c>
      <c r="Q111">
        <v>88.9</v>
      </c>
      <c r="R111">
        <v>2</v>
      </c>
      <c r="S111" s="2">
        <v>30</v>
      </c>
      <c r="T111" s="3">
        <v>0</v>
      </c>
      <c r="U111" s="3">
        <v>0</v>
      </c>
      <c r="V111" s="4">
        <v>0</v>
      </c>
      <c r="W111" s="2">
        <v>1</v>
      </c>
      <c r="X111" s="3">
        <v>0</v>
      </c>
      <c r="Y111" s="3">
        <v>0</v>
      </c>
      <c r="Z111" s="4">
        <v>0</v>
      </c>
      <c r="AA111" s="2">
        <v>0</v>
      </c>
      <c r="AB111" s="3">
        <v>0</v>
      </c>
      <c r="AC111" s="3">
        <v>0</v>
      </c>
      <c r="AD111" s="4">
        <v>0</v>
      </c>
      <c r="AF111" s="26">
        <f t="shared" si="3"/>
        <v>1.312602679403147E-4</v>
      </c>
      <c r="AG111" s="26">
        <f t="shared" si="4"/>
        <v>0.99515607269278339</v>
      </c>
      <c r="AI111">
        <v>97</v>
      </c>
      <c r="AJ111">
        <v>0</v>
      </c>
      <c r="AK111">
        <v>0</v>
      </c>
    </row>
    <row r="112" spans="1:37" x14ac:dyDescent="0.35">
      <c r="A112" t="s">
        <v>318</v>
      </c>
      <c r="B112">
        <v>28</v>
      </c>
      <c r="C112" s="9" t="s">
        <v>7</v>
      </c>
      <c r="D112" s="9" t="s">
        <v>8</v>
      </c>
      <c r="E112" s="9" t="s">
        <v>18</v>
      </c>
      <c r="F112" s="9" t="s">
        <v>605</v>
      </c>
      <c r="G112" s="9" t="s">
        <v>19</v>
      </c>
      <c r="H112" s="9" t="s">
        <v>605</v>
      </c>
      <c r="I112" s="9" t="s">
        <v>20</v>
      </c>
      <c r="J112" s="9" t="s">
        <v>605</v>
      </c>
      <c r="K112" s="9" t="s">
        <v>21</v>
      </c>
      <c r="L112" s="9" t="s">
        <v>605</v>
      </c>
      <c r="M112" s="9" t="s">
        <v>357</v>
      </c>
      <c r="N112" s="9" t="s">
        <v>605</v>
      </c>
      <c r="O112" s="9">
        <v>1</v>
      </c>
      <c r="P112" s="64" t="s">
        <v>358</v>
      </c>
      <c r="Q112">
        <v>98.8</v>
      </c>
      <c r="R112">
        <v>1</v>
      </c>
      <c r="S112" s="43">
        <v>0</v>
      </c>
      <c r="T112" s="91">
        <v>20</v>
      </c>
      <c r="U112" s="44">
        <v>8</v>
      </c>
      <c r="V112" s="45">
        <v>0</v>
      </c>
      <c r="W112" s="43">
        <v>0</v>
      </c>
      <c r="X112" s="44">
        <v>0</v>
      </c>
      <c r="Y112" s="44">
        <v>0</v>
      </c>
      <c r="Z112" s="45">
        <v>0</v>
      </c>
      <c r="AA112" s="43">
        <v>0</v>
      </c>
      <c r="AB112" s="44">
        <v>0</v>
      </c>
      <c r="AC112" s="3">
        <v>0</v>
      </c>
      <c r="AD112" s="4">
        <v>0</v>
      </c>
      <c r="AF112" s="26">
        <f t="shared" si="3"/>
        <v>1.1855766136544552E-4</v>
      </c>
      <c r="AG112" s="26">
        <f t="shared" si="4"/>
        <v>0.99527463035414887</v>
      </c>
      <c r="AI112">
        <v>100</v>
      </c>
      <c r="AJ112">
        <v>0</v>
      </c>
      <c r="AK112">
        <v>0</v>
      </c>
    </row>
    <row r="113" spans="1:37" x14ac:dyDescent="0.35">
      <c r="A113" t="s">
        <v>313</v>
      </c>
      <c r="B113">
        <v>28</v>
      </c>
      <c r="C113" s="9" t="s">
        <v>7</v>
      </c>
      <c r="D113" s="9" t="s">
        <v>8</v>
      </c>
      <c r="E113" s="9" t="s">
        <v>46</v>
      </c>
      <c r="F113" s="9" t="s">
        <v>605</v>
      </c>
      <c r="G113" s="9" t="s">
        <v>47</v>
      </c>
      <c r="H113" s="9" t="s">
        <v>605</v>
      </c>
      <c r="I113" s="9" t="s">
        <v>61</v>
      </c>
      <c r="J113" s="9" t="s">
        <v>605</v>
      </c>
      <c r="K113" s="9" t="s">
        <v>210</v>
      </c>
      <c r="L113" s="9" t="s">
        <v>605</v>
      </c>
      <c r="M113" s="9" t="s">
        <v>211</v>
      </c>
      <c r="N113" s="9" t="s">
        <v>605</v>
      </c>
      <c r="O113" s="9">
        <v>0.94</v>
      </c>
      <c r="P113" s="14" t="s">
        <v>360</v>
      </c>
      <c r="Q113">
        <v>94.5</v>
      </c>
      <c r="R113">
        <v>1</v>
      </c>
      <c r="S113" s="43">
        <v>0</v>
      </c>
      <c r="T113" s="44">
        <v>0</v>
      </c>
      <c r="U113" s="44">
        <v>0</v>
      </c>
      <c r="V113" s="45">
        <v>0</v>
      </c>
      <c r="W113" s="43">
        <v>2</v>
      </c>
      <c r="X113" s="44">
        <v>0</v>
      </c>
      <c r="Y113" s="44">
        <v>0</v>
      </c>
      <c r="Z113" s="45">
        <v>0</v>
      </c>
      <c r="AA113" s="43">
        <v>2</v>
      </c>
      <c r="AB113" s="44">
        <v>24</v>
      </c>
      <c r="AC113" s="3">
        <v>0</v>
      </c>
      <c r="AD113" s="4">
        <v>0</v>
      </c>
      <c r="AF113" s="26">
        <f t="shared" si="3"/>
        <v>1.1855766136544552E-4</v>
      </c>
      <c r="AG113" s="26">
        <f t="shared" si="4"/>
        <v>0.99539318801551435</v>
      </c>
      <c r="AI113">
        <v>12</v>
      </c>
      <c r="AJ113">
        <v>0</v>
      </c>
      <c r="AK113">
        <v>100</v>
      </c>
    </row>
    <row r="114" spans="1:37" x14ac:dyDescent="0.35">
      <c r="A114" t="s">
        <v>333</v>
      </c>
      <c r="B114">
        <v>28</v>
      </c>
      <c r="C114" s="9" t="s">
        <v>7</v>
      </c>
      <c r="D114" s="9" t="s">
        <v>24</v>
      </c>
      <c r="E114" s="9" t="s">
        <v>25</v>
      </c>
      <c r="F114" s="9" t="s">
        <v>605</v>
      </c>
      <c r="G114" s="9" t="s">
        <v>26</v>
      </c>
      <c r="H114" s="9" t="s">
        <v>605</v>
      </c>
      <c r="I114" s="9" t="s">
        <v>27</v>
      </c>
      <c r="J114" s="9" t="s">
        <v>605</v>
      </c>
      <c r="K114" s="9" t="s">
        <v>605</v>
      </c>
      <c r="L114" s="9" t="s">
        <v>605</v>
      </c>
      <c r="M114" s="9" t="s">
        <v>605</v>
      </c>
      <c r="N114" s="9" t="s">
        <v>605</v>
      </c>
      <c r="O114" s="9">
        <v>0.53</v>
      </c>
      <c r="P114" s="14" t="s">
        <v>337</v>
      </c>
      <c r="Q114">
        <v>85.8</v>
      </c>
      <c r="R114">
        <v>1</v>
      </c>
      <c r="S114" s="43">
        <v>23</v>
      </c>
      <c r="T114" s="44">
        <v>0</v>
      </c>
      <c r="U114" s="44">
        <v>4</v>
      </c>
      <c r="V114" s="45">
        <v>0</v>
      </c>
      <c r="W114" s="43">
        <v>1</v>
      </c>
      <c r="X114" s="44">
        <v>0</v>
      </c>
      <c r="Y114" s="44">
        <v>0</v>
      </c>
      <c r="Z114" s="45">
        <v>0</v>
      </c>
      <c r="AA114" s="43">
        <v>0</v>
      </c>
      <c r="AB114" s="44">
        <v>0</v>
      </c>
      <c r="AC114" s="3">
        <v>0</v>
      </c>
      <c r="AD114" s="4">
        <v>0</v>
      </c>
      <c r="AF114" s="26">
        <f t="shared" si="3"/>
        <v>1.1855766136544552E-4</v>
      </c>
      <c r="AG114" s="26">
        <f t="shared" si="4"/>
        <v>0.99551174567687983</v>
      </c>
      <c r="AI114">
        <v>100</v>
      </c>
      <c r="AJ114">
        <v>0</v>
      </c>
      <c r="AK114">
        <v>0</v>
      </c>
    </row>
    <row r="115" spans="1:37" x14ac:dyDescent="0.35">
      <c r="A115" t="s">
        <v>353</v>
      </c>
      <c r="B115">
        <v>27</v>
      </c>
      <c r="C115" s="9" t="s">
        <v>7</v>
      </c>
      <c r="D115" s="9" t="s">
        <v>8</v>
      </c>
      <c r="E115" s="9" t="s">
        <v>46</v>
      </c>
      <c r="F115" s="9" t="s">
        <v>605</v>
      </c>
      <c r="G115" s="9" t="s">
        <v>605</v>
      </c>
      <c r="H115" s="9" t="s">
        <v>605</v>
      </c>
      <c r="I115" s="9" t="s">
        <v>605</v>
      </c>
      <c r="J115" s="9" t="s">
        <v>605</v>
      </c>
      <c r="K115" s="9" t="s">
        <v>605</v>
      </c>
      <c r="L115" s="9" t="s">
        <v>605</v>
      </c>
      <c r="M115" s="9" t="s">
        <v>605</v>
      </c>
      <c r="N115" s="9" t="s">
        <v>605</v>
      </c>
      <c r="O115" s="9">
        <v>0.96</v>
      </c>
      <c r="P115" s="14" t="s">
        <v>330</v>
      </c>
      <c r="Q115">
        <v>90.9</v>
      </c>
      <c r="R115">
        <v>1</v>
      </c>
      <c r="S115" s="43">
        <v>10</v>
      </c>
      <c r="T115" s="44">
        <v>0</v>
      </c>
      <c r="U115" s="44">
        <v>0</v>
      </c>
      <c r="V115" s="45">
        <v>0</v>
      </c>
      <c r="W115" s="43">
        <v>10</v>
      </c>
      <c r="X115" s="44">
        <v>0</v>
      </c>
      <c r="Y115" s="44">
        <v>0</v>
      </c>
      <c r="Z115" s="45">
        <v>0</v>
      </c>
      <c r="AA115" s="43">
        <v>7</v>
      </c>
      <c r="AB115" s="44">
        <v>0</v>
      </c>
      <c r="AC115" s="3">
        <v>0</v>
      </c>
      <c r="AD115" s="4">
        <v>0</v>
      </c>
      <c r="AF115" s="26">
        <f t="shared" si="3"/>
        <v>1.1432345917382247E-4</v>
      </c>
      <c r="AG115" s="26">
        <f t="shared" si="4"/>
        <v>0.99562606913605367</v>
      </c>
      <c r="AI115">
        <v>26</v>
      </c>
      <c r="AJ115">
        <v>12</v>
      </c>
      <c r="AK115">
        <v>30</v>
      </c>
    </row>
    <row r="116" spans="1:37" x14ac:dyDescent="0.35">
      <c r="A116" t="s">
        <v>331</v>
      </c>
      <c r="B116">
        <v>27</v>
      </c>
      <c r="C116" s="9" t="s">
        <v>7</v>
      </c>
      <c r="D116" s="9" t="s">
        <v>8</v>
      </c>
      <c r="E116" s="9" t="s">
        <v>9</v>
      </c>
      <c r="F116" s="9" t="s">
        <v>605</v>
      </c>
      <c r="G116" s="9" t="s">
        <v>172</v>
      </c>
      <c r="H116" s="9" t="s">
        <v>605</v>
      </c>
      <c r="I116" s="9" t="s">
        <v>173</v>
      </c>
      <c r="J116" s="9" t="s">
        <v>605</v>
      </c>
      <c r="K116" s="9" t="s">
        <v>174</v>
      </c>
      <c r="L116" s="9" t="s">
        <v>605</v>
      </c>
      <c r="M116" s="9" t="s">
        <v>175</v>
      </c>
      <c r="N116" s="9" t="s">
        <v>605</v>
      </c>
      <c r="O116" s="9">
        <v>0.88</v>
      </c>
      <c r="P116" s="14" t="s">
        <v>332</v>
      </c>
      <c r="Q116">
        <v>98.4</v>
      </c>
      <c r="R116">
        <v>1</v>
      </c>
      <c r="S116" s="43">
        <v>18</v>
      </c>
      <c r="T116" s="44">
        <v>0</v>
      </c>
      <c r="U116" s="44">
        <v>0</v>
      </c>
      <c r="V116" s="45">
        <v>0</v>
      </c>
      <c r="W116" s="43">
        <v>4</v>
      </c>
      <c r="X116" s="44">
        <v>0</v>
      </c>
      <c r="Y116" s="44">
        <v>0</v>
      </c>
      <c r="Z116" s="45">
        <v>0</v>
      </c>
      <c r="AA116" s="43">
        <v>5</v>
      </c>
      <c r="AB116" s="44">
        <v>0</v>
      </c>
      <c r="AC116" s="3">
        <v>0</v>
      </c>
      <c r="AD116" s="4">
        <v>0</v>
      </c>
      <c r="AF116" s="26">
        <f t="shared" si="3"/>
        <v>1.1432345917382247E-4</v>
      </c>
      <c r="AG116" s="26">
        <f t="shared" si="4"/>
        <v>0.99574039259522751</v>
      </c>
      <c r="AI116">
        <v>16</v>
      </c>
      <c r="AJ116">
        <v>0</v>
      </c>
      <c r="AK116">
        <v>22</v>
      </c>
    </row>
    <row r="117" spans="1:37" x14ac:dyDescent="0.35">
      <c r="A117" t="s">
        <v>344</v>
      </c>
      <c r="B117">
        <v>25</v>
      </c>
      <c r="C117" s="9" t="s">
        <v>7</v>
      </c>
      <c r="D117" s="9" t="s">
        <v>8</v>
      </c>
      <c r="E117" s="9" t="s">
        <v>46</v>
      </c>
      <c r="F117" s="9" t="s">
        <v>605</v>
      </c>
      <c r="G117" s="9" t="s">
        <v>47</v>
      </c>
      <c r="H117" s="9" t="s">
        <v>605</v>
      </c>
      <c r="I117" s="9" t="s">
        <v>61</v>
      </c>
      <c r="J117" s="9" t="s">
        <v>605</v>
      </c>
      <c r="K117" s="9" t="s">
        <v>605</v>
      </c>
      <c r="L117" s="9" t="s">
        <v>605</v>
      </c>
      <c r="M117" s="9" t="s">
        <v>334</v>
      </c>
      <c r="N117" s="9" t="s">
        <v>605</v>
      </c>
      <c r="O117" s="9">
        <v>0.66</v>
      </c>
      <c r="P117" s="14" t="s">
        <v>335</v>
      </c>
      <c r="Q117">
        <v>96</v>
      </c>
      <c r="R117">
        <v>1</v>
      </c>
      <c r="S117" s="43">
        <v>1</v>
      </c>
      <c r="T117" s="44">
        <v>0</v>
      </c>
      <c r="U117" s="44">
        <v>0</v>
      </c>
      <c r="V117" s="45">
        <v>0</v>
      </c>
      <c r="W117" s="43">
        <v>0</v>
      </c>
      <c r="X117" s="44">
        <v>0</v>
      </c>
      <c r="Y117" s="44">
        <v>0</v>
      </c>
      <c r="Z117" s="45">
        <v>0</v>
      </c>
      <c r="AA117" s="43">
        <v>17</v>
      </c>
      <c r="AB117" s="44">
        <v>7</v>
      </c>
      <c r="AC117" s="3">
        <v>0</v>
      </c>
      <c r="AD117" s="4">
        <v>0</v>
      </c>
      <c r="AF117" s="26">
        <f t="shared" si="3"/>
        <v>1.0585505479057635E-4</v>
      </c>
      <c r="AG117" s="26">
        <f t="shared" si="4"/>
        <v>0.99584624765001806</v>
      </c>
      <c r="AI117">
        <v>26</v>
      </c>
      <c r="AJ117">
        <v>22</v>
      </c>
      <c r="AK117">
        <v>100</v>
      </c>
    </row>
    <row r="118" spans="1:37" x14ac:dyDescent="0.35">
      <c r="A118" t="s">
        <v>400</v>
      </c>
      <c r="B118">
        <v>25</v>
      </c>
      <c r="C118" s="9" t="s">
        <v>7</v>
      </c>
      <c r="D118" s="9" t="s">
        <v>8</v>
      </c>
      <c r="E118" s="9" t="s">
        <v>32</v>
      </c>
      <c r="F118" s="9" t="s">
        <v>605</v>
      </c>
      <c r="G118" s="9" t="s">
        <v>605</v>
      </c>
      <c r="H118" s="9" t="s">
        <v>605</v>
      </c>
      <c r="I118" s="9" t="s">
        <v>605</v>
      </c>
      <c r="J118" s="9" t="s">
        <v>605</v>
      </c>
      <c r="K118" s="9" t="s">
        <v>605</v>
      </c>
      <c r="L118" s="9" t="s">
        <v>605</v>
      </c>
      <c r="M118" s="9" t="s">
        <v>605</v>
      </c>
      <c r="N118" s="9" t="s">
        <v>605</v>
      </c>
      <c r="O118" s="9">
        <v>0.98</v>
      </c>
      <c r="P118" s="14" t="s">
        <v>341</v>
      </c>
      <c r="Q118">
        <v>86.6</v>
      </c>
      <c r="R118">
        <v>1</v>
      </c>
      <c r="S118" s="43">
        <v>15</v>
      </c>
      <c r="T118" s="44">
        <v>0</v>
      </c>
      <c r="U118" s="44">
        <v>0</v>
      </c>
      <c r="V118" s="45">
        <v>0</v>
      </c>
      <c r="W118" s="43">
        <v>5</v>
      </c>
      <c r="X118" s="44">
        <v>0</v>
      </c>
      <c r="Y118" s="44">
        <v>0</v>
      </c>
      <c r="Z118" s="45">
        <v>0</v>
      </c>
      <c r="AA118" s="43">
        <v>5</v>
      </c>
      <c r="AB118" s="44">
        <v>0</v>
      </c>
      <c r="AC118" s="3">
        <v>0</v>
      </c>
      <c r="AD118" s="4">
        <v>0</v>
      </c>
      <c r="AF118" s="26">
        <f t="shared" si="3"/>
        <v>1.0585505479057635E-4</v>
      </c>
      <c r="AG118" s="26">
        <f t="shared" si="4"/>
        <v>0.99595210270480861</v>
      </c>
      <c r="AI118">
        <v>35</v>
      </c>
      <c r="AJ118">
        <v>1</v>
      </c>
      <c r="AK118">
        <v>3</v>
      </c>
    </row>
    <row r="119" spans="1:37" x14ac:dyDescent="0.35">
      <c r="A119" t="s">
        <v>372</v>
      </c>
      <c r="B119">
        <v>25</v>
      </c>
      <c r="C119" s="9" t="s">
        <v>7</v>
      </c>
      <c r="D119" s="9" t="s">
        <v>8</v>
      </c>
      <c r="E119" s="9" t="s">
        <v>46</v>
      </c>
      <c r="F119" s="9" t="s">
        <v>605</v>
      </c>
      <c r="G119" s="9" t="s">
        <v>47</v>
      </c>
      <c r="H119" s="9" t="s">
        <v>605</v>
      </c>
      <c r="I119" s="9" t="s">
        <v>61</v>
      </c>
      <c r="J119" s="9" t="s">
        <v>605</v>
      </c>
      <c r="K119" s="9" t="s">
        <v>605</v>
      </c>
      <c r="L119" s="9" t="s">
        <v>605</v>
      </c>
      <c r="M119" s="9" t="s">
        <v>605</v>
      </c>
      <c r="N119" s="9" t="s">
        <v>605</v>
      </c>
      <c r="O119" s="9">
        <v>0.97</v>
      </c>
      <c r="P119" s="14" t="s">
        <v>339</v>
      </c>
      <c r="Q119">
        <v>93.7</v>
      </c>
      <c r="R119">
        <v>2</v>
      </c>
      <c r="S119" s="43">
        <v>25</v>
      </c>
      <c r="T119" s="44">
        <v>0</v>
      </c>
      <c r="U119" s="44">
        <v>0</v>
      </c>
      <c r="V119" s="45">
        <v>0</v>
      </c>
      <c r="W119" s="43">
        <v>0</v>
      </c>
      <c r="X119" s="44">
        <v>0</v>
      </c>
      <c r="Y119" s="44">
        <v>0</v>
      </c>
      <c r="Z119" s="45">
        <v>0</v>
      </c>
      <c r="AA119" s="43">
        <v>0</v>
      </c>
      <c r="AB119" s="44">
        <v>0</v>
      </c>
      <c r="AC119" s="3">
        <v>0</v>
      </c>
      <c r="AD119" s="4">
        <v>0</v>
      </c>
      <c r="AF119" s="26">
        <f t="shared" si="3"/>
        <v>1.0585505479057635E-4</v>
      </c>
      <c r="AG119" s="26">
        <f t="shared" si="4"/>
        <v>0.99605795775959916</v>
      </c>
      <c r="AI119">
        <v>100</v>
      </c>
      <c r="AJ119">
        <v>15</v>
      </c>
      <c r="AK119">
        <v>27</v>
      </c>
    </row>
    <row r="120" spans="1:37" x14ac:dyDescent="0.35">
      <c r="A120" t="s">
        <v>462</v>
      </c>
      <c r="B120">
        <v>24</v>
      </c>
      <c r="C120" s="9" t="s">
        <v>7</v>
      </c>
      <c r="D120" s="9" t="s">
        <v>8</v>
      </c>
      <c r="E120" s="9" t="s">
        <v>46</v>
      </c>
      <c r="F120" s="9" t="s">
        <v>605</v>
      </c>
      <c r="G120" s="9" t="s">
        <v>605</v>
      </c>
      <c r="H120" s="9" t="s">
        <v>605</v>
      </c>
      <c r="I120" s="9" t="s">
        <v>605</v>
      </c>
      <c r="J120" s="9" t="s">
        <v>605</v>
      </c>
      <c r="K120" s="9" t="s">
        <v>605</v>
      </c>
      <c r="L120" s="9" t="s">
        <v>605</v>
      </c>
      <c r="M120" s="9" t="s">
        <v>605</v>
      </c>
      <c r="N120" s="9" t="s">
        <v>605</v>
      </c>
      <c r="O120" s="9">
        <v>0.55000000000000004</v>
      </c>
      <c r="P120" s="14" t="s">
        <v>343</v>
      </c>
      <c r="Q120">
        <v>86.6</v>
      </c>
      <c r="R120">
        <v>3</v>
      </c>
      <c r="S120" s="43">
        <v>11</v>
      </c>
      <c r="T120" s="44">
        <v>0</v>
      </c>
      <c r="U120" s="44">
        <v>0</v>
      </c>
      <c r="V120" s="45">
        <v>0</v>
      </c>
      <c r="W120" s="43">
        <v>9</v>
      </c>
      <c r="X120" s="44">
        <v>0</v>
      </c>
      <c r="Y120" s="44">
        <v>0</v>
      </c>
      <c r="Z120" s="45">
        <v>0</v>
      </c>
      <c r="AA120" s="43">
        <v>4</v>
      </c>
      <c r="AB120" s="44">
        <v>0</v>
      </c>
      <c r="AC120" s="3">
        <v>0</v>
      </c>
      <c r="AD120" s="4">
        <v>0</v>
      </c>
      <c r="AF120" s="26">
        <f t="shared" si="3"/>
        <v>1.016208525989533E-4</v>
      </c>
      <c r="AG120" s="26">
        <f t="shared" si="4"/>
        <v>0.99615957861219806</v>
      </c>
      <c r="AI120">
        <v>66</v>
      </c>
      <c r="AJ120">
        <v>0</v>
      </c>
      <c r="AK120">
        <v>0</v>
      </c>
    </row>
    <row r="121" spans="1:37" x14ac:dyDescent="0.35">
      <c r="A121" t="s">
        <v>325</v>
      </c>
      <c r="B121">
        <v>24</v>
      </c>
      <c r="C121" s="9" t="s">
        <v>7</v>
      </c>
      <c r="D121" s="9" t="s">
        <v>8</v>
      </c>
      <c r="E121" s="9" t="s">
        <v>120</v>
      </c>
      <c r="F121" s="9" t="s">
        <v>605</v>
      </c>
      <c r="G121" s="9" t="s">
        <v>121</v>
      </c>
      <c r="H121" s="9" t="s">
        <v>605</v>
      </c>
      <c r="I121" s="9" t="s">
        <v>122</v>
      </c>
      <c r="J121" s="9" t="s">
        <v>605</v>
      </c>
      <c r="K121" s="9" t="s">
        <v>123</v>
      </c>
      <c r="L121" s="9" t="s">
        <v>605</v>
      </c>
      <c r="M121" s="9" t="s">
        <v>124</v>
      </c>
      <c r="N121" s="9" t="s">
        <v>605</v>
      </c>
      <c r="O121" s="9">
        <v>0.56999999999999995</v>
      </c>
      <c r="P121" s="14" t="s">
        <v>125</v>
      </c>
      <c r="Q121">
        <v>93.7</v>
      </c>
      <c r="R121">
        <v>1</v>
      </c>
      <c r="S121" s="43">
        <v>0</v>
      </c>
      <c r="T121" s="44">
        <v>0</v>
      </c>
      <c r="U121" s="44">
        <v>0</v>
      </c>
      <c r="V121" s="45">
        <v>0</v>
      </c>
      <c r="W121" s="43">
        <v>2</v>
      </c>
      <c r="X121" s="44">
        <v>0</v>
      </c>
      <c r="Y121" s="44">
        <v>0</v>
      </c>
      <c r="Z121" s="45">
        <v>0</v>
      </c>
      <c r="AA121" s="43">
        <v>8</v>
      </c>
      <c r="AB121" s="44">
        <v>14</v>
      </c>
      <c r="AC121" s="3">
        <v>0</v>
      </c>
      <c r="AD121" s="4">
        <v>0</v>
      </c>
      <c r="AF121" s="26">
        <f t="shared" si="3"/>
        <v>1.016208525989533E-4</v>
      </c>
      <c r="AG121" s="26">
        <f t="shared" si="4"/>
        <v>0.99626119946479696</v>
      </c>
      <c r="AI121">
        <v>8</v>
      </c>
      <c r="AJ121">
        <v>22</v>
      </c>
      <c r="AK121">
        <v>97</v>
      </c>
    </row>
    <row r="122" spans="1:37" x14ac:dyDescent="0.35">
      <c r="A122" t="s">
        <v>346</v>
      </c>
      <c r="B122">
        <v>23</v>
      </c>
      <c r="C122" s="9" t="s">
        <v>7</v>
      </c>
      <c r="D122" s="9" t="s">
        <v>8</v>
      </c>
      <c r="E122" s="9" t="s">
        <v>9</v>
      </c>
      <c r="F122" s="9" t="s">
        <v>605</v>
      </c>
      <c r="G122" s="9" t="s">
        <v>172</v>
      </c>
      <c r="H122" s="9" t="s">
        <v>605</v>
      </c>
      <c r="I122" s="9" t="s">
        <v>347</v>
      </c>
      <c r="J122" s="9" t="s">
        <v>605</v>
      </c>
      <c r="K122" s="9" t="s">
        <v>605</v>
      </c>
      <c r="L122" s="9" t="s">
        <v>605</v>
      </c>
      <c r="M122" s="9" t="s">
        <v>605</v>
      </c>
      <c r="N122" s="9" t="s">
        <v>605</v>
      </c>
      <c r="O122" s="9">
        <v>0.56000000000000005</v>
      </c>
      <c r="P122" s="14" t="s">
        <v>348</v>
      </c>
      <c r="Q122">
        <v>92.9</v>
      </c>
      <c r="R122">
        <v>2</v>
      </c>
      <c r="S122" s="43">
        <v>14</v>
      </c>
      <c r="T122" s="44">
        <v>0</v>
      </c>
      <c r="U122" s="44">
        <v>0</v>
      </c>
      <c r="V122" s="45">
        <v>0</v>
      </c>
      <c r="W122" s="43">
        <v>5</v>
      </c>
      <c r="X122" s="44">
        <v>0</v>
      </c>
      <c r="Y122" s="44">
        <v>0</v>
      </c>
      <c r="Z122" s="45">
        <v>0</v>
      </c>
      <c r="AA122" s="43">
        <v>4</v>
      </c>
      <c r="AB122" s="44">
        <v>0</v>
      </c>
      <c r="AC122" s="3">
        <v>0</v>
      </c>
      <c r="AD122" s="4">
        <v>0</v>
      </c>
      <c r="AF122" s="26">
        <f t="shared" si="3"/>
        <v>9.7386650407330254E-5</v>
      </c>
      <c r="AG122" s="26">
        <f t="shared" si="4"/>
        <v>0.99635858611520434</v>
      </c>
      <c r="AI122">
        <v>0</v>
      </c>
      <c r="AJ122">
        <v>0</v>
      </c>
      <c r="AK122">
        <v>0</v>
      </c>
    </row>
    <row r="123" spans="1:37" x14ac:dyDescent="0.35">
      <c r="A123" t="s">
        <v>350</v>
      </c>
      <c r="B123">
        <v>23</v>
      </c>
      <c r="C123" s="9" t="s">
        <v>7</v>
      </c>
      <c r="D123" s="9" t="s">
        <v>8</v>
      </c>
      <c r="E123" s="9" t="s">
        <v>46</v>
      </c>
      <c r="F123" s="9" t="s">
        <v>605</v>
      </c>
      <c r="G123" s="9" t="s">
        <v>47</v>
      </c>
      <c r="H123" s="9" t="s">
        <v>605</v>
      </c>
      <c r="I123" s="9" t="s">
        <v>61</v>
      </c>
      <c r="J123" s="9" t="s">
        <v>605</v>
      </c>
      <c r="K123" s="9" t="s">
        <v>605</v>
      </c>
      <c r="L123" s="9" t="s">
        <v>605</v>
      </c>
      <c r="M123" s="9" t="s">
        <v>605</v>
      </c>
      <c r="N123" s="9" t="s">
        <v>605</v>
      </c>
      <c r="O123" s="9">
        <v>0.85</v>
      </c>
      <c r="P123" s="14" t="s">
        <v>370</v>
      </c>
      <c r="Q123">
        <v>88.5</v>
      </c>
      <c r="R123">
        <v>1</v>
      </c>
      <c r="S123" s="2">
        <v>0</v>
      </c>
      <c r="T123" s="3">
        <v>0</v>
      </c>
      <c r="U123" s="3">
        <v>0</v>
      </c>
      <c r="V123" s="4">
        <v>0</v>
      </c>
      <c r="W123" s="2">
        <v>0</v>
      </c>
      <c r="X123" s="3">
        <v>0</v>
      </c>
      <c r="Y123" s="3">
        <v>0</v>
      </c>
      <c r="Z123" s="4">
        <v>0</v>
      </c>
      <c r="AA123" s="2">
        <v>16</v>
      </c>
      <c r="AB123" s="3">
        <v>7</v>
      </c>
      <c r="AC123" s="3">
        <v>0</v>
      </c>
      <c r="AD123" s="4">
        <v>0</v>
      </c>
      <c r="AF123" s="26">
        <f t="shared" si="3"/>
        <v>9.7386650407330254E-5</v>
      </c>
      <c r="AG123" s="26">
        <f t="shared" si="4"/>
        <v>0.99645597276561171</v>
      </c>
      <c r="AI123">
        <v>18</v>
      </c>
      <c r="AJ123">
        <v>19</v>
      </c>
      <c r="AK123">
        <v>100</v>
      </c>
    </row>
    <row r="124" spans="1:37" x14ac:dyDescent="0.35">
      <c r="A124" t="s">
        <v>363</v>
      </c>
      <c r="B124">
        <v>22</v>
      </c>
      <c r="C124" s="9" t="s">
        <v>7</v>
      </c>
      <c r="D124" s="9" t="s">
        <v>8</v>
      </c>
      <c r="E124" s="9" t="s">
        <v>46</v>
      </c>
      <c r="F124" s="9" t="s">
        <v>605</v>
      </c>
      <c r="G124" s="9" t="s">
        <v>605</v>
      </c>
      <c r="H124" s="9" t="s">
        <v>605</v>
      </c>
      <c r="I124" s="9" t="s">
        <v>605</v>
      </c>
      <c r="J124" s="9" t="s">
        <v>605</v>
      </c>
      <c r="K124" s="9" t="s">
        <v>605</v>
      </c>
      <c r="L124" s="9" t="s">
        <v>605</v>
      </c>
      <c r="M124" s="9" t="s">
        <v>605</v>
      </c>
      <c r="N124" s="9" t="s">
        <v>605</v>
      </c>
      <c r="O124" s="9">
        <v>0.72</v>
      </c>
      <c r="P124" s="14" t="s">
        <v>354</v>
      </c>
      <c r="Q124">
        <v>87.4</v>
      </c>
      <c r="R124">
        <v>1</v>
      </c>
      <c r="S124" s="2">
        <v>8</v>
      </c>
      <c r="T124" s="3">
        <v>0</v>
      </c>
      <c r="U124" s="3">
        <v>0</v>
      </c>
      <c r="V124" s="4">
        <v>0</v>
      </c>
      <c r="W124" s="2">
        <v>4</v>
      </c>
      <c r="X124" s="3">
        <v>0</v>
      </c>
      <c r="Y124" s="3">
        <v>0</v>
      </c>
      <c r="Z124" s="4">
        <v>0</v>
      </c>
      <c r="AA124" s="2">
        <v>10</v>
      </c>
      <c r="AB124" s="3">
        <v>0</v>
      </c>
      <c r="AC124" s="3">
        <v>0</v>
      </c>
      <c r="AD124" s="4">
        <v>0</v>
      </c>
      <c r="AF124" s="26">
        <f t="shared" si="3"/>
        <v>9.315244821570719E-5</v>
      </c>
      <c r="AG124" s="26">
        <f t="shared" si="4"/>
        <v>0.99654912521382744</v>
      </c>
      <c r="AI124">
        <v>97</v>
      </c>
      <c r="AJ124">
        <v>15</v>
      </c>
      <c r="AK124">
        <v>84</v>
      </c>
    </row>
    <row r="125" spans="1:37" x14ac:dyDescent="0.35">
      <c r="A125" t="s">
        <v>415</v>
      </c>
      <c r="B125">
        <v>21</v>
      </c>
      <c r="C125" s="9" t="s">
        <v>7</v>
      </c>
      <c r="D125" s="9" t="s">
        <v>8</v>
      </c>
      <c r="E125" s="9" t="s">
        <v>46</v>
      </c>
      <c r="F125" s="9" t="s">
        <v>605</v>
      </c>
      <c r="G125" s="9" t="s">
        <v>47</v>
      </c>
      <c r="H125" s="9" t="s">
        <v>605</v>
      </c>
      <c r="I125" s="9" t="s">
        <v>61</v>
      </c>
      <c r="J125" s="9" t="s">
        <v>605</v>
      </c>
      <c r="K125" s="9" t="s">
        <v>210</v>
      </c>
      <c r="L125" s="9" t="s">
        <v>605</v>
      </c>
      <c r="M125" s="9" t="s">
        <v>211</v>
      </c>
      <c r="N125" s="9" t="s">
        <v>605</v>
      </c>
      <c r="O125" s="9">
        <v>0.63</v>
      </c>
      <c r="P125" s="14" t="s">
        <v>362</v>
      </c>
      <c r="Q125">
        <v>96</v>
      </c>
      <c r="R125">
        <v>1</v>
      </c>
      <c r="S125" s="2">
        <v>6</v>
      </c>
      <c r="T125" s="3">
        <v>0</v>
      </c>
      <c r="U125" s="3">
        <v>0</v>
      </c>
      <c r="V125" s="4">
        <v>0</v>
      </c>
      <c r="W125" s="2">
        <v>1</v>
      </c>
      <c r="X125" s="3">
        <v>0</v>
      </c>
      <c r="Y125" s="3">
        <v>0</v>
      </c>
      <c r="Z125" s="4">
        <v>0</v>
      </c>
      <c r="AA125" s="2">
        <v>11</v>
      </c>
      <c r="AB125" s="3">
        <v>3</v>
      </c>
      <c r="AC125" s="3">
        <v>0</v>
      </c>
      <c r="AD125" s="4">
        <v>0</v>
      </c>
      <c r="AF125" s="26">
        <f t="shared" si="3"/>
        <v>8.8918246024084139E-5</v>
      </c>
      <c r="AG125" s="26">
        <f t="shared" si="4"/>
        <v>0.99663804345985152</v>
      </c>
      <c r="AI125">
        <v>8</v>
      </c>
      <c r="AJ125">
        <v>0</v>
      </c>
      <c r="AK125">
        <v>100</v>
      </c>
    </row>
    <row r="126" spans="1:37" x14ac:dyDescent="0.35">
      <c r="A126" t="s">
        <v>427</v>
      </c>
      <c r="B126">
        <v>21</v>
      </c>
      <c r="C126" s="9" t="s">
        <v>7</v>
      </c>
      <c r="D126" s="9" t="s">
        <v>8</v>
      </c>
      <c r="E126" s="9" t="s">
        <v>46</v>
      </c>
      <c r="F126" s="9" t="s">
        <v>605</v>
      </c>
      <c r="G126" s="9" t="s">
        <v>47</v>
      </c>
      <c r="H126" s="9" t="s">
        <v>605</v>
      </c>
      <c r="I126" s="9" t="s">
        <v>61</v>
      </c>
      <c r="J126" s="9" t="s">
        <v>605</v>
      </c>
      <c r="K126" s="9" t="s">
        <v>210</v>
      </c>
      <c r="L126" s="9" t="s">
        <v>605</v>
      </c>
      <c r="M126" s="9" t="s">
        <v>211</v>
      </c>
      <c r="N126" s="9" t="s">
        <v>605</v>
      </c>
      <c r="O126" s="9">
        <v>0.98</v>
      </c>
      <c r="P126" s="14" t="s">
        <v>360</v>
      </c>
      <c r="Q126">
        <v>95.3</v>
      </c>
      <c r="R126">
        <v>1</v>
      </c>
      <c r="S126" s="2">
        <v>11</v>
      </c>
      <c r="T126" s="3">
        <v>0</v>
      </c>
      <c r="U126" s="3">
        <v>0</v>
      </c>
      <c r="V126" s="4">
        <v>0</v>
      </c>
      <c r="W126" s="2">
        <v>9</v>
      </c>
      <c r="X126" s="3">
        <v>0</v>
      </c>
      <c r="Y126" s="3">
        <v>0</v>
      </c>
      <c r="Z126" s="4">
        <v>0</v>
      </c>
      <c r="AA126" s="2">
        <v>1</v>
      </c>
      <c r="AB126" s="3">
        <v>0</v>
      </c>
      <c r="AC126" s="3">
        <v>0</v>
      </c>
      <c r="AD126" s="4">
        <v>0</v>
      </c>
      <c r="AF126" s="26">
        <f t="shared" si="3"/>
        <v>8.8918246024084139E-5</v>
      </c>
      <c r="AG126" s="26">
        <f t="shared" si="4"/>
        <v>0.9967269617058756</v>
      </c>
      <c r="AI126">
        <v>100</v>
      </c>
      <c r="AJ126">
        <v>25</v>
      </c>
      <c r="AK126">
        <v>10</v>
      </c>
    </row>
    <row r="127" spans="1:37" x14ac:dyDescent="0.35">
      <c r="A127" t="s">
        <v>369</v>
      </c>
      <c r="B127">
        <v>20</v>
      </c>
      <c r="C127" s="9" t="s">
        <v>7</v>
      </c>
      <c r="D127" s="9" t="s">
        <v>8</v>
      </c>
      <c r="E127" s="9" t="s">
        <v>46</v>
      </c>
      <c r="F127" s="9" t="s">
        <v>605</v>
      </c>
      <c r="G127" s="9" t="s">
        <v>364</v>
      </c>
      <c r="H127" s="9" t="s">
        <v>605</v>
      </c>
      <c r="I127" s="9" t="s">
        <v>365</v>
      </c>
      <c r="J127" s="9" t="s">
        <v>605</v>
      </c>
      <c r="K127" s="9" t="s">
        <v>366</v>
      </c>
      <c r="L127" s="9" t="s">
        <v>605</v>
      </c>
      <c r="M127" s="9" t="s">
        <v>367</v>
      </c>
      <c r="N127" s="9" t="s">
        <v>605</v>
      </c>
      <c r="O127" s="9">
        <v>1</v>
      </c>
      <c r="P127" s="14" t="s">
        <v>368</v>
      </c>
      <c r="Q127">
        <v>100</v>
      </c>
      <c r="R127">
        <v>4</v>
      </c>
      <c r="S127" s="2">
        <v>0</v>
      </c>
      <c r="T127" s="3">
        <v>0</v>
      </c>
      <c r="U127" s="3">
        <v>0</v>
      </c>
      <c r="V127" s="4">
        <v>0</v>
      </c>
      <c r="W127" s="2">
        <v>13</v>
      </c>
      <c r="X127" s="3">
        <v>0</v>
      </c>
      <c r="Y127" s="3">
        <v>0</v>
      </c>
      <c r="Z127" s="4">
        <v>0</v>
      </c>
      <c r="AA127" s="2">
        <v>7</v>
      </c>
      <c r="AB127" s="3">
        <v>0</v>
      </c>
      <c r="AC127" s="3">
        <v>0</v>
      </c>
      <c r="AD127" s="4">
        <v>0</v>
      </c>
      <c r="AF127" s="26">
        <f t="shared" si="3"/>
        <v>8.4684043832461089E-5</v>
      </c>
      <c r="AG127" s="26">
        <f t="shared" si="4"/>
        <v>0.99681164574970804</v>
      </c>
      <c r="AI127">
        <v>0</v>
      </c>
      <c r="AJ127">
        <v>0</v>
      </c>
      <c r="AK127">
        <v>0</v>
      </c>
    </row>
    <row r="128" spans="1:37" x14ac:dyDescent="0.35">
      <c r="A128" t="s">
        <v>322</v>
      </c>
      <c r="B128">
        <v>19</v>
      </c>
      <c r="C128" s="9" t="s">
        <v>7</v>
      </c>
      <c r="D128" s="9" t="s">
        <v>8</v>
      </c>
      <c r="E128" s="9" t="s">
        <v>258</v>
      </c>
      <c r="F128" s="9" t="s">
        <v>605</v>
      </c>
      <c r="G128" s="9" t="s">
        <v>258</v>
      </c>
      <c r="H128" s="9" t="s">
        <v>351</v>
      </c>
      <c r="I128" s="9" t="s">
        <v>605</v>
      </c>
      <c r="J128" s="9" t="s">
        <v>605</v>
      </c>
      <c r="K128" s="9" t="s">
        <v>605</v>
      </c>
      <c r="L128" s="9" t="s">
        <v>605</v>
      </c>
      <c r="M128" s="9" t="s">
        <v>605</v>
      </c>
      <c r="N128" s="9" t="s">
        <v>605</v>
      </c>
      <c r="O128" s="9">
        <v>0.56000000000000005</v>
      </c>
      <c r="P128" s="14" t="s">
        <v>352</v>
      </c>
      <c r="Q128">
        <v>89.3</v>
      </c>
      <c r="R128">
        <v>3</v>
      </c>
      <c r="S128" s="2">
        <v>11</v>
      </c>
      <c r="T128" s="3">
        <v>0</v>
      </c>
      <c r="U128" s="3">
        <v>0</v>
      </c>
      <c r="V128" s="4">
        <v>0</v>
      </c>
      <c r="W128" s="2">
        <v>0</v>
      </c>
      <c r="X128" s="3">
        <v>0</v>
      </c>
      <c r="Y128" s="3">
        <v>0</v>
      </c>
      <c r="Z128" s="4">
        <v>0</v>
      </c>
      <c r="AA128" s="2">
        <v>8</v>
      </c>
      <c r="AB128" s="3">
        <v>0</v>
      </c>
      <c r="AC128" s="3">
        <v>0</v>
      </c>
      <c r="AD128" s="4">
        <v>0</v>
      </c>
      <c r="AF128" s="26">
        <f t="shared" si="3"/>
        <v>8.0449841640838039E-5</v>
      </c>
      <c r="AG128" s="26">
        <f t="shared" si="4"/>
        <v>0.99689209559134884</v>
      </c>
      <c r="AI128">
        <v>100</v>
      </c>
      <c r="AJ128">
        <v>0</v>
      </c>
      <c r="AK128">
        <v>100</v>
      </c>
    </row>
    <row r="129" spans="1:37" x14ac:dyDescent="0.35">
      <c r="A129" t="s">
        <v>420</v>
      </c>
      <c r="B129">
        <v>18</v>
      </c>
      <c r="C129" s="9" t="s">
        <v>7</v>
      </c>
      <c r="D129" s="9" t="s">
        <v>8</v>
      </c>
      <c r="E129" s="9" t="s">
        <v>32</v>
      </c>
      <c r="F129" s="9" t="s">
        <v>605</v>
      </c>
      <c r="G129" s="9" t="s">
        <v>35</v>
      </c>
      <c r="H129" s="9" t="s">
        <v>605</v>
      </c>
      <c r="I129" s="9" t="s">
        <v>36</v>
      </c>
      <c r="J129" s="9" t="s">
        <v>605</v>
      </c>
      <c r="K129" s="9" t="s">
        <v>143</v>
      </c>
      <c r="L129" s="9" t="s">
        <v>605</v>
      </c>
      <c r="M129" s="9" t="s">
        <v>605</v>
      </c>
      <c r="N129" s="9" t="s">
        <v>605</v>
      </c>
      <c r="O129" s="9">
        <v>0.67</v>
      </c>
      <c r="P129" s="14" t="s">
        <v>373</v>
      </c>
      <c r="Q129">
        <v>91.3</v>
      </c>
      <c r="R129">
        <v>1</v>
      </c>
      <c r="S129" s="2">
        <v>16</v>
      </c>
      <c r="T129" s="3">
        <v>0</v>
      </c>
      <c r="U129" s="3">
        <v>0</v>
      </c>
      <c r="V129" s="4">
        <v>0</v>
      </c>
      <c r="W129" s="2">
        <v>1</v>
      </c>
      <c r="X129" s="3">
        <v>0</v>
      </c>
      <c r="Y129" s="3">
        <v>0</v>
      </c>
      <c r="Z129" s="4">
        <v>0</v>
      </c>
      <c r="AA129" s="2">
        <v>1</v>
      </c>
      <c r="AB129" s="3">
        <v>0</v>
      </c>
      <c r="AC129" s="3">
        <v>0</v>
      </c>
      <c r="AD129" s="4">
        <v>0</v>
      </c>
      <c r="AF129" s="26">
        <f t="shared" si="3"/>
        <v>7.6215639449214975E-5</v>
      </c>
      <c r="AG129" s="26">
        <f t="shared" si="4"/>
        <v>0.9969683112307981</v>
      </c>
      <c r="AI129">
        <v>77</v>
      </c>
      <c r="AJ129">
        <v>4</v>
      </c>
      <c r="AK129">
        <v>32</v>
      </c>
    </row>
    <row r="130" spans="1:37" x14ac:dyDescent="0.35">
      <c r="A130" t="s">
        <v>374</v>
      </c>
      <c r="B130">
        <v>17</v>
      </c>
      <c r="C130" s="9" t="s">
        <v>7</v>
      </c>
      <c r="D130" s="9" t="s">
        <v>8</v>
      </c>
      <c r="E130" s="9" t="s">
        <v>32</v>
      </c>
      <c r="F130" s="9" t="s">
        <v>605</v>
      </c>
      <c r="G130" s="9" t="s">
        <v>605</v>
      </c>
      <c r="H130" s="9" t="s">
        <v>605</v>
      </c>
      <c r="I130" s="9" t="s">
        <v>605</v>
      </c>
      <c r="J130" s="9" t="s">
        <v>605</v>
      </c>
      <c r="K130" s="9" t="s">
        <v>605</v>
      </c>
      <c r="L130" s="9" t="s">
        <v>605</v>
      </c>
      <c r="M130" s="9" t="s">
        <v>605</v>
      </c>
      <c r="N130" s="9" t="s">
        <v>605</v>
      </c>
      <c r="O130" s="9">
        <v>0.99</v>
      </c>
      <c r="P130" s="14" t="s">
        <v>375</v>
      </c>
      <c r="Q130">
        <v>86.2</v>
      </c>
      <c r="R130">
        <v>2</v>
      </c>
      <c r="S130" s="2">
        <v>5</v>
      </c>
      <c r="T130" s="3">
        <v>0</v>
      </c>
      <c r="U130" s="3">
        <v>0</v>
      </c>
      <c r="V130" s="4">
        <v>0</v>
      </c>
      <c r="W130" s="2">
        <v>6</v>
      </c>
      <c r="X130" s="3">
        <v>0</v>
      </c>
      <c r="Y130" s="3">
        <v>0</v>
      </c>
      <c r="Z130" s="4">
        <v>0</v>
      </c>
      <c r="AA130" s="2">
        <v>6</v>
      </c>
      <c r="AB130" s="3">
        <v>0</v>
      </c>
      <c r="AC130" s="3">
        <v>0</v>
      </c>
      <c r="AD130" s="4">
        <v>0</v>
      </c>
      <c r="AF130" s="26">
        <f t="shared" si="3"/>
        <v>7.1981437257591924E-5</v>
      </c>
      <c r="AG130" s="26">
        <f t="shared" si="4"/>
        <v>0.99704029266805572</v>
      </c>
      <c r="AI130">
        <v>21</v>
      </c>
      <c r="AJ130">
        <v>0</v>
      </c>
      <c r="AK130">
        <v>4</v>
      </c>
    </row>
    <row r="131" spans="1:37" x14ac:dyDescent="0.35">
      <c r="A131" t="s">
        <v>361</v>
      </c>
      <c r="B131">
        <v>16</v>
      </c>
      <c r="C131" s="9" t="s">
        <v>7</v>
      </c>
      <c r="D131" s="9" t="s">
        <v>8</v>
      </c>
      <c r="E131" s="9" t="s">
        <v>9</v>
      </c>
      <c r="F131" s="9" t="s">
        <v>605</v>
      </c>
      <c r="G131" s="9" t="s">
        <v>138</v>
      </c>
      <c r="H131" s="9" t="s">
        <v>605</v>
      </c>
      <c r="I131" s="9" t="s">
        <v>345</v>
      </c>
      <c r="J131" s="9" t="s">
        <v>605</v>
      </c>
      <c r="K131" s="9" t="s">
        <v>377</v>
      </c>
      <c r="L131" s="9" t="s">
        <v>605</v>
      </c>
      <c r="M131" s="9" t="s">
        <v>378</v>
      </c>
      <c r="N131" s="9" t="s">
        <v>605</v>
      </c>
      <c r="O131" s="9">
        <v>1</v>
      </c>
      <c r="P131" s="14" t="s">
        <v>379</v>
      </c>
      <c r="Q131">
        <v>100</v>
      </c>
      <c r="R131">
        <v>1</v>
      </c>
      <c r="S131" s="2">
        <v>5</v>
      </c>
      <c r="T131" s="3">
        <v>0</v>
      </c>
      <c r="U131" s="3">
        <v>0</v>
      </c>
      <c r="V131" s="4">
        <v>0</v>
      </c>
      <c r="W131" s="2">
        <v>7</v>
      </c>
      <c r="X131" s="3">
        <v>0</v>
      </c>
      <c r="Y131" s="3">
        <v>0</v>
      </c>
      <c r="Z131" s="4">
        <v>0</v>
      </c>
      <c r="AA131" s="2">
        <v>4</v>
      </c>
      <c r="AB131" s="3">
        <v>0</v>
      </c>
      <c r="AC131" s="3">
        <v>0</v>
      </c>
      <c r="AD131" s="4">
        <v>0</v>
      </c>
      <c r="AF131" s="26">
        <f t="shared" si="3"/>
        <v>6.7747235065968874E-5</v>
      </c>
      <c r="AG131" s="26">
        <f t="shared" si="4"/>
        <v>0.99710803990312169</v>
      </c>
      <c r="AI131">
        <v>3</v>
      </c>
      <c r="AJ131">
        <v>0</v>
      </c>
      <c r="AK131">
        <v>3</v>
      </c>
    </row>
    <row r="132" spans="1:37" x14ac:dyDescent="0.35">
      <c r="A132" t="s">
        <v>371</v>
      </c>
      <c r="B132">
        <v>16</v>
      </c>
      <c r="C132" s="9" t="s">
        <v>7</v>
      </c>
      <c r="D132" s="9" t="s">
        <v>8</v>
      </c>
      <c r="E132" s="9" t="s">
        <v>46</v>
      </c>
      <c r="F132" s="9" t="s">
        <v>605</v>
      </c>
      <c r="G132" s="9" t="s">
        <v>47</v>
      </c>
      <c r="H132" s="9" t="s">
        <v>605</v>
      </c>
      <c r="I132" s="9" t="s">
        <v>61</v>
      </c>
      <c r="J132" s="9" t="s">
        <v>605</v>
      </c>
      <c r="K132" s="9" t="s">
        <v>605</v>
      </c>
      <c r="L132" s="9" t="s">
        <v>605</v>
      </c>
      <c r="M132" s="9" t="s">
        <v>605</v>
      </c>
      <c r="N132" s="9" t="s">
        <v>605</v>
      </c>
      <c r="O132" s="9">
        <v>1</v>
      </c>
      <c r="P132" s="14" t="s">
        <v>381</v>
      </c>
      <c r="Q132">
        <v>94.9</v>
      </c>
      <c r="R132">
        <v>1</v>
      </c>
      <c r="S132" s="2">
        <v>5</v>
      </c>
      <c r="T132" s="3">
        <v>0</v>
      </c>
      <c r="U132" s="3">
        <v>0</v>
      </c>
      <c r="V132" s="4">
        <v>0</v>
      </c>
      <c r="W132" s="2">
        <v>6</v>
      </c>
      <c r="X132" s="3">
        <v>0</v>
      </c>
      <c r="Y132" s="3">
        <v>0</v>
      </c>
      <c r="Z132" s="4">
        <v>0</v>
      </c>
      <c r="AA132" s="2">
        <v>5</v>
      </c>
      <c r="AB132" s="3">
        <v>0</v>
      </c>
      <c r="AC132" s="3">
        <v>0</v>
      </c>
      <c r="AD132" s="4">
        <v>0</v>
      </c>
      <c r="AF132" s="26">
        <f t="shared" ref="AF132:AF195" si="5">B132/B$2</f>
        <v>6.7747235065968874E-5</v>
      </c>
      <c r="AG132" s="26">
        <f t="shared" si="4"/>
        <v>0.99717578713818766</v>
      </c>
      <c r="AI132">
        <v>52</v>
      </c>
      <c r="AJ132">
        <v>22</v>
      </c>
      <c r="AK132">
        <v>42</v>
      </c>
    </row>
    <row r="133" spans="1:37" x14ac:dyDescent="0.35">
      <c r="A133" t="s">
        <v>473</v>
      </c>
      <c r="B133">
        <v>15</v>
      </c>
      <c r="C133" s="9" t="s">
        <v>7</v>
      </c>
      <c r="D133" s="9" t="s">
        <v>8</v>
      </c>
      <c r="E133" s="9" t="s">
        <v>100</v>
      </c>
      <c r="F133" s="9" t="s">
        <v>605</v>
      </c>
      <c r="G133" s="9" t="s">
        <v>101</v>
      </c>
      <c r="H133" s="9" t="s">
        <v>605</v>
      </c>
      <c r="I133" s="9" t="s">
        <v>102</v>
      </c>
      <c r="J133" s="9" t="s">
        <v>605</v>
      </c>
      <c r="K133" s="9" t="s">
        <v>103</v>
      </c>
      <c r="L133" s="9" t="s">
        <v>605</v>
      </c>
      <c r="M133" s="9" t="s">
        <v>383</v>
      </c>
      <c r="N133" s="9" t="s">
        <v>605</v>
      </c>
      <c r="O133" s="9">
        <v>0.81</v>
      </c>
      <c r="P133" s="14" t="s">
        <v>384</v>
      </c>
      <c r="Q133">
        <v>95.7</v>
      </c>
      <c r="R133">
        <v>1</v>
      </c>
      <c r="S133" s="2">
        <v>6</v>
      </c>
      <c r="T133" s="3">
        <v>0</v>
      </c>
      <c r="U133" s="3">
        <v>0</v>
      </c>
      <c r="V133" s="4">
        <v>0</v>
      </c>
      <c r="W133" s="2">
        <v>5</v>
      </c>
      <c r="X133" s="3">
        <v>0</v>
      </c>
      <c r="Y133" s="3">
        <v>0</v>
      </c>
      <c r="Z133" s="4">
        <v>0</v>
      </c>
      <c r="AA133" s="2">
        <v>4</v>
      </c>
      <c r="AB133" s="3">
        <v>0</v>
      </c>
      <c r="AC133" s="3">
        <v>0</v>
      </c>
      <c r="AD133" s="4">
        <v>0</v>
      </c>
      <c r="AF133" s="26">
        <f t="shared" si="5"/>
        <v>6.351303287434581E-5</v>
      </c>
      <c r="AG133" s="26">
        <f t="shared" si="4"/>
        <v>0.99723930017106199</v>
      </c>
      <c r="AI133">
        <v>12</v>
      </c>
      <c r="AJ133">
        <v>0</v>
      </c>
      <c r="AK133">
        <v>0</v>
      </c>
    </row>
    <row r="134" spans="1:37" x14ac:dyDescent="0.35">
      <c r="A134" t="s">
        <v>443</v>
      </c>
      <c r="B134">
        <v>15</v>
      </c>
      <c r="C134" s="9" t="s">
        <v>7</v>
      </c>
      <c r="D134" s="9" t="s">
        <v>8</v>
      </c>
      <c r="E134" s="9" t="s">
        <v>32</v>
      </c>
      <c r="F134" s="9" t="s">
        <v>605</v>
      </c>
      <c r="G134" s="9" t="s">
        <v>605</v>
      </c>
      <c r="H134" s="9" t="s">
        <v>605</v>
      </c>
      <c r="I134" s="9" t="s">
        <v>605</v>
      </c>
      <c r="J134" s="9" t="s">
        <v>605</v>
      </c>
      <c r="K134" s="9" t="s">
        <v>605</v>
      </c>
      <c r="L134" s="9" t="s">
        <v>605</v>
      </c>
      <c r="M134" s="9" t="s">
        <v>605</v>
      </c>
      <c r="N134" s="9" t="s">
        <v>605</v>
      </c>
      <c r="O134" s="9">
        <v>1</v>
      </c>
      <c r="P134" s="14" t="s">
        <v>144</v>
      </c>
      <c r="Q134">
        <v>85.8</v>
      </c>
      <c r="R134">
        <v>1</v>
      </c>
      <c r="S134" s="2">
        <v>5</v>
      </c>
      <c r="T134" s="3">
        <v>0</v>
      </c>
      <c r="U134" s="3">
        <v>0</v>
      </c>
      <c r="V134" s="4">
        <v>0</v>
      </c>
      <c r="W134" s="2">
        <v>6</v>
      </c>
      <c r="X134" s="3">
        <v>0</v>
      </c>
      <c r="Y134" s="3">
        <v>0</v>
      </c>
      <c r="Z134" s="4">
        <v>0</v>
      </c>
      <c r="AA134" s="2">
        <v>4</v>
      </c>
      <c r="AB134" s="3">
        <v>0</v>
      </c>
      <c r="AC134" s="3">
        <v>0</v>
      </c>
      <c r="AD134" s="4">
        <v>0</v>
      </c>
      <c r="AF134" s="26">
        <f t="shared" si="5"/>
        <v>6.351303287434581E-5</v>
      </c>
      <c r="AG134" s="26">
        <f t="shared" ref="AG134:AG197" si="6">AG133+AF134</f>
        <v>0.99730281320393632</v>
      </c>
      <c r="AI134">
        <v>0</v>
      </c>
      <c r="AJ134">
        <v>0</v>
      </c>
      <c r="AK134">
        <v>0</v>
      </c>
    </row>
    <row r="135" spans="1:37" x14ac:dyDescent="0.35">
      <c r="A135" t="s">
        <v>355</v>
      </c>
      <c r="B135">
        <v>14</v>
      </c>
      <c r="C135" s="9" t="s">
        <v>7</v>
      </c>
      <c r="D135" s="9" t="s">
        <v>8</v>
      </c>
      <c r="E135" s="9" t="s">
        <v>32</v>
      </c>
      <c r="F135" s="9" t="s">
        <v>605</v>
      </c>
      <c r="G135" s="9" t="s">
        <v>35</v>
      </c>
      <c r="H135" s="9" t="s">
        <v>605</v>
      </c>
      <c r="I135" s="9" t="s">
        <v>36</v>
      </c>
      <c r="J135" s="9" t="s">
        <v>605</v>
      </c>
      <c r="K135" s="9" t="s">
        <v>37</v>
      </c>
      <c r="L135" s="9" t="s">
        <v>605</v>
      </c>
      <c r="M135" s="9" t="s">
        <v>605</v>
      </c>
      <c r="N135" s="9" t="s">
        <v>605</v>
      </c>
      <c r="O135" s="9">
        <v>0.97</v>
      </c>
      <c r="P135" s="14" t="s">
        <v>401</v>
      </c>
      <c r="Q135">
        <v>93.7</v>
      </c>
      <c r="R135">
        <v>1</v>
      </c>
      <c r="S135" s="2">
        <v>5</v>
      </c>
      <c r="T135" s="3">
        <v>0</v>
      </c>
      <c r="U135" s="3">
        <v>0</v>
      </c>
      <c r="V135" s="4">
        <v>0</v>
      </c>
      <c r="W135" s="2">
        <v>6</v>
      </c>
      <c r="X135" s="3">
        <v>0</v>
      </c>
      <c r="Y135" s="3">
        <v>0</v>
      </c>
      <c r="Z135" s="4">
        <v>0</v>
      </c>
      <c r="AA135" s="2">
        <v>3</v>
      </c>
      <c r="AB135" s="3">
        <v>0</v>
      </c>
      <c r="AC135" s="3">
        <v>0</v>
      </c>
      <c r="AD135" s="4">
        <v>0</v>
      </c>
      <c r="AF135" s="26">
        <f t="shared" si="5"/>
        <v>5.927883068272276E-5</v>
      </c>
      <c r="AG135" s="26">
        <f t="shared" si="6"/>
        <v>0.99736209203461901</v>
      </c>
      <c r="AI135">
        <v>2</v>
      </c>
      <c r="AJ135">
        <v>1</v>
      </c>
      <c r="AK135">
        <v>3</v>
      </c>
    </row>
    <row r="136" spans="1:37" x14ac:dyDescent="0.35">
      <c r="A136" t="s">
        <v>458</v>
      </c>
      <c r="B136">
        <v>14</v>
      </c>
      <c r="C136" s="9" t="s">
        <v>7</v>
      </c>
      <c r="D136" s="9" t="s">
        <v>8</v>
      </c>
      <c r="E136" s="9" t="s">
        <v>394</v>
      </c>
      <c r="F136" s="9" t="s">
        <v>605</v>
      </c>
      <c r="G136" s="9" t="s">
        <v>395</v>
      </c>
      <c r="H136" s="9" t="s">
        <v>605</v>
      </c>
      <c r="I136" s="9" t="s">
        <v>396</v>
      </c>
      <c r="J136" s="9" t="s">
        <v>605</v>
      </c>
      <c r="K136" s="9" t="s">
        <v>397</v>
      </c>
      <c r="L136" s="9" t="s">
        <v>605</v>
      </c>
      <c r="M136" s="9" t="s">
        <v>398</v>
      </c>
      <c r="N136" s="9" t="s">
        <v>605</v>
      </c>
      <c r="O136" s="9">
        <v>0.99</v>
      </c>
      <c r="P136" s="14" t="s">
        <v>399</v>
      </c>
      <c r="Q136">
        <v>94.8</v>
      </c>
      <c r="R136">
        <v>1</v>
      </c>
      <c r="S136" s="2">
        <v>6</v>
      </c>
      <c r="T136" s="3">
        <v>0</v>
      </c>
      <c r="U136" s="3">
        <v>0</v>
      </c>
      <c r="V136" s="4">
        <v>0</v>
      </c>
      <c r="W136" s="2">
        <v>3</v>
      </c>
      <c r="X136" s="3">
        <v>0</v>
      </c>
      <c r="Y136" s="3">
        <v>0</v>
      </c>
      <c r="Z136" s="4">
        <v>0</v>
      </c>
      <c r="AA136" s="2">
        <v>5</v>
      </c>
      <c r="AB136" s="3">
        <v>0</v>
      </c>
      <c r="AC136" s="3">
        <v>0</v>
      </c>
      <c r="AD136" s="4">
        <v>0</v>
      </c>
      <c r="AF136" s="26">
        <f t="shared" si="5"/>
        <v>5.927883068272276E-5</v>
      </c>
      <c r="AG136" s="26">
        <f t="shared" si="6"/>
        <v>0.99742137086530169</v>
      </c>
      <c r="AI136">
        <v>0</v>
      </c>
      <c r="AJ136">
        <v>0</v>
      </c>
      <c r="AK136">
        <v>0</v>
      </c>
    </row>
    <row r="137" spans="1:37" x14ac:dyDescent="0.35">
      <c r="A137" t="s">
        <v>386</v>
      </c>
      <c r="B137">
        <v>14</v>
      </c>
      <c r="C137" s="9" t="s">
        <v>7</v>
      </c>
      <c r="D137" s="9" t="s">
        <v>8</v>
      </c>
      <c r="E137" s="9" t="s">
        <v>387</v>
      </c>
      <c r="F137" s="9" t="s">
        <v>605</v>
      </c>
      <c r="G137" s="9" t="s">
        <v>388</v>
      </c>
      <c r="H137" s="9" t="s">
        <v>605</v>
      </c>
      <c r="I137" s="9" t="s">
        <v>389</v>
      </c>
      <c r="J137" s="9" t="s">
        <v>605</v>
      </c>
      <c r="K137" s="9" t="s">
        <v>390</v>
      </c>
      <c r="L137" s="9" t="s">
        <v>605</v>
      </c>
      <c r="M137" s="9" t="s">
        <v>391</v>
      </c>
      <c r="N137" s="9" t="s">
        <v>605</v>
      </c>
      <c r="O137" s="9">
        <v>1</v>
      </c>
      <c r="P137" s="14" t="s">
        <v>392</v>
      </c>
      <c r="Q137">
        <v>100</v>
      </c>
      <c r="R137">
        <v>1</v>
      </c>
      <c r="S137" s="2">
        <v>14</v>
      </c>
      <c r="T137" s="3">
        <v>0</v>
      </c>
      <c r="U137" s="3">
        <v>0</v>
      </c>
      <c r="V137" s="4">
        <v>0</v>
      </c>
      <c r="W137" s="2">
        <v>0</v>
      </c>
      <c r="X137" s="3">
        <v>0</v>
      </c>
      <c r="Y137" s="3">
        <v>0</v>
      </c>
      <c r="Z137" s="4">
        <v>0</v>
      </c>
      <c r="AA137" s="2">
        <v>0</v>
      </c>
      <c r="AB137" s="3">
        <v>0</v>
      </c>
      <c r="AC137" s="3">
        <v>0</v>
      </c>
      <c r="AD137" s="4">
        <v>0</v>
      </c>
      <c r="AF137" s="26">
        <f t="shared" si="5"/>
        <v>5.927883068272276E-5</v>
      </c>
      <c r="AG137" s="26">
        <f t="shared" si="6"/>
        <v>0.99748064969598438</v>
      </c>
      <c r="AI137">
        <v>0</v>
      </c>
      <c r="AJ137">
        <v>0</v>
      </c>
      <c r="AK137">
        <v>0</v>
      </c>
    </row>
    <row r="138" spans="1:37" x14ac:dyDescent="0.35">
      <c r="A138" t="s">
        <v>428</v>
      </c>
      <c r="B138">
        <v>14</v>
      </c>
      <c r="C138" s="9" t="s">
        <v>7</v>
      </c>
      <c r="D138" s="9" t="s">
        <v>8</v>
      </c>
      <c r="E138" s="9" t="s">
        <v>18</v>
      </c>
      <c r="F138" s="9" t="s">
        <v>605</v>
      </c>
      <c r="G138" s="9" t="s">
        <v>19</v>
      </c>
      <c r="H138" s="9" t="s">
        <v>605</v>
      </c>
      <c r="I138" s="9" t="s">
        <v>20</v>
      </c>
      <c r="J138" s="9" t="s">
        <v>605</v>
      </c>
      <c r="K138" s="9" t="s">
        <v>21</v>
      </c>
      <c r="L138" s="9" t="s">
        <v>605</v>
      </c>
      <c r="M138" s="9" t="s">
        <v>429</v>
      </c>
      <c r="N138" s="9" t="s">
        <v>605</v>
      </c>
      <c r="O138" s="9">
        <v>1</v>
      </c>
      <c r="P138" s="14" t="s">
        <v>430</v>
      </c>
      <c r="Q138">
        <v>96</v>
      </c>
      <c r="R138">
        <v>1</v>
      </c>
      <c r="S138" s="2">
        <v>8</v>
      </c>
      <c r="T138" s="3">
        <v>0</v>
      </c>
      <c r="U138" s="3">
        <v>3</v>
      </c>
      <c r="V138" s="4">
        <v>2</v>
      </c>
      <c r="W138" s="2">
        <v>0</v>
      </c>
      <c r="X138" s="3">
        <v>0</v>
      </c>
      <c r="Y138" s="3">
        <v>0</v>
      </c>
      <c r="Z138" s="4">
        <v>0</v>
      </c>
      <c r="AA138" s="2">
        <v>1</v>
      </c>
      <c r="AB138" s="3">
        <v>0</v>
      </c>
      <c r="AC138" s="3">
        <v>0</v>
      </c>
      <c r="AD138" s="4">
        <v>0</v>
      </c>
      <c r="AF138" s="26">
        <f t="shared" si="5"/>
        <v>5.927883068272276E-5</v>
      </c>
      <c r="AG138" s="26">
        <f t="shared" si="6"/>
        <v>0.99753992852666706</v>
      </c>
      <c r="AI138">
        <v>100</v>
      </c>
      <c r="AJ138">
        <v>0</v>
      </c>
      <c r="AK138">
        <v>6</v>
      </c>
    </row>
    <row r="139" spans="1:37" x14ac:dyDescent="0.35">
      <c r="A139" t="s">
        <v>439</v>
      </c>
      <c r="B139">
        <v>13</v>
      </c>
      <c r="C139" s="9" t="s">
        <v>7</v>
      </c>
      <c r="D139" s="9" t="s">
        <v>8</v>
      </c>
      <c r="E139" s="9" t="s">
        <v>46</v>
      </c>
      <c r="F139" s="9" t="s">
        <v>605</v>
      </c>
      <c r="G139" s="9" t="s">
        <v>47</v>
      </c>
      <c r="H139" s="9" t="s">
        <v>605</v>
      </c>
      <c r="I139" s="9" t="s">
        <v>61</v>
      </c>
      <c r="J139" s="9" t="s">
        <v>605</v>
      </c>
      <c r="K139" s="9" t="s">
        <v>190</v>
      </c>
      <c r="L139" s="9" t="s">
        <v>605</v>
      </c>
      <c r="M139" s="9" t="s">
        <v>273</v>
      </c>
      <c r="N139" s="9" t="s">
        <v>605</v>
      </c>
      <c r="O139" s="9">
        <v>0.72</v>
      </c>
      <c r="P139" s="14" t="s">
        <v>628</v>
      </c>
      <c r="Q139">
        <v>94.9</v>
      </c>
      <c r="R139">
        <v>1</v>
      </c>
      <c r="S139" s="2">
        <v>1</v>
      </c>
      <c r="T139" s="3">
        <v>0</v>
      </c>
      <c r="U139" s="3">
        <v>0</v>
      </c>
      <c r="V139" s="4">
        <v>0</v>
      </c>
      <c r="W139" s="2">
        <v>0</v>
      </c>
      <c r="X139" s="3">
        <v>0</v>
      </c>
      <c r="Y139" s="3">
        <v>0</v>
      </c>
      <c r="Z139" s="4">
        <v>0</v>
      </c>
      <c r="AA139" s="2">
        <v>11</v>
      </c>
      <c r="AB139" s="3">
        <v>1</v>
      </c>
      <c r="AC139" s="3">
        <v>0</v>
      </c>
      <c r="AD139" s="4">
        <v>0</v>
      </c>
      <c r="AF139" s="26">
        <f t="shared" si="5"/>
        <v>5.5044628491099709E-5</v>
      </c>
      <c r="AG139" s="26">
        <f t="shared" si="6"/>
        <v>0.99759497315515822</v>
      </c>
      <c r="AI139">
        <v>9</v>
      </c>
      <c r="AJ139">
        <v>16</v>
      </c>
      <c r="AK139">
        <v>100</v>
      </c>
    </row>
    <row r="140" spans="1:37" x14ac:dyDescent="0.35">
      <c r="A140" t="s">
        <v>442</v>
      </c>
      <c r="B140">
        <v>13</v>
      </c>
      <c r="C140" s="9" t="s">
        <v>7</v>
      </c>
      <c r="D140" s="9" t="s">
        <v>8</v>
      </c>
      <c r="E140" s="9" t="s">
        <v>46</v>
      </c>
      <c r="F140" s="9" t="s">
        <v>605</v>
      </c>
      <c r="G140" s="9" t="s">
        <v>47</v>
      </c>
      <c r="H140" s="9" t="s">
        <v>605</v>
      </c>
      <c r="I140" s="9" t="s">
        <v>61</v>
      </c>
      <c r="J140" s="9" t="s">
        <v>605</v>
      </c>
      <c r="K140" s="9" t="s">
        <v>403</v>
      </c>
      <c r="L140" s="9" t="s">
        <v>605</v>
      </c>
      <c r="M140" s="9" t="s">
        <v>605</v>
      </c>
      <c r="N140" s="9" t="s">
        <v>605</v>
      </c>
      <c r="O140" s="9">
        <v>0.5</v>
      </c>
      <c r="P140" s="14" t="s">
        <v>321</v>
      </c>
      <c r="Q140">
        <v>90.1</v>
      </c>
      <c r="R140">
        <v>1</v>
      </c>
      <c r="S140" s="2">
        <v>1</v>
      </c>
      <c r="T140" s="3">
        <v>0</v>
      </c>
      <c r="U140" s="3">
        <v>0</v>
      </c>
      <c r="V140" s="4">
        <v>0</v>
      </c>
      <c r="W140" s="2">
        <v>3</v>
      </c>
      <c r="X140" s="3">
        <v>0</v>
      </c>
      <c r="Y140" s="3">
        <v>0</v>
      </c>
      <c r="Z140" s="4">
        <v>0</v>
      </c>
      <c r="AA140" s="2">
        <v>9</v>
      </c>
      <c r="AB140" s="3">
        <v>0</v>
      </c>
      <c r="AC140" s="3">
        <v>0</v>
      </c>
      <c r="AD140" s="4">
        <v>0</v>
      </c>
      <c r="AF140" s="26">
        <f t="shared" si="5"/>
        <v>5.5044628491099709E-5</v>
      </c>
      <c r="AG140" s="26">
        <f t="shared" si="6"/>
        <v>0.99765001778364937</v>
      </c>
      <c r="AI140">
        <v>44</v>
      </c>
      <c r="AJ140">
        <v>43</v>
      </c>
      <c r="AK140">
        <v>100</v>
      </c>
    </row>
    <row r="141" spans="1:37" x14ac:dyDescent="0.35">
      <c r="A141" t="s">
        <v>432</v>
      </c>
      <c r="B141">
        <v>13</v>
      </c>
      <c r="C141" s="9" t="s">
        <v>7</v>
      </c>
      <c r="D141" s="9" t="s">
        <v>8</v>
      </c>
      <c r="E141" s="9" t="s">
        <v>165</v>
      </c>
      <c r="F141" s="9" t="s">
        <v>605</v>
      </c>
      <c r="G141" s="9" t="s">
        <v>166</v>
      </c>
      <c r="H141" s="9" t="s">
        <v>605</v>
      </c>
      <c r="I141" s="9" t="s">
        <v>167</v>
      </c>
      <c r="J141" s="9" t="s">
        <v>605</v>
      </c>
      <c r="K141" s="9" t="s">
        <v>168</v>
      </c>
      <c r="L141" s="9" t="s">
        <v>605</v>
      </c>
      <c r="M141" s="9" t="s">
        <v>405</v>
      </c>
      <c r="N141" s="9" t="s">
        <v>605</v>
      </c>
      <c r="O141" s="9">
        <v>0.88</v>
      </c>
      <c r="P141" s="14" t="s">
        <v>406</v>
      </c>
      <c r="Q141">
        <v>91.7</v>
      </c>
      <c r="R141">
        <v>1</v>
      </c>
      <c r="S141" s="2">
        <v>1</v>
      </c>
      <c r="T141" s="3">
        <v>0</v>
      </c>
      <c r="U141" s="3">
        <v>0</v>
      </c>
      <c r="V141" s="4">
        <v>0</v>
      </c>
      <c r="W141" s="2">
        <v>7</v>
      </c>
      <c r="X141" s="3">
        <v>0</v>
      </c>
      <c r="Y141" s="3">
        <v>0</v>
      </c>
      <c r="Z141" s="4">
        <v>0</v>
      </c>
      <c r="AA141" s="2">
        <v>5</v>
      </c>
      <c r="AB141" s="3">
        <v>0</v>
      </c>
      <c r="AC141" s="3">
        <v>0</v>
      </c>
      <c r="AD141" s="4">
        <v>0</v>
      </c>
      <c r="AF141" s="26">
        <f t="shared" si="5"/>
        <v>5.5044628491099709E-5</v>
      </c>
      <c r="AG141" s="26">
        <f t="shared" si="6"/>
        <v>0.99770506241214052</v>
      </c>
      <c r="AI141">
        <v>5</v>
      </c>
      <c r="AJ141">
        <v>8</v>
      </c>
      <c r="AK141">
        <v>15</v>
      </c>
    </row>
    <row r="142" spans="1:37" x14ac:dyDescent="0.35">
      <c r="A142" t="s">
        <v>456</v>
      </c>
      <c r="B142">
        <v>12</v>
      </c>
      <c r="C142" s="9" t="s">
        <v>7</v>
      </c>
      <c r="D142" s="9" t="s">
        <v>24</v>
      </c>
      <c r="E142" s="9" t="s">
        <v>25</v>
      </c>
      <c r="F142" s="9" t="s">
        <v>605</v>
      </c>
      <c r="G142" s="9" t="s">
        <v>26</v>
      </c>
      <c r="H142" s="9" t="s">
        <v>605</v>
      </c>
      <c r="I142" s="9" t="s">
        <v>27</v>
      </c>
      <c r="J142" s="9" t="s">
        <v>605</v>
      </c>
      <c r="K142" s="9" t="s">
        <v>28</v>
      </c>
      <c r="L142" s="9" t="s">
        <v>605</v>
      </c>
      <c r="M142" s="9" t="s">
        <v>29</v>
      </c>
      <c r="N142" s="9" t="s">
        <v>605</v>
      </c>
      <c r="O142" s="9">
        <v>1</v>
      </c>
      <c r="P142" s="14" t="s">
        <v>408</v>
      </c>
      <c r="Q142">
        <v>99.6</v>
      </c>
      <c r="R142">
        <v>1</v>
      </c>
      <c r="S142" s="2">
        <v>2</v>
      </c>
      <c r="T142" s="3">
        <v>0</v>
      </c>
      <c r="U142" s="3">
        <v>0</v>
      </c>
      <c r="V142" s="4">
        <v>0</v>
      </c>
      <c r="W142" s="2">
        <v>8</v>
      </c>
      <c r="X142" s="3">
        <v>0</v>
      </c>
      <c r="Y142" s="3">
        <v>0</v>
      </c>
      <c r="Z142" s="4">
        <v>0</v>
      </c>
      <c r="AA142" s="2">
        <v>2</v>
      </c>
      <c r="AB142" s="3">
        <v>0</v>
      </c>
      <c r="AC142" s="3">
        <v>0</v>
      </c>
      <c r="AD142" s="4">
        <v>0</v>
      </c>
      <c r="AF142" s="26">
        <f t="shared" si="5"/>
        <v>5.0810426299476652E-5</v>
      </c>
      <c r="AG142" s="26">
        <f t="shared" si="6"/>
        <v>0.99775587283844003</v>
      </c>
      <c r="AI142">
        <v>0</v>
      </c>
      <c r="AJ142">
        <v>5</v>
      </c>
      <c r="AK142">
        <v>10</v>
      </c>
    </row>
    <row r="143" spans="1:37" x14ac:dyDescent="0.35">
      <c r="A143" t="s">
        <v>359</v>
      </c>
      <c r="B143">
        <v>12</v>
      </c>
      <c r="C143" s="9" t="s">
        <v>7</v>
      </c>
      <c r="D143" s="9" t="s">
        <v>8</v>
      </c>
      <c r="E143" s="9" t="s">
        <v>32</v>
      </c>
      <c r="F143" s="9" t="s">
        <v>605</v>
      </c>
      <c r="G143" s="9" t="s">
        <v>35</v>
      </c>
      <c r="H143" s="9" t="s">
        <v>605</v>
      </c>
      <c r="I143" s="9" t="s">
        <v>36</v>
      </c>
      <c r="J143" s="9" t="s">
        <v>605</v>
      </c>
      <c r="K143" s="9" t="s">
        <v>37</v>
      </c>
      <c r="L143" s="9" t="s">
        <v>605</v>
      </c>
      <c r="M143" s="9" t="s">
        <v>605</v>
      </c>
      <c r="N143" s="9" t="s">
        <v>605</v>
      </c>
      <c r="O143" s="9">
        <v>0.85</v>
      </c>
      <c r="P143" s="14" t="s">
        <v>401</v>
      </c>
      <c r="Q143">
        <v>89.7</v>
      </c>
      <c r="R143">
        <v>1</v>
      </c>
      <c r="S143" s="2">
        <v>5</v>
      </c>
      <c r="T143" s="3">
        <v>0</v>
      </c>
      <c r="U143" s="3">
        <v>0</v>
      </c>
      <c r="V143" s="4">
        <v>0</v>
      </c>
      <c r="W143" s="2">
        <v>4</v>
      </c>
      <c r="X143" s="3">
        <v>0</v>
      </c>
      <c r="Y143" s="3">
        <v>0</v>
      </c>
      <c r="Z143" s="4">
        <v>0</v>
      </c>
      <c r="AA143" s="2">
        <v>3</v>
      </c>
      <c r="AB143" s="3">
        <v>0</v>
      </c>
      <c r="AC143" s="3">
        <v>0</v>
      </c>
      <c r="AD143" s="4">
        <v>0</v>
      </c>
      <c r="AF143" s="26">
        <f t="shared" si="5"/>
        <v>5.0810426299476652E-5</v>
      </c>
      <c r="AG143" s="26">
        <f t="shared" si="6"/>
        <v>0.99780668326473954</v>
      </c>
      <c r="AI143">
        <v>0</v>
      </c>
      <c r="AJ143">
        <v>0</v>
      </c>
      <c r="AK143">
        <v>0</v>
      </c>
    </row>
    <row r="144" spans="1:37" x14ac:dyDescent="0.35">
      <c r="A144" t="s">
        <v>338</v>
      </c>
      <c r="B144">
        <v>12</v>
      </c>
      <c r="C144" s="9" t="s">
        <v>7</v>
      </c>
      <c r="D144" s="9" t="s">
        <v>8</v>
      </c>
      <c r="E144" s="9" t="s">
        <v>46</v>
      </c>
      <c r="F144" s="9" t="s">
        <v>605</v>
      </c>
      <c r="G144" s="9" t="s">
        <v>605</v>
      </c>
      <c r="H144" s="9" t="s">
        <v>605</v>
      </c>
      <c r="I144" s="9" t="s">
        <v>605</v>
      </c>
      <c r="J144" s="9" t="s">
        <v>605</v>
      </c>
      <c r="K144" s="9" t="s">
        <v>605</v>
      </c>
      <c r="L144" s="9" t="s">
        <v>605</v>
      </c>
      <c r="M144" s="9" t="s">
        <v>605</v>
      </c>
      <c r="N144" s="9" t="s">
        <v>605</v>
      </c>
      <c r="O144" s="9">
        <v>0.84</v>
      </c>
      <c r="P144" s="64" t="s">
        <v>335</v>
      </c>
      <c r="Q144">
        <v>88.5</v>
      </c>
      <c r="R144">
        <v>1</v>
      </c>
      <c r="S144" s="2">
        <v>0</v>
      </c>
      <c r="T144" s="3">
        <v>0</v>
      </c>
      <c r="U144" s="3">
        <v>0</v>
      </c>
      <c r="V144" s="4">
        <v>0</v>
      </c>
      <c r="W144" s="2">
        <v>0</v>
      </c>
      <c r="X144" s="3">
        <v>0</v>
      </c>
      <c r="Y144" s="3">
        <v>0</v>
      </c>
      <c r="Z144" s="4">
        <v>0</v>
      </c>
      <c r="AA144" s="2">
        <v>0</v>
      </c>
      <c r="AB144" s="91">
        <v>12</v>
      </c>
      <c r="AC144" s="3">
        <v>0</v>
      </c>
      <c r="AD144" s="4">
        <v>0</v>
      </c>
      <c r="AF144" s="26">
        <f t="shared" si="5"/>
        <v>5.0810426299476652E-5</v>
      </c>
      <c r="AG144" s="26">
        <f t="shared" si="6"/>
        <v>0.99785749369103904</v>
      </c>
      <c r="AI144">
        <v>0</v>
      </c>
      <c r="AJ144">
        <v>2</v>
      </c>
      <c r="AK144">
        <v>91</v>
      </c>
    </row>
    <row r="145" spans="1:37" x14ac:dyDescent="0.35">
      <c r="A145" t="s">
        <v>402</v>
      </c>
      <c r="B145">
        <v>12</v>
      </c>
      <c r="C145" s="9" t="s">
        <v>7</v>
      </c>
      <c r="D145" s="9" t="s">
        <v>8</v>
      </c>
      <c r="E145" s="9" t="s">
        <v>9</v>
      </c>
      <c r="F145" s="9" t="s">
        <v>605</v>
      </c>
      <c r="G145" s="9" t="s">
        <v>138</v>
      </c>
      <c r="H145" s="9" t="s">
        <v>605</v>
      </c>
      <c r="I145" s="9" t="s">
        <v>410</v>
      </c>
      <c r="J145" s="9" t="s">
        <v>605</v>
      </c>
      <c r="K145" s="9" t="s">
        <v>411</v>
      </c>
      <c r="L145" s="9" t="s">
        <v>605</v>
      </c>
      <c r="M145" s="9" t="s">
        <v>605</v>
      </c>
      <c r="N145" s="9" t="s">
        <v>605</v>
      </c>
      <c r="O145" s="9">
        <v>1</v>
      </c>
      <c r="P145" s="14" t="s">
        <v>412</v>
      </c>
      <c r="Q145">
        <v>99.2</v>
      </c>
      <c r="R145">
        <v>7</v>
      </c>
      <c r="S145" s="2">
        <v>5</v>
      </c>
      <c r="T145" s="3">
        <v>0</v>
      </c>
      <c r="U145" s="3">
        <v>0</v>
      </c>
      <c r="V145" s="4">
        <v>0</v>
      </c>
      <c r="W145" s="2">
        <v>4</v>
      </c>
      <c r="X145" s="3">
        <v>0</v>
      </c>
      <c r="Y145" s="3">
        <v>0</v>
      </c>
      <c r="Z145" s="4">
        <v>0</v>
      </c>
      <c r="AA145" s="2">
        <v>3</v>
      </c>
      <c r="AB145" s="3">
        <v>0</v>
      </c>
      <c r="AC145" s="3">
        <v>0</v>
      </c>
      <c r="AD145" s="4">
        <v>0</v>
      </c>
      <c r="AF145" s="26">
        <f t="shared" si="5"/>
        <v>5.0810426299476652E-5</v>
      </c>
      <c r="AG145" s="26">
        <f t="shared" si="6"/>
        <v>0.99790830411733855</v>
      </c>
      <c r="AI145">
        <v>22</v>
      </c>
      <c r="AJ145">
        <v>0</v>
      </c>
      <c r="AK145">
        <v>32</v>
      </c>
    </row>
    <row r="146" spans="1:37" x14ac:dyDescent="0.35">
      <c r="A146" t="s">
        <v>380</v>
      </c>
      <c r="B146">
        <v>12</v>
      </c>
      <c r="C146" s="9" t="s">
        <v>7</v>
      </c>
      <c r="D146" s="9" t="s">
        <v>8</v>
      </c>
      <c r="E146" s="9" t="s">
        <v>46</v>
      </c>
      <c r="F146" s="9" t="s">
        <v>605</v>
      </c>
      <c r="G146" s="9" t="s">
        <v>364</v>
      </c>
      <c r="H146" s="9" t="s">
        <v>605</v>
      </c>
      <c r="I146" s="9" t="s">
        <v>416</v>
      </c>
      <c r="J146" s="9" t="s">
        <v>605</v>
      </c>
      <c r="K146" s="9" t="s">
        <v>417</v>
      </c>
      <c r="L146" s="9" t="s">
        <v>605</v>
      </c>
      <c r="M146" s="9" t="s">
        <v>418</v>
      </c>
      <c r="N146" s="9" t="s">
        <v>605</v>
      </c>
      <c r="O146" s="9">
        <v>1</v>
      </c>
      <c r="P146" s="14" t="s">
        <v>419</v>
      </c>
      <c r="Q146">
        <v>99.2</v>
      </c>
      <c r="R146">
        <v>1</v>
      </c>
      <c r="S146" s="2">
        <v>1</v>
      </c>
      <c r="T146" s="3">
        <v>0</v>
      </c>
      <c r="U146" s="3">
        <v>0</v>
      </c>
      <c r="V146" s="4">
        <v>0</v>
      </c>
      <c r="W146" s="2">
        <v>1</v>
      </c>
      <c r="X146" s="3">
        <v>0</v>
      </c>
      <c r="Y146" s="3">
        <v>0</v>
      </c>
      <c r="Z146" s="4">
        <v>0</v>
      </c>
      <c r="AA146" s="2">
        <v>10</v>
      </c>
      <c r="AB146" s="3">
        <v>0</v>
      </c>
      <c r="AC146" s="3">
        <v>0</v>
      </c>
      <c r="AD146" s="4">
        <v>0</v>
      </c>
      <c r="AF146" s="26">
        <f t="shared" si="5"/>
        <v>5.0810426299476652E-5</v>
      </c>
      <c r="AG146" s="26">
        <f t="shared" si="6"/>
        <v>0.99795911454363806</v>
      </c>
      <c r="AI146">
        <v>85</v>
      </c>
      <c r="AJ146">
        <v>8</v>
      </c>
      <c r="AK146">
        <v>100</v>
      </c>
    </row>
    <row r="147" spans="1:37" x14ac:dyDescent="0.35">
      <c r="A147" t="s">
        <v>413</v>
      </c>
      <c r="B147">
        <v>12</v>
      </c>
      <c r="C147" s="9" t="s">
        <v>7</v>
      </c>
      <c r="D147" s="9" t="s">
        <v>8</v>
      </c>
      <c r="E147" s="9" t="s">
        <v>46</v>
      </c>
      <c r="F147" s="9" t="s">
        <v>605</v>
      </c>
      <c r="G147" s="9" t="s">
        <v>364</v>
      </c>
      <c r="H147" s="9" t="s">
        <v>605</v>
      </c>
      <c r="I147" s="9" t="s">
        <v>365</v>
      </c>
      <c r="J147" s="9" t="s">
        <v>605</v>
      </c>
      <c r="K147" s="9" t="s">
        <v>366</v>
      </c>
      <c r="L147" s="9" t="s">
        <v>605</v>
      </c>
      <c r="M147" s="9" t="s">
        <v>367</v>
      </c>
      <c r="N147" s="9" t="s">
        <v>605</v>
      </c>
      <c r="O147" s="9">
        <v>0.97</v>
      </c>
      <c r="P147" s="14" t="s">
        <v>414</v>
      </c>
      <c r="Q147">
        <v>100</v>
      </c>
      <c r="R147">
        <v>4</v>
      </c>
      <c r="S147" s="2">
        <v>0</v>
      </c>
      <c r="T147" s="3">
        <v>0</v>
      </c>
      <c r="U147" s="3">
        <v>0</v>
      </c>
      <c r="V147" s="4">
        <v>0</v>
      </c>
      <c r="W147" s="2">
        <v>7</v>
      </c>
      <c r="X147" s="3">
        <v>0</v>
      </c>
      <c r="Y147" s="3">
        <v>0</v>
      </c>
      <c r="Z147" s="4">
        <v>0</v>
      </c>
      <c r="AA147" s="2">
        <v>5</v>
      </c>
      <c r="AB147" s="3">
        <v>0</v>
      </c>
      <c r="AC147" s="3">
        <v>0</v>
      </c>
      <c r="AD147" s="4">
        <v>0</v>
      </c>
      <c r="AF147" s="26">
        <f t="shared" si="5"/>
        <v>5.0810426299476652E-5</v>
      </c>
      <c r="AG147" s="26">
        <f t="shared" si="6"/>
        <v>0.99800992496993757</v>
      </c>
      <c r="AI147">
        <v>0</v>
      </c>
      <c r="AJ147">
        <v>0</v>
      </c>
      <c r="AK147">
        <v>0</v>
      </c>
    </row>
    <row r="148" spans="1:37" x14ac:dyDescent="0.35">
      <c r="A148" t="s">
        <v>424</v>
      </c>
      <c r="B148">
        <v>11</v>
      </c>
      <c r="C148" s="9" t="s">
        <v>7</v>
      </c>
      <c r="D148" s="9" t="s">
        <v>8</v>
      </c>
      <c r="E148" s="9" t="s">
        <v>32</v>
      </c>
      <c r="F148" s="9" t="s">
        <v>605</v>
      </c>
      <c r="G148" s="9" t="s">
        <v>35</v>
      </c>
      <c r="H148" s="9" t="s">
        <v>605</v>
      </c>
      <c r="I148" s="9" t="s">
        <v>36</v>
      </c>
      <c r="J148" s="9" t="s">
        <v>605</v>
      </c>
      <c r="K148" s="9" t="s">
        <v>37</v>
      </c>
      <c r="L148" s="9" t="s">
        <v>605</v>
      </c>
      <c r="M148" s="9" t="s">
        <v>425</v>
      </c>
      <c r="N148" s="9" t="s">
        <v>605</v>
      </c>
      <c r="O148" s="9">
        <v>0.99</v>
      </c>
      <c r="P148" s="14" t="s">
        <v>426</v>
      </c>
      <c r="Q148">
        <v>93.3</v>
      </c>
      <c r="R148">
        <v>1</v>
      </c>
      <c r="S148" s="2">
        <v>0</v>
      </c>
      <c r="T148" s="3">
        <v>0</v>
      </c>
      <c r="U148" s="3">
        <v>0</v>
      </c>
      <c r="V148" s="4">
        <v>0</v>
      </c>
      <c r="W148" s="2">
        <v>9</v>
      </c>
      <c r="X148" s="3">
        <v>0</v>
      </c>
      <c r="Y148" s="3">
        <v>0</v>
      </c>
      <c r="Z148" s="4">
        <v>0</v>
      </c>
      <c r="AA148" s="2">
        <v>2</v>
      </c>
      <c r="AB148" s="3">
        <v>0</v>
      </c>
      <c r="AC148" s="3">
        <v>0</v>
      </c>
      <c r="AD148" s="4">
        <v>0</v>
      </c>
      <c r="AF148" s="26">
        <f t="shared" si="5"/>
        <v>4.6576224107853595E-5</v>
      </c>
      <c r="AG148" s="26">
        <f t="shared" si="6"/>
        <v>0.99805650119404543</v>
      </c>
      <c r="AI148">
        <v>2</v>
      </c>
      <c r="AJ148">
        <v>1</v>
      </c>
      <c r="AK148">
        <v>2</v>
      </c>
    </row>
    <row r="149" spans="1:37" x14ac:dyDescent="0.35">
      <c r="A149" t="s">
        <v>422</v>
      </c>
      <c r="B149">
        <v>11</v>
      </c>
      <c r="C149" s="9" t="s">
        <v>7</v>
      </c>
      <c r="D149" s="9" t="s">
        <v>8</v>
      </c>
      <c r="E149" s="9" t="s">
        <v>605</v>
      </c>
      <c r="F149" s="9" t="s">
        <v>605</v>
      </c>
      <c r="G149" s="9" t="s">
        <v>605</v>
      </c>
      <c r="H149" s="9" t="s">
        <v>605</v>
      </c>
      <c r="I149" s="9" t="s">
        <v>605</v>
      </c>
      <c r="J149" s="9" t="s">
        <v>605</v>
      </c>
      <c r="K149" s="9" t="s">
        <v>605</v>
      </c>
      <c r="L149" s="9" t="s">
        <v>605</v>
      </c>
      <c r="M149" s="9" t="s">
        <v>605</v>
      </c>
      <c r="N149" s="9" t="s">
        <v>605</v>
      </c>
      <c r="O149" s="9">
        <v>1</v>
      </c>
      <c r="P149" s="14" t="s">
        <v>423</v>
      </c>
      <c r="Q149">
        <v>89.7</v>
      </c>
      <c r="R149">
        <v>3</v>
      </c>
      <c r="S149" s="2">
        <v>0</v>
      </c>
      <c r="T149" s="3">
        <v>0</v>
      </c>
      <c r="U149" s="3">
        <v>0</v>
      </c>
      <c r="V149" s="4">
        <v>0</v>
      </c>
      <c r="W149" s="2">
        <v>0</v>
      </c>
      <c r="X149" s="3">
        <v>0</v>
      </c>
      <c r="Y149" s="3">
        <v>0</v>
      </c>
      <c r="Z149" s="4">
        <v>0</v>
      </c>
      <c r="AA149" s="2">
        <v>11</v>
      </c>
      <c r="AB149" s="3">
        <v>0</v>
      </c>
      <c r="AC149" s="3">
        <v>0</v>
      </c>
      <c r="AD149" s="4">
        <v>0</v>
      </c>
      <c r="AF149" s="26">
        <f t="shared" si="5"/>
        <v>4.6576224107853595E-5</v>
      </c>
      <c r="AG149" s="26">
        <f t="shared" si="6"/>
        <v>0.99810307741815329</v>
      </c>
      <c r="AI149">
        <v>16</v>
      </c>
      <c r="AJ149">
        <v>13</v>
      </c>
      <c r="AK149">
        <v>100</v>
      </c>
    </row>
    <row r="150" spans="1:37" x14ac:dyDescent="0.35">
      <c r="A150" t="s">
        <v>342</v>
      </c>
      <c r="B150">
        <v>11</v>
      </c>
      <c r="C150" s="9" t="s">
        <v>7</v>
      </c>
      <c r="D150" s="9" t="s">
        <v>8</v>
      </c>
      <c r="E150" s="9" t="s">
        <v>9</v>
      </c>
      <c r="F150" s="9" t="s">
        <v>605</v>
      </c>
      <c r="G150" s="9" t="s">
        <v>10</v>
      </c>
      <c r="H150" s="9" t="s">
        <v>605</v>
      </c>
      <c r="I150" s="9" t="s">
        <v>131</v>
      </c>
      <c r="J150" s="9" t="s">
        <v>605</v>
      </c>
      <c r="K150" s="9" t="s">
        <v>150</v>
      </c>
      <c r="L150" s="9" t="s">
        <v>605</v>
      </c>
      <c r="M150" s="9" t="s">
        <v>605</v>
      </c>
      <c r="N150" s="9" t="s">
        <v>605</v>
      </c>
      <c r="O150" s="9">
        <v>0.97</v>
      </c>
      <c r="P150" s="14" t="s">
        <v>152</v>
      </c>
      <c r="Q150">
        <v>94.5</v>
      </c>
      <c r="R150">
        <v>1</v>
      </c>
      <c r="S150" s="2">
        <v>9</v>
      </c>
      <c r="T150" s="3">
        <v>0</v>
      </c>
      <c r="U150" s="3">
        <v>0</v>
      </c>
      <c r="V150" s="4">
        <v>0</v>
      </c>
      <c r="W150" s="2">
        <v>1</v>
      </c>
      <c r="X150" s="3">
        <v>0</v>
      </c>
      <c r="Y150" s="3">
        <v>0</v>
      </c>
      <c r="Z150" s="4">
        <v>0</v>
      </c>
      <c r="AA150" s="2">
        <v>1</v>
      </c>
      <c r="AB150" s="3">
        <v>0</v>
      </c>
      <c r="AC150" s="3">
        <v>0</v>
      </c>
      <c r="AD150" s="4">
        <v>0</v>
      </c>
      <c r="AF150" s="26">
        <f t="shared" si="5"/>
        <v>4.6576224107853595E-5</v>
      </c>
      <c r="AG150" s="26">
        <f t="shared" si="6"/>
        <v>0.99814965364226116</v>
      </c>
      <c r="AI150">
        <v>99</v>
      </c>
      <c r="AJ150">
        <v>10</v>
      </c>
      <c r="AK150">
        <v>94</v>
      </c>
    </row>
    <row r="151" spans="1:37" x14ac:dyDescent="0.35">
      <c r="A151" t="s">
        <v>376</v>
      </c>
      <c r="B151">
        <v>10</v>
      </c>
      <c r="C151" s="9" t="s">
        <v>7</v>
      </c>
      <c r="D151" s="9" t="s">
        <v>8</v>
      </c>
      <c r="E151" s="9" t="s">
        <v>120</v>
      </c>
      <c r="F151" s="9" t="s">
        <v>605</v>
      </c>
      <c r="G151" s="9" t="s">
        <v>121</v>
      </c>
      <c r="H151" s="9" t="s">
        <v>605</v>
      </c>
      <c r="I151" s="9" t="s">
        <v>122</v>
      </c>
      <c r="J151" s="9" t="s">
        <v>605</v>
      </c>
      <c r="K151" s="9" t="s">
        <v>123</v>
      </c>
      <c r="L151" s="9" t="s">
        <v>605</v>
      </c>
      <c r="M151" s="9" t="s">
        <v>605</v>
      </c>
      <c r="N151" s="9" t="s">
        <v>605</v>
      </c>
      <c r="O151" s="9">
        <v>0.65</v>
      </c>
      <c r="P151" s="14" t="s">
        <v>220</v>
      </c>
      <c r="Q151">
        <v>87.7</v>
      </c>
      <c r="R151">
        <v>1</v>
      </c>
      <c r="S151" s="2">
        <v>0</v>
      </c>
      <c r="T151" s="3">
        <v>0</v>
      </c>
      <c r="U151" s="3">
        <v>0</v>
      </c>
      <c r="V151" s="4">
        <v>0</v>
      </c>
      <c r="W151" s="2">
        <v>4</v>
      </c>
      <c r="X151" s="3">
        <v>0</v>
      </c>
      <c r="Y151" s="3">
        <v>0</v>
      </c>
      <c r="Z151" s="4">
        <v>0</v>
      </c>
      <c r="AA151" s="2">
        <v>6</v>
      </c>
      <c r="AB151" s="3">
        <v>0</v>
      </c>
      <c r="AC151" s="3">
        <v>0</v>
      </c>
      <c r="AD151" s="4">
        <v>0</v>
      </c>
      <c r="AF151" s="26">
        <f t="shared" si="5"/>
        <v>4.2342021916230545E-5</v>
      </c>
      <c r="AG151" s="26">
        <f t="shared" si="6"/>
        <v>0.99819199566417738</v>
      </c>
      <c r="AI151">
        <v>0</v>
      </c>
      <c r="AJ151">
        <v>87</v>
      </c>
      <c r="AK151">
        <v>67</v>
      </c>
    </row>
    <row r="152" spans="1:37" x14ac:dyDescent="0.35">
      <c r="A152" t="s">
        <v>421</v>
      </c>
      <c r="B152">
        <v>10</v>
      </c>
      <c r="C152" s="9" t="s">
        <v>7</v>
      </c>
      <c r="D152" s="9" t="s">
        <v>8</v>
      </c>
      <c r="E152" s="9" t="s">
        <v>32</v>
      </c>
      <c r="F152" s="9" t="s">
        <v>605</v>
      </c>
      <c r="G152" s="9" t="s">
        <v>35</v>
      </c>
      <c r="H152" s="9" t="s">
        <v>605</v>
      </c>
      <c r="I152" s="9" t="s">
        <v>36</v>
      </c>
      <c r="J152" s="9" t="s">
        <v>605</v>
      </c>
      <c r="K152" s="9" t="s">
        <v>605</v>
      </c>
      <c r="L152" s="9" t="s">
        <v>605</v>
      </c>
      <c r="M152" s="9" t="s">
        <v>605</v>
      </c>
      <c r="N152" s="9" t="s">
        <v>605</v>
      </c>
      <c r="O152" s="9">
        <v>0.72</v>
      </c>
      <c r="P152" s="14" t="s">
        <v>92</v>
      </c>
      <c r="Q152">
        <v>86.2</v>
      </c>
      <c r="R152">
        <v>1</v>
      </c>
      <c r="S152" s="2">
        <v>5</v>
      </c>
      <c r="T152" s="3">
        <v>0</v>
      </c>
      <c r="U152" s="3">
        <v>0</v>
      </c>
      <c r="V152" s="4">
        <v>0</v>
      </c>
      <c r="W152" s="2">
        <v>0</v>
      </c>
      <c r="X152" s="3">
        <v>0</v>
      </c>
      <c r="Y152" s="3">
        <v>0</v>
      </c>
      <c r="Z152" s="4">
        <v>0</v>
      </c>
      <c r="AA152" s="2">
        <v>5</v>
      </c>
      <c r="AB152" s="3">
        <v>0</v>
      </c>
      <c r="AC152" s="3">
        <v>0</v>
      </c>
      <c r="AD152" s="4">
        <v>0</v>
      </c>
      <c r="AF152" s="26">
        <f t="shared" si="5"/>
        <v>4.2342021916230545E-5</v>
      </c>
      <c r="AG152" s="26">
        <f t="shared" si="6"/>
        <v>0.9982343376860936</v>
      </c>
      <c r="AI152">
        <v>48</v>
      </c>
      <c r="AJ152">
        <v>1</v>
      </c>
      <c r="AK152">
        <v>78</v>
      </c>
    </row>
    <row r="153" spans="1:37" x14ac:dyDescent="0.35">
      <c r="A153" t="s">
        <v>549</v>
      </c>
      <c r="B153">
        <v>10</v>
      </c>
      <c r="C153" s="9" t="s">
        <v>7</v>
      </c>
      <c r="D153" s="9" t="s">
        <v>8</v>
      </c>
      <c r="E153" s="9" t="s">
        <v>32</v>
      </c>
      <c r="F153" s="9" t="s">
        <v>605</v>
      </c>
      <c r="G153" s="9" t="s">
        <v>605</v>
      </c>
      <c r="H153" s="9" t="s">
        <v>605</v>
      </c>
      <c r="I153" s="9" t="s">
        <v>605</v>
      </c>
      <c r="J153" s="9" t="s">
        <v>605</v>
      </c>
      <c r="K153" s="9" t="s">
        <v>605</v>
      </c>
      <c r="L153" s="9" t="s">
        <v>605</v>
      </c>
      <c r="M153" s="9" t="s">
        <v>605</v>
      </c>
      <c r="N153" s="9" t="s">
        <v>605</v>
      </c>
      <c r="O153" s="9">
        <v>0.98</v>
      </c>
      <c r="P153" s="14" t="s">
        <v>436</v>
      </c>
      <c r="Q153">
        <v>88.1</v>
      </c>
      <c r="R153">
        <v>2</v>
      </c>
      <c r="S153" s="2">
        <v>3</v>
      </c>
      <c r="T153" s="3">
        <v>0</v>
      </c>
      <c r="U153" s="3">
        <v>0</v>
      </c>
      <c r="V153" s="4">
        <v>0</v>
      </c>
      <c r="W153" s="2">
        <v>2</v>
      </c>
      <c r="X153" s="3">
        <v>0</v>
      </c>
      <c r="Y153" s="3">
        <v>0</v>
      </c>
      <c r="Z153" s="4">
        <v>0</v>
      </c>
      <c r="AA153" s="2">
        <v>5</v>
      </c>
      <c r="AB153" s="3">
        <v>0</v>
      </c>
      <c r="AC153" s="3">
        <v>0</v>
      </c>
      <c r="AD153" s="4">
        <v>0</v>
      </c>
      <c r="AF153" s="26">
        <f t="shared" si="5"/>
        <v>4.2342021916230545E-5</v>
      </c>
      <c r="AG153" s="26">
        <f t="shared" si="6"/>
        <v>0.99827667970800982</v>
      </c>
      <c r="AI153">
        <v>0</v>
      </c>
      <c r="AJ153">
        <v>0</v>
      </c>
      <c r="AK153">
        <v>0</v>
      </c>
    </row>
    <row r="154" spans="1:37" x14ac:dyDescent="0.35">
      <c r="A154" t="s">
        <v>519</v>
      </c>
      <c r="B154">
        <v>10</v>
      </c>
      <c r="C154" s="9" t="s">
        <v>7</v>
      </c>
      <c r="D154" s="9" t="s">
        <v>8</v>
      </c>
      <c r="E154" s="9" t="s">
        <v>46</v>
      </c>
      <c r="F154" s="9" t="s">
        <v>605</v>
      </c>
      <c r="G154" s="9" t="s">
        <v>47</v>
      </c>
      <c r="H154" s="9" t="s">
        <v>605</v>
      </c>
      <c r="I154" s="9" t="s">
        <v>61</v>
      </c>
      <c r="J154" s="9" t="s">
        <v>605</v>
      </c>
      <c r="K154" s="9" t="s">
        <v>605</v>
      </c>
      <c r="L154" s="9" t="s">
        <v>605</v>
      </c>
      <c r="M154" s="9" t="s">
        <v>605</v>
      </c>
      <c r="N154" s="9" t="s">
        <v>605</v>
      </c>
      <c r="O154" s="9">
        <v>0.55000000000000004</v>
      </c>
      <c r="P154" s="14" t="s">
        <v>434</v>
      </c>
      <c r="Q154">
        <v>88.5</v>
      </c>
      <c r="R154">
        <v>6</v>
      </c>
      <c r="S154" s="2">
        <v>3</v>
      </c>
      <c r="T154" s="3">
        <v>0</v>
      </c>
      <c r="U154" s="3">
        <v>0</v>
      </c>
      <c r="V154" s="4">
        <v>0</v>
      </c>
      <c r="W154" s="2">
        <v>0</v>
      </c>
      <c r="X154" s="3">
        <v>0</v>
      </c>
      <c r="Y154" s="3">
        <v>0</v>
      </c>
      <c r="Z154" s="4">
        <v>0</v>
      </c>
      <c r="AA154" s="2">
        <v>7</v>
      </c>
      <c r="AB154" s="3">
        <v>0</v>
      </c>
      <c r="AC154" s="3">
        <v>0</v>
      </c>
      <c r="AD154" s="4">
        <v>0</v>
      </c>
      <c r="AF154" s="26">
        <f t="shared" si="5"/>
        <v>4.2342021916230545E-5</v>
      </c>
      <c r="AG154" s="26">
        <f t="shared" si="6"/>
        <v>0.99831902172992604</v>
      </c>
      <c r="AI154">
        <v>57</v>
      </c>
      <c r="AJ154">
        <v>8</v>
      </c>
      <c r="AK154">
        <v>100</v>
      </c>
    </row>
    <row r="155" spans="1:37" x14ac:dyDescent="0.35">
      <c r="A155" t="s">
        <v>431</v>
      </c>
      <c r="B155">
        <v>10</v>
      </c>
      <c r="C155" s="9" t="s">
        <v>7</v>
      </c>
      <c r="D155" s="9" t="s">
        <v>8</v>
      </c>
      <c r="E155" s="9" t="s">
        <v>46</v>
      </c>
      <c r="F155" s="9" t="s">
        <v>605</v>
      </c>
      <c r="G155" s="9" t="s">
        <v>47</v>
      </c>
      <c r="H155" s="9" t="s">
        <v>605</v>
      </c>
      <c r="I155" s="9" t="s">
        <v>61</v>
      </c>
      <c r="J155" s="9" t="s">
        <v>605</v>
      </c>
      <c r="K155" s="9" t="s">
        <v>157</v>
      </c>
      <c r="L155" s="9" t="s">
        <v>605</v>
      </c>
      <c r="M155" s="9" t="s">
        <v>440</v>
      </c>
      <c r="N155" s="9" t="s">
        <v>605</v>
      </c>
      <c r="O155" s="9">
        <v>0.61</v>
      </c>
      <c r="P155" s="14" t="s">
        <v>441</v>
      </c>
      <c r="Q155">
        <v>96.8</v>
      </c>
      <c r="R155">
        <v>1</v>
      </c>
      <c r="S155" s="2">
        <v>4</v>
      </c>
      <c r="T155" s="3">
        <v>0</v>
      </c>
      <c r="U155" s="3">
        <v>0</v>
      </c>
      <c r="V155" s="4">
        <v>0</v>
      </c>
      <c r="W155" s="2">
        <v>2</v>
      </c>
      <c r="X155" s="3">
        <v>0</v>
      </c>
      <c r="Y155" s="3">
        <v>0</v>
      </c>
      <c r="Z155" s="4">
        <v>0</v>
      </c>
      <c r="AA155" s="2">
        <v>4</v>
      </c>
      <c r="AB155" s="3">
        <v>0</v>
      </c>
      <c r="AC155" s="3">
        <v>0</v>
      </c>
      <c r="AD155" s="4">
        <v>0</v>
      </c>
      <c r="AF155" s="26">
        <f t="shared" si="5"/>
        <v>4.2342021916230545E-5</v>
      </c>
      <c r="AG155" s="26">
        <f t="shared" si="6"/>
        <v>0.99836136375184226</v>
      </c>
      <c r="AI155">
        <v>3</v>
      </c>
      <c r="AJ155">
        <v>0</v>
      </c>
      <c r="AK155">
        <v>7</v>
      </c>
    </row>
    <row r="156" spans="1:37" x14ac:dyDescent="0.35">
      <c r="A156" t="s">
        <v>501</v>
      </c>
      <c r="B156">
        <v>10</v>
      </c>
      <c r="C156" s="9" t="s">
        <v>7</v>
      </c>
      <c r="D156" s="9" t="s">
        <v>8</v>
      </c>
      <c r="E156" s="9" t="s">
        <v>46</v>
      </c>
      <c r="F156" s="9" t="s">
        <v>605</v>
      </c>
      <c r="G156" s="9" t="s">
        <v>47</v>
      </c>
      <c r="H156" s="9" t="s">
        <v>605</v>
      </c>
      <c r="I156" s="9" t="s">
        <v>605</v>
      </c>
      <c r="J156" s="9" t="s">
        <v>605</v>
      </c>
      <c r="K156" s="9" t="s">
        <v>605</v>
      </c>
      <c r="L156" s="9" t="s">
        <v>605</v>
      </c>
      <c r="M156" s="9" t="s">
        <v>605</v>
      </c>
      <c r="N156" s="9" t="s">
        <v>605</v>
      </c>
      <c r="O156" s="9">
        <v>0.61</v>
      </c>
      <c r="P156" s="14" t="s">
        <v>438</v>
      </c>
      <c r="Q156">
        <v>89.7</v>
      </c>
      <c r="R156">
        <v>1</v>
      </c>
      <c r="S156" s="2">
        <v>0</v>
      </c>
      <c r="T156" s="3">
        <v>0</v>
      </c>
      <c r="U156" s="3">
        <v>0</v>
      </c>
      <c r="V156" s="4">
        <v>0</v>
      </c>
      <c r="W156" s="2">
        <v>9</v>
      </c>
      <c r="X156" s="3">
        <v>0</v>
      </c>
      <c r="Y156" s="3">
        <v>0</v>
      </c>
      <c r="Z156" s="4">
        <v>0</v>
      </c>
      <c r="AA156" s="2">
        <v>1</v>
      </c>
      <c r="AB156" s="3">
        <v>0</v>
      </c>
      <c r="AC156" s="3">
        <v>0</v>
      </c>
      <c r="AD156" s="4">
        <v>0</v>
      </c>
      <c r="AF156" s="26">
        <f t="shared" si="5"/>
        <v>4.2342021916230545E-5</v>
      </c>
      <c r="AG156" s="26">
        <f t="shared" si="6"/>
        <v>0.99840370577375848</v>
      </c>
      <c r="AI156">
        <v>15</v>
      </c>
      <c r="AJ156">
        <v>100</v>
      </c>
      <c r="AK156">
        <v>40</v>
      </c>
    </row>
    <row r="157" spans="1:37" x14ac:dyDescent="0.35">
      <c r="A157" t="s">
        <v>512</v>
      </c>
      <c r="B157">
        <v>10</v>
      </c>
      <c r="C157" s="9" t="s">
        <v>7</v>
      </c>
      <c r="D157" s="9" t="s">
        <v>8</v>
      </c>
      <c r="E157" s="9" t="s">
        <v>394</v>
      </c>
      <c r="F157" s="9" t="s">
        <v>605</v>
      </c>
      <c r="G157" s="9" t="s">
        <v>395</v>
      </c>
      <c r="H157" s="9" t="s">
        <v>605</v>
      </c>
      <c r="I157" s="9" t="s">
        <v>396</v>
      </c>
      <c r="J157" s="9" t="s">
        <v>605</v>
      </c>
      <c r="K157" s="9" t="s">
        <v>397</v>
      </c>
      <c r="L157" s="9" t="s">
        <v>605</v>
      </c>
      <c r="M157" s="9" t="s">
        <v>398</v>
      </c>
      <c r="N157" s="9" t="s">
        <v>605</v>
      </c>
      <c r="O157" s="9">
        <v>0.9</v>
      </c>
      <c r="P157" s="14" t="s">
        <v>399</v>
      </c>
      <c r="Q157">
        <v>92.9</v>
      </c>
      <c r="R157">
        <v>1</v>
      </c>
      <c r="S157" s="2">
        <v>1</v>
      </c>
      <c r="T157" s="3">
        <v>0</v>
      </c>
      <c r="U157" s="3">
        <v>0</v>
      </c>
      <c r="V157" s="4">
        <v>0</v>
      </c>
      <c r="W157" s="2">
        <v>2</v>
      </c>
      <c r="X157" s="3">
        <v>0</v>
      </c>
      <c r="Y157" s="3">
        <v>0</v>
      </c>
      <c r="Z157" s="4">
        <v>0</v>
      </c>
      <c r="AA157" s="2">
        <v>7</v>
      </c>
      <c r="AB157" s="3">
        <v>0</v>
      </c>
      <c r="AC157" s="3">
        <v>0</v>
      </c>
      <c r="AD157" s="4">
        <v>0</v>
      </c>
      <c r="AF157" s="26">
        <f t="shared" si="5"/>
        <v>4.2342021916230545E-5</v>
      </c>
      <c r="AG157" s="26">
        <f t="shared" si="6"/>
        <v>0.9984460477956747</v>
      </c>
      <c r="AI157">
        <v>0</v>
      </c>
      <c r="AJ157">
        <v>0</v>
      </c>
      <c r="AK157">
        <v>0</v>
      </c>
    </row>
    <row r="158" spans="1:37" x14ac:dyDescent="0.35">
      <c r="A158" t="s">
        <v>155</v>
      </c>
      <c r="B158">
        <v>9</v>
      </c>
      <c r="C158" s="9" t="s">
        <v>7</v>
      </c>
      <c r="D158" s="9" t="s">
        <v>8</v>
      </c>
      <c r="E158" s="9" t="s">
        <v>32</v>
      </c>
      <c r="F158" s="9" t="s">
        <v>605</v>
      </c>
      <c r="G158" s="9" t="s">
        <v>445</v>
      </c>
      <c r="H158" s="9" t="s">
        <v>605</v>
      </c>
      <c r="I158" s="9" t="s">
        <v>446</v>
      </c>
      <c r="J158" s="9" t="s">
        <v>605</v>
      </c>
      <c r="K158" s="9" t="s">
        <v>605</v>
      </c>
      <c r="L158" s="9" t="s">
        <v>605</v>
      </c>
      <c r="M158" s="9" t="s">
        <v>605</v>
      </c>
      <c r="N158" s="9" t="s">
        <v>605</v>
      </c>
      <c r="O158" s="9">
        <v>0.5</v>
      </c>
      <c r="P158" s="14" t="s">
        <v>33</v>
      </c>
      <c r="Q158">
        <v>88.9</v>
      </c>
      <c r="R158">
        <v>1</v>
      </c>
      <c r="S158" s="2">
        <v>0</v>
      </c>
      <c r="T158" s="3">
        <v>0</v>
      </c>
      <c r="U158" s="3">
        <v>0</v>
      </c>
      <c r="V158" s="4">
        <v>0</v>
      </c>
      <c r="W158" s="2">
        <v>5</v>
      </c>
      <c r="X158" s="3">
        <v>0</v>
      </c>
      <c r="Y158" s="3">
        <v>0</v>
      </c>
      <c r="Z158" s="4">
        <v>0</v>
      </c>
      <c r="AA158" s="2">
        <v>4</v>
      </c>
      <c r="AB158" s="3">
        <v>0</v>
      </c>
      <c r="AC158" s="3">
        <v>0</v>
      </c>
      <c r="AD158" s="4">
        <v>0</v>
      </c>
      <c r="AF158" s="26">
        <f t="shared" si="5"/>
        <v>3.8107819724607487E-5</v>
      </c>
      <c r="AG158" s="26">
        <f t="shared" si="6"/>
        <v>0.99848415561539927</v>
      </c>
      <c r="AI158">
        <v>0</v>
      </c>
      <c r="AJ158">
        <v>0</v>
      </c>
      <c r="AK158">
        <v>0</v>
      </c>
    </row>
    <row r="159" spans="1:37" x14ac:dyDescent="0.35">
      <c r="A159" t="s">
        <v>532</v>
      </c>
      <c r="B159">
        <v>9</v>
      </c>
      <c r="C159" s="9" t="s">
        <v>7</v>
      </c>
      <c r="D159" s="9" t="s">
        <v>8</v>
      </c>
      <c r="E159" s="9" t="s">
        <v>9</v>
      </c>
      <c r="F159" s="9" t="s">
        <v>605</v>
      </c>
      <c r="G159" s="9" t="s">
        <v>10</v>
      </c>
      <c r="H159" s="9" t="s">
        <v>605</v>
      </c>
      <c r="I159" s="9" t="s">
        <v>107</v>
      </c>
      <c r="J159" s="9" t="s">
        <v>605</v>
      </c>
      <c r="K159" s="9" t="s">
        <v>108</v>
      </c>
      <c r="L159" s="9" t="s">
        <v>605</v>
      </c>
      <c r="M159" s="9" t="s">
        <v>109</v>
      </c>
      <c r="N159" s="9" t="s">
        <v>605</v>
      </c>
      <c r="O159" s="9">
        <v>1</v>
      </c>
      <c r="P159" s="14" t="s">
        <v>449</v>
      </c>
      <c r="Q159">
        <v>99.2</v>
      </c>
      <c r="R159">
        <v>1</v>
      </c>
      <c r="S159" s="2">
        <v>7</v>
      </c>
      <c r="T159" s="3">
        <v>0</v>
      </c>
      <c r="U159" s="3">
        <v>0</v>
      </c>
      <c r="V159" s="4">
        <v>0</v>
      </c>
      <c r="W159" s="2">
        <v>1</v>
      </c>
      <c r="X159" s="3">
        <v>0</v>
      </c>
      <c r="Y159" s="3">
        <v>0</v>
      </c>
      <c r="Z159" s="4">
        <v>0</v>
      </c>
      <c r="AA159" s="2">
        <v>1</v>
      </c>
      <c r="AB159" s="3">
        <v>0</v>
      </c>
      <c r="AC159" s="3">
        <v>0</v>
      </c>
      <c r="AD159" s="4">
        <v>0</v>
      </c>
      <c r="AF159" s="26">
        <f t="shared" si="5"/>
        <v>3.8107819724607487E-5</v>
      </c>
      <c r="AG159" s="26">
        <f t="shared" si="6"/>
        <v>0.99852226343512385</v>
      </c>
      <c r="AI159">
        <v>72</v>
      </c>
      <c r="AJ159">
        <v>0</v>
      </c>
      <c r="AK159">
        <v>0</v>
      </c>
    </row>
    <row r="160" spans="1:37" x14ac:dyDescent="0.35">
      <c r="A160" t="s">
        <v>447</v>
      </c>
      <c r="B160">
        <v>9</v>
      </c>
      <c r="C160" s="9" t="s">
        <v>7</v>
      </c>
      <c r="D160" s="9" t="s">
        <v>8</v>
      </c>
      <c r="E160" s="9" t="s">
        <v>32</v>
      </c>
      <c r="F160" s="9" t="s">
        <v>605</v>
      </c>
      <c r="G160" s="9" t="s">
        <v>35</v>
      </c>
      <c r="H160" s="9" t="s">
        <v>605</v>
      </c>
      <c r="I160" s="9" t="s">
        <v>36</v>
      </c>
      <c r="J160" s="9" t="s">
        <v>605</v>
      </c>
      <c r="K160" s="9" t="s">
        <v>37</v>
      </c>
      <c r="L160" s="9" t="s">
        <v>605</v>
      </c>
      <c r="M160" s="9" t="s">
        <v>605</v>
      </c>
      <c r="N160" s="9" t="s">
        <v>605</v>
      </c>
      <c r="O160" s="9">
        <v>0.87</v>
      </c>
      <c r="P160" s="14" t="s">
        <v>401</v>
      </c>
      <c r="Q160">
        <v>91.3</v>
      </c>
      <c r="R160">
        <v>1</v>
      </c>
      <c r="S160" s="2">
        <v>2</v>
      </c>
      <c r="T160" s="3">
        <v>0</v>
      </c>
      <c r="U160" s="3">
        <v>0</v>
      </c>
      <c r="V160" s="4">
        <v>0</v>
      </c>
      <c r="W160" s="2">
        <v>2</v>
      </c>
      <c r="X160" s="3">
        <v>0</v>
      </c>
      <c r="Y160" s="3">
        <v>0</v>
      </c>
      <c r="Z160" s="4">
        <v>0</v>
      </c>
      <c r="AA160" s="2">
        <v>5</v>
      </c>
      <c r="AB160" s="3">
        <v>0</v>
      </c>
      <c r="AC160" s="3">
        <v>0</v>
      </c>
      <c r="AD160" s="4">
        <v>0</v>
      </c>
      <c r="AF160" s="26">
        <f t="shared" si="5"/>
        <v>3.8107819724607487E-5</v>
      </c>
      <c r="AG160" s="26">
        <f t="shared" si="6"/>
        <v>0.99856037125484842</v>
      </c>
      <c r="AI160">
        <v>3</v>
      </c>
      <c r="AJ160">
        <v>1</v>
      </c>
      <c r="AK160">
        <v>3</v>
      </c>
    </row>
    <row r="161" spans="1:37" x14ac:dyDescent="0.35">
      <c r="A161" t="s">
        <v>515</v>
      </c>
      <c r="B161">
        <v>9</v>
      </c>
      <c r="C161" s="9" t="s">
        <v>7</v>
      </c>
      <c r="D161" s="9" t="s">
        <v>8</v>
      </c>
      <c r="E161" s="9" t="s">
        <v>605</v>
      </c>
      <c r="F161" s="9" t="s">
        <v>605</v>
      </c>
      <c r="G161" s="9" t="s">
        <v>605</v>
      </c>
      <c r="H161" s="9" t="s">
        <v>605</v>
      </c>
      <c r="I161" s="9" t="s">
        <v>605</v>
      </c>
      <c r="J161" s="9" t="s">
        <v>605</v>
      </c>
      <c r="K161" s="9" t="s">
        <v>605</v>
      </c>
      <c r="L161" s="9" t="s">
        <v>605</v>
      </c>
      <c r="M161" s="9" t="s">
        <v>605</v>
      </c>
      <c r="N161" s="9" t="s">
        <v>605</v>
      </c>
      <c r="O161" s="9">
        <v>1</v>
      </c>
      <c r="P161" s="14" t="s">
        <v>457</v>
      </c>
      <c r="Q161">
        <v>87</v>
      </c>
      <c r="R161">
        <v>1</v>
      </c>
      <c r="S161" s="2">
        <v>0</v>
      </c>
      <c r="T161" s="3">
        <v>0</v>
      </c>
      <c r="U161" s="3">
        <v>0</v>
      </c>
      <c r="V161" s="4">
        <v>0</v>
      </c>
      <c r="W161" s="2">
        <v>9</v>
      </c>
      <c r="X161" s="3">
        <v>0</v>
      </c>
      <c r="Y161" s="3">
        <v>0</v>
      </c>
      <c r="Z161" s="4">
        <v>0</v>
      </c>
      <c r="AA161" s="2">
        <v>0</v>
      </c>
      <c r="AB161" s="3">
        <v>0</v>
      </c>
      <c r="AC161" s="3">
        <v>0</v>
      </c>
      <c r="AD161" s="4">
        <v>0</v>
      </c>
      <c r="AF161" s="26">
        <f t="shared" si="5"/>
        <v>3.8107819724607487E-5</v>
      </c>
      <c r="AG161" s="26">
        <f t="shared" si="6"/>
        <v>0.998598479074573</v>
      </c>
      <c r="AI161">
        <v>15</v>
      </c>
      <c r="AJ161">
        <v>74</v>
      </c>
      <c r="AK161">
        <v>44</v>
      </c>
    </row>
    <row r="162" spans="1:37" x14ac:dyDescent="0.35">
      <c r="A162" t="s">
        <v>490</v>
      </c>
      <c r="B162">
        <v>9</v>
      </c>
      <c r="C162" s="9" t="s">
        <v>7</v>
      </c>
      <c r="D162" s="9" t="s">
        <v>8</v>
      </c>
      <c r="E162" s="9" t="s">
        <v>605</v>
      </c>
      <c r="F162" s="9" t="s">
        <v>605</v>
      </c>
      <c r="G162" s="9" t="s">
        <v>605</v>
      </c>
      <c r="H162" s="9" t="s">
        <v>605</v>
      </c>
      <c r="I162" s="9" t="s">
        <v>605</v>
      </c>
      <c r="J162" s="9" t="s">
        <v>605</v>
      </c>
      <c r="K162" s="9" t="s">
        <v>605</v>
      </c>
      <c r="L162" s="9" t="s">
        <v>605</v>
      </c>
      <c r="M162" s="9" t="s">
        <v>605</v>
      </c>
      <c r="N162" s="9" t="s">
        <v>605</v>
      </c>
      <c r="O162" s="9">
        <v>1</v>
      </c>
      <c r="P162" s="14" t="s">
        <v>98</v>
      </c>
      <c r="Q162">
        <v>0</v>
      </c>
      <c r="R162">
        <v>1</v>
      </c>
      <c r="S162" s="2">
        <v>3</v>
      </c>
      <c r="T162" s="3">
        <v>0</v>
      </c>
      <c r="U162" s="3">
        <v>0</v>
      </c>
      <c r="V162" s="4">
        <v>0</v>
      </c>
      <c r="W162" s="2">
        <v>4</v>
      </c>
      <c r="X162" s="3">
        <v>0</v>
      </c>
      <c r="Y162" s="3">
        <v>0</v>
      </c>
      <c r="Z162" s="4">
        <v>0</v>
      </c>
      <c r="AA162" s="2">
        <v>2</v>
      </c>
      <c r="AB162" s="3">
        <v>0</v>
      </c>
      <c r="AC162" s="3">
        <v>0</v>
      </c>
      <c r="AD162" s="4">
        <v>0</v>
      </c>
      <c r="AF162" s="26">
        <f t="shared" si="5"/>
        <v>3.8107819724607487E-5</v>
      </c>
      <c r="AG162" s="26">
        <f t="shared" si="6"/>
        <v>0.99863658689429757</v>
      </c>
      <c r="AI162">
        <v>0</v>
      </c>
      <c r="AJ162">
        <v>12</v>
      </c>
      <c r="AK162">
        <v>20</v>
      </c>
    </row>
    <row r="163" spans="1:37" x14ac:dyDescent="0.35">
      <c r="A163" t="s">
        <v>472</v>
      </c>
      <c r="B163">
        <v>9</v>
      </c>
      <c r="C163" s="9" t="s">
        <v>7</v>
      </c>
      <c r="D163" s="9" t="s">
        <v>8</v>
      </c>
      <c r="E163" s="9" t="s">
        <v>46</v>
      </c>
      <c r="F163" s="9" t="s">
        <v>605</v>
      </c>
      <c r="G163" s="9" t="s">
        <v>47</v>
      </c>
      <c r="H163" s="9" t="s">
        <v>605</v>
      </c>
      <c r="I163" s="9" t="s">
        <v>69</v>
      </c>
      <c r="J163" s="9" t="s">
        <v>605</v>
      </c>
      <c r="K163" s="9" t="s">
        <v>70</v>
      </c>
      <c r="L163" s="9" t="s">
        <v>605</v>
      </c>
      <c r="M163" s="9" t="s">
        <v>459</v>
      </c>
      <c r="N163" s="9" t="s">
        <v>605</v>
      </c>
      <c r="O163" s="9">
        <v>0.98</v>
      </c>
      <c r="P163" s="14" t="s">
        <v>460</v>
      </c>
      <c r="Q163">
        <v>95.7</v>
      </c>
      <c r="R163">
        <v>3</v>
      </c>
      <c r="S163" s="2">
        <v>0</v>
      </c>
      <c r="T163" s="3">
        <v>0</v>
      </c>
      <c r="U163" s="3">
        <v>0</v>
      </c>
      <c r="V163" s="4">
        <v>0</v>
      </c>
      <c r="W163" s="2">
        <v>3</v>
      </c>
      <c r="X163" s="3">
        <v>0</v>
      </c>
      <c r="Y163" s="3">
        <v>0</v>
      </c>
      <c r="Z163" s="4">
        <v>0</v>
      </c>
      <c r="AA163" s="2">
        <v>6</v>
      </c>
      <c r="AB163" s="3">
        <v>0</v>
      </c>
      <c r="AC163" s="3">
        <v>0</v>
      </c>
      <c r="AD163" s="4">
        <v>0</v>
      </c>
      <c r="AF163" s="26">
        <f t="shared" si="5"/>
        <v>3.8107819724607487E-5</v>
      </c>
      <c r="AG163" s="26">
        <f t="shared" si="6"/>
        <v>0.99867469471402215</v>
      </c>
      <c r="AI163">
        <v>11</v>
      </c>
      <c r="AJ163">
        <v>73</v>
      </c>
      <c r="AK163">
        <v>100</v>
      </c>
    </row>
    <row r="164" spans="1:37" x14ac:dyDescent="0.35">
      <c r="A164" t="s">
        <v>409</v>
      </c>
      <c r="B164">
        <v>9</v>
      </c>
      <c r="C164" s="9" t="s">
        <v>7</v>
      </c>
      <c r="D164" s="9" t="s">
        <v>8</v>
      </c>
      <c r="E164" s="9" t="s">
        <v>46</v>
      </c>
      <c r="F164" s="9" t="s">
        <v>605</v>
      </c>
      <c r="G164" s="9" t="s">
        <v>47</v>
      </c>
      <c r="H164" s="9" t="s">
        <v>605</v>
      </c>
      <c r="I164" s="9" t="s">
        <v>61</v>
      </c>
      <c r="J164" s="9" t="s">
        <v>605</v>
      </c>
      <c r="K164" s="9" t="s">
        <v>605</v>
      </c>
      <c r="L164" s="9" t="s">
        <v>605</v>
      </c>
      <c r="M164" s="9" t="s">
        <v>605</v>
      </c>
      <c r="N164" s="9" t="s">
        <v>605</v>
      </c>
      <c r="O164" s="9">
        <v>0.84</v>
      </c>
      <c r="P164" s="14" t="s">
        <v>321</v>
      </c>
      <c r="Q164">
        <v>91.7</v>
      </c>
      <c r="R164">
        <v>1</v>
      </c>
      <c r="S164" s="2">
        <v>0</v>
      </c>
      <c r="T164" s="3">
        <v>0</v>
      </c>
      <c r="U164" s="3">
        <v>0</v>
      </c>
      <c r="V164" s="4">
        <v>0</v>
      </c>
      <c r="W164" s="2">
        <v>0</v>
      </c>
      <c r="X164" s="3">
        <v>0</v>
      </c>
      <c r="Y164" s="3">
        <v>0</v>
      </c>
      <c r="Z164" s="4">
        <v>0</v>
      </c>
      <c r="AA164" s="2">
        <v>0</v>
      </c>
      <c r="AB164" s="3">
        <v>9</v>
      </c>
      <c r="AC164" s="3">
        <v>0</v>
      </c>
      <c r="AD164" s="4">
        <v>0</v>
      </c>
      <c r="AF164" s="26">
        <f t="shared" si="5"/>
        <v>3.8107819724607487E-5</v>
      </c>
      <c r="AG164" s="26">
        <f t="shared" si="6"/>
        <v>0.99871280253374672</v>
      </c>
      <c r="AI164">
        <v>75</v>
      </c>
      <c r="AJ164">
        <v>33</v>
      </c>
      <c r="AK164">
        <v>100</v>
      </c>
    </row>
    <row r="165" spans="1:37" x14ac:dyDescent="0.35">
      <c r="A165" t="s">
        <v>489</v>
      </c>
      <c r="B165">
        <v>9</v>
      </c>
      <c r="C165" s="9" t="s">
        <v>7</v>
      </c>
      <c r="D165" s="9" t="s">
        <v>8</v>
      </c>
      <c r="E165" s="9" t="s">
        <v>451</v>
      </c>
      <c r="F165" s="9" t="s">
        <v>605</v>
      </c>
      <c r="G165" s="9" t="s">
        <v>451</v>
      </c>
      <c r="H165" s="9" t="s">
        <v>605</v>
      </c>
      <c r="I165" s="9" t="s">
        <v>452</v>
      </c>
      <c r="J165" s="9" t="s">
        <v>605</v>
      </c>
      <c r="K165" s="9" t="s">
        <v>453</v>
      </c>
      <c r="L165" s="9" t="s">
        <v>605</v>
      </c>
      <c r="M165" s="9" t="s">
        <v>454</v>
      </c>
      <c r="N165" s="9" t="s">
        <v>605</v>
      </c>
      <c r="O165" s="9">
        <v>1</v>
      </c>
      <c r="P165" s="14" t="s">
        <v>455</v>
      </c>
      <c r="Q165">
        <v>99.2</v>
      </c>
      <c r="R165">
        <v>1</v>
      </c>
      <c r="S165" s="2">
        <v>3</v>
      </c>
      <c r="T165" s="3">
        <v>0</v>
      </c>
      <c r="U165" s="3">
        <v>0</v>
      </c>
      <c r="V165" s="4">
        <v>0</v>
      </c>
      <c r="W165" s="2">
        <v>5</v>
      </c>
      <c r="X165" s="3">
        <v>0</v>
      </c>
      <c r="Y165" s="3">
        <v>0</v>
      </c>
      <c r="Z165" s="4">
        <v>0</v>
      </c>
      <c r="AA165" s="2">
        <v>1</v>
      </c>
      <c r="AB165" s="3">
        <v>0</v>
      </c>
      <c r="AC165" s="3">
        <v>0</v>
      </c>
      <c r="AD165" s="4">
        <v>0</v>
      </c>
      <c r="AF165" s="26">
        <f t="shared" si="5"/>
        <v>3.8107819724607487E-5</v>
      </c>
      <c r="AG165" s="26">
        <f t="shared" si="6"/>
        <v>0.9987509103534713</v>
      </c>
      <c r="AI165">
        <v>40</v>
      </c>
      <c r="AJ165">
        <v>0</v>
      </c>
      <c r="AK165">
        <v>0</v>
      </c>
    </row>
    <row r="166" spans="1:37" x14ac:dyDescent="0.35">
      <c r="A166" t="s">
        <v>393</v>
      </c>
      <c r="B166">
        <v>9</v>
      </c>
      <c r="C166" s="9" t="s">
        <v>7</v>
      </c>
      <c r="D166" s="9" t="s">
        <v>8</v>
      </c>
      <c r="E166" s="9" t="s">
        <v>46</v>
      </c>
      <c r="F166" s="9" t="s">
        <v>605</v>
      </c>
      <c r="G166" s="9" t="s">
        <v>47</v>
      </c>
      <c r="H166" s="9" t="s">
        <v>605</v>
      </c>
      <c r="I166" s="9" t="s">
        <v>61</v>
      </c>
      <c r="J166" s="9" t="s">
        <v>605</v>
      </c>
      <c r="K166" s="9" t="s">
        <v>84</v>
      </c>
      <c r="L166" s="9" t="s">
        <v>605</v>
      </c>
      <c r="M166" s="9" t="s">
        <v>463</v>
      </c>
      <c r="N166" s="9" t="s">
        <v>605</v>
      </c>
      <c r="O166" s="9">
        <v>0.57999999999999996</v>
      </c>
      <c r="P166" s="14" t="s">
        <v>464</v>
      </c>
      <c r="Q166">
        <v>99.2</v>
      </c>
      <c r="R166">
        <v>1</v>
      </c>
      <c r="S166" s="2">
        <v>7</v>
      </c>
      <c r="T166" s="3">
        <v>0</v>
      </c>
      <c r="U166" s="3">
        <v>0</v>
      </c>
      <c r="V166" s="4">
        <v>0</v>
      </c>
      <c r="W166" s="2">
        <v>1</v>
      </c>
      <c r="X166" s="3">
        <v>0</v>
      </c>
      <c r="Y166" s="3">
        <v>0</v>
      </c>
      <c r="Z166" s="4">
        <v>0</v>
      </c>
      <c r="AA166" s="2">
        <v>1</v>
      </c>
      <c r="AB166" s="3">
        <v>0</v>
      </c>
      <c r="AC166" s="3">
        <v>0</v>
      </c>
      <c r="AD166" s="4">
        <v>0</v>
      </c>
      <c r="AF166" s="26">
        <f t="shared" si="5"/>
        <v>3.8107819724607487E-5</v>
      </c>
      <c r="AG166" s="26">
        <f t="shared" si="6"/>
        <v>0.99878901817319587</v>
      </c>
      <c r="AI166">
        <v>76</v>
      </c>
      <c r="AJ166">
        <v>9</v>
      </c>
      <c r="AK166">
        <v>34</v>
      </c>
    </row>
    <row r="167" spans="1:37" x14ac:dyDescent="0.35">
      <c r="A167" t="s">
        <v>477</v>
      </c>
      <c r="B167">
        <v>8</v>
      </c>
      <c r="C167" s="9" t="s">
        <v>7</v>
      </c>
      <c r="D167" s="9" t="s">
        <v>8</v>
      </c>
      <c r="E167" s="9" t="s">
        <v>46</v>
      </c>
      <c r="F167" s="9" t="s">
        <v>605</v>
      </c>
      <c r="G167" s="9" t="s">
        <v>47</v>
      </c>
      <c r="H167" s="9" t="s">
        <v>605</v>
      </c>
      <c r="I167" s="9" t="s">
        <v>61</v>
      </c>
      <c r="J167" s="9" t="s">
        <v>605</v>
      </c>
      <c r="K167" s="9" t="s">
        <v>605</v>
      </c>
      <c r="L167" s="9" t="s">
        <v>605</v>
      </c>
      <c r="M167" s="9" t="s">
        <v>605</v>
      </c>
      <c r="N167" s="9" t="s">
        <v>605</v>
      </c>
      <c r="O167" s="9">
        <v>0.99</v>
      </c>
      <c r="P167" s="14" t="s">
        <v>470</v>
      </c>
      <c r="Q167">
        <v>93.3</v>
      </c>
      <c r="R167">
        <v>1</v>
      </c>
      <c r="S167" s="2">
        <v>8</v>
      </c>
      <c r="T167" s="3">
        <v>0</v>
      </c>
      <c r="U167" s="3">
        <v>0</v>
      </c>
      <c r="V167" s="4">
        <v>0</v>
      </c>
      <c r="W167" s="2">
        <v>0</v>
      </c>
      <c r="X167" s="3">
        <v>0</v>
      </c>
      <c r="Y167" s="3">
        <v>0</v>
      </c>
      <c r="Z167" s="4">
        <v>0</v>
      </c>
      <c r="AA167" s="2">
        <v>0</v>
      </c>
      <c r="AB167" s="3">
        <v>0</v>
      </c>
      <c r="AC167" s="3">
        <v>0</v>
      </c>
      <c r="AD167" s="4">
        <v>0</v>
      </c>
      <c r="AF167" s="26">
        <f t="shared" si="5"/>
        <v>3.3873617532984437E-5</v>
      </c>
      <c r="AG167" s="26">
        <f t="shared" si="6"/>
        <v>0.99882289179072881</v>
      </c>
      <c r="AI167">
        <v>20</v>
      </c>
      <c r="AJ167">
        <v>9</v>
      </c>
      <c r="AK167">
        <v>23</v>
      </c>
    </row>
    <row r="168" spans="1:37" x14ac:dyDescent="0.35">
      <c r="A168" t="s">
        <v>513</v>
      </c>
      <c r="B168">
        <v>8</v>
      </c>
      <c r="C168" s="9" t="s">
        <v>7</v>
      </c>
      <c r="D168" s="9" t="s">
        <v>8</v>
      </c>
      <c r="E168" s="9" t="s">
        <v>32</v>
      </c>
      <c r="F168" s="9" t="s">
        <v>605</v>
      </c>
      <c r="G168" s="9" t="s">
        <v>35</v>
      </c>
      <c r="H168" s="9" t="s">
        <v>605</v>
      </c>
      <c r="I168" s="9" t="s">
        <v>36</v>
      </c>
      <c r="J168" s="9" t="s">
        <v>605</v>
      </c>
      <c r="K168" s="9" t="s">
        <v>37</v>
      </c>
      <c r="L168" s="9" t="s">
        <v>605</v>
      </c>
      <c r="M168" s="9" t="s">
        <v>605</v>
      </c>
      <c r="N168" s="9" t="s">
        <v>605</v>
      </c>
      <c r="O168" s="9">
        <v>0.97</v>
      </c>
      <c r="P168" s="14" t="s">
        <v>401</v>
      </c>
      <c r="Q168">
        <v>93.7</v>
      </c>
      <c r="R168">
        <v>1</v>
      </c>
      <c r="S168" s="2">
        <v>2</v>
      </c>
      <c r="T168" s="3">
        <v>0</v>
      </c>
      <c r="U168" s="3">
        <v>0</v>
      </c>
      <c r="V168" s="4">
        <v>0</v>
      </c>
      <c r="W168" s="2">
        <v>3</v>
      </c>
      <c r="X168" s="3">
        <v>0</v>
      </c>
      <c r="Y168" s="3">
        <v>0</v>
      </c>
      <c r="Z168" s="4">
        <v>0</v>
      </c>
      <c r="AA168" s="2">
        <v>3</v>
      </c>
      <c r="AB168" s="3">
        <v>0</v>
      </c>
      <c r="AC168" s="3">
        <v>0</v>
      </c>
      <c r="AD168" s="4">
        <v>0</v>
      </c>
      <c r="AF168" s="26">
        <f t="shared" si="5"/>
        <v>3.3873617532984437E-5</v>
      </c>
      <c r="AG168" s="26">
        <f t="shared" si="6"/>
        <v>0.99885676540826174</v>
      </c>
      <c r="AI168">
        <v>0</v>
      </c>
      <c r="AJ168">
        <v>0</v>
      </c>
      <c r="AK168">
        <v>0</v>
      </c>
    </row>
    <row r="169" spans="1:37" x14ac:dyDescent="0.35">
      <c r="A169" t="s">
        <v>382</v>
      </c>
      <c r="B169">
        <v>8</v>
      </c>
      <c r="C169" s="9" t="s">
        <v>7</v>
      </c>
      <c r="D169" s="9" t="s">
        <v>8</v>
      </c>
      <c r="E169" s="9" t="s">
        <v>46</v>
      </c>
      <c r="F169" s="9" t="s">
        <v>605</v>
      </c>
      <c r="G169" s="9" t="s">
        <v>605</v>
      </c>
      <c r="H169" s="9" t="s">
        <v>605</v>
      </c>
      <c r="I169" s="9" t="s">
        <v>605</v>
      </c>
      <c r="J169" s="9" t="s">
        <v>605</v>
      </c>
      <c r="K169" s="9" t="s">
        <v>605</v>
      </c>
      <c r="L169" s="9" t="s">
        <v>605</v>
      </c>
      <c r="M169" s="9" t="s">
        <v>605</v>
      </c>
      <c r="N169" s="9" t="s">
        <v>605</v>
      </c>
      <c r="O169" s="9">
        <v>0.59</v>
      </c>
      <c r="P169" s="14" t="s">
        <v>98</v>
      </c>
      <c r="Q169">
        <v>0</v>
      </c>
      <c r="R169">
        <v>1</v>
      </c>
      <c r="S169" s="2">
        <v>3</v>
      </c>
      <c r="T169" s="3">
        <v>0</v>
      </c>
      <c r="U169" s="3">
        <v>0</v>
      </c>
      <c r="V169" s="4">
        <v>0</v>
      </c>
      <c r="W169" s="2">
        <v>3</v>
      </c>
      <c r="X169" s="3">
        <v>0</v>
      </c>
      <c r="Y169" s="3">
        <v>0</v>
      </c>
      <c r="Z169" s="4">
        <v>0</v>
      </c>
      <c r="AA169" s="2">
        <v>2</v>
      </c>
      <c r="AB169" s="3">
        <v>0</v>
      </c>
      <c r="AC169" s="3">
        <v>0</v>
      </c>
      <c r="AD169" s="4">
        <v>0</v>
      </c>
      <c r="AF169" s="26">
        <f t="shared" si="5"/>
        <v>3.3873617532984437E-5</v>
      </c>
      <c r="AG169" s="26">
        <f t="shared" si="6"/>
        <v>0.99889063902579467</v>
      </c>
      <c r="AI169">
        <v>11</v>
      </c>
      <c r="AJ169">
        <v>1</v>
      </c>
      <c r="AK169">
        <v>0</v>
      </c>
    </row>
    <row r="170" spans="1:37" x14ac:dyDescent="0.35">
      <c r="A170" t="s">
        <v>450</v>
      </c>
      <c r="B170">
        <v>8</v>
      </c>
      <c r="C170" s="9" t="s">
        <v>7</v>
      </c>
      <c r="D170" s="9" t="s">
        <v>8</v>
      </c>
      <c r="E170" s="9" t="s">
        <v>32</v>
      </c>
      <c r="F170" s="9" t="s">
        <v>605</v>
      </c>
      <c r="G170" s="9" t="s">
        <v>35</v>
      </c>
      <c r="H170" s="9" t="s">
        <v>605</v>
      </c>
      <c r="I170" s="9" t="s">
        <v>36</v>
      </c>
      <c r="J170" s="9" t="s">
        <v>605</v>
      </c>
      <c r="K170" s="9" t="s">
        <v>37</v>
      </c>
      <c r="L170" s="9" t="s">
        <v>605</v>
      </c>
      <c r="M170" s="9" t="s">
        <v>231</v>
      </c>
      <c r="N170" s="9" t="s">
        <v>605</v>
      </c>
      <c r="O170" s="9">
        <v>0.88</v>
      </c>
      <c r="P170" s="14" t="s">
        <v>232</v>
      </c>
      <c r="Q170">
        <v>95.3</v>
      </c>
      <c r="R170">
        <v>1</v>
      </c>
      <c r="S170" s="2">
        <v>7</v>
      </c>
      <c r="T170" s="3">
        <v>0</v>
      </c>
      <c r="U170" s="3">
        <v>0</v>
      </c>
      <c r="V170" s="4">
        <v>0</v>
      </c>
      <c r="W170" s="2">
        <v>0</v>
      </c>
      <c r="X170" s="3">
        <v>0</v>
      </c>
      <c r="Y170" s="3">
        <v>0</v>
      </c>
      <c r="Z170" s="4">
        <v>0</v>
      </c>
      <c r="AA170" s="2">
        <v>1</v>
      </c>
      <c r="AB170" s="3">
        <v>0</v>
      </c>
      <c r="AC170" s="3">
        <v>0</v>
      </c>
      <c r="AD170" s="4">
        <v>0</v>
      </c>
      <c r="AF170" s="26">
        <f t="shared" si="5"/>
        <v>3.3873617532984437E-5</v>
      </c>
      <c r="AG170" s="26">
        <f t="shared" si="6"/>
        <v>0.9989245126433276</v>
      </c>
      <c r="AI170">
        <v>78</v>
      </c>
      <c r="AJ170">
        <v>0</v>
      </c>
      <c r="AK170">
        <v>0</v>
      </c>
    </row>
    <row r="171" spans="1:37" x14ac:dyDescent="0.35">
      <c r="A171" t="s">
        <v>385</v>
      </c>
      <c r="B171">
        <v>7</v>
      </c>
      <c r="C171" s="9" t="s">
        <v>7</v>
      </c>
      <c r="D171" s="9" t="s">
        <v>24</v>
      </c>
      <c r="E171" s="9" t="s">
        <v>25</v>
      </c>
      <c r="F171" s="9" t="s">
        <v>605</v>
      </c>
      <c r="G171" s="9" t="s">
        <v>26</v>
      </c>
      <c r="H171" s="9" t="s">
        <v>605</v>
      </c>
      <c r="I171" s="9" t="s">
        <v>27</v>
      </c>
      <c r="J171" s="9" t="s">
        <v>605</v>
      </c>
      <c r="K171" s="9" t="s">
        <v>28</v>
      </c>
      <c r="L171" s="9" t="s">
        <v>605</v>
      </c>
      <c r="M171" s="9" t="s">
        <v>29</v>
      </c>
      <c r="N171" s="9" t="s">
        <v>605</v>
      </c>
      <c r="O171" s="9">
        <v>0.98</v>
      </c>
      <c r="P171" s="14" t="s">
        <v>30</v>
      </c>
      <c r="Q171">
        <v>96.9</v>
      </c>
      <c r="R171">
        <v>1</v>
      </c>
      <c r="S171" s="2">
        <v>0</v>
      </c>
      <c r="T171" s="3">
        <v>0</v>
      </c>
      <c r="U171" s="3">
        <v>0</v>
      </c>
      <c r="V171" s="4">
        <v>0</v>
      </c>
      <c r="W171" s="2">
        <v>0</v>
      </c>
      <c r="X171" s="3">
        <v>0</v>
      </c>
      <c r="Y171" s="3">
        <v>0</v>
      </c>
      <c r="Z171" s="4">
        <v>0</v>
      </c>
      <c r="AA171" s="2">
        <v>0</v>
      </c>
      <c r="AB171" s="3">
        <v>7</v>
      </c>
      <c r="AC171" s="3">
        <v>0</v>
      </c>
      <c r="AD171" s="4">
        <v>0</v>
      </c>
      <c r="AF171" s="26">
        <f t="shared" si="5"/>
        <v>2.963941534136138E-5</v>
      </c>
      <c r="AG171" s="26">
        <f t="shared" si="6"/>
        <v>0.998954152058669</v>
      </c>
      <c r="AI171">
        <v>0</v>
      </c>
      <c r="AJ171">
        <v>29</v>
      </c>
      <c r="AK171">
        <v>100</v>
      </c>
    </row>
    <row r="172" spans="1:37" x14ac:dyDescent="0.35">
      <c r="A172" t="s">
        <v>582</v>
      </c>
      <c r="B172">
        <v>7</v>
      </c>
      <c r="C172" s="9" t="s">
        <v>7</v>
      </c>
      <c r="D172" s="9" t="s">
        <v>8</v>
      </c>
      <c r="E172" s="9" t="s">
        <v>46</v>
      </c>
      <c r="F172" s="9" t="s">
        <v>605</v>
      </c>
      <c r="G172" s="9" t="s">
        <v>47</v>
      </c>
      <c r="H172" s="9" t="s">
        <v>605</v>
      </c>
      <c r="I172" s="9" t="s">
        <v>61</v>
      </c>
      <c r="J172" s="9" t="s">
        <v>605</v>
      </c>
      <c r="K172" s="9" t="s">
        <v>84</v>
      </c>
      <c r="L172" s="9" t="s">
        <v>605</v>
      </c>
      <c r="M172" s="9" t="s">
        <v>475</v>
      </c>
      <c r="N172" s="9" t="s">
        <v>605</v>
      </c>
      <c r="O172" s="9">
        <v>0.87</v>
      </c>
      <c r="P172" s="14" t="s">
        <v>476</v>
      </c>
      <c r="Q172">
        <v>98.8</v>
      </c>
      <c r="R172">
        <v>1</v>
      </c>
      <c r="S172" s="2">
        <v>4</v>
      </c>
      <c r="T172" s="3">
        <v>0</v>
      </c>
      <c r="U172" s="3">
        <v>0</v>
      </c>
      <c r="V172" s="4">
        <v>0</v>
      </c>
      <c r="W172" s="2">
        <v>1</v>
      </c>
      <c r="X172" s="3">
        <v>0</v>
      </c>
      <c r="Y172" s="3">
        <v>0</v>
      </c>
      <c r="Z172" s="4">
        <v>0</v>
      </c>
      <c r="AA172" s="2">
        <v>2</v>
      </c>
      <c r="AB172" s="3">
        <v>0</v>
      </c>
      <c r="AC172" s="3">
        <v>0</v>
      </c>
      <c r="AD172" s="4">
        <v>0</v>
      </c>
      <c r="AF172" s="26">
        <f t="shared" si="5"/>
        <v>2.963941534136138E-5</v>
      </c>
      <c r="AG172" s="26">
        <f t="shared" si="6"/>
        <v>0.9989837914740104</v>
      </c>
      <c r="AI172">
        <v>38</v>
      </c>
      <c r="AJ172">
        <v>8</v>
      </c>
      <c r="AK172">
        <v>47</v>
      </c>
    </row>
    <row r="173" spans="1:37" x14ac:dyDescent="0.35">
      <c r="A173" t="s">
        <v>448</v>
      </c>
      <c r="B173">
        <v>7</v>
      </c>
      <c r="C173" s="9" t="s">
        <v>7</v>
      </c>
      <c r="D173" s="9" t="s">
        <v>8</v>
      </c>
      <c r="E173" s="9" t="s">
        <v>9</v>
      </c>
      <c r="F173" s="9" t="s">
        <v>605</v>
      </c>
      <c r="G173" s="9" t="s">
        <v>10</v>
      </c>
      <c r="H173" s="9" t="s">
        <v>605</v>
      </c>
      <c r="I173" s="9" t="s">
        <v>131</v>
      </c>
      <c r="J173" s="9" t="s">
        <v>605</v>
      </c>
      <c r="K173" s="9" t="s">
        <v>150</v>
      </c>
      <c r="L173" s="9" t="s">
        <v>605</v>
      </c>
      <c r="M173" s="9" t="s">
        <v>151</v>
      </c>
      <c r="N173" s="9" t="s">
        <v>605</v>
      </c>
      <c r="O173" s="9">
        <v>0.93</v>
      </c>
      <c r="P173" s="14" t="s">
        <v>152</v>
      </c>
      <c r="Q173">
        <v>92.9</v>
      </c>
      <c r="R173">
        <v>1</v>
      </c>
      <c r="S173" s="2">
        <v>2</v>
      </c>
      <c r="T173" s="3">
        <v>0</v>
      </c>
      <c r="U173" s="3">
        <v>0</v>
      </c>
      <c r="V173" s="4">
        <v>0</v>
      </c>
      <c r="W173" s="2">
        <v>1</v>
      </c>
      <c r="X173" s="3">
        <v>0</v>
      </c>
      <c r="Y173" s="3">
        <v>0</v>
      </c>
      <c r="Z173" s="4">
        <v>0</v>
      </c>
      <c r="AA173" s="2">
        <v>4</v>
      </c>
      <c r="AB173" s="3">
        <v>0</v>
      </c>
      <c r="AC173" s="3">
        <v>0</v>
      </c>
      <c r="AD173" s="4">
        <v>0</v>
      </c>
      <c r="AF173" s="26">
        <f t="shared" si="5"/>
        <v>2.963941534136138E-5</v>
      </c>
      <c r="AG173" s="26">
        <f t="shared" si="6"/>
        <v>0.99901343088935179</v>
      </c>
      <c r="AI173">
        <v>3</v>
      </c>
      <c r="AJ173">
        <v>4</v>
      </c>
      <c r="AK173">
        <v>4</v>
      </c>
    </row>
    <row r="174" spans="1:37" x14ac:dyDescent="0.35">
      <c r="A174" t="s">
        <v>474</v>
      </c>
      <c r="B174">
        <v>7</v>
      </c>
      <c r="C174" s="9" t="s">
        <v>7</v>
      </c>
      <c r="D174" s="9" t="s">
        <v>8</v>
      </c>
      <c r="E174" s="9" t="s">
        <v>120</v>
      </c>
      <c r="F174" s="9" t="s">
        <v>605</v>
      </c>
      <c r="G174" s="9" t="s">
        <v>121</v>
      </c>
      <c r="H174" s="9" t="s">
        <v>605</v>
      </c>
      <c r="I174" s="9" t="s">
        <v>122</v>
      </c>
      <c r="J174" s="9" t="s">
        <v>605</v>
      </c>
      <c r="K174" s="9" t="s">
        <v>123</v>
      </c>
      <c r="L174" s="9" t="s">
        <v>605</v>
      </c>
      <c r="M174" s="9" t="s">
        <v>124</v>
      </c>
      <c r="N174" s="9" t="s">
        <v>605</v>
      </c>
      <c r="O174" s="9">
        <v>0.93</v>
      </c>
      <c r="P174" s="14" t="s">
        <v>125</v>
      </c>
      <c r="Q174">
        <v>89.3</v>
      </c>
      <c r="R174">
        <v>1</v>
      </c>
      <c r="S174" s="2">
        <v>3</v>
      </c>
      <c r="T174" s="3">
        <v>0</v>
      </c>
      <c r="U174" s="3">
        <v>0</v>
      </c>
      <c r="V174" s="4">
        <v>0</v>
      </c>
      <c r="W174" s="2">
        <v>3</v>
      </c>
      <c r="X174" s="3">
        <v>0</v>
      </c>
      <c r="Y174" s="3">
        <v>0</v>
      </c>
      <c r="Z174" s="4">
        <v>0</v>
      </c>
      <c r="AA174" s="2">
        <v>1</v>
      </c>
      <c r="AB174" s="3">
        <v>0</v>
      </c>
      <c r="AC174" s="3">
        <v>0</v>
      </c>
      <c r="AD174" s="4">
        <v>0</v>
      </c>
      <c r="AF174" s="26">
        <f t="shared" si="5"/>
        <v>2.963941534136138E-5</v>
      </c>
      <c r="AG174" s="26">
        <f t="shared" si="6"/>
        <v>0.99904307030469319</v>
      </c>
      <c r="AI174">
        <v>48</v>
      </c>
      <c r="AJ174">
        <v>6</v>
      </c>
      <c r="AK174">
        <v>6</v>
      </c>
    </row>
    <row r="175" spans="1:37" x14ac:dyDescent="0.35">
      <c r="A175" t="s">
        <v>517</v>
      </c>
      <c r="B175">
        <v>7</v>
      </c>
      <c r="C175" s="9" t="s">
        <v>7</v>
      </c>
      <c r="D175" s="9" t="s">
        <v>8</v>
      </c>
      <c r="E175" s="9" t="s">
        <v>46</v>
      </c>
      <c r="F175" s="9" t="s">
        <v>605</v>
      </c>
      <c r="G175" s="9" t="s">
        <v>47</v>
      </c>
      <c r="H175" s="9" t="s">
        <v>605</v>
      </c>
      <c r="I175" s="9" t="s">
        <v>160</v>
      </c>
      <c r="J175" s="9" t="s">
        <v>605</v>
      </c>
      <c r="K175" s="9" t="s">
        <v>161</v>
      </c>
      <c r="L175" s="9" t="s">
        <v>605</v>
      </c>
      <c r="M175" s="9" t="s">
        <v>162</v>
      </c>
      <c r="N175" s="9" t="s">
        <v>605</v>
      </c>
      <c r="O175" s="9">
        <v>0.96</v>
      </c>
      <c r="P175" s="14" t="s">
        <v>163</v>
      </c>
      <c r="Q175">
        <v>96</v>
      </c>
      <c r="R175">
        <v>1</v>
      </c>
      <c r="S175" s="2">
        <v>0</v>
      </c>
      <c r="T175" s="3">
        <v>0</v>
      </c>
      <c r="U175" s="3">
        <v>0</v>
      </c>
      <c r="V175" s="4">
        <v>0</v>
      </c>
      <c r="W175" s="2">
        <v>3</v>
      </c>
      <c r="X175" s="3">
        <v>0</v>
      </c>
      <c r="Y175" s="3">
        <v>0</v>
      </c>
      <c r="Z175" s="4">
        <v>0</v>
      </c>
      <c r="AA175" s="2">
        <v>4</v>
      </c>
      <c r="AB175" s="3">
        <v>0</v>
      </c>
      <c r="AC175" s="3">
        <v>0</v>
      </c>
      <c r="AD175" s="4">
        <v>0</v>
      </c>
      <c r="AF175" s="26">
        <f t="shared" si="5"/>
        <v>2.963941534136138E-5</v>
      </c>
      <c r="AG175" s="26">
        <f t="shared" si="6"/>
        <v>0.99907270972003459</v>
      </c>
      <c r="AI175">
        <v>5</v>
      </c>
      <c r="AJ175">
        <v>23</v>
      </c>
      <c r="AK175">
        <v>91</v>
      </c>
    </row>
    <row r="176" spans="1:37" x14ac:dyDescent="0.35">
      <c r="A176" t="s">
        <v>483</v>
      </c>
      <c r="B176">
        <v>7</v>
      </c>
      <c r="C176" s="9" t="s">
        <v>7</v>
      </c>
      <c r="D176" s="9" t="s">
        <v>8</v>
      </c>
      <c r="E176" s="9" t="s">
        <v>46</v>
      </c>
      <c r="F176" s="9" t="s">
        <v>605</v>
      </c>
      <c r="G176" s="9" t="s">
        <v>47</v>
      </c>
      <c r="H176" s="9" t="s">
        <v>605</v>
      </c>
      <c r="I176" s="9" t="s">
        <v>61</v>
      </c>
      <c r="J176" s="9" t="s">
        <v>605</v>
      </c>
      <c r="K176" s="9" t="s">
        <v>190</v>
      </c>
      <c r="L176" s="9" t="s">
        <v>605</v>
      </c>
      <c r="M176" s="9" t="s">
        <v>484</v>
      </c>
      <c r="N176" s="9" t="s">
        <v>605</v>
      </c>
      <c r="O176" s="9">
        <v>0.64</v>
      </c>
      <c r="P176" s="14" t="s">
        <v>485</v>
      </c>
      <c r="Q176">
        <v>91.7</v>
      </c>
      <c r="R176">
        <v>1</v>
      </c>
      <c r="S176" s="2">
        <v>2</v>
      </c>
      <c r="T176" s="3">
        <v>0</v>
      </c>
      <c r="U176" s="3">
        <v>0</v>
      </c>
      <c r="V176" s="4">
        <v>0</v>
      </c>
      <c r="W176" s="2">
        <v>1</v>
      </c>
      <c r="X176" s="3">
        <v>0</v>
      </c>
      <c r="Y176" s="3">
        <v>0</v>
      </c>
      <c r="Z176" s="4">
        <v>0</v>
      </c>
      <c r="AA176" s="2">
        <v>4</v>
      </c>
      <c r="AB176" s="3">
        <v>0</v>
      </c>
      <c r="AC176" s="3">
        <v>0</v>
      </c>
      <c r="AD176" s="4">
        <v>0</v>
      </c>
      <c r="AF176" s="26">
        <f t="shared" si="5"/>
        <v>2.963941534136138E-5</v>
      </c>
      <c r="AG176" s="26">
        <f t="shared" si="6"/>
        <v>0.99910234913537599</v>
      </c>
      <c r="AI176">
        <v>68</v>
      </c>
      <c r="AJ176">
        <v>0</v>
      </c>
      <c r="AK176">
        <v>50</v>
      </c>
    </row>
    <row r="177" spans="1:37" x14ac:dyDescent="0.35">
      <c r="A177" t="s">
        <v>469</v>
      </c>
      <c r="B177">
        <v>7</v>
      </c>
      <c r="C177" s="9" t="s">
        <v>7</v>
      </c>
      <c r="D177" s="9" t="s">
        <v>8</v>
      </c>
      <c r="E177" s="9" t="s">
        <v>120</v>
      </c>
      <c r="F177" s="9" t="s">
        <v>605</v>
      </c>
      <c r="G177" s="9" t="s">
        <v>121</v>
      </c>
      <c r="H177" s="9" t="s">
        <v>605</v>
      </c>
      <c r="I177" s="9" t="s">
        <v>122</v>
      </c>
      <c r="J177" s="9" t="s">
        <v>605</v>
      </c>
      <c r="K177" s="9" t="s">
        <v>123</v>
      </c>
      <c r="L177" s="9" t="s">
        <v>605</v>
      </c>
      <c r="M177" s="9" t="s">
        <v>124</v>
      </c>
      <c r="N177" s="9" t="s">
        <v>605</v>
      </c>
      <c r="O177" s="9">
        <v>0.56999999999999995</v>
      </c>
      <c r="P177" s="14" t="s">
        <v>478</v>
      </c>
      <c r="Q177">
        <v>91.7</v>
      </c>
      <c r="R177">
        <v>1</v>
      </c>
      <c r="S177" s="2">
        <v>0</v>
      </c>
      <c r="T177" s="3">
        <v>0</v>
      </c>
      <c r="U177" s="3">
        <v>0</v>
      </c>
      <c r="V177" s="4">
        <v>0</v>
      </c>
      <c r="W177" s="2">
        <v>0</v>
      </c>
      <c r="X177" s="3">
        <v>0</v>
      </c>
      <c r="Y177" s="3">
        <v>0</v>
      </c>
      <c r="Z177" s="4">
        <v>0</v>
      </c>
      <c r="AA177" s="2">
        <v>7</v>
      </c>
      <c r="AB177" s="3">
        <v>0</v>
      </c>
      <c r="AC177" s="3">
        <v>0</v>
      </c>
      <c r="AD177" s="4">
        <v>0</v>
      </c>
      <c r="AF177" s="26">
        <f t="shared" si="5"/>
        <v>2.963941534136138E-5</v>
      </c>
      <c r="AG177" s="26">
        <f t="shared" si="6"/>
        <v>0.99913198855071739</v>
      </c>
      <c r="AI177">
        <v>8</v>
      </c>
      <c r="AJ177">
        <v>7</v>
      </c>
      <c r="AK177">
        <v>100</v>
      </c>
    </row>
    <row r="178" spans="1:37" x14ac:dyDescent="0.35">
      <c r="A178" t="s">
        <v>479</v>
      </c>
      <c r="B178">
        <v>7</v>
      </c>
      <c r="C178" s="9" t="s">
        <v>7</v>
      </c>
      <c r="D178" s="9" t="s">
        <v>8</v>
      </c>
      <c r="E178" s="9" t="s">
        <v>32</v>
      </c>
      <c r="F178" s="9" t="s">
        <v>605</v>
      </c>
      <c r="G178" s="9" t="s">
        <v>35</v>
      </c>
      <c r="H178" s="9" t="s">
        <v>605</v>
      </c>
      <c r="I178" s="9" t="s">
        <v>36</v>
      </c>
      <c r="J178" s="9" t="s">
        <v>605</v>
      </c>
      <c r="K178" s="9" t="s">
        <v>37</v>
      </c>
      <c r="L178" s="9" t="s">
        <v>605</v>
      </c>
      <c r="M178" s="9" t="s">
        <v>480</v>
      </c>
      <c r="N178" s="9" t="s">
        <v>605</v>
      </c>
      <c r="O178" s="9">
        <v>0.51</v>
      </c>
      <c r="P178" s="14" t="s">
        <v>401</v>
      </c>
      <c r="Q178">
        <v>94.8</v>
      </c>
      <c r="R178">
        <v>1</v>
      </c>
      <c r="S178" s="2">
        <v>0</v>
      </c>
      <c r="T178" s="3">
        <v>0</v>
      </c>
      <c r="U178" s="3">
        <v>0</v>
      </c>
      <c r="V178" s="4">
        <v>0</v>
      </c>
      <c r="W178" s="2">
        <v>5</v>
      </c>
      <c r="X178" s="3">
        <v>0</v>
      </c>
      <c r="Y178" s="3">
        <v>0</v>
      </c>
      <c r="Z178" s="4">
        <v>0</v>
      </c>
      <c r="AA178" s="2">
        <v>2</v>
      </c>
      <c r="AB178" s="3">
        <v>0</v>
      </c>
      <c r="AC178" s="3">
        <v>0</v>
      </c>
      <c r="AD178" s="4">
        <v>0</v>
      </c>
      <c r="AF178" s="26">
        <f t="shared" si="5"/>
        <v>2.963941534136138E-5</v>
      </c>
      <c r="AG178" s="26">
        <f t="shared" si="6"/>
        <v>0.99916162796605879</v>
      </c>
      <c r="AI178">
        <v>2</v>
      </c>
      <c r="AJ178">
        <v>1</v>
      </c>
      <c r="AK178">
        <v>3</v>
      </c>
    </row>
    <row r="179" spans="1:37" x14ac:dyDescent="0.35">
      <c r="A179" t="s">
        <v>404</v>
      </c>
      <c r="B179">
        <v>7</v>
      </c>
      <c r="C179" s="9" t="s">
        <v>7</v>
      </c>
      <c r="D179" s="9" t="s">
        <v>8</v>
      </c>
      <c r="E179" s="9" t="s">
        <v>605</v>
      </c>
      <c r="F179" s="9" t="s">
        <v>605</v>
      </c>
      <c r="G179" s="9" t="s">
        <v>605</v>
      </c>
      <c r="H179" s="9" t="s">
        <v>605</v>
      </c>
      <c r="I179" s="9" t="s">
        <v>605</v>
      </c>
      <c r="J179" s="9" t="s">
        <v>605</v>
      </c>
      <c r="K179" s="9" t="s">
        <v>605</v>
      </c>
      <c r="L179" s="9" t="s">
        <v>605</v>
      </c>
      <c r="M179" s="9" t="s">
        <v>605</v>
      </c>
      <c r="N179" s="9" t="s">
        <v>605</v>
      </c>
      <c r="O179" s="9">
        <v>0.99</v>
      </c>
      <c r="P179" s="14" t="s">
        <v>487</v>
      </c>
      <c r="Q179">
        <v>85.8</v>
      </c>
      <c r="R179">
        <v>2</v>
      </c>
      <c r="S179" s="2">
        <v>4</v>
      </c>
      <c r="T179" s="3">
        <v>0</v>
      </c>
      <c r="U179" s="3">
        <v>0</v>
      </c>
      <c r="V179" s="4">
        <v>0</v>
      </c>
      <c r="W179" s="2">
        <v>2</v>
      </c>
      <c r="X179" s="3">
        <v>0</v>
      </c>
      <c r="Y179" s="3">
        <v>0</v>
      </c>
      <c r="Z179" s="4">
        <v>0</v>
      </c>
      <c r="AA179" s="2">
        <v>1</v>
      </c>
      <c r="AB179" s="3">
        <v>0</v>
      </c>
      <c r="AC179" s="3">
        <v>0</v>
      </c>
      <c r="AD179" s="4">
        <v>0</v>
      </c>
      <c r="AF179" s="26">
        <f t="shared" si="5"/>
        <v>2.963941534136138E-5</v>
      </c>
      <c r="AG179" s="26">
        <f t="shared" si="6"/>
        <v>0.99919126738140018</v>
      </c>
      <c r="AI179">
        <v>0</v>
      </c>
      <c r="AJ179">
        <v>7</v>
      </c>
      <c r="AK179">
        <v>0</v>
      </c>
    </row>
    <row r="180" spans="1:37" x14ac:dyDescent="0.35">
      <c r="A180" t="s">
        <v>486</v>
      </c>
      <c r="B180">
        <v>7</v>
      </c>
      <c r="C180" s="9" t="s">
        <v>7</v>
      </c>
      <c r="D180" s="9" t="s">
        <v>8</v>
      </c>
      <c r="E180" s="9" t="s">
        <v>9</v>
      </c>
      <c r="F180" s="9" t="s">
        <v>605</v>
      </c>
      <c r="G180" s="9" t="s">
        <v>605</v>
      </c>
      <c r="H180" s="9" t="s">
        <v>605</v>
      </c>
      <c r="I180" s="9" t="s">
        <v>605</v>
      </c>
      <c r="J180" s="9" t="s">
        <v>605</v>
      </c>
      <c r="K180" s="9" t="s">
        <v>605</v>
      </c>
      <c r="L180" s="9" t="s">
        <v>605</v>
      </c>
      <c r="M180" s="9" t="s">
        <v>605</v>
      </c>
      <c r="N180" s="9" t="s">
        <v>605</v>
      </c>
      <c r="O180" s="9">
        <v>0.53</v>
      </c>
      <c r="P180" s="14" t="s">
        <v>98</v>
      </c>
      <c r="Q180">
        <v>0</v>
      </c>
      <c r="R180">
        <v>1</v>
      </c>
      <c r="S180" s="2">
        <v>1</v>
      </c>
      <c r="T180" s="3">
        <v>0</v>
      </c>
      <c r="U180" s="3">
        <v>0</v>
      </c>
      <c r="V180" s="4">
        <v>0</v>
      </c>
      <c r="W180" s="2">
        <v>5</v>
      </c>
      <c r="X180" s="3">
        <v>0</v>
      </c>
      <c r="Y180" s="3">
        <v>0</v>
      </c>
      <c r="Z180" s="4">
        <v>0</v>
      </c>
      <c r="AA180" s="2">
        <v>1</v>
      </c>
      <c r="AB180" s="3">
        <v>0</v>
      </c>
      <c r="AC180" s="3">
        <v>0</v>
      </c>
      <c r="AD180" s="4">
        <v>0</v>
      </c>
      <c r="AF180" s="26">
        <f t="shared" si="5"/>
        <v>2.963941534136138E-5</v>
      </c>
      <c r="AG180" s="26">
        <f t="shared" si="6"/>
        <v>0.99922090679674158</v>
      </c>
      <c r="AI180">
        <v>0</v>
      </c>
      <c r="AJ180">
        <v>0</v>
      </c>
      <c r="AK180">
        <v>0</v>
      </c>
    </row>
    <row r="181" spans="1:37" x14ac:dyDescent="0.35">
      <c r="A181" t="s">
        <v>471</v>
      </c>
      <c r="B181">
        <v>6</v>
      </c>
      <c r="C181" s="9" t="s">
        <v>7</v>
      </c>
      <c r="D181" s="9" t="s">
        <v>8</v>
      </c>
      <c r="E181" s="9" t="s">
        <v>46</v>
      </c>
      <c r="F181" s="9" t="s">
        <v>605</v>
      </c>
      <c r="G181" s="9" t="s">
        <v>47</v>
      </c>
      <c r="H181" s="9" t="s">
        <v>605</v>
      </c>
      <c r="I181" s="9" t="s">
        <v>69</v>
      </c>
      <c r="J181" s="9" t="s">
        <v>605</v>
      </c>
      <c r="K181" s="9" t="s">
        <v>70</v>
      </c>
      <c r="L181" s="9" t="s">
        <v>605</v>
      </c>
      <c r="M181" s="9" t="s">
        <v>605</v>
      </c>
      <c r="N181" s="9" t="s">
        <v>605</v>
      </c>
      <c r="O181" s="9">
        <v>0.8</v>
      </c>
      <c r="P181" s="14" t="s">
        <v>507</v>
      </c>
      <c r="Q181">
        <v>91.7</v>
      </c>
      <c r="R181">
        <v>3</v>
      </c>
      <c r="S181" s="2">
        <v>6</v>
      </c>
      <c r="T181" s="3">
        <v>0</v>
      </c>
      <c r="U181" s="3">
        <v>0</v>
      </c>
      <c r="V181" s="4">
        <v>0</v>
      </c>
      <c r="W181" s="2">
        <v>0</v>
      </c>
      <c r="X181" s="3">
        <v>0</v>
      </c>
      <c r="Y181" s="3">
        <v>0</v>
      </c>
      <c r="Z181" s="4">
        <v>0</v>
      </c>
      <c r="AA181" s="2">
        <v>0</v>
      </c>
      <c r="AB181" s="3">
        <v>0</v>
      </c>
      <c r="AC181" s="3">
        <v>0</v>
      </c>
      <c r="AD181" s="4">
        <v>0</v>
      </c>
      <c r="AF181" s="26">
        <f t="shared" si="5"/>
        <v>2.5405213149738326E-5</v>
      </c>
      <c r="AG181" s="26">
        <f t="shared" si="6"/>
        <v>0.99924631200989134</v>
      </c>
      <c r="AI181">
        <v>28</v>
      </c>
      <c r="AJ181">
        <v>9</v>
      </c>
      <c r="AK181">
        <v>44</v>
      </c>
    </row>
    <row r="182" spans="1:37" x14ac:dyDescent="0.35">
      <c r="A182" t="s">
        <v>508</v>
      </c>
      <c r="B182">
        <v>6</v>
      </c>
      <c r="C182" s="9" t="s">
        <v>7</v>
      </c>
      <c r="D182" s="9" t="s">
        <v>8</v>
      </c>
      <c r="E182" s="9" t="s">
        <v>46</v>
      </c>
      <c r="F182" s="9" t="s">
        <v>605</v>
      </c>
      <c r="G182" s="9" t="s">
        <v>605</v>
      </c>
      <c r="H182" s="9" t="s">
        <v>605</v>
      </c>
      <c r="I182" s="9" t="s">
        <v>605</v>
      </c>
      <c r="J182" s="9" t="s">
        <v>605</v>
      </c>
      <c r="K182" s="9" t="s">
        <v>605</v>
      </c>
      <c r="L182" s="9" t="s">
        <v>605</v>
      </c>
      <c r="M182" s="9" t="s">
        <v>605</v>
      </c>
      <c r="N182" s="9" t="s">
        <v>605</v>
      </c>
      <c r="O182" s="9">
        <v>0.51</v>
      </c>
      <c r="P182" s="14" t="s">
        <v>511</v>
      </c>
      <c r="Q182">
        <v>86.6</v>
      </c>
      <c r="R182">
        <v>2</v>
      </c>
      <c r="S182" s="2">
        <v>3</v>
      </c>
      <c r="T182" s="3">
        <v>0</v>
      </c>
      <c r="U182" s="3">
        <v>0</v>
      </c>
      <c r="V182" s="4">
        <v>0</v>
      </c>
      <c r="W182" s="2">
        <v>1</v>
      </c>
      <c r="X182" s="3">
        <v>0</v>
      </c>
      <c r="Y182" s="3">
        <v>0</v>
      </c>
      <c r="Z182" s="4">
        <v>0</v>
      </c>
      <c r="AA182" s="2">
        <v>2</v>
      </c>
      <c r="AB182" s="3">
        <v>0</v>
      </c>
      <c r="AC182" s="3">
        <v>0</v>
      </c>
      <c r="AD182" s="4">
        <v>0</v>
      </c>
      <c r="AF182" s="26">
        <f t="shared" si="5"/>
        <v>2.5405213149738326E-5</v>
      </c>
      <c r="AG182" s="26">
        <f t="shared" si="6"/>
        <v>0.99927171722304109</v>
      </c>
      <c r="AI182">
        <v>0</v>
      </c>
      <c r="AJ182">
        <v>0</v>
      </c>
      <c r="AK182">
        <v>0</v>
      </c>
    </row>
    <row r="183" spans="1:37" x14ac:dyDescent="0.35">
      <c r="A183" t="s">
        <v>506</v>
      </c>
      <c r="B183">
        <v>6</v>
      </c>
      <c r="C183" s="9" t="s">
        <v>7</v>
      </c>
      <c r="D183" s="9" t="s">
        <v>8</v>
      </c>
      <c r="E183" s="9" t="s">
        <v>120</v>
      </c>
      <c r="F183" s="9" t="s">
        <v>605</v>
      </c>
      <c r="G183" s="9" t="s">
        <v>121</v>
      </c>
      <c r="H183" s="9" t="s">
        <v>605</v>
      </c>
      <c r="I183" s="9" t="s">
        <v>122</v>
      </c>
      <c r="J183" s="9" t="s">
        <v>605</v>
      </c>
      <c r="K183" s="9" t="s">
        <v>123</v>
      </c>
      <c r="L183" s="9" t="s">
        <v>605</v>
      </c>
      <c r="M183" s="9" t="s">
        <v>605</v>
      </c>
      <c r="N183" s="9" t="s">
        <v>605</v>
      </c>
      <c r="O183" s="9">
        <v>0.95</v>
      </c>
      <c r="P183" s="14" t="s">
        <v>224</v>
      </c>
      <c r="Q183">
        <v>85.4</v>
      </c>
      <c r="R183">
        <v>1</v>
      </c>
      <c r="S183" s="2">
        <v>2</v>
      </c>
      <c r="T183" s="3">
        <v>0</v>
      </c>
      <c r="U183" s="3">
        <v>0</v>
      </c>
      <c r="V183" s="4">
        <v>0</v>
      </c>
      <c r="W183" s="2">
        <v>4</v>
      </c>
      <c r="X183" s="3">
        <v>0</v>
      </c>
      <c r="Y183" s="3">
        <v>0</v>
      </c>
      <c r="Z183" s="4">
        <v>0</v>
      </c>
      <c r="AA183" s="2">
        <v>0</v>
      </c>
      <c r="AB183" s="3">
        <v>0</v>
      </c>
      <c r="AC183" s="3">
        <v>0</v>
      </c>
      <c r="AD183" s="4">
        <v>0</v>
      </c>
      <c r="AF183" s="26">
        <f t="shared" si="5"/>
        <v>2.5405213149738326E-5</v>
      </c>
      <c r="AG183" s="26">
        <f t="shared" si="6"/>
        <v>0.99929712243619084</v>
      </c>
      <c r="AI183">
        <v>62</v>
      </c>
      <c r="AJ183">
        <v>83</v>
      </c>
      <c r="AK183">
        <v>2</v>
      </c>
    </row>
    <row r="184" spans="1:37" x14ac:dyDescent="0.35">
      <c r="A184" t="s">
        <v>461</v>
      </c>
      <c r="B184">
        <v>6</v>
      </c>
      <c r="C184" s="9" t="s">
        <v>7</v>
      </c>
      <c r="D184" s="9" t="s">
        <v>8</v>
      </c>
      <c r="E184" s="9" t="s">
        <v>9</v>
      </c>
      <c r="F184" s="9" t="s">
        <v>605</v>
      </c>
      <c r="G184" s="9" t="s">
        <v>10</v>
      </c>
      <c r="H184" s="9" t="s">
        <v>605</v>
      </c>
      <c r="I184" s="9" t="s">
        <v>11</v>
      </c>
      <c r="J184" s="9" t="s">
        <v>605</v>
      </c>
      <c r="K184" s="9" t="s">
        <v>12</v>
      </c>
      <c r="L184" s="9" t="s">
        <v>605</v>
      </c>
      <c r="M184" s="9" t="s">
        <v>13</v>
      </c>
      <c r="N184" s="9" t="s">
        <v>605</v>
      </c>
      <c r="O184" s="9">
        <v>0.95</v>
      </c>
      <c r="P184" s="14" t="s">
        <v>509</v>
      </c>
      <c r="Q184">
        <v>96.4</v>
      </c>
      <c r="R184">
        <v>2</v>
      </c>
      <c r="S184" s="2">
        <v>5</v>
      </c>
      <c r="T184" s="3">
        <v>0</v>
      </c>
      <c r="U184" s="3">
        <v>0</v>
      </c>
      <c r="V184" s="4">
        <v>0</v>
      </c>
      <c r="W184" s="2">
        <v>1</v>
      </c>
      <c r="X184" s="3">
        <v>0</v>
      </c>
      <c r="Y184" s="3">
        <v>0</v>
      </c>
      <c r="Z184" s="4">
        <v>0</v>
      </c>
      <c r="AA184" s="2">
        <v>0</v>
      </c>
      <c r="AB184" s="3">
        <v>0</v>
      </c>
      <c r="AC184" s="3">
        <v>0</v>
      </c>
      <c r="AD184" s="4">
        <v>0</v>
      </c>
      <c r="AF184" s="26">
        <f t="shared" si="5"/>
        <v>2.5405213149738326E-5</v>
      </c>
      <c r="AG184" s="26">
        <f t="shared" si="6"/>
        <v>0.9993225276493406</v>
      </c>
      <c r="AI184">
        <v>28</v>
      </c>
      <c r="AJ184">
        <v>0</v>
      </c>
      <c r="AK184">
        <v>11</v>
      </c>
    </row>
    <row r="185" spans="1:37" x14ac:dyDescent="0.35">
      <c r="A185" t="s">
        <v>510</v>
      </c>
      <c r="B185">
        <v>6</v>
      </c>
      <c r="C185" s="9" t="s">
        <v>7</v>
      </c>
      <c r="D185" s="9" t="s">
        <v>8</v>
      </c>
      <c r="E185" s="9" t="s">
        <v>9</v>
      </c>
      <c r="F185" s="9" t="s">
        <v>605</v>
      </c>
      <c r="G185" s="9" t="s">
        <v>172</v>
      </c>
      <c r="H185" s="9" t="s">
        <v>605</v>
      </c>
      <c r="I185" s="9" t="s">
        <v>491</v>
      </c>
      <c r="J185" s="9" t="s">
        <v>605</v>
      </c>
      <c r="K185" s="9" t="s">
        <v>492</v>
      </c>
      <c r="L185" s="9" t="s">
        <v>605</v>
      </c>
      <c r="M185" s="9" t="s">
        <v>493</v>
      </c>
      <c r="N185" s="9" t="s">
        <v>605</v>
      </c>
      <c r="O185" s="9">
        <v>0.59</v>
      </c>
      <c r="P185" s="14" t="s">
        <v>494</v>
      </c>
      <c r="Q185">
        <v>100</v>
      </c>
      <c r="R185">
        <v>4</v>
      </c>
      <c r="S185" s="2">
        <v>4</v>
      </c>
      <c r="T185" s="3">
        <v>0</v>
      </c>
      <c r="U185" s="3">
        <v>0</v>
      </c>
      <c r="V185" s="4">
        <v>0</v>
      </c>
      <c r="W185" s="2">
        <v>1</v>
      </c>
      <c r="X185" s="3">
        <v>0</v>
      </c>
      <c r="Y185" s="3">
        <v>0</v>
      </c>
      <c r="Z185" s="4">
        <v>0</v>
      </c>
      <c r="AA185" s="2">
        <v>1</v>
      </c>
      <c r="AB185" s="3">
        <v>0</v>
      </c>
      <c r="AC185" s="3">
        <v>0</v>
      </c>
      <c r="AD185" s="4">
        <v>0</v>
      </c>
      <c r="AF185" s="26">
        <f t="shared" si="5"/>
        <v>2.5405213149738326E-5</v>
      </c>
      <c r="AG185" s="26">
        <f t="shared" si="6"/>
        <v>0.99934793286249035</v>
      </c>
      <c r="AI185">
        <v>85</v>
      </c>
      <c r="AJ185">
        <v>0</v>
      </c>
      <c r="AK185">
        <v>1</v>
      </c>
    </row>
    <row r="186" spans="1:37" x14ac:dyDescent="0.35">
      <c r="A186" t="s">
        <v>437</v>
      </c>
      <c r="B186">
        <v>6</v>
      </c>
      <c r="C186" s="9" t="s">
        <v>7</v>
      </c>
      <c r="D186" s="9" t="s">
        <v>8</v>
      </c>
      <c r="E186" s="9" t="s">
        <v>46</v>
      </c>
      <c r="F186" s="9" t="s">
        <v>605</v>
      </c>
      <c r="G186" s="9" t="s">
        <v>47</v>
      </c>
      <c r="H186" s="9" t="s">
        <v>605</v>
      </c>
      <c r="I186" s="9" t="s">
        <v>61</v>
      </c>
      <c r="J186" s="9" t="s">
        <v>605</v>
      </c>
      <c r="K186" s="9" t="s">
        <v>157</v>
      </c>
      <c r="L186" s="9" t="s">
        <v>605</v>
      </c>
      <c r="M186" s="9" t="s">
        <v>502</v>
      </c>
      <c r="N186" s="9" t="s">
        <v>605</v>
      </c>
      <c r="O186" s="9">
        <v>1</v>
      </c>
      <c r="P186" s="14" t="s">
        <v>503</v>
      </c>
      <c r="Q186">
        <v>99.6</v>
      </c>
      <c r="R186">
        <v>1</v>
      </c>
      <c r="S186" s="2">
        <v>1</v>
      </c>
      <c r="T186" s="3">
        <v>0</v>
      </c>
      <c r="U186" s="3">
        <v>0</v>
      </c>
      <c r="V186" s="4">
        <v>0</v>
      </c>
      <c r="W186" s="2">
        <v>3</v>
      </c>
      <c r="X186" s="3">
        <v>0</v>
      </c>
      <c r="Y186" s="3">
        <v>0</v>
      </c>
      <c r="Z186" s="4">
        <v>0</v>
      </c>
      <c r="AA186" s="2">
        <v>2</v>
      </c>
      <c r="AB186" s="3">
        <v>0</v>
      </c>
      <c r="AC186" s="3">
        <v>0</v>
      </c>
      <c r="AD186" s="4">
        <v>0</v>
      </c>
      <c r="AF186" s="26">
        <f t="shared" si="5"/>
        <v>2.5405213149738326E-5</v>
      </c>
      <c r="AG186" s="26">
        <f t="shared" si="6"/>
        <v>0.99937333807564011</v>
      </c>
      <c r="AI186">
        <v>25</v>
      </c>
      <c r="AJ186">
        <v>9</v>
      </c>
      <c r="AK186">
        <v>17</v>
      </c>
    </row>
    <row r="187" spans="1:37" x14ac:dyDescent="0.35">
      <c r="A187" t="s">
        <v>444</v>
      </c>
      <c r="B187">
        <v>6</v>
      </c>
      <c r="C187" s="9" t="s">
        <v>7</v>
      </c>
      <c r="D187" s="9" t="s">
        <v>8</v>
      </c>
      <c r="E187" s="9" t="s">
        <v>46</v>
      </c>
      <c r="F187" s="9" t="s">
        <v>605</v>
      </c>
      <c r="G187" s="9" t="s">
        <v>47</v>
      </c>
      <c r="H187" s="9" t="s">
        <v>605</v>
      </c>
      <c r="I187" s="9" t="s">
        <v>61</v>
      </c>
      <c r="J187" s="9" t="s">
        <v>605</v>
      </c>
      <c r="K187" s="9" t="s">
        <v>84</v>
      </c>
      <c r="L187" s="9" t="s">
        <v>605</v>
      </c>
      <c r="M187" s="9" t="s">
        <v>475</v>
      </c>
      <c r="N187" s="9" t="s">
        <v>605</v>
      </c>
      <c r="O187" s="9">
        <v>1</v>
      </c>
      <c r="P187" s="14" t="s">
        <v>505</v>
      </c>
      <c r="Q187">
        <v>100</v>
      </c>
      <c r="R187">
        <v>2</v>
      </c>
      <c r="S187" s="2">
        <v>5</v>
      </c>
      <c r="T187" s="3">
        <v>0</v>
      </c>
      <c r="U187" s="3">
        <v>0</v>
      </c>
      <c r="V187" s="4">
        <v>0</v>
      </c>
      <c r="W187" s="2">
        <v>1</v>
      </c>
      <c r="X187" s="3">
        <v>0</v>
      </c>
      <c r="Y187" s="3">
        <v>0</v>
      </c>
      <c r="Z187" s="4">
        <v>0</v>
      </c>
      <c r="AA187" s="2">
        <v>0</v>
      </c>
      <c r="AB187" s="3">
        <v>0</v>
      </c>
      <c r="AC187" s="3">
        <v>0</v>
      </c>
      <c r="AD187" s="4">
        <v>0</v>
      </c>
      <c r="AF187" s="26">
        <f t="shared" si="5"/>
        <v>2.5405213149738326E-5</v>
      </c>
      <c r="AG187" s="26">
        <f t="shared" si="6"/>
        <v>0.99939874328878986</v>
      </c>
      <c r="AI187">
        <v>30</v>
      </c>
      <c r="AJ187">
        <v>22</v>
      </c>
      <c r="AK187">
        <v>44</v>
      </c>
    </row>
    <row r="188" spans="1:37" x14ac:dyDescent="0.35">
      <c r="A188" t="s">
        <v>553</v>
      </c>
      <c r="B188">
        <v>6</v>
      </c>
      <c r="C188" s="9" t="s">
        <v>7</v>
      </c>
      <c r="D188" s="9" t="s">
        <v>8</v>
      </c>
      <c r="E188" s="9" t="s">
        <v>9</v>
      </c>
      <c r="F188" s="9" t="s">
        <v>605</v>
      </c>
      <c r="G188" s="9" t="s">
        <v>10</v>
      </c>
      <c r="H188" s="9" t="s">
        <v>605</v>
      </c>
      <c r="I188" s="9" t="s">
        <v>131</v>
      </c>
      <c r="J188" s="9" t="s">
        <v>605</v>
      </c>
      <c r="K188" s="9" t="s">
        <v>150</v>
      </c>
      <c r="L188" s="9" t="s">
        <v>605</v>
      </c>
      <c r="M188" s="9" t="s">
        <v>151</v>
      </c>
      <c r="N188" s="9" t="s">
        <v>605</v>
      </c>
      <c r="O188" s="9">
        <v>0.64</v>
      </c>
      <c r="P188" s="14" t="s">
        <v>152</v>
      </c>
      <c r="Q188">
        <v>97.2</v>
      </c>
      <c r="R188">
        <v>1</v>
      </c>
      <c r="S188" s="2">
        <v>5</v>
      </c>
      <c r="T188" s="3">
        <v>0</v>
      </c>
      <c r="U188" s="3">
        <v>0</v>
      </c>
      <c r="V188" s="4">
        <v>0</v>
      </c>
      <c r="W188" s="2">
        <v>1</v>
      </c>
      <c r="X188" s="3">
        <v>0</v>
      </c>
      <c r="Y188" s="3">
        <v>0</v>
      </c>
      <c r="Z188" s="4">
        <v>0</v>
      </c>
      <c r="AA188" s="2">
        <v>0</v>
      </c>
      <c r="AB188" s="3">
        <v>0</v>
      </c>
      <c r="AC188" s="3">
        <v>0</v>
      </c>
      <c r="AD188" s="4">
        <v>0</v>
      </c>
      <c r="AF188" s="26">
        <f t="shared" si="5"/>
        <v>2.5405213149738326E-5</v>
      </c>
      <c r="AG188" s="26">
        <f t="shared" si="6"/>
        <v>0.99942414850193961</v>
      </c>
      <c r="AI188">
        <v>45</v>
      </c>
      <c r="AJ188">
        <v>41</v>
      </c>
      <c r="AK188">
        <v>44</v>
      </c>
    </row>
    <row r="189" spans="1:37" x14ac:dyDescent="0.35">
      <c r="A189" t="s">
        <v>565</v>
      </c>
      <c r="B189">
        <v>6</v>
      </c>
      <c r="C189" s="9" t="s">
        <v>7</v>
      </c>
      <c r="D189" s="9" t="s">
        <v>8</v>
      </c>
      <c r="E189" s="9" t="s">
        <v>496</v>
      </c>
      <c r="F189" s="9" t="s">
        <v>605</v>
      </c>
      <c r="G189" s="9" t="s">
        <v>496</v>
      </c>
      <c r="H189" s="9" t="s">
        <v>605</v>
      </c>
      <c r="I189" s="9" t="s">
        <v>497</v>
      </c>
      <c r="J189" s="9" t="s">
        <v>605</v>
      </c>
      <c r="K189" s="9" t="s">
        <v>498</v>
      </c>
      <c r="L189" s="9" t="s">
        <v>605</v>
      </c>
      <c r="M189" s="9" t="s">
        <v>499</v>
      </c>
      <c r="N189" s="9" t="s">
        <v>605</v>
      </c>
      <c r="O189" s="9">
        <v>1</v>
      </c>
      <c r="P189" s="14" t="s">
        <v>500</v>
      </c>
      <c r="Q189">
        <v>98.4</v>
      </c>
      <c r="R189">
        <v>1</v>
      </c>
      <c r="S189" s="2">
        <v>3</v>
      </c>
      <c r="T189" s="3">
        <v>0</v>
      </c>
      <c r="U189" s="3">
        <v>0</v>
      </c>
      <c r="V189" s="4">
        <v>0</v>
      </c>
      <c r="W189" s="2">
        <v>3</v>
      </c>
      <c r="X189" s="3">
        <v>0</v>
      </c>
      <c r="Y189" s="3">
        <v>0</v>
      </c>
      <c r="Z189" s="4">
        <v>0</v>
      </c>
      <c r="AA189" s="2">
        <v>0</v>
      </c>
      <c r="AB189" s="3">
        <v>0</v>
      </c>
      <c r="AC189" s="3">
        <v>0</v>
      </c>
      <c r="AD189" s="4">
        <v>0</v>
      </c>
      <c r="AF189" s="26">
        <f t="shared" si="5"/>
        <v>2.5405213149738326E-5</v>
      </c>
      <c r="AG189" s="26">
        <f t="shared" si="6"/>
        <v>0.99944955371508937</v>
      </c>
      <c r="AI189">
        <v>0</v>
      </c>
      <c r="AJ189">
        <v>0</v>
      </c>
      <c r="AK189">
        <v>0</v>
      </c>
    </row>
    <row r="190" spans="1:37" x14ac:dyDescent="0.35">
      <c r="A190" t="s">
        <v>546</v>
      </c>
      <c r="B190">
        <v>5</v>
      </c>
      <c r="C190" s="9" t="s">
        <v>7</v>
      </c>
      <c r="D190" s="9" t="s">
        <v>8</v>
      </c>
      <c r="E190" s="9" t="s">
        <v>46</v>
      </c>
      <c r="F190" s="9" t="s">
        <v>605</v>
      </c>
      <c r="G190" s="9" t="s">
        <v>47</v>
      </c>
      <c r="H190" s="9" t="s">
        <v>605</v>
      </c>
      <c r="I190" s="9" t="s">
        <v>61</v>
      </c>
      <c r="J190" s="9" t="s">
        <v>605</v>
      </c>
      <c r="K190" s="9" t="s">
        <v>605</v>
      </c>
      <c r="L190" s="9" t="s">
        <v>605</v>
      </c>
      <c r="M190" s="9" t="s">
        <v>605</v>
      </c>
      <c r="N190" s="9" t="s">
        <v>605</v>
      </c>
      <c r="O190" s="9">
        <v>0.99</v>
      </c>
      <c r="P190" s="14" t="s">
        <v>516</v>
      </c>
      <c r="Q190">
        <v>92.9</v>
      </c>
      <c r="R190">
        <v>1</v>
      </c>
      <c r="S190" s="2">
        <v>1</v>
      </c>
      <c r="T190" s="3">
        <v>0</v>
      </c>
      <c r="U190" s="3">
        <v>0</v>
      </c>
      <c r="V190" s="4">
        <v>0</v>
      </c>
      <c r="W190" s="2">
        <v>0</v>
      </c>
      <c r="X190" s="3">
        <v>0</v>
      </c>
      <c r="Y190" s="3">
        <v>0</v>
      </c>
      <c r="Z190" s="4">
        <v>0</v>
      </c>
      <c r="AA190" s="2">
        <v>4</v>
      </c>
      <c r="AB190" s="3">
        <v>0</v>
      </c>
      <c r="AC190" s="3">
        <v>0</v>
      </c>
      <c r="AD190" s="4">
        <v>0</v>
      </c>
      <c r="AF190" s="26">
        <f t="shared" si="5"/>
        <v>2.1171010958115272E-5</v>
      </c>
      <c r="AG190" s="26">
        <f t="shared" si="6"/>
        <v>0.99947072472604748</v>
      </c>
      <c r="AI190">
        <v>42</v>
      </c>
      <c r="AJ190">
        <v>17</v>
      </c>
      <c r="AK190">
        <v>62</v>
      </c>
    </row>
    <row r="191" spans="1:37" x14ac:dyDescent="0.35">
      <c r="A191" t="s">
        <v>520</v>
      </c>
      <c r="B191">
        <v>5</v>
      </c>
      <c r="C191" s="9" t="s">
        <v>7</v>
      </c>
      <c r="D191" s="9" t="s">
        <v>8</v>
      </c>
      <c r="E191" s="9" t="s">
        <v>605</v>
      </c>
      <c r="F191" s="9" t="s">
        <v>605</v>
      </c>
      <c r="G191" s="9" t="s">
        <v>605</v>
      </c>
      <c r="H191" s="9" t="s">
        <v>605</v>
      </c>
      <c r="I191" s="9" t="s">
        <v>605</v>
      </c>
      <c r="J191" s="9" t="s">
        <v>605</v>
      </c>
      <c r="K191" s="9" t="s">
        <v>605</v>
      </c>
      <c r="L191" s="9" t="s">
        <v>605</v>
      </c>
      <c r="M191" s="9" t="s">
        <v>605</v>
      </c>
      <c r="N191" s="9" t="s">
        <v>605</v>
      </c>
      <c r="O191" s="9">
        <v>1</v>
      </c>
      <c r="P191" s="14" t="s">
        <v>521</v>
      </c>
      <c r="Q191">
        <v>86.6</v>
      </c>
      <c r="R191">
        <v>12</v>
      </c>
      <c r="S191" s="2">
        <v>0</v>
      </c>
      <c r="T191" s="3">
        <v>0</v>
      </c>
      <c r="U191" s="3">
        <v>0</v>
      </c>
      <c r="V191" s="4">
        <v>0</v>
      </c>
      <c r="W191" s="2">
        <v>5</v>
      </c>
      <c r="X191" s="3">
        <v>0</v>
      </c>
      <c r="Y191" s="3">
        <v>0</v>
      </c>
      <c r="Z191" s="4">
        <v>0</v>
      </c>
      <c r="AA191" s="2">
        <v>0</v>
      </c>
      <c r="AB191" s="3">
        <v>0</v>
      </c>
      <c r="AC191" s="3">
        <v>0</v>
      </c>
      <c r="AD191" s="4">
        <v>0</v>
      </c>
      <c r="AF191" s="26">
        <f t="shared" si="5"/>
        <v>2.1171010958115272E-5</v>
      </c>
      <c r="AG191" s="26">
        <f t="shared" si="6"/>
        <v>0.99949189573700559</v>
      </c>
      <c r="AI191">
        <v>0</v>
      </c>
      <c r="AJ191">
        <v>98</v>
      </c>
      <c r="AK191">
        <v>9</v>
      </c>
    </row>
    <row r="192" spans="1:37" x14ac:dyDescent="0.35">
      <c r="A192" t="s">
        <v>435</v>
      </c>
      <c r="B192">
        <v>5</v>
      </c>
      <c r="C192" s="9" t="s">
        <v>7</v>
      </c>
      <c r="D192" s="9" t="s">
        <v>8</v>
      </c>
      <c r="E192" s="9" t="s">
        <v>46</v>
      </c>
      <c r="F192" s="9" t="s">
        <v>605</v>
      </c>
      <c r="G192" s="9" t="s">
        <v>47</v>
      </c>
      <c r="H192" s="9" t="s">
        <v>605</v>
      </c>
      <c r="I192" s="9" t="s">
        <v>61</v>
      </c>
      <c r="J192" s="9" t="s">
        <v>605</v>
      </c>
      <c r="K192" s="9" t="s">
        <v>605</v>
      </c>
      <c r="L192" s="9" t="s">
        <v>605</v>
      </c>
      <c r="M192" s="9" t="s">
        <v>605</v>
      </c>
      <c r="N192" s="9" t="s">
        <v>605</v>
      </c>
      <c r="O192" s="9">
        <v>0.69</v>
      </c>
      <c r="P192" s="14" t="s">
        <v>127</v>
      </c>
      <c r="Q192">
        <v>92.9</v>
      </c>
      <c r="R192">
        <v>1</v>
      </c>
      <c r="S192" s="2">
        <v>4</v>
      </c>
      <c r="T192" s="3">
        <v>0</v>
      </c>
      <c r="U192" s="3">
        <v>0</v>
      </c>
      <c r="V192" s="4">
        <v>0</v>
      </c>
      <c r="W192" s="2">
        <v>0</v>
      </c>
      <c r="X192" s="3">
        <v>0</v>
      </c>
      <c r="Y192" s="3">
        <v>0</v>
      </c>
      <c r="Z192" s="4">
        <v>0</v>
      </c>
      <c r="AA192" s="2">
        <v>1</v>
      </c>
      <c r="AB192" s="3">
        <v>0</v>
      </c>
      <c r="AC192" s="3">
        <v>0</v>
      </c>
      <c r="AD192" s="4">
        <v>0</v>
      </c>
      <c r="AF192" s="26">
        <f t="shared" si="5"/>
        <v>2.1171010958115272E-5</v>
      </c>
      <c r="AG192" s="26">
        <f t="shared" si="6"/>
        <v>0.9995130667479637</v>
      </c>
      <c r="AI192">
        <v>44</v>
      </c>
      <c r="AJ192">
        <v>4</v>
      </c>
      <c r="AK192">
        <v>69</v>
      </c>
    </row>
    <row r="193" spans="1:37" x14ac:dyDescent="0.35">
      <c r="A193" t="s">
        <v>581</v>
      </c>
      <c r="B193">
        <v>5</v>
      </c>
      <c r="C193" s="9" t="s">
        <v>7</v>
      </c>
      <c r="D193" s="9" t="s">
        <v>24</v>
      </c>
      <c r="E193" s="9" t="s">
        <v>25</v>
      </c>
      <c r="F193" s="9" t="s">
        <v>605</v>
      </c>
      <c r="G193" s="9" t="s">
        <v>40</v>
      </c>
      <c r="H193" s="9" t="s">
        <v>605</v>
      </c>
      <c r="I193" s="9" t="s">
        <v>56</v>
      </c>
      <c r="J193" s="9" t="s">
        <v>605</v>
      </c>
      <c r="K193" s="9" t="s">
        <v>523</v>
      </c>
      <c r="L193" s="9" t="s">
        <v>605</v>
      </c>
      <c r="M193" s="9" t="s">
        <v>524</v>
      </c>
      <c r="N193" s="9" t="s">
        <v>605</v>
      </c>
      <c r="O193" s="9">
        <v>1</v>
      </c>
      <c r="P193" s="14" t="s">
        <v>525</v>
      </c>
      <c r="Q193">
        <v>99.6</v>
      </c>
      <c r="R193">
        <v>2</v>
      </c>
      <c r="S193" s="2">
        <v>3</v>
      </c>
      <c r="T193" s="3">
        <v>0</v>
      </c>
      <c r="U193" s="3">
        <v>0</v>
      </c>
      <c r="V193" s="4">
        <v>0</v>
      </c>
      <c r="W193" s="2">
        <v>1</v>
      </c>
      <c r="X193" s="3">
        <v>0</v>
      </c>
      <c r="Y193" s="3">
        <v>0</v>
      </c>
      <c r="Z193" s="4">
        <v>0</v>
      </c>
      <c r="AA193" s="2">
        <v>1</v>
      </c>
      <c r="AB193" s="3">
        <v>0</v>
      </c>
      <c r="AC193" s="3">
        <v>0</v>
      </c>
      <c r="AD193" s="4">
        <v>0</v>
      </c>
      <c r="AF193" s="26">
        <f t="shared" si="5"/>
        <v>2.1171010958115272E-5</v>
      </c>
      <c r="AG193" s="26">
        <f t="shared" si="6"/>
        <v>0.99953423775892181</v>
      </c>
      <c r="AI193">
        <v>0</v>
      </c>
      <c r="AJ193">
        <v>0</v>
      </c>
      <c r="AK193">
        <v>0</v>
      </c>
    </row>
    <row r="194" spans="1:37" x14ac:dyDescent="0.35">
      <c r="A194" t="s">
        <v>554</v>
      </c>
      <c r="B194">
        <v>5</v>
      </c>
      <c r="C194" s="9" t="s">
        <v>7</v>
      </c>
      <c r="D194" s="9" t="s">
        <v>8</v>
      </c>
      <c r="E194" s="9" t="s">
        <v>120</v>
      </c>
      <c r="F194" s="9" t="s">
        <v>605</v>
      </c>
      <c r="G194" s="9" t="s">
        <v>121</v>
      </c>
      <c r="H194" s="9" t="s">
        <v>605</v>
      </c>
      <c r="I194" s="9" t="s">
        <v>122</v>
      </c>
      <c r="J194" s="9" t="s">
        <v>605</v>
      </c>
      <c r="K194" s="9" t="s">
        <v>123</v>
      </c>
      <c r="L194" s="9" t="s">
        <v>605</v>
      </c>
      <c r="M194" s="9" t="s">
        <v>605</v>
      </c>
      <c r="N194" s="9" t="s">
        <v>605</v>
      </c>
      <c r="O194" s="9">
        <v>1</v>
      </c>
      <c r="P194" s="14" t="s">
        <v>518</v>
      </c>
      <c r="Q194">
        <v>95.3</v>
      </c>
      <c r="R194">
        <v>1</v>
      </c>
      <c r="S194" s="2">
        <v>0</v>
      </c>
      <c r="T194" s="3">
        <v>0</v>
      </c>
      <c r="U194" s="3">
        <v>0</v>
      </c>
      <c r="V194" s="4">
        <v>0</v>
      </c>
      <c r="W194" s="2">
        <v>4</v>
      </c>
      <c r="X194" s="3">
        <v>0</v>
      </c>
      <c r="Y194" s="3">
        <v>0</v>
      </c>
      <c r="Z194" s="4">
        <v>0</v>
      </c>
      <c r="AA194" s="2">
        <v>1</v>
      </c>
      <c r="AB194" s="3">
        <v>0</v>
      </c>
      <c r="AC194" s="3">
        <v>0</v>
      </c>
      <c r="AD194" s="4">
        <v>0</v>
      </c>
      <c r="AF194" s="26">
        <f t="shared" si="5"/>
        <v>2.1171010958115272E-5</v>
      </c>
      <c r="AG194" s="26">
        <f t="shared" si="6"/>
        <v>0.99955540876987992</v>
      </c>
      <c r="AI194">
        <v>12</v>
      </c>
      <c r="AJ194">
        <v>100</v>
      </c>
      <c r="AK194">
        <v>40</v>
      </c>
    </row>
    <row r="195" spans="1:37" x14ac:dyDescent="0.35">
      <c r="A195" t="s">
        <v>526</v>
      </c>
      <c r="B195">
        <v>5</v>
      </c>
      <c r="C195" s="9" t="s">
        <v>7</v>
      </c>
      <c r="D195" s="9" t="s">
        <v>8</v>
      </c>
      <c r="E195" s="9" t="s">
        <v>46</v>
      </c>
      <c r="F195" s="9" t="s">
        <v>605</v>
      </c>
      <c r="G195" s="9" t="s">
        <v>47</v>
      </c>
      <c r="H195" s="9" t="s">
        <v>605</v>
      </c>
      <c r="I195" s="9" t="s">
        <v>61</v>
      </c>
      <c r="J195" s="9" t="s">
        <v>605</v>
      </c>
      <c r="K195" s="9" t="s">
        <v>527</v>
      </c>
      <c r="L195" s="9" t="s">
        <v>605</v>
      </c>
      <c r="M195" s="9" t="s">
        <v>528</v>
      </c>
      <c r="N195" s="9" t="s">
        <v>605</v>
      </c>
      <c r="O195" s="9">
        <v>1</v>
      </c>
      <c r="P195" s="14" t="s">
        <v>529</v>
      </c>
      <c r="Q195">
        <v>100</v>
      </c>
      <c r="R195">
        <v>1</v>
      </c>
      <c r="S195" s="2">
        <v>1</v>
      </c>
      <c r="T195" s="3">
        <v>0</v>
      </c>
      <c r="U195" s="3">
        <v>0</v>
      </c>
      <c r="V195" s="4">
        <v>0</v>
      </c>
      <c r="W195" s="2">
        <v>3</v>
      </c>
      <c r="X195" s="3">
        <v>0</v>
      </c>
      <c r="Y195" s="3">
        <v>0</v>
      </c>
      <c r="Z195" s="4">
        <v>0</v>
      </c>
      <c r="AA195" s="2">
        <v>1</v>
      </c>
      <c r="AB195" s="3">
        <v>0</v>
      </c>
      <c r="AC195" s="3">
        <v>0</v>
      </c>
      <c r="AD195" s="4">
        <v>0</v>
      </c>
      <c r="AF195" s="26">
        <f t="shared" si="5"/>
        <v>2.1171010958115272E-5</v>
      </c>
      <c r="AG195" s="26">
        <f t="shared" si="6"/>
        <v>0.99957657978083803</v>
      </c>
      <c r="AI195">
        <v>16</v>
      </c>
      <c r="AJ195">
        <v>1</v>
      </c>
      <c r="AK195">
        <v>22</v>
      </c>
    </row>
    <row r="196" spans="1:37" x14ac:dyDescent="0.35">
      <c r="A196" t="s">
        <v>433</v>
      </c>
      <c r="B196">
        <v>5</v>
      </c>
      <c r="C196" s="9" t="s">
        <v>7</v>
      </c>
      <c r="D196" s="9" t="s">
        <v>8</v>
      </c>
      <c r="E196" s="9" t="s">
        <v>32</v>
      </c>
      <c r="F196" s="9" t="s">
        <v>605</v>
      </c>
      <c r="G196" s="9" t="s">
        <v>35</v>
      </c>
      <c r="H196" s="9" t="s">
        <v>605</v>
      </c>
      <c r="I196" s="9" t="s">
        <v>36</v>
      </c>
      <c r="J196" s="9" t="s">
        <v>605</v>
      </c>
      <c r="K196" s="9" t="s">
        <v>37</v>
      </c>
      <c r="L196" s="9" t="s">
        <v>605</v>
      </c>
      <c r="M196" s="9" t="s">
        <v>605</v>
      </c>
      <c r="N196" s="9" t="s">
        <v>605</v>
      </c>
      <c r="O196" s="9">
        <v>0.84</v>
      </c>
      <c r="P196" s="14" t="s">
        <v>401</v>
      </c>
      <c r="Q196">
        <v>89.3</v>
      </c>
      <c r="R196">
        <v>1</v>
      </c>
      <c r="S196" s="2">
        <v>2</v>
      </c>
      <c r="T196" s="3">
        <v>0</v>
      </c>
      <c r="U196" s="3">
        <v>0</v>
      </c>
      <c r="V196" s="4">
        <v>0</v>
      </c>
      <c r="W196" s="2">
        <v>1</v>
      </c>
      <c r="X196" s="3">
        <v>0</v>
      </c>
      <c r="Y196" s="3">
        <v>0</v>
      </c>
      <c r="Z196" s="4">
        <v>0</v>
      </c>
      <c r="AA196" s="2">
        <v>2</v>
      </c>
      <c r="AB196" s="3">
        <v>0</v>
      </c>
      <c r="AC196" s="3">
        <v>0</v>
      </c>
      <c r="AD196" s="4">
        <v>0</v>
      </c>
      <c r="AF196" s="26">
        <f t="shared" ref="AF196:AF228" si="7">B196/B$2</f>
        <v>2.1171010958115272E-5</v>
      </c>
      <c r="AG196" s="26">
        <f t="shared" si="6"/>
        <v>0.99959775079179614</v>
      </c>
      <c r="AI196">
        <v>0</v>
      </c>
      <c r="AJ196">
        <v>0</v>
      </c>
      <c r="AK196">
        <v>0</v>
      </c>
    </row>
    <row r="197" spans="1:37" x14ac:dyDescent="0.35">
      <c r="A197" t="s">
        <v>488</v>
      </c>
      <c r="B197">
        <v>4</v>
      </c>
      <c r="C197" s="9" t="s">
        <v>7</v>
      </c>
      <c r="D197" s="9" t="s">
        <v>8</v>
      </c>
      <c r="E197" s="9" t="s">
        <v>9</v>
      </c>
      <c r="F197" s="9" t="s">
        <v>605</v>
      </c>
      <c r="G197" s="9" t="s">
        <v>138</v>
      </c>
      <c r="H197" s="9" t="s">
        <v>605</v>
      </c>
      <c r="I197" s="9" t="s">
        <v>345</v>
      </c>
      <c r="J197" s="9" t="s">
        <v>605</v>
      </c>
      <c r="K197" s="9" t="s">
        <v>538</v>
      </c>
      <c r="L197" s="9" t="s">
        <v>605</v>
      </c>
      <c r="M197" s="9" t="s">
        <v>539</v>
      </c>
      <c r="N197" s="9" t="s">
        <v>605</v>
      </c>
      <c r="O197" s="9">
        <v>0.99</v>
      </c>
      <c r="P197" s="14" t="s">
        <v>540</v>
      </c>
      <c r="Q197">
        <v>100</v>
      </c>
      <c r="R197">
        <v>2</v>
      </c>
      <c r="S197" s="2">
        <v>1</v>
      </c>
      <c r="T197" s="3">
        <v>0</v>
      </c>
      <c r="U197" s="3">
        <v>0</v>
      </c>
      <c r="V197" s="4">
        <v>0</v>
      </c>
      <c r="W197" s="2">
        <v>3</v>
      </c>
      <c r="X197" s="3">
        <v>0</v>
      </c>
      <c r="Y197" s="3">
        <v>0</v>
      </c>
      <c r="Z197" s="4">
        <v>0</v>
      </c>
      <c r="AA197" s="2">
        <v>0</v>
      </c>
      <c r="AB197" s="3">
        <v>0</v>
      </c>
      <c r="AC197" s="3">
        <v>0</v>
      </c>
      <c r="AD197" s="4">
        <v>0</v>
      </c>
      <c r="AF197" s="26">
        <f t="shared" si="7"/>
        <v>1.6936808766492218E-5</v>
      </c>
      <c r="AG197" s="26">
        <f t="shared" si="6"/>
        <v>0.9996146876005626</v>
      </c>
      <c r="AI197">
        <v>16</v>
      </c>
      <c r="AJ197">
        <v>0</v>
      </c>
      <c r="AK197">
        <v>17</v>
      </c>
    </row>
    <row r="198" spans="1:37" x14ac:dyDescent="0.35">
      <c r="A198" t="s">
        <v>504</v>
      </c>
      <c r="B198">
        <v>4</v>
      </c>
      <c r="C198" s="9" t="s">
        <v>7</v>
      </c>
      <c r="D198" s="9" t="s">
        <v>8</v>
      </c>
      <c r="E198" s="9" t="s">
        <v>9</v>
      </c>
      <c r="F198" s="9" t="s">
        <v>605</v>
      </c>
      <c r="G198" s="9" t="s">
        <v>138</v>
      </c>
      <c r="H198" s="9" t="s">
        <v>605</v>
      </c>
      <c r="I198" s="9" t="s">
        <v>345</v>
      </c>
      <c r="J198" s="9" t="s">
        <v>605</v>
      </c>
      <c r="K198" s="9" t="s">
        <v>547</v>
      </c>
      <c r="L198" s="9" t="s">
        <v>605</v>
      </c>
      <c r="M198" s="9" t="s">
        <v>605</v>
      </c>
      <c r="N198" s="9" t="s">
        <v>605</v>
      </c>
      <c r="O198" s="9">
        <v>0.93</v>
      </c>
      <c r="P198" s="14" t="s">
        <v>548</v>
      </c>
      <c r="Q198">
        <v>99.6</v>
      </c>
      <c r="R198">
        <v>1</v>
      </c>
      <c r="S198" s="2">
        <v>2</v>
      </c>
      <c r="T198" s="3">
        <v>0</v>
      </c>
      <c r="U198" s="3">
        <v>0</v>
      </c>
      <c r="V198" s="4">
        <v>0</v>
      </c>
      <c r="W198" s="2">
        <v>2</v>
      </c>
      <c r="X198" s="3">
        <v>0</v>
      </c>
      <c r="Y198" s="3">
        <v>0</v>
      </c>
      <c r="Z198" s="4">
        <v>0</v>
      </c>
      <c r="AA198" s="2">
        <v>0</v>
      </c>
      <c r="AB198" s="3">
        <v>0</v>
      </c>
      <c r="AC198" s="3">
        <v>0</v>
      </c>
      <c r="AD198" s="4">
        <v>0</v>
      </c>
      <c r="AF198" s="26">
        <f t="shared" si="7"/>
        <v>1.6936808766492218E-5</v>
      </c>
      <c r="AG198" s="26">
        <f t="shared" ref="AG198:AG228" si="8">AG197+AF198</f>
        <v>0.99963162440932907</v>
      </c>
      <c r="AI198">
        <v>23</v>
      </c>
      <c r="AJ198">
        <v>0</v>
      </c>
      <c r="AK198">
        <v>28</v>
      </c>
    </row>
    <row r="199" spans="1:37" x14ac:dyDescent="0.35">
      <c r="A199" t="s">
        <v>599</v>
      </c>
      <c r="B199">
        <v>4</v>
      </c>
      <c r="C199" s="9" t="s">
        <v>7</v>
      </c>
      <c r="D199" s="9" t="s">
        <v>8</v>
      </c>
      <c r="E199" s="9" t="s">
        <v>46</v>
      </c>
      <c r="F199" s="9" t="s">
        <v>605</v>
      </c>
      <c r="G199" s="9" t="s">
        <v>47</v>
      </c>
      <c r="H199" s="9" t="s">
        <v>605</v>
      </c>
      <c r="I199" s="9" t="s">
        <v>61</v>
      </c>
      <c r="J199" s="9" t="s">
        <v>605</v>
      </c>
      <c r="K199" s="9" t="s">
        <v>605</v>
      </c>
      <c r="L199" s="9" t="s">
        <v>605</v>
      </c>
      <c r="M199" s="9" t="s">
        <v>605</v>
      </c>
      <c r="N199" s="9" t="s">
        <v>605</v>
      </c>
      <c r="O199" s="9">
        <v>0.55000000000000004</v>
      </c>
      <c r="P199" s="14" t="s">
        <v>545</v>
      </c>
      <c r="Q199">
        <v>89.3</v>
      </c>
      <c r="R199">
        <v>2</v>
      </c>
      <c r="S199" s="2">
        <v>3</v>
      </c>
      <c r="T199" s="3">
        <v>0</v>
      </c>
      <c r="U199" s="3">
        <v>0</v>
      </c>
      <c r="V199" s="4">
        <v>0</v>
      </c>
      <c r="W199" s="2">
        <v>1</v>
      </c>
      <c r="X199" s="3">
        <v>0</v>
      </c>
      <c r="Y199" s="3">
        <v>0</v>
      </c>
      <c r="Z199" s="4">
        <v>0</v>
      </c>
      <c r="AA199" s="2">
        <v>0</v>
      </c>
      <c r="AB199" s="3">
        <v>0</v>
      </c>
      <c r="AC199" s="3">
        <v>0</v>
      </c>
      <c r="AD199" s="4">
        <v>0</v>
      </c>
      <c r="AF199" s="26">
        <f t="shared" si="7"/>
        <v>1.6936808766492218E-5</v>
      </c>
      <c r="AG199" s="26">
        <f t="shared" si="8"/>
        <v>0.99964856121809553</v>
      </c>
      <c r="AI199">
        <v>18</v>
      </c>
      <c r="AJ199">
        <v>12</v>
      </c>
      <c r="AK199">
        <v>19</v>
      </c>
    </row>
    <row r="200" spans="1:37" x14ac:dyDescent="0.35">
      <c r="A200" t="s">
        <v>567</v>
      </c>
      <c r="B200">
        <v>4</v>
      </c>
      <c r="C200" s="9" t="s">
        <v>7</v>
      </c>
      <c r="D200" s="9" t="s">
        <v>8</v>
      </c>
      <c r="E200" s="9" t="s">
        <v>605</v>
      </c>
      <c r="F200" s="9" t="s">
        <v>605</v>
      </c>
      <c r="G200" s="9" t="s">
        <v>605</v>
      </c>
      <c r="H200" s="9" t="s">
        <v>605</v>
      </c>
      <c r="I200" s="9" t="s">
        <v>605</v>
      </c>
      <c r="J200" s="9" t="s">
        <v>605</v>
      </c>
      <c r="K200" s="9" t="s">
        <v>605</v>
      </c>
      <c r="L200" s="9" t="s">
        <v>605</v>
      </c>
      <c r="M200" s="9" t="s">
        <v>605</v>
      </c>
      <c r="N200" s="9" t="s">
        <v>605</v>
      </c>
      <c r="O200" s="9">
        <v>1</v>
      </c>
      <c r="P200" s="14" t="s">
        <v>536</v>
      </c>
      <c r="Q200">
        <v>89.3</v>
      </c>
      <c r="R200">
        <v>1</v>
      </c>
      <c r="S200" s="2">
        <v>4</v>
      </c>
      <c r="T200" s="3">
        <v>0</v>
      </c>
      <c r="U200" s="3">
        <v>0</v>
      </c>
      <c r="V200" s="4">
        <v>0</v>
      </c>
      <c r="W200" s="2">
        <v>0</v>
      </c>
      <c r="X200" s="3">
        <v>0</v>
      </c>
      <c r="Y200" s="3">
        <v>0</v>
      </c>
      <c r="Z200" s="4">
        <v>0</v>
      </c>
      <c r="AA200" s="2">
        <v>0</v>
      </c>
      <c r="AB200" s="3">
        <v>0</v>
      </c>
      <c r="AC200" s="3">
        <v>0</v>
      </c>
      <c r="AD200" s="4">
        <v>0</v>
      </c>
      <c r="AF200" s="26">
        <f t="shared" si="7"/>
        <v>1.6936808766492218E-5</v>
      </c>
      <c r="AG200" s="26">
        <f t="shared" si="8"/>
        <v>0.999665498026862</v>
      </c>
      <c r="AI200">
        <v>64</v>
      </c>
      <c r="AJ200">
        <v>0</v>
      </c>
      <c r="AK200">
        <v>0</v>
      </c>
    </row>
    <row r="201" spans="1:37" x14ac:dyDescent="0.35">
      <c r="A201" t="s">
        <v>577</v>
      </c>
      <c r="B201">
        <v>4</v>
      </c>
      <c r="C201" s="9" t="s">
        <v>7</v>
      </c>
      <c r="D201" s="9" t="s">
        <v>8</v>
      </c>
      <c r="E201" s="9" t="s">
        <v>46</v>
      </c>
      <c r="F201" s="9" t="s">
        <v>605</v>
      </c>
      <c r="G201" s="9" t="s">
        <v>47</v>
      </c>
      <c r="H201" s="9" t="s">
        <v>605</v>
      </c>
      <c r="I201" s="9" t="s">
        <v>61</v>
      </c>
      <c r="J201" s="9" t="s">
        <v>605</v>
      </c>
      <c r="K201" s="9" t="s">
        <v>605</v>
      </c>
      <c r="L201" s="9" t="s">
        <v>605</v>
      </c>
      <c r="M201" s="9" t="s">
        <v>605</v>
      </c>
      <c r="N201" s="9" t="s">
        <v>605</v>
      </c>
      <c r="O201" s="9">
        <v>0.69</v>
      </c>
      <c r="P201" s="14" t="s">
        <v>354</v>
      </c>
      <c r="Q201">
        <v>89.7</v>
      </c>
      <c r="R201">
        <v>1</v>
      </c>
      <c r="S201" s="2">
        <v>0</v>
      </c>
      <c r="T201" s="3">
        <v>0</v>
      </c>
      <c r="U201" s="3">
        <v>0</v>
      </c>
      <c r="V201" s="4">
        <v>0</v>
      </c>
      <c r="W201" s="2">
        <v>4</v>
      </c>
      <c r="X201" s="3">
        <v>0</v>
      </c>
      <c r="Y201" s="3">
        <v>0</v>
      </c>
      <c r="Z201" s="4">
        <v>0</v>
      </c>
      <c r="AA201" s="2">
        <v>0</v>
      </c>
      <c r="AB201" s="3">
        <v>0</v>
      </c>
      <c r="AC201" s="3">
        <v>0</v>
      </c>
      <c r="AD201" s="4">
        <v>0</v>
      </c>
      <c r="AF201" s="26">
        <f t="shared" si="7"/>
        <v>1.6936808766492218E-5</v>
      </c>
      <c r="AG201" s="26">
        <f t="shared" si="8"/>
        <v>0.99968243483562846</v>
      </c>
      <c r="AI201">
        <v>18</v>
      </c>
      <c r="AJ201">
        <v>83</v>
      </c>
      <c r="AK201">
        <v>18</v>
      </c>
    </row>
    <row r="202" spans="1:37" x14ac:dyDescent="0.35">
      <c r="A202" t="s">
        <v>542</v>
      </c>
      <c r="B202">
        <v>4</v>
      </c>
      <c r="C202" s="9" t="s">
        <v>7</v>
      </c>
      <c r="D202" s="9" t="s">
        <v>8</v>
      </c>
      <c r="E202" s="9" t="s">
        <v>46</v>
      </c>
      <c r="F202" s="9" t="s">
        <v>605</v>
      </c>
      <c r="G202" s="9" t="s">
        <v>47</v>
      </c>
      <c r="H202" s="9" t="s">
        <v>605</v>
      </c>
      <c r="I202" s="9" t="s">
        <v>61</v>
      </c>
      <c r="J202" s="9" t="s">
        <v>605</v>
      </c>
      <c r="K202" s="9" t="s">
        <v>190</v>
      </c>
      <c r="L202" s="9" t="s">
        <v>605</v>
      </c>
      <c r="M202" s="9" t="s">
        <v>273</v>
      </c>
      <c r="N202" s="9" t="s">
        <v>605</v>
      </c>
      <c r="O202" s="9">
        <v>0.9</v>
      </c>
      <c r="P202" s="14" t="s">
        <v>543</v>
      </c>
      <c r="Q202">
        <v>95.7</v>
      </c>
      <c r="R202">
        <v>3</v>
      </c>
      <c r="S202" s="2">
        <v>0</v>
      </c>
      <c r="T202" s="3">
        <v>0</v>
      </c>
      <c r="U202" s="3">
        <v>0</v>
      </c>
      <c r="V202" s="4">
        <v>0</v>
      </c>
      <c r="W202" s="2">
        <v>0</v>
      </c>
      <c r="X202" s="3">
        <v>0</v>
      </c>
      <c r="Y202" s="3">
        <v>0</v>
      </c>
      <c r="Z202" s="4">
        <v>0</v>
      </c>
      <c r="AA202" s="2">
        <v>4</v>
      </c>
      <c r="AB202" s="3">
        <v>0</v>
      </c>
      <c r="AC202" s="3">
        <v>0</v>
      </c>
      <c r="AD202" s="4">
        <v>0</v>
      </c>
      <c r="AF202" s="26">
        <f t="shared" si="7"/>
        <v>1.6936808766492218E-5</v>
      </c>
      <c r="AG202" s="26">
        <f t="shared" si="8"/>
        <v>0.99969937164439493</v>
      </c>
      <c r="AI202">
        <v>47</v>
      </c>
      <c r="AJ202">
        <v>15</v>
      </c>
      <c r="AK202">
        <v>100</v>
      </c>
    </row>
    <row r="203" spans="1:37" x14ac:dyDescent="0.35">
      <c r="A203" t="s">
        <v>598</v>
      </c>
      <c r="B203">
        <v>4</v>
      </c>
      <c r="C203" s="9" t="s">
        <v>7</v>
      </c>
      <c r="D203" s="9" t="s">
        <v>8</v>
      </c>
      <c r="E203" s="9" t="s">
        <v>32</v>
      </c>
      <c r="F203" s="9" t="s">
        <v>605</v>
      </c>
      <c r="G203" s="9" t="s">
        <v>605</v>
      </c>
      <c r="H203" s="9" t="s">
        <v>605</v>
      </c>
      <c r="I203" s="9" t="s">
        <v>605</v>
      </c>
      <c r="J203" s="9" t="s">
        <v>605</v>
      </c>
      <c r="K203" s="9" t="s">
        <v>605</v>
      </c>
      <c r="L203" s="9" t="s">
        <v>605</v>
      </c>
      <c r="M203" s="9" t="s">
        <v>605</v>
      </c>
      <c r="N203" s="9" t="s">
        <v>605</v>
      </c>
      <c r="O203" s="9">
        <v>1</v>
      </c>
      <c r="P203" s="14" t="s">
        <v>375</v>
      </c>
      <c r="Q203">
        <v>85.8</v>
      </c>
      <c r="R203">
        <v>1</v>
      </c>
      <c r="S203" s="2">
        <v>1</v>
      </c>
      <c r="T203" s="3">
        <v>0</v>
      </c>
      <c r="U203" s="3">
        <v>0</v>
      </c>
      <c r="V203" s="4">
        <v>0</v>
      </c>
      <c r="W203" s="2">
        <v>2</v>
      </c>
      <c r="X203" s="3">
        <v>0</v>
      </c>
      <c r="Y203" s="3">
        <v>0</v>
      </c>
      <c r="Z203" s="4">
        <v>0</v>
      </c>
      <c r="AA203" s="2">
        <v>1</v>
      </c>
      <c r="AB203" s="3">
        <v>0</v>
      </c>
      <c r="AC203" s="3">
        <v>0</v>
      </c>
      <c r="AD203" s="4">
        <v>0</v>
      </c>
      <c r="AF203" s="26">
        <f t="shared" si="7"/>
        <v>1.6936808766492218E-5</v>
      </c>
      <c r="AG203" s="26">
        <f t="shared" si="8"/>
        <v>0.9997163084531614</v>
      </c>
      <c r="AI203">
        <v>13</v>
      </c>
      <c r="AJ203">
        <v>2</v>
      </c>
      <c r="AK203">
        <v>2</v>
      </c>
    </row>
    <row r="204" spans="1:37" x14ac:dyDescent="0.35">
      <c r="A204" t="s">
        <v>541</v>
      </c>
      <c r="B204">
        <v>4</v>
      </c>
      <c r="C204" s="9" t="s">
        <v>7</v>
      </c>
      <c r="D204" s="9" t="s">
        <v>8</v>
      </c>
      <c r="E204" s="9" t="s">
        <v>32</v>
      </c>
      <c r="F204" s="9" t="s">
        <v>605</v>
      </c>
      <c r="G204" s="9" t="s">
        <v>35</v>
      </c>
      <c r="H204" s="9" t="s">
        <v>605</v>
      </c>
      <c r="I204" s="9" t="s">
        <v>36</v>
      </c>
      <c r="J204" s="9" t="s">
        <v>605</v>
      </c>
      <c r="K204" s="9" t="s">
        <v>37</v>
      </c>
      <c r="L204" s="9" t="s">
        <v>605</v>
      </c>
      <c r="M204" s="9" t="s">
        <v>480</v>
      </c>
      <c r="N204" s="9" t="s">
        <v>605</v>
      </c>
      <c r="O204" s="9">
        <v>0.5</v>
      </c>
      <c r="P204" s="14" t="s">
        <v>401</v>
      </c>
      <c r="Q204">
        <v>90.5</v>
      </c>
      <c r="R204">
        <v>1</v>
      </c>
      <c r="S204" s="2">
        <v>0</v>
      </c>
      <c r="T204" s="3">
        <v>0</v>
      </c>
      <c r="U204" s="3">
        <v>0</v>
      </c>
      <c r="V204" s="4">
        <v>0</v>
      </c>
      <c r="W204" s="2">
        <v>1</v>
      </c>
      <c r="X204" s="3">
        <v>0</v>
      </c>
      <c r="Y204" s="3">
        <v>0</v>
      </c>
      <c r="Z204" s="4">
        <v>0</v>
      </c>
      <c r="AA204" s="2">
        <v>3</v>
      </c>
      <c r="AB204" s="3">
        <v>0</v>
      </c>
      <c r="AC204" s="3">
        <v>0</v>
      </c>
      <c r="AD204" s="4">
        <v>0</v>
      </c>
      <c r="AF204" s="26">
        <f t="shared" si="7"/>
        <v>1.6936808766492218E-5</v>
      </c>
      <c r="AG204" s="26">
        <f t="shared" si="8"/>
        <v>0.99973324526192786</v>
      </c>
      <c r="AI204">
        <v>2</v>
      </c>
      <c r="AJ204">
        <v>7</v>
      </c>
      <c r="AK204">
        <v>2</v>
      </c>
    </row>
    <row r="205" spans="1:37" x14ac:dyDescent="0.35">
      <c r="A205" t="s">
        <v>552</v>
      </c>
      <c r="B205">
        <v>4</v>
      </c>
      <c r="C205" s="9" t="s">
        <v>7</v>
      </c>
      <c r="D205" s="9" t="s">
        <v>8</v>
      </c>
      <c r="E205" s="9" t="s">
        <v>46</v>
      </c>
      <c r="F205" s="9" t="s">
        <v>605</v>
      </c>
      <c r="G205" s="9" t="s">
        <v>47</v>
      </c>
      <c r="H205" s="9" t="s">
        <v>605</v>
      </c>
      <c r="I205" s="9" t="s">
        <v>61</v>
      </c>
      <c r="J205" s="9" t="s">
        <v>605</v>
      </c>
      <c r="K205" s="9" t="s">
        <v>605</v>
      </c>
      <c r="L205" s="9" t="s">
        <v>605</v>
      </c>
      <c r="M205" s="9" t="s">
        <v>605</v>
      </c>
      <c r="N205" s="9" t="s">
        <v>605</v>
      </c>
      <c r="O205" s="9">
        <v>0.79</v>
      </c>
      <c r="P205" s="14" t="s">
        <v>62</v>
      </c>
      <c r="Q205">
        <v>90.9</v>
      </c>
      <c r="R205">
        <v>1</v>
      </c>
      <c r="S205" s="2">
        <v>1</v>
      </c>
      <c r="T205" s="3">
        <v>0</v>
      </c>
      <c r="U205" s="3">
        <v>0</v>
      </c>
      <c r="V205" s="4">
        <v>0</v>
      </c>
      <c r="W205" s="2">
        <v>2</v>
      </c>
      <c r="X205" s="3">
        <v>0</v>
      </c>
      <c r="Y205" s="3">
        <v>0</v>
      </c>
      <c r="Z205" s="4">
        <v>0</v>
      </c>
      <c r="AA205" s="2">
        <v>1</v>
      </c>
      <c r="AB205" s="3">
        <v>0</v>
      </c>
      <c r="AC205" s="3">
        <v>0</v>
      </c>
      <c r="AD205" s="4">
        <v>0</v>
      </c>
      <c r="AF205" s="26">
        <f t="shared" si="7"/>
        <v>1.6936808766492218E-5</v>
      </c>
      <c r="AG205" s="26">
        <f t="shared" si="8"/>
        <v>0.99975018207069433</v>
      </c>
      <c r="AI205">
        <v>15</v>
      </c>
      <c r="AJ205">
        <v>19</v>
      </c>
      <c r="AK205">
        <v>47</v>
      </c>
    </row>
    <row r="206" spans="1:37" x14ac:dyDescent="0.35">
      <c r="A206" t="s">
        <v>531</v>
      </c>
      <c r="B206">
        <v>4</v>
      </c>
      <c r="C206" s="9" t="s">
        <v>7</v>
      </c>
      <c r="D206" s="9" t="s">
        <v>8</v>
      </c>
      <c r="E206" s="9" t="s">
        <v>9</v>
      </c>
      <c r="F206" s="9" t="s">
        <v>605</v>
      </c>
      <c r="G206" s="9" t="s">
        <v>10</v>
      </c>
      <c r="H206" s="9" t="s">
        <v>605</v>
      </c>
      <c r="I206" s="9" t="s">
        <v>131</v>
      </c>
      <c r="J206" s="9" t="s">
        <v>605</v>
      </c>
      <c r="K206" s="9" t="s">
        <v>150</v>
      </c>
      <c r="L206" s="9" t="s">
        <v>605</v>
      </c>
      <c r="M206" s="9" t="s">
        <v>151</v>
      </c>
      <c r="N206" s="9" t="s">
        <v>605</v>
      </c>
      <c r="O206" s="9">
        <v>0.7</v>
      </c>
      <c r="P206" s="14" t="s">
        <v>152</v>
      </c>
      <c r="Q206">
        <v>93.3</v>
      </c>
      <c r="R206">
        <v>1</v>
      </c>
      <c r="S206" s="2">
        <v>2</v>
      </c>
      <c r="T206" s="3">
        <v>0</v>
      </c>
      <c r="U206" s="3">
        <v>0</v>
      </c>
      <c r="V206" s="4">
        <v>0</v>
      </c>
      <c r="W206" s="2">
        <v>2</v>
      </c>
      <c r="X206" s="3">
        <v>0</v>
      </c>
      <c r="Y206" s="3">
        <v>0</v>
      </c>
      <c r="Z206" s="4">
        <v>0</v>
      </c>
      <c r="AA206" s="2">
        <v>0</v>
      </c>
      <c r="AB206" s="3">
        <v>0</v>
      </c>
      <c r="AC206" s="3">
        <v>0</v>
      </c>
      <c r="AD206" s="4">
        <v>0</v>
      </c>
      <c r="AF206" s="26">
        <f t="shared" si="7"/>
        <v>1.6936808766492218E-5</v>
      </c>
      <c r="AG206" s="26">
        <f t="shared" si="8"/>
        <v>0.99976711887946079</v>
      </c>
      <c r="AI206">
        <v>0</v>
      </c>
      <c r="AJ206">
        <v>0</v>
      </c>
      <c r="AK206">
        <v>0</v>
      </c>
    </row>
    <row r="207" spans="1:37" x14ac:dyDescent="0.35">
      <c r="A207" t="s">
        <v>207</v>
      </c>
      <c r="B207">
        <v>3</v>
      </c>
      <c r="C207" s="9" t="s">
        <v>7</v>
      </c>
      <c r="D207" s="9" t="s">
        <v>8</v>
      </c>
      <c r="E207" s="9" t="s">
        <v>32</v>
      </c>
      <c r="F207" s="9" t="s">
        <v>605</v>
      </c>
      <c r="G207" s="9" t="s">
        <v>35</v>
      </c>
      <c r="H207" s="9" t="s">
        <v>605</v>
      </c>
      <c r="I207" s="9" t="s">
        <v>36</v>
      </c>
      <c r="J207" s="9" t="s">
        <v>605</v>
      </c>
      <c r="K207" s="9" t="s">
        <v>37</v>
      </c>
      <c r="L207" s="9" t="s">
        <v>605</v>
      </c>
      <c r="M207" s="9" t="s">
        <v>605</v>
      </c>
      <c r="N207" s="9" t="s">
        <v>605</v>
      </c>
      <c r="O207" s="9">
        <v>0.98</v>
      </c>
      <c r="P207" s="14" t="s">
        <v>401</v>
      </c>
      <c r="Q207">
        <v>96.4</v>
      </c>
      <c r="R207">
        <v>1</v>
      </c>
      <c r="S207" s="2">
        <v>1</v>
      </c>
      <c r="T207" s="3">
        <v>0</v>
      </c>
      <c r="U207" s="3">
        <v>0</v>
      </c>
      <c r="V207" s="4">
        <v>0</v>
      </c>
      <c r="W207" s="2">
        <v>0</v>
      </c>
      <c r="X207" s="3">
        <v>0</v>
      </c>
      <c r="Y207" s="3">
        <v>0</v>
      </c>
      <c r="Z207" s="4">
        <v>0</v>
      </c>
      <c r="AA207" s="2">
        <v>2</v>
      </c>
      <c r="AB207" s="3">
        <v>0</v>
      </c>
      <c r="AC207" s="3">
        <v>0</v>
      </c>
      <c r="AD207" s="4">
        <v>0</v>
      </c>
      <c r="AF207" s="26">
        <f t="shared" si="7"/>
        <v>1.2702606574869163E-5</v>
      </c>
      <c r="AG207" s="26">
        <f t="shared" si="8"/>
        <v>0.99977982148603561</v>
      </c>
      <c r="AI207">
        <v>0</v>
      </c>
      <c r="AJ207">
        <v>0</v>
      </c>
      <c r="AK207">
        <v>0</v>
      </c>
    </row>
    <row r="208" spans="1:37" x14ac:dyDescent="0.35">
      <c r="A208" t="s">
        <v>537</v>
      </c>
      <c r="B208">
        <v>3</v>
      </c>
      <c r="C208" s="9" t="s">
        <v>7</v>
      </c>
      <c r="D208" s="9" t="s">
        <v>8</v>
      </c>
      <c r="E208" s="9" t="s">
        <v>605</v>
      </c>
      <c r="F208" s="9" t="s">
        <v>605</v>
      </c>
      <c r="G208" s="9" t="s">
        <v>605</v>
      </c>
      <c r="H208" s="9" t="s">
        <v>605</v>
      </c>
      <c r="I208" s="9" t="s">
        <v>605</v>
      </c>
      <c r="J208" s="9" t="s">
        <v>605</v>
      </c>
      <c r="K208" s="9" t="s">
        <v>605</v>
      </c>
      <c r="L208" s="9" t="s">
        <v>605</v>
      </c>
      <c r="M208" s="9" t="s">
        <v>605</v>
      </c>
      <c r="N208" s="9" t="s">
        <v>605</v>
      </c>
      <c r="O208" s="9">
        <v>0.9</v>
      </c>
      <c r="P208" s="14" t="s">
        <v>98</v>
      </c>
      <c r="Q208">
        <v>0</v>
      </c>
      <c r="R208">
        <v>1</v>
      </c>
      <c r="S208" s="2">
        <v>0</v>
      </c>
      <c r="T208" s="3">
        <v>0</v>
      </c>
      <c r="U208" s="3">
        <v>1</v>
      </c>
      <c r="V208" s="4">
        <v>0</v>
      </c>
      <c r="W208" s="2">
        <v>0</v>
      </c>
      <c r="X208" s="3">
        <v>0</v>
      </c>
      <c r="Y208" s="3">
        <v>1</v>
      </c>
      <c r="Z208" s="4">
        <v>0</v>
      </c>
      <c r="AA208" s="2">
        <v>0</v>
      </c>
      <c r="AB208" s="3">
        <v>0</v>
      </c>
      <c r="AC208" s="3">
        <v>1</v>
      </c>
      <c r="AD208" s="4">
        <v>0</v>
      </c>
      <c r="AF208" s="26">
        <f t="shared" si="7"/>
        <v>1.2702606574869163E-5</v>
      </c>
      <c r="AG208" s="26">
        <f t="shared" si="8"/>
        <v>0.99979252409261044</v>
      </c>
      <c r="AI208">
        <v>36</v>
      </c>
      <c r="AJ208">
        <v>22</v>
      </c>
      <c r="AK208">
        <v>8</v>
      </c>
    </row>
    <row r="209" spans="1:37" x14ac:dyDescent="0.35">
      <c r="A209" t="s">
        <v>530</v>
      </c>
      <c r="B209">
        <v>3</v>
      </c>
      <c r="C209" s="9" t="s">
        <v>7</v>
      </c>
      <c r="D209" s="9" t="s">
        <v>8</v>
      </c>
      <c r="E209" s="9" t="s">
        <v>46</v>
      </c>
      <c r="F209" s="9" t="s">
        <v>605</v>
      </c>
      <c r="G209" s="9" t="s">
        <v>47</v>
      </c>
      <c r="H209" s="9" t="s">
        <v>605</v>
      </c>
      <c r="I209" s="9" t="s">
        <v>61</v>
      </c>
      <c r="J209" s="9" t="s">
        <v>605</v>
      </c>
      <c r="K209" s="9" t="s">
        <v>561</v>
      </c>
      <c r="L209" s="9" t="s">
        <v>605</v>
      </c>
      <c r="M209" s="9" t="s">
        <v>562</v>
      </c>
      <c r="N209" s="9" t="s">
        <v>605</v>
      </c>
      <c r="O209" s="9">
        <v>1</v>
      </c>
      <c r="P209" s="14" t="s">
        <v>563</v>
      </c>
      <c r="Q209">
        <v>100</v>
      </c>
      <c r="R209">
        <v>1</v>
      </c>
      <c r="S209" s="2">
        <v>0</v>
      </c>
      <c r="T209" s="3">
        <v>0</v>
      </c>
      <c r="U209" s="3">
        <v>0</v>
      </c>
      <c r="V209" s="4">
        <v>0</v>
      </c>
      <c r="W209" s="2">
        <v>0</v>
      </c>
      <c r="X209" s="3">
        <v>0</v>
      </c>
      <c r="Y209" s="3">
        <v>0</v>
      </c>
      <c r="Z209" s="4">
        <v>0</v>
      </c>
      <c r="AA209" s="2">
        <v>3</v>
      </c>
      <c r="AB209" s="3">
        <v>0</v>
      </c>
      <c r="AC209" s="3">
        <v>0</v>
      </c>
      <c r="AD209" s="4">
        <v>0</v>
      </c>
      <c r="AF209" s="26">
        <f t="shared" si="7"/>
        <v>1.2702606574869163E-5</v>
      </c>
      <c r="AG209" s="26">
        <f t="shared" si="8"/>
        <v>0.99980522669918526</v>
      </c>
      <c r="AI209">
        <v>22</v>
      </c>
      <c r="AJ209">
        <v>13</v>
      </c>
      <c r="AK209">
        <v>81</v>
      </c>
    </row>
    <row r="210" spans="1:37" x14ac:dyDescent="0.35">
      <c r="A210" t="s">
        <v>514</v>
      </c>
      <c r="B210">
        <v>3</v>
      </c>
      <c r="C210" s="9" t="s">
        <v>7</v>
      </c>
      <c r="D210" s="9" t="s">
        <v>8</v>
      </c>
      <c r="E210" s="9" t="s">
        <v>9</v>
      </c>
      <c r="F210" s="9" t="s">
        <v>605</v>
      </c>
      <c r="G210" s="9" t="s">
        <v>243</v>
      </c>
      <c r="H210" s="9" t="s">
        <v>605</v>
      </c>
      <c r="I210" s="9" t="s">
        <v>568</v>
      </c>
      <c r="J210" s="9" t="s">
        <v>605</v>
      </c>
      <c r="K210" s="9" t="s">
        <v>569</v>
      </c>
      <c r="L210" s="9" t="s">
        <v>605</v>
      </c>
      <c r="M210" s="9" t="s">
        <v>570</v>
      </c>
      <c r="N210" s="9" t="s">
        <v>605</v>
      </c>
      <c r="O210" s="9">
        <v>1</v>
      </c>
      <c r="P210" s="14" t="s">
        <v>571</v>
      </c>
      <c r="Q210">
        <v>99.2</v>
      </c>
      <c r="R210">
        <v>1</v>
      </c>
      <c r="S210" s="2">
        <v>2</v>
      </c>
      <c r="T210" s="3">
        <v>0</v>
      </c>
      <c r="U210" s="3">
        <v>0</v>
      </c>
      <c r="V210" s="4">
        <v>0</v>
      </c>
      <c r="W210" s="2">
        <v>1</v>
      </c>
      <c r="X210" s="3">
        <v>0</v>
      </c>
      <c r="Y210" s="3">
        <v>0</v>
      </c>
      <c r="Z210" s="4">
        <v>0</v>
      </c>
      <c r="AA210" s="2">
        <v>0</v>
      </c>
      <c r="AB210" s="3">
        <v>0</v>
      </c>
      <c r="AC210" s="3">
        <v>0</v>
      </c>
      <c r="AD210" s="4">
        <v>0</v>
      </c>
      <c r="AF210" s="26">
        <f t="shared" si="7"/>
        <v>1.2702606574869163E-5</v>
      </c>
      <c r="AG210" s="26">
        <f t="shared" si="8"/>
        <v>0.99981792930576008</v>
      </c>
      <c r="AI210">
        <v>0</v>
      </c>
      <c r="AJ210">
        <v>0</v>
      </c>
      <c r="AK210">
        <v>0</v>
      </c>
    </row>
    <row r="211" spans="1:37" x14ac:dyDescent="0.35">
      <c r="A211" t="s">
        <v>534</v>
      </c>
      <c r="B211">
        <v>3</v>
      </c>
      <c r="C211" s="9" t="s">
        <v>7</v>
      </c>
      <c r="D211" s="9" t="s">
        <v>8</v>
      </c>
      <c r="E211" s="9" t="s">
        <v>120</v>
      </c>
      <c r="F211" s="9" t="s">
        <v>605</v>
      </c>
      <c r="G211" s="9" t="s">
        <v>121</v>
      </c>
      <c r="H211" s="9" t="s">
        <v>605</v>
      </c>
      <c r="I211" s="9" t="s">
        <v>122</v>
      </c>
      <c r="J211" s="9" t="s">
        <v>605</v>
      </c>
      <c r="K211" s="9" t="s">
        <v>123</v>
      </c>
      <c r="L211" s="9" t="s">
        <v>605</v>
      </c>
      <c r="M211" s="9" t="s">
        <v>605</v>
      </c>
      <c r="N211" s="9" t="s">
        <v>605</v>
      </c>
      <c r="O211" s="9">
        <v>0.8</v>
      </c>
      <c r="P211" s="14" t="s">
        <v>98</v>
      </c>
      <c r="Q211">
        <v>0</v>
      </c>
      <c r="R211">
        <v>1</v>
      </c>
      <c r="S211" s="2">
        <v>3</v>
      </c>
      <c r="T211" s="3">
        <v>0</v>
      </c>
      <c r="U211" s="3">
        <v>0</v>
      </c>
      <c r="V211" s="4">
        <v>0</v>
      </c>
      <c r="W211" s="2">
        <v>0</v>
      </c>
      <c r="X211" s="3">
        <v>0</v>
      </c>
      <c r="Y211" s="3">
        <v>0</v>
      </c>
      <c r="Z211" s="4">
        <v>0</v>
      </c>
      <c r="AA211" s="2">
        <v>0</v>
      </c>
      <c r="AB211" s="3">
        <v>0</v>
      </c>
      <c r="AC211" s="3">
        <v>0</v>
      </c>
      <c r="AD211" s="4">
        <v>0</v>
      </c>
      <c r="AF211" s="26">
        <f t="shared" si="7"/>
        <v>1.2702606574869163E-5</v>
      </c>
      <c r="AG211" s="26">
        <f t="shared" si="8"/>
        <v>0.9998306319123349</v>
      </c>
      <c r="AI211">
        <v>85</v>
      </c>
      <c r="AJ211">
        <v>6</v>
      </c>
      <c r="AK211">
        <v>11</v>
      </c>
    </row>
    <row r="212" spans="1:37" x14ac:dyDescent="0.35">
      <c r="A212" t="s">
        <v>572</v>
      </c>
      <c r="B212">
        <v>3</v>
      </c>
      <c r="C212" s="9" t="s">
        <v>7</v>
      </c>
      <c r="D212" s="9" t="s">
        <v>8</v>
      </c>
      <c r="E212" s="9" t="s">
        <v>32</v>
      </c>
      <c r="F212" s="9" t="s">
        <v>605</v>
      </c>
      <c r="G212" s="9" t="s">
        <v>35</v>
      </c>
      <c r="H212" s="9" t="s">
        <v>605</v>
      </c>
      <c r="I212" s="9" t="s">
        <v>36</v>
      </c>
      <c r="J212" s="9" t="s">
        <v>605</v>
      </c>
      <c r="K212" s="9" t="s">
        <v>37</v>
      </c>
      <c r="L212" s="9" t="s">
        <v>605</v>
      </c>
      <c r="M212" s="9" t="s">
        <v>605</v>
      </c>
      <c r="N212" s="9" t="s">
        <v>605</v>
      </c>
      <c r="O212" s="9">
        <v>0.97</v>
      </c>
      <c r="P212" s="14" t="s">
        <v>401</v>
      </c>
      <c r="Q212">
        <v>91.7</v>
      </c>
      <c r="R212">
        <v>1</v>
      </c>
      <c r="S212" s="2">
        <v>2</v>
      </c>
      <c r="T212" s="3">
        <v>0</v>
      </c>
      <c r="U212" s="3">
        <v>0</v>
      </c>
      <c r="V212" s="4">
        <v>0</v>
      </c>
      <c r="W212" s="2">
        <v>0</v>
      </c>
      <c r="X212" s="3">
        <v>0</v>
      </c>
      <c r="Y212" s="3">
        <v>0</v>
      </c>
      <c r="Z212" s="4">
        <v>0</v>
      </c>
      <c r="AA212" s="2">
        <v>1</v>
      </c>
      <c r="AB212" s="3">
        <v>0</v>
      </c>
      <c r="AC212" s="3">
        <v>0</v>
      </c>
      <c r="AD212" s="4">
        <v>0</v>
      </c>
      <c r="AF212" s="26">
        <f t="shared" si="7"/>
        <v>1.2702606574869163E-5</v>
      </c>
      <c r="AG212" s="26">
        <f t="shared" si="8"/>
        <v>0.99984333451890972</v>
      </c>
      <c r="AI212">
        <v>2</v>
      </c>
      <c r="AJ212">
        <v>7</v>
      </c>
      <c r="AK212">
        <v>2</v>
      </c>
    </row>
    <row r="213" spans="1:37" x14ac:dyDescent="0.35">
      <c r="A213" t="s">
        <v>279</v>
      </c>
      <c r="B213">
        <v>3</v>
      </c>
      <c r="C213" s="9" t="s">
        <v>7</v>
      </c>
      <c r="D213" s="9" t="s">
        <v>24</v>
      </c>
      <c r="E213" s="9" t="s">
        <v>25</v>
      </c>
      <c r="F213" s="9" t="s">
        <v>605</v>
      </c>
      <c r="G213" s="9" t="s">
        <v>40</v>
      </c>
      <c r="H213" s="9" t="s">
        <v>605</v>
      </c>
      <c r="I213" s="9" t="s">
        <v>56</v>
      </c>
      <c r="J213" s="9" t="s">
        <v>605</v>
      </c>
      <c r="K213" s="9" t="s">
        <v>466</v>
      </c>
      <c r="L213" s="9" t="s">
        <v>605</v>
      </c>
      <c r="M213" s="9" t="s">
        <v>550</v>
      </c>
      <c r="N213" s="9" t="s">
        <v>605</v>
      </c>
      <c r="O213" s="9">
        <v>1</v>
      </c>
      <c r="P213" s="14" t="s">
        <v>551</v>
      </c>
      <c r="Q213">
        <v>99.6</v>
      </c>
      <c r="R213">
        <v>1</v>
      </c>
      <c r="S213" s="2">
        <v>3</v>
      </c>
      <c r="T213" s="3">
        <v>0</v>
      </c>
      <c r="U213" s="3">
        <v>0</v>
      </c>
      <c r="V213" s="4">
        <v>0</v>
      </c>
      <c r="W213" s="2">
        <v>0</v>
      </c>
      <c r="X213" s="3">
        <v>0</v>
      </c>
      <c r="Y213" s="3">
        <v>0</v>
      </c>
      <c r="Z213" s="4">
        <v>0</v>
      </c>
      <c r="AA213" s="2">
        <v>0</v>
      </c>
      <c r="AB213" s="3">
        <v>0</v>
      </c>
      <c r="AC213" s="3">
        <v>0</v>
      </c>
      <c r="AD213" s="4">
        <v>0</v>
      </c>
      <c r="AF213" s="26">
        <f t="shared" si="7"/>
        <v>1.2702606574869163E-5</v>
      </c>
      <c r="AG213" s="26">
        <f t="shared" si="8"/>
        <v>0.99985603712548454</v>
      </c>
      <c r="AI213">
        <v>96</v>
      </c>
      <c r="AJ213">
        <v>0</v>
      </c>
      <c r="AK213">
        <v>5</v>
      </c>
    </row>
    <row r="214" spans="1:37" x14ac:dyDescent="0.35">
      <c r="A214" t="s">
        <v>564</v>
      </c>
      <c r="B214">
        <v>3</v>
      </c>
      <c r="C214" s="9" t="s">
        <v>7</v>
      </c>
      <c r="D214" s="9" t="s">
        <v>8</v>
      </c>
      <c r="E214" s="9" t="s">
        <v>46</v>
      </c>
      <c r="F214" s="9" t="s">
        <v>605</v>
      </c>
      <c r="G214" s="9" t="s">
        <v>47</v>
      </c>
      <c r="H214" s="9" t="s">
        <v>605</v>
      </c>
      <c r="I214" s="9" t="s">
        <v>61</v>
      </c>
      <c r="J214" s="9" t="s">
        <v>605</v>
      </c>
      <c r="K214" s="9" t="s">
        <v>605</v>
      </c>
      <c r="L214" s="9" t="s">
        <v>605</v>
      </c>
      <c r="M214" s="9" t="s">
        <v>605</v>
      </c>
      <c r="N214" s="9" t="s">
        <v>605</v>
      </c>
      <c r="O214" s="9">
        <v>0.65</v>
      </c>
      <c r="P214" s="14" t="s">
        <v>321</v>
      </c>
      <c r="Q214">
        <v>90.5</v>
      </c>
      <c r="R214">
        <v>1</v>
      </c>
      <c r="S214" s="2">
        <v>0</v>
      </c>
      <c r="T214" s="3">
        <v>0</v>
      </c>
      <c r="U214" s="3">
        <v>0</v>
      </c>
      <c r="V214" s="4">
        <v>0</v>
      </c>
      <c r="W214" s="2">
        <v>2</v>
      </c>
      <c r="X214" s="3">
        <v>0</v>
      </c>
      <c r="Y214" s="3">
        <v>0</v>
      </c>
      <c r="Z214" s="4">
        <v>0</v>
      </c>
      <c r="AA214" s="2">
        <v>1</v>
      </c>
      <c r="AB214" s="3">
        <v>0</v>
      </c>
      <c r="AC214" s="3">
        <v>0</v>
      </c>
      <c r="AD214" s="4">
        <v>0</v>
      </c>
      <c r="AF214" s="26">
        <f t="shared" si="7"/>
        <v>1.2702606574869163E-5</v>
      </c>
      <c r="AG214" s="26">
        <f t="shared" si="8"/>
        <v>0.99986873973205936</v>
      </c>
      <c r="AI214">
        <v>14</v>
      </c>
      <c r="AJ214">
        <v>8</v>
      </c>
      <c r="AK214">
        <v>26</v>
      </c>
    </row>
    <row r="215" spans="1:37" x14ac:dyDescent="0.35">
      <c r="A215" t="s">
        <v>495</v>
      </c>
      <c r="B215">
        <v>3</v>
      </c>
      <c r="C215" s="9" t="s">
        <v>7</v>
      </c>
      <c r="D215" s="9" t="s">
        <v>8</v>
      </c>
      <c r="E215" s="9" t="s">
        <v>290</v>
      </c>
      <c r="F215" s="9" t="s">
        <v>605</v>
      </c>
      <c r="G215" s="9" t="s">
        <v>556</v>
      </c>
      <c r="H215" s="9" t="s">
        <v>605</v>
      </c>
      <c r="I215" s="9" t="s">
        <v>605</v>
      </c>
      <c r="J215" s="9" t="s">
        <v>605</v>
      </c>
      <c r="K215" s="9" t="s">
        <v>605</v>
      </c>
      <c r="L215" s="9" t="s">
        <v>605</v>
      </c>
      <c r="M215" s="9" t="s">
        <v>566</v>
      </c>
      <c r="N215" s="9" t="s">
        <v>605</v>
      </c>
      <c r="O215" s="9">
        <v>0.56000000000000005</v>
      </c>
      <c r="P215" s="14" t="s">
        <v>558</v>
      </c>
      <c r="Q215">
        <v>94.5</v>
      </c>
      <c r="R215">
        <v>1</v>
      </c>
      <c r="S215" s="2">
        <v>3</v>
      </c>
      <c r="T215" s="3">
        <v>0</v>
      </c>
      <c r="U215" s="3">
        <v>0</v>
      </c>
      <c r="V215" s="4">
        <v>0</v>
      </c>
      <c r="W215" s="2">
        <v>0</v>
      </c>
      <c r="X215" s="3">
        <v>0</v>
      </c>
      <c r="Y215" s="3">
        <v>0</v>
      </c>
      <c r="Z215" s="4">
        <v>0</v>
      </c>
      <c r="AA215" s="2">
        <v>0</v>
      </c>
      <c r="AB215" s="3">
        <v>0</v>
      </c>
      <c r="AC215" s="3">
        <v>0</v>
      </c>
      <c r="AD215" s="4">
        <v>0</v>
      </c>
      <c r="AF215" s="26">
        <f t="shared" si="7"/>
        <v>1.2702606574869163E-5</v>
      </c>
      <c r="AG215" s="26">
        <f t="shared" si="8"/>
        <v>0.99988144233863419</v>
      </c>
      <c r="AI215">
        <v>61</v>
      </c>
      <c r="AJ215">
        <v>0</v>
      </c>
      <c r="AK215">
        <v>0</v>
      </c>
    </row>
    <row r="216" spans="1:37" x14ac:dyDescent="0.35">
      <c r="A216" t="s">
        <v>555</v>
      </c>
      <c r="B216">
        <v>3</v>
      </c>
      <c r="C216" s="9" t="s">
        <v>7</v>
      </c>
      <c r="D216" s="9" t="s">
        <v>8</v>
      </c>
      <c r="E216" s="9" t="s">
        <v>290</v>
      </c>
      <c r="F216" s="9" t="s">
        <v>605</v>
      </c>
      <c r="G216" s="9" t="s">
        <v>556</v>
      </c>
      <c r="H216" s="9" t="s">
        <v>605</v>
      </c>
      <c r="I216" s="9" t="s">
        <v>605</v>
      </c>
      <c r="J216" s="9" t="s">
        <v>605</v>
      </c>
      <c r="K216" s="9" t="s">
        <v>605</v>
      </c>
      <c r="L216" s="9" t="s">
        <v>605</v>
      </c>
      <c r="M216" s="9" t="s">
        <v>557</v>
      </c>
      <c r="N216" s="9" t="s">
        <v>605</v>
      </c>
      <c r="O216" s="9">
        <v>0.65</v>
      </c>
      <c r="P216" s="14" t="s">
        <v>558</v>
      </c>
      <c r="Q216">
        <v>96</v>
      </c>
      <c r="R216">
        <v>1</v>
      </c>
      <c r="S216" s="2">
        <v>3</v>
      </c>
      <c r="T216" s="3">
        <v>0</v>
      </c>
      <c r="U216" s="3">
        <v>0</v>
      </c>
      <c r="V216" s="4">
        <v>0</v>
      </c>
      <c r="W216" s="2">
        <v>0</v>
      </c>
      <c r="X216" s="3">
        <v>0</v>
      </c>
      <c r="Y216" s="3">
        <v>0</v>
      </c>
      <c r="Z216" s="4">
        <v>0</v>
      </c>
      <c r="AA216" s="2">
        <v>0</v>
      </c>
      <c r="AB216" s="3">
        <v>0</v>
      </c>
      <c r="AC216" s="3">
        <v>0</v>
      </c>
      <c r="AD216" s="4">
        <v>0</v>
      </c>
      <c r="AF216" s="26">
        <f t="shared" si="7"/>
        <v>1.2702606574869163E-5</v>
      </c>
      <c r="AG216" s="26">
        <f t="shared" si="8"/>
        <v>0.99989414494520901</v>
      </c>
      <c r="AI216">
        <v>45</v>
      </c>
      <c r="AJ216">
        <v>0</v>
      </c>
      <c r="AK216">
        <v>0</v>
      </c>
    </row>
    <row r="217" spans="1:37" x14ac:dyDescent="0.35">
      <c r="A217" t="s">
        <v>593</v>
      </c>
      <c r="B217">
        <v>3</v>
      </c>
      <c r="C217" s="9" t="s">
        <v>7</v>
      </c>
      <c r="D217" s="9" t="s">
        <v>8</v>
      </c>
      <c r="E217" s="9" t="s">
        <v>32</v>
      </c>
      <c r="F217" s="9" t="s">
        <v>605</v>
      </c>
      <c r="G217" s="9" t="s">
        <v>35</v>
      </c>
      <c r="H217" s="9" t="s">
        <v>605</v>
      </c>
      <c r="I217" s="9" t="s">
        <v>36</v>
      </c>
      <c r="J217" s="9" t="s">
        <v>605</v>
      </c>
      <c r="K217" s="9" t="s">
        <v>37</v>
      </c>
      <c r="L217" s="9" t="s">
        <v>605</v>
      </c>
      <c r="M217" s="9" t="s">
        <v>605</v>
      </c>
      <c r="N217" s="9" t="s">
        <v>605</v>
      </c>
      <c r="O217" s="9">
        <v>0.97</v>
      </c>
      <c r="P217" s="14" t="s">
        <v>401</v>
      </c>
      <c r="Q217">
        <v>93.7</v>
      </c>
      <c r="R217">
        <v>1</v>
      </c>
      <c r="S217" s="2">
        <v>0</v>
      </c>
      <c r="T217" s="3">
        <v>0</v>
      </c>
      <c r="U217" s="3">
        <v>0</v>
      </c>
      <c r="V217" s="4">
        <v>0</v>
      </c>
      <c r="W217" s="2">
        <v>1</v>
      </c>
      <c r="X217" s="3">
        <v>0</v>
      </c>
      <c r="Y217" s="3">
        <v>0</v>
      </c>
      <c r="Z217" s="4">
        <v>0</v>
      </c>
      <c r="AA217" s="2">
        <v>2</v>
      </c>
      <c r="AB217" s="3">
        <v>0</v>
      </c>
      <c r="AC217" s="3">
        <v>0</v>
      </c>
      <c r="AD217" s="4">
        <v>0</v>
      </c>
      <c r="AF217" s="26">
        <f t="shared" si="7"/>
        <v>1.2702606574869163E-5</v>
      </c>
      <c r="AG217" s="26">
        <f t="shared" si="8"/>
        <v>0.99990684755178383</v>
      </c>
      <c r="AI217">
        <v>2</v>
      </c>
      <c r="AJ217">
        <v>1</v>
      </c>
      <c r="AK217">
        <v>3</v>
      </c>
    </row>
    <row r="218" spans="1:37" x14ac:dyDescent="0.35">
      <c r="A218" t="s">
        <v>573</v>
      </c>
      <c r="B218">
        <v>2</v>
      </c>
      <c r="C218" s="9" t="s">
        <v>7</v>
      </c>
      <c r="D218" s="9" t="s">
        <v>8</v>
      </c>
      <c r="E218" s="9" t="s">
        <v>46</v>
      </c>
      <c r="F218" s="9" t="s">
        <v>605</v>
      </c>
      <c r="G218" s="9" t="s">
        <v>47</v>
      </c>
      <c r="H218" s="9" t="s">
        <v>605</v>
      </c>
      <c r="I218" s="9" t="s">
        <v>61</v>
      </c>
      <c r="J218" s="9" t="s">
        <v>605</v>
      </c>
      <c r="K218" s="9" t="s">
        <v>178</v>
      </c>
      <c r="L218" s="9" t="s">
        <v>605</v>
      </c>
      <c r="M218" s="9" t="s">
        <v>605</v>
      </c>
      <c r="N218" s="9" t="s">
        <v>605</v>
      </c>
      <c r="O218" s="9">
        <v>0.94</v>
      </c>
      <c r="P218" s="14" t="s">
        <v>574</v>
      </c>
      <c r="Q218">
        <v>95.6</v>
      </c>
      <c r="R218">
        <v>1</v>
      </c>
      <c r="S218" s="2">
        <v>2</v>
      </c>
      <c r="T218" s="3">
        <v>0</v>
      </c>
      <c r="U218" s="3">
        <v>0</v>
      </c>
      <c r="V218" s="4">
        <v>0</v>
      </c>
      <c r="W218" s="2">
        <v>0</v>
      </c>
      <c r="X218" s="3">
        <v>0</v>
      </c>
      <c r="Y218" s="3">
        <v>0</v>
      </c>
      <c r="Z218" s="4">
        <v>0</v>
      </c>
      <c r="AA218" s="2">
        <v>0</v>
      </c>
      <c r="AB218" s="3">
        <v>0</v>
      </c>
      <c r="AC218" s="3">
        <v>0</v>
      </c>
      <c r="AD218" s="4">
        <v>0</v>
      </c>
      <c r="AF218" s="26">
        <f t="shared" si="7"/>
        <v>8.4684043832461092E-6</v>
      </c>
      <c r="AG218" s="26">
        <f t="shared" si="8"/>
        <v>0.99991531595616712</v>
      </c>
      <c r="AI218">
        <v>65</v>
      </c>
      <c r="AJ218">
        <v>30</v>
      </c>
      <c r="AK218">
        <v>68</v>
      </c>
    </row>
    <row r="219" spans="1:37" x14ac:dyDescent="0.35">
      <c r="A219" t="s">
        <v>535</v>
      </c>
      <c r="B219">
        <v>2</v>
      </c>
      <c r="C219" s="9" t="s">
        <v>7</v>
      </c>
      <c r="D219" s="9" t="s">
        <v>8</v>
      </c>
      <c r="E219" s="9" t="s">
        <v>32</v>
      </c>
      <c r="F219" s="9" t="s">
        <v>605</v>
      </c>
      <c r="G219" s="9" t="s">
        <v>35</v>
      </c>
      <c r="H219" s="9" t="s">
        <v>605</v>
      </c>
      <c r="I219" s="9" t="s">
        <v>36</v>
      </c>
      <c r="J219" s="9" t="s">
        <v>605</v>
      </c>
      <c r="K219" s="9" t="s">
        <v>194</v>
      </c>
      <c r="L219" s="9" t="s">
        <v>605</v>
      </c>
      <c r="M219" s="9" t="s">
        <v>600</v>
      </c>
      <c r="N219" s="9" t="s">
        <v>605</v>
      </c>
      <c r="O219" s="9">
        <v>1</v>
      </c>
      <c r="P219" s="14" t="s">
        <v>601</v>
      </c>
      <c r="Q219">
        <v>100</v>
      </c>
      <c r="R219">
        <v>1</v>
      </c>
      <c r="S219" s="2">
        <v>1</v>
      </c>
      <c r="T219" s="3">
        <v>0</v>
      </c>
      <c r="U219" s="3">
        <v>0</v>
      </c>
      <c r="V219" s="4">
        <v>0</v>
      </c>
      <c r="W219" s="2">
        <v>1</v>
      </c>
      <c r="X219" s="3">
        <v>0</v>
      </c>
      <c r="Y219" s="3">
        <v>0</v>
      </c>
      <c r="Z219" s="4">
        <v>0</v>
      </c>
      <c r="AA219" s="2">
        <v>0</v>
      </c>
      <c r="AB219" s="3">
        <v>0</v>
      </c>
      <c r="AC219" s="3">
        <v>0</v>
      </c>
      <c r="AD219" s="4">
        <v>0</v>
      </c>
      <c r="AF219" s="26">
        <f t="shared" si="7"/>
        <v>8.4684043832461092E-6</v>
      </c>
      <c r="AG219" s="26">
        <f t="shared" si="8"/>
        <v>0.99992378436055041</v>
      </c>
      <c r="AI219">
        <v>15</v>
      </c>
      <c r="AJ219">
        <v>0</v>
      </c>
      <c r="AK219">
        <v>0</v>
      </c>
    </row>
    <row r="220" spans="1:37" x14ac:dyDescent="0.35">
      <c r="A220" t="s">
        <v>586</v>
      </c>
      <c r="B220">
        <v>2</v>
      </c>
      <c r="C220" s="9" t="s">
        <v>7</v>
      </c>
      <c r="D220" s="9" t="s">
        <v>8</v>
      </c>
      <c r="E220" s="9" t="s">
        <v>46</v>
      </c>
      <c r="F220" s="9" t="s">
        <v>605</v>
      </c>
      <c r="G220" s="9" t="s">
        <v>47</v>
      </c>
      <c r="H220" s="9" t="s">
        <v>605</v>
      </c>
      <c r="I220" s="9" t="s">
        <v>61</v>
      </c>
      <c r="J220" s="9" t="s">
        <v>605</v>
      </c>
      <c r="K220" s="9" t="s">
        <v>190</v>
      </c>
      <c r="L220" s="9" t="s">
        <v>605</v>
      </c>
      <c r="M220" s="9" t="s">
        <v>587</v>
      </c>
      <c r="N220" s="9" t="s">
        <v>605</v>
      </c>
      <c r="O220" s="9">
        <v>0.91</v>
      </c>
      <c r="P220" s="14" t="s">
        <v>588</v>
      </c>
      <c r="Q220">
        <v>95.3</v>
      </c>
      <c r="R220">
        <v>1</v>
      </c>
      <c r="S220" s="2">
        <v>2</v>
      </c>
      <c r="T220" s="3">
        <v>0</v>
      </c>
      <c r="U220" s="3">
        <v>0</v>
      </c>
      <c r="V220" s="4">
        <v>0</v>
      </c>
      <c r="W220" s="2">
        <v>0</v>
      </c>
      <c r="X220" s="3">
        <v>0</v>
      </c>
      <c r="Y220" s="3">
        <v>0</v>
      </c>
      <c r="Z220" s="4">
        <v>0</v>
      </c>
      <c r="AA220" s="2">
        <v>0</v>
      </c>
      <c r="AB220" s="3">
        <v>0</v>
      </c>
      <c r="AC220" s="3">
        <v>0</v>
      </c>
      <c r="AD220" s="4">
        <v>0</v>
      </c>
      <c r="AF220" s="26">
        <f t="shared" si="7"/>
        <v>8.4684043832461092E-6</v>
      </c>
      <c r="AG220" s="26">
        <f t="shared" si="8"/>
        <v>0.99993225276493369</v>
      </c>
      <c r="AI220">
        <v>11</v>
      </c>
      <c r="AJ220">
        <v>0</v>
      </c>
      <c r="AK220">
        <v>11</v>
      </c>
    </row>
    <row r="221" spans="1:37" x14ac:dyDescent="0.35">
      <c r="A221" t="s">
        <v>560</v>
      </c>
      <c r="B221">
        <v>2</v>
      </c>
      <c r="C221" s="9" t="s">
        <v>7</v>
      </c>
      <c r="D221" s="9" t="s">
        <v>8</v>
      </c>
      <c r="E221" s="9" t="s">
        <v>46</v>
      </c>
      <c r="F221" s="9" t="s">
        <v>605</v>
      </c>
      <c r="G221" s="9" t="s">
        <v>47</v>
      </c>
      <c r="H221" s="9" t="s">
        <v>605</v>
      </c>
      <c r="I221" s="9" t="s">
        <v>605</v>
      </c>
      <c r="J221" s="9" t="s">
        <v>605</v>
      </c>
      <c r="K221" s="9" t="s">
        <v>605</v>
      </c>
      <c r="L221" s="9" t="s">
        <v>605</v>
      </c>
      <c r="M221" s="9" t="s">
        <v>605</v>
      </c>
      <c r="N221" s="9" t="s">
        <v>605</v>
      </c>
      <c r="O221" s="9">
        <v>0.88</v>
      </c>
      <c r="P221" s="14" t="s">
        <v>578</v>
      </c>
      <c r="Q221">
        <v>90.9</v>
      </c>
      <c r="R221">
        <v>1</v>
      </c>
      <c r="S221" s="2">
        <v>0</v>
      </c>
      <c r="T221" s="3">
        <v>0</v>
      </c>
      <c r="U221" s="3">
        <v>0</v>
      </c>
      <c r="V221" s="4">
        <v>0</v>
      </c>
      <c r="W221" s="2">
        <v>2</v>
      </c>
      <c r="X221" s="3">
        <v>0</v>
      </c>
      <c r="Y221" s="3">
        <v>0</v>
      </c>
      <c r="Z221" s="4">
        <v>0</v>
      </c>
      <c r="AA221" s="2">
        <v>0</v>
      </c>
      <c r="AB221" s="3">
        <v>0</v>
      </c>
      <c r="AC221" s="3">
        <v>0</v>
      </c>
      <c r="AD221" s="4">
        <v>0</v>
      </c>
      <c r="AF221" s="26">
        <f t="shared" si="7"/>
        <v>8.4684043832461092E-6</v>
      </c>
      <c r="AG221" s="26">
        <f t="shared" si="8"/>
        <v>0.99994072116931698</v>
      </c>
      <c r="AI221">
        <v>7</v>
      </c>
      <c r="AJ221">
        <v>63</v>
      </c>
      <c r="AK221">
        <v>9</v>
      </c>
    </row>
    <row r="222" spans="1:37" x14ac:dyDescent="0.35">
      <c r="A222" t="s">
        <v>252</v>
      </c>
      <c r="B222">
        <v>2</v>
      </c>
      <c r="C222" s="9" t="s">
        <v>7</v>
      </c>
      <c r="D222" s="9" t="s">
        <v>8</v>
      </c>
      <c r="E222" s="9" t="s">
        <v>9</v>
      </c>
      <c r="F222" s="9" t="s">
        <v>605</v>
      </c>
      <c r="G222" s="9" t="s">
        <v>243</v>
      </c>
      <c r="H222" s="9" t="s">
        <v>605</v>
      </c>
      <c r="I222" s="9" t="s">
        <v>594</v>
      </c>
      <c r="J222" s="9" t="s">
        <v>605</v>
      </c>
      <c r="K222" s="9" t="s">
        <v>595</v>
      </c>
      <c r="L222" s="9" t="s">
        <v>605</v>
      </c>
      <c r="M222" s="9" t="s">
        <v>596</v>
      </c>
      <c r="N222" s="9" t="s">
        <v>605</v>
      </c>
      <c r="O222" s="9">
        <v>0.51</v>
      </c>
      <c r="P222" s="14" t="s">
        <v>597</v>
      </c>
      <c r="Q222">
        <v>98.8</v>
      </c>
      <c r="R222">
        <v>3</v>
      </c>
      <c r="S222" s="2">
        <v>0</v>
      </c>
      <c r="T222" s="3">
        <v>0</v>
      </c>
      <c r="U222" s="3">
        <v>0</v>
      </c>
      <c r="V222" s="4">
        <v>0</v>
      </c>
      <c r="W222" s="2">
        <v>0</v>
      </c>
      <c r="X222" s="3">
        <v>0</v>
      </c>
      <c r="Y222" s="3">
        <v>0</v>
      </c>
      <c r="Z222" s="4">
        <v>0</v>
      </c>
      <c r="AA222" s="2">
        <v>2</v>
      </c>
      <c r="AB222" s="3">
        <v>0</v>
      </c>
      <c r="AC222" s="3">
        <v>0</v>
      </c>
      <c r="AD222" s="4">
        <v>0</v>
      </c>
      <c r="AF222" s="26">
        <f t="shared" si="7"/>
        <v>8.4684043832461092E-6</v>
      </c>
      <c r="AG222" s="26">
        <f t="shared" si="8"/>
        <v>0.99994918957370027</v>
      </c>
      <c r="AI222">
        <v>0</v>
      </c>
      <c r="AJ222">
        <v>0</v>
      </c>
      <c r="AK222">
        <v>16</v>
      </c>
    </row>
    <row r="223" spans="1:37" x14ac:dyDescent="0.35">
      <c r="A223" t="s">
        <v>533</v>
      </c>
      <c r="B223">
        <v>2</v>
      </c>
      <c r="C223" s="9" t="s">
        <v>7</v>
      </c>
      <c r="D223" s="9" t="s">
        <v>8</v>
      </c>
      <c r="E223" s="9" t="s">
        <v>46</v>
      </c>
      <c r="F223" s="9" t="s">
        <v>605</v>
      </c>
      <c r="G223" s="9" t="s">
        <v>47</v>
      </c>
      <c r="H223" s="9" t="s">
        <v>605</v>
      </c>
      <c r="I223" s="9" t="s">
        <v>61</v>
      </c>
      <c r="J223" s="9" t="s">
        <v>605</v>
      </c>
      <c r="K223" s="9" t="s">
        <v>190</v>
      </c>
      <c r="L223" s="9" t="s">
        <v>605</v>
      </c>
      <c r="M223" s="9" t="s">
        <v>191</v>
      </c>
      <c r="N223" s="9" t="s">
        <v>605</v>
      </c>
      <c r="O223" s="9">
        <v>0.62</v>
      </c>
      <c r="P223" s="14" t="s">
        <v>192</v>
      </c>
      <c r="Q223">
        <v>92.9</v>
      </c>
      <c r="R223">
        <v>1</v>
      </c>
      <c r="S223" s="2">
        <v>0</v>
      </c>
      <c r="T223" s="3">
        <v>0</v>
      </c>
      <c r="U223" s="3">
        <v>0</v>
      </c>
      <c r="V223" s="4">
        <v>0</v>
      </c>
      <c r="W223" s="2">
        <v>1</v>
      </c>
      <c r="X223" s="3">
        <v>0</v>
      </c>
      <c r="Y223" s="3">
        <v>0</v>
      </c>
      <c r="Z223" s="4">
        <v>0</v>
      </c>
      <c r="AA223" s="2">
        <v>1</v>
      </c>
      <c r="AB223" s="3">
        <v>0</v>
      </c>
      <c r="AC223" s="3">
        <v>0</v>
      </c>
      <c r="AD223" s="4">
        <v>0</v>
      </c>
      <c r="AF223" s="26">
        <f t="shared" si="7"/>
        <v>8.4684043832461092E-6</v>
      </c>
      <c r="AG223" s="26">
        <f t="shared" si="8"/>
        <v>0.99995765797808356</v>
      </c>
      <c r="AI223">
        <v>14</v>
      </c>
      <c r="AJ223">
        <v>0</v>
      </c>
      <c r="AK223">
        <v>14</v>
      </c>
    </row>
    <row r="224" spans="1:37" x14ac:dyDescent="0.35">
      <c r="A224" t="s">
        <v>481</v>
      </c>
      <c r="B224">
        <v>2</v>
      </c>
      <c r="C224" s="9" t="s">
        <v>7</v>
      </c>
      <c r="D224" s="9" t="s">
        <v>8</v>
      </c>
      <c r="E224" s="9" t="s">
        <v>583</v>
      </c>
      <c r="F224" s="9" t="s">
        <v>605</v>
      </c>
      <c r="G224" s="9" t="s">
        <v>605</v>
      </c>
      <c r="H224" s="9" t="s">
        <v>605</v>
      </c>
      <c r="I224" s="9" t="s">
        <v>605</v>
      </c>
      <c r="J224" s="9" t="s">
        <v>605</v>
      </c>
      <c r="K224" s="9" t="s">
        <v>605</v>
      </c>
      <c r="L224" s="9" t="s">
        <v>605</v>
      </c>
      <c r="M224" s="9" t="s">
        <v>584</v>
      </c>
      <c r="N224" s="9" t="s">
        <v>605</v>
      </c>
      <c r="O224" s="9">
        <v>0.99</v>
      </c>
      <c r="P224" s="14" t="s">
        <v>585</v>
      </c>
      <c r="Q224">
        <v>91.7</v>
      </c>
      <c r="R224">
        <v>1</v>
      </c>
      <c r="S224" s="2">
        <v>2</v>
      </c>
      <c r="T224" s="3">
        <v>0</v>
      </c>
      <c r="U224" s="3">
        <v>0</v>
      </c>
      <c r="V224" s="4">
        <v>0</v>
      </c>
      <c r="W224" s="2">
        <v>0</v>
      </c>
      <c r="X224" s="3">
        <v>0</v>
      </c>
      <c r="Y224" s="3">
        <v>0</v>
      </c>
      <c r="Z224" s="4">
        <v>0</v>
      </c>
      <c r="AA224" s="2">
        <v>0</v>
      </c>
      <c r="AB224" s="3">
        <v>0</v>
      </c>
      <c r="AC224" s="3">
        <v>0</v>
      </c>
      <c r="AD224" s="4">
        <v>0</v>
      </c>
      <c r="AF224" s="26">
        <f t="shared" si="7"/>
        <v>8.4684043832461092E-6</v>
      </c>
      <c r="AG224" s="26">
        <f t="shared" si="8"/>
        <v>0.99996612638246685</v>
      </c>
      <c r="AI224">
        <v>0</v>
      </c>
      <c r="AJ224">
        <v>0</v>
      </c>
      <c r="AK224">
        <v>0</v>
      </c>
    </row>
    <row r="225" spans="1:37" x14ac:dyDescent="0.35">
      <c r="A225" t="s">
        <v>575</v>
      </c>
      <c r="B225">
        <v>2</v>
      </c>
      <c r="C225" s="9" t="s">
        <v>7</v>
      </c>
      <c r="D225" s="9" t="s">
        <v>8</v>
      </c>
      <c r="E225" s="9" t="s">
        <v>46</v>
      </c>
      <c r="F225" s="9" t="s">
        <v>605</v>
      </c>
      <c r="G225" s="9" t="s">
        <v>47</v>
      </c>
      <c r="H225" s="9" t="s">
        <v>605</v>
      </c>
      <c r="I225" s="9" t="s">
        <v>61</v>
      </c>
      <c r="J225" s="9" t="s">
        <v>605</v>
      </c>
      <c r="K225" s="9" t="s">
        <v>561</v>
      </c>
      <c r="L225" s="9" t="s">
        <v>605</v>
      </c>
      <c r="M225" s="9" t="s">
        <v>605</v>
      </c>
      <c r="N225" s="9" t="s">
        <v>605</v>
      </c>
      <c r="O225" s="9">
        <v>0.98</v>
      </c>
      <c r="P225" s="14" t="s">
        <v>576</v>
      </c>
      <c r="Q225">
        <v>93.7</v>
      </c>
      <c r="R225">
        <v>2</v>
      </c>
      <c r="S225" s="2">
        <v>2</v>
      </c>
      <c r="T225" s="3">
        <v>0</v>
      </c>
      <c r="U225" s="3">
        <v>0</v>
      </c>
      <c r="V225" s="4">
        <v>0</v>
      </c>
      <c r="W225" s="2">
        <v>0</v>
      </c>
      <c r="X225" s="3">
        <v>0</v>
      </c>
      <c r="Y225" s="3">
        <v>0</v>
      </c>
      <c r="Z225" s="4">
        <v>0</v>
      </c>
      <c r="AA225" s="2">
        <v>0</v>
      </c>
      <c r="AB225" s="3">
        <v>0</v>
      </c>
      <c r="AC225" s="3">
        <v>0</v>
      </c>
      <c r="AD225" s="4">
        <v>0</v>
      </c>
      <c r="AF225" s="26">
        <f t="shared" si="7"/>
        <v>8.4684043832461092E-6</v>
      </c>
      <c r="AG225" s="26">
        <f t="shared" si="8"/>
        <v>0.99997459478685014</v>
      </c>
      <c r="AI225">
        <v>21</v>
      </c>
      <c r="AJ225">
        <v>12</v>
      </c>
      <c r="AK225">
        <v>17</v>
      </c>
    </row>
    <row r="226" spans="1:37" x14ac:dyDescent="0.35">
      <c r="A226" t="s">
        <v>482</v>
      </c>
      <c r="B226">
        <v>2</v>
      </c>
      <c r="C226" s="9" t="s">
        <v>7</v>
      </c>
      <c r="D226" s="9" t="s">
        <v>8</v>
      </c>
      <c r="E226" s="9" t="s">
        <v>46</v>
      </c>
      <c r="F226" s="9" t="s">
        <v>605</v>
      </c>
      <c r="G226" s="9" t="s">
        <v>47</v>
      </c>
      <c r="H226" s="9" t="s">
        <v>605</v>
      </c>
      <c r="I226" s="9" t="s">
        <v>69</v>
      </c>
      <c r="J226" s="9" t="s">
        <v>605</v>
      </c>
      <c r="K226" s="9" t="s">
        <v>70</v>
      </c>
      <c r="L226" s="9" t="s">
        <v>605</v>
      </c>
      <c r="M226" s="9" t="s">
        <v>605</v>
      </c>
      <c r="N226" s="9" t="s">
        <v>605</v>
      </c>
      <c r="O226" s="9">
        <v>0.51</v>
      </c>
      <c r="P226" s="14" t="s">
        <v>580</v>
      </c>
      <c r="Q226">
        <v>86.2</v>
      </c>
      <c r="R226">
        <v>2</v>
      </c>
      <c r="S226" s="2">
        <v>0</v>
      </c>
      <c r="T226" s="3">
        <v>0</v>
      </c>
      <c r="U226" s="3">
        <v>0</v>
      </c>
      <c r="V226" s="4">
        <v>0</v>
      </c>
      <c r="W226" s="2">
        <v>2</v>
      </c>
      <c r="X226" s="3">
        <v>0</v>
      </c>
      <c r="Y226" s="3">
        <v>0</v>
      </c>
      <c r="Z226" s="4">
        <v>0</v>
      </c>
      <c r="AA226" s="2">
        <v>0</v>
      </c>
      <c r="AB226" s="3">
        <v>0</v>
      </c>
      <c r="AC226" s="3">
        <v>0</v>
      </c>
      <c r="AD226" s="4">
        <v>0</v>
      </c>
      <c r="AF226" s="26">
        <f t="shared" si="7"/>
        <v>8.4684043832461092E-6</v>
      </c>
      <c r="AG226" s="26">
        <f t="shared" si="8"/>
        <v>0.99998306319123342</v>
      </c>
      <c r="AI226">
        <v>17</v>
      </c>
      <c r="AJ226">
        <v>40</v>
      </c>
      <c r="AK226">
        <v>17</v>
      </c>
    </row>
    <row r="227" spans="1:37" x14ac:dyDescent="0.35">
      <c r="A227" t="s">
        <v>559</v>
      </c>
      <c r="B227">
        <v>2</v>
      </c>
      <c r="C227" s="9" t="s">
        <v>7</v>
      </c>
      <c r="D227" s="9" t="s">
        <v>8</v>
      </c>
      <c r="E227" s="9" t="s">
        <v>9</v>
      </c>
      <c r="F227" s="9" t="s">
        <v>605</v>
      </c>
      <c r="G227" s="9" t="s">
        <v>172</v>
      </c>
      <c r="H227" s="9" t="s">
        <v>605</v>
      </c>
      <c r="I227" s="9" t="s">
        <v>173</v>
      </c>
      <c r="J227" s="9" t="s">
        <v>605</v>
      </c>
      <c r="K227" s="9" t="s">
        <v>590</v>
      </c>
      <c r="L227" s="9" t="s">
        <v>605</v>
      </c>
      <c r="M227" s="9" t="s">
        <v>591</v>
      </c>
      <c r="N227" s="9" t="s">
        <v>605</v>
      </c>
      <c r="O227" s="9">
        <v>1</v>
      </c>
      <c r="P227" s="14" t="s">
        <v>592</v>
      </c>
      <c r="Q227">
        <v>100</v>
      </c>
      <c r="R227">
        <v>1</v>
      </c>
      <c r="S227" s="2">
        <v>0</v>
      </c>
      <c r="T227" s="3">
        <v>0</v>
      </c>
      <c r="U227" s="3">
        <v>0</v>
      </c>
      <c r="V227" s="4">
        <v>0</v>
      </c>
      <c r="W227" s="2">
        <v>0</v>
      </c>
      <c r="X227" s="3">
        <v>0</v>
      </c>
      <c r="Y227" s="3">
        <v>0</v>
      </c>
      <c r="Z227" s="4">
        <v>0</v>
      </c>
      <c r="AA227" s="2">
        <v>2</v>
      </c>
      <c r="AB227" s="3">
        <v>0</v>
      </c>
      <c r="AC227" s="3">
        <v>0</v>
      </c>
      <c r="AD227" s="4">
        <v>0</v>
      </c>
      <c r="AF227" s="26">
        <f t="shared" si="7"/>
        <v>8.4684043832461092E-6</v>
      </c>
      <c r="AG227" s="26">
        <f t="shared" si="8"/>
        <v>0.99999153159561671</v>
      </c>
      <c r="AI227">
        <v>0</v>
      </c>
      <c r="AJ227">
        <v>0</v>
      </c>
      <c r="AK227">
        <v>86</v>
      </c>
    </row>
    <row r="228" spans="1:37" x14ac:dyDescent="0.35">
      <c r="A228" t="s">
        <v>589</v>
      </c>
      <c r="B228">
        <v>2</v>
      </c>
      <c r="C228" s="9" t="s">
        <v>7</v>
      </c>
      <c r="D228" s="9" t="s">
        <v>8</v>
      </c>
      <c r="E228" s="9" t="s">
        <v>120</v>
      </c>
      <c r="F228" s="9" t="s">
        <v>605</v>
      </c>
      <c r="G228" s="9" t="s">
        <v>121</v>
      </c>
      <c r="H228" s="9" t="s">
        <v>605</v>
      </c>
      <c r="I228" s="9" t="s">
        <v>122</v>
      </c>
      <c r="J228" s="9" t="s">
        <v>605</v>
      </c>
      <c r="K228" s="9" t="s">
        <v>123</v>
      </c>
      <c r="L228" s="9" t="s">
        <v>605</v>
      </c>
      <c r="M228" s="9" t="s">
        <v>605</v>
      </c>
      <c r="N228" s="9" t="s">
        <v>605</v>
      </c>
      <c r="O228" s="9">
        <v>1</v>
      </c>
      <c r="P228" s="14" t="s">
        <v>125</v>
      </c>
      <c r="Q228">
        <v>90.9</v>
      </c>
      <c r="R228" s="3">
        <v>1</v>
      </c>
      <c r="S228" s="5">
        <v>0</v>
      </c>
      <c r="T228" s="6">
        <v>0</v>
      </c>
      <c r="U228" s="6">
        <v>0</v>
      </c>
      <c r="V228" s="6">
        <v>0</v>
      </c>
      <c r="W228" s="6">
        <v>1</v>
      </c>
      <c r="X228" s="6">
        <v>0</v>
      </c>
      <c r="Y228" s="6">
        <v>0</v>
      </c>
      <c r="Z228" s="6">
        <v>0</v>
      </c>
      <c r="AA228" s="6">
        <v>1</v>
      </c>
      <c r="AB228" s="6">
        <v>0</v>
      </c>
      <c r="AC228" s="6">
        <v>0</v>
      </c>
      <c r="AD228" s="7">
        <v>0</v>
      </c>
      <c r="AF228" s="26">
        <f t="shared" si="7"/>
        <v>8.4684043832461092E-6</v>
      </c>
      <c r="AG228" s="26">
        <f t="shared" si="8"/>
        <v>1</v>
      </c>
      <c r="AI228">
        <v>8</v>
      </c>
      <c r="AJ228">
        <v>23</v>
      </c>
      <c r="AK228">
        <v>100</v>
      </c>
    </row>
    <row r="229" spans="1:37" x14ac:dyDescent="0.35"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F229" s="26"/>
      <c r="AG229" s="26"/>
    </row>
  </sheetData>
  <conditionalFormatting sqref="S4:S228">
    <cfRule type="expression" dxfId="54" priority="27" stopIfTrue="1">
      <formula>$S4=0</formula>
    </cfRule>
    <cfRule type="expression" dxfId="53" priority="28">
      <formula>$AI4&lt;100</formula>
    </cfRule>
    <cfRule type="expression" dxfId="52" priority="29">
      <formula>$AI4=100</formula>
    </cfRule>
  </conditionalFormatting>
  <conditionalFormatting sqref="AI4:AK228">
    <cfRule type="cellIs" dxfId="51" priority="1" operator="between">
      <formula>95</formula>
      <formula>100</formula>
    </cfRule>
  </conditionalFormatting>
  <conditionalFormatting sqref="W4:W228">
    <cfRule type="expression" dxfId="50" priority="56" stopIfTrue="1">
      <formula>$W4=0</formula>
    </cfRule>
    <cfRule type="expression" dxfId="49" priority="57">
      <formula>$AJ4&lt;100</formula>
    </cfRule>
    <cfRule type="expression" dxfId="48" priority="58">
      <formula>$AJ4=100</formula>
    </cfRule>
  </conditionalFormatting>
  <conditionalFormatting sqref="AA4:AA228">
    <cfRule type="expression" dxfId="47" priority="59" stopIfTrue="1">
      <formula>$AA4=0</formula>
    </cfRule>
    <cfRule type="expression" dxfId="46" priority="60">
      <formula>$AK4&lt;90</formula>
    </cfRule>
    <cfRule type="expression" dxfId="45" priority="61">
      <formula>$AK4=100</formula>
    </cfRule>
  </conditionalFormatting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workbookViewId="0">
      <selection activeCell="F1" sqref="F1"/>
    </sheetView>
  </sheetViews>
  <sheetFormatPr defaultRowHeight="14.5" x14ac:dyDescent="0.35"/>
  <cols>
    <col min="3" max="3" width="4.453125" customWidth="1"/>
    <col min="4" max="4" width="45.81640625" customWidth="1"/>
    <col min="6" max="6" width="36.81640625" customWidth="1"/>
    <col min="14" max="14" width="5.453125" customWidth="1"/>
    <col min="15" max="15" width="55" customWidth="1"/>
  </cols>
  <sheetData>
    <row r="1" spans="1:22" x14ac:dyDescent="0.35">
      <c r="A1" t="s">
        <v>1526</v>
      </c>
      <c r="D1" s="9"/>
      <c r="E1" s="9"/>
      <c r="F1" s="9"/>
      <c r="H1" t="s">
        <v>1527</v>
      </c>
      <c r="L1" t="s">
        <v>1524</v>
      </c>
    </row>
    <row r="2" spans="1:22" x14ac:dyDescent="0.35">
      <c r="A2" t="s">
        <v>0</v>
      </c>
      <c r="B2" t="s">
        <v>1</v>
      </c>
      <c r="D2" s="9" t="s">
        <v>1960</v>
      </c>
      <c r="E2" s="9" t="s">
        <v>1961</v>
      </c>
      <c r="F2" s="9" t="s">
        <v>1962</v>
      </c>
      <c r="L2" t="s">
        <v>0</v>
      </c>
      <c r="M2" t="s">
        <v>1</v>
      </c>
      <c r="O2" t="s">
        <v>3</v>
      </c>
      <c r="Q2" t="s">
        <v>1963</v>
      </c>
      <c r="R2" t="s">
        <v>623</v>
      </c>
      <c r="S2" t="s">
        <v>624</v>
      </c>
    </row>
    <row r="3" spans="1:22" x14ac:dyDescent="0.35">
      <c r="A3" t="s">
        <v>6</v>
      </c>
      <c r="B3">
        <v>13563</v>
      </c>
      <c r="C3" t="str">
        <f>A3&amp;";size="&amp;B3&amp;";"</f>
        <v>OTU_1;size=13563;</v>
      </c>
      <c r="D3" t="s">
        <v>14</v>
      </c>
      <c r="E3" s="9">
        <f>VLOOKUP(C3,$H$3:$J$41,3,FALSE)</f>
        <v>100</v>
      </c>
      <c r="F3" s="9" t="str">
        <f>IFERROR(VLOOKUP(VLOOKUP(C3,$H$3:$I$41,2,FALSE),$N$3:$O$122,2,FALSE),"Not present in amplicons")</f>
        <v>Desulfuromonas_acetexigens_(T)_(U23140)</v>
      </c>
      <c r="G3" t="s">
        <v>1630</v>
      </c>
      <c r="H3" t="s">
        <v>1736</v>
      </c>
      <c r="I3" t="s">
        <v>1737</v>
      </c>
      <c r="J3">
        <v>100</v>
      </c>
      <c r="L3" t="s">
        <v>6</v>
      </c>
      <c r="M3">
        <v>27333</v>
      </c>
      <c r="N3" t="str">
        <f>L3&amp;";size="&amp;M3&amp;";"</f>
        <v>OTU_1;size=27333;</v>
      </c>
      <c r="O3" t="s">
        <v>14</v>
      </c>
      <c r="P3" t="s">
        <v>1956</v>
      </c>
      <c r="Q3">
        <f>COUNTA($A$3:$A$41)</f>
        <v>39</v>
      </c>
      <c r="R3">
        <f>COUNTA('Identity K-A W2'!$A$3:$A$32)</f>
        <v>30</v>
      </c>
      <c r="S3">
        <f>COUNTA('Identity K-A W3'!$A$3:$A$59)</f>
        <v>57</v>
      </c>
    </row>
    <row r="4" spans="1:22" x14ac:dyDescent="0.35">
      <c r="A4" t="s">
        <v>15</v>
      </c>
      <c r="B4">
        <v>2733</v>
      </c>
      <c r="C4" t="str">
        <f t="shared" ref="C4:C41" si="0">A4&amp;";size="&amp;B4&amp;";"</f>
        <v>OTU_2;size=2733;</v>
      </c>
      <c r="D4" t="s">
        <v>54</v>
      </c>
      <c r="E4" s="9">
        <f t="shared" ref="E4:E41" si="1">VLOOKUP(C4,$H$3:$J$105,3,FALSE)</f>
        <v>100</v>
      </c>
      <c r="F4" s="9" t="str">
        <f t="shared" ref="F4:F41" si="2">IFERROR(VLOOKUP(VLOOKUP(C4,$H$3:$I$41,2,FALSE),$N$3:$O$122,2,FALSE),"Not present in amplicons")</f>
        <v>Methanosarcina_siciliae_type_strain:_DSM3028_(FR733698)</v>
      </c>
      <c r="G4" t="s">
        <v>1630</v>
      </c>
      <c r="H4" t="s">
        <v>1738</v>
      </c>
      <c r="I4" t="s">
        <v>1739</v>
      </c>
      <c r="J4">
        <v>100</v>
      </c>
      <c r="L4" t="s">
        <v>15</v>
      </c>
      <c r="M4">
        <v>3312</v>
      </c>
      <c r="N4" t="str">
        <f t="shared" ref="N4:N67" si="3">L4&amp;";size="&amp;M4&amp;";"</f>
        <v>OTU_2;size=3312;</v>
      </c>
      <c r="O4" t="s">
        <v>59</v>
      </c>
      <c r="P4" t="s">
        <v>1957</v>
      </c>
      <c r="Q4">
        <f>COUNTIF($E$3:$E$41,"=100")</f>
        <v>36</v>
      </c>
      <c r="R4">
        <f>COUNTIF('Identity K-A W2'!$E$3:$E$32,"=100")</f>
        <v>28</v>
      </c>
      <c r="S4">
        <f>COUNTIF('Identity K-A W3'!$E$3:$E$59,"=100")</f>
        <v>47</v>
      </c>
      <c r="T4" s="57">
        <f>Q4/Q$3</f>
        <v>0.92307692307692313</v>
      </c>
      <c r="U4" s="57">
        <f t="shared" ref="U4:V6" si="4">R4/R$3</f>
        <v>0.93333333333333335</v>
      </c>
      <c r="V4" s="57">
        <f t="shared" si="4"/>
        <v>0.82456140350877194</v>
      </c>
    </row>
    <row r="5" spans="1:22" x14ac:dyDescent="0.35">
      <c r="A5" t="s">
        <v>17</v>
      </c>
      <c r="B5">
        <v>508</v>
      </c>
      <c r="C5" t="str">
        <f t="shared" si="0"/>
        <v>OTU_3;size=508;</v>
      </c>
      <c r="D5" t="s">
        <v>82</v>
      </c>
      <c r="E5" s="9">
        <f t="shared" si="1"/>
        <v>100</v>
      </c>
      <c r="F5" s="9" t="str">
        <f t="shared" si="2"/>
        <v>Sulfurospirillum_alkalitolerans_HTRB-L1_(GQ863490)</v>
      </c>
      <c r="G5" t="s">
        <v>1630</v>
      </c>
      <c r="H5" t="s">
        <v>1740</v>
      </c>
      <c r="I5" t="s">
        <v>1741</v>
      </c>
      <c r="J5">
        <v>100</v>
      </c>
      <c r="L5" t="s">
        <v>17</v>
      </c>
      <c r="M5">
        <v>2340</v>
      </c>
      <c r="N5" t="str">
        <f t="shared" si="3"/>
        <v>OTU_3;size=2340;</v>
      </c>
      <c r="O5" t="s">
        <v>82</v>
      </c>
      <c r="P5" t="s">
        <v>1958</v>
      </c>
      <c r="Q5">
        <f>COUNTIF($E$3:$E$41,"&gt;=97")</f>
        <v>37</v>
      </c>
      <c r="R5">
        <f>COUNTIF('Identity K-A W2'!$E$3:$E$32,"&gt;=97")</f>
        <v>30</v>
      </c>
      <c r="S5">
        <f>COUNTIF('Identity K-A W3'!$E$3:$E$59,"&gt;=97")</f>
        <v>51</v>
      </c>
      <c r="T5" s="57">
        <f>Q5/Q$3</f>
        <v>0.94871794871794868</v>
      </c>
      <c r="U5" s="57">
        <f t="shared" si="4"/>
        <v>1</v>
      </c>
      <c r="V5" s="57">
        <f t="shared" si="4"/>
        <v>0.89473684210526316</v>
      </c>
    </row>
    <row r="6" spans="1:22" x14ac:dyDescent="0.35">
      <c r="A6" t="s">
        <v>23</v>
      </c>
      <c r="B6">
        <v>476</v>
      </c>
      <c r="C6" t="str">
        <f t="shared" si="0"/>
        <v>OTU_4;size=476;</v>
      </c>
      <c r="D6" t="s">
        <v>59</v>
      </c>
      <c r="E6" s="9">
        <f t="shared" si="1"/>
        <v>100</v>
      </c>
      <c r="F6" s="9" t="str">
        <f t="shared" si="2"/>
        <v>Methanocalculus_pumilus_(T)_MHT-1_(AB008853)</v>
      </c>
      <c r="G6" t="s">
        <v>1630</v>
      </c>
      <c r="H6" t="s">
        <v>1742</v>
      </c>
      <c r="I6" t="s">
        <v>1743</v>
      </c>
      <c r="J6">
        <v>100</v>
      </c>
      <c r="L6" t="s">
        <v>34</v>
      </c>
      <c r="M6">
        <v>1270</v>
      </c>
      <c r="N6" t="str">
        <f t="shared" si="3"/>
        <v>OTU_5;size=1270;</v>
      </c>
      <c r="O6" t="s">
        <v>38</v>
      </c>
      <c r="P6" s="58" t="s">
        <v>1959</v>
      </c>
      <c r="Q6">
        <f>COUNTIF($E$3:$E$41,"-")+Q5</f>
        <v>38</v>
      </c>
      <c r="R6">
        <f>COUNTIF('Identity K-A W2'!E3:E32,"-")+R5</f>
        <v>30</v>
      </c>
      <c r="S6">
        <f>COUNTIF('Identity K-A W3'!E3:E59,"-")+S5</f>
        <v>53</v>
      </c>
      <c r="T6" s="57">
        <f>Q6/Q$3</f>
        <v>0.97435897435897434</v>
      </c>
      <c r="U6" s="57">
        <f t="shared" si="4"/>
        <v>1</v>
      </c>
      <c r="V6" s="57">
        <f t="shared" si="4"/>
        <v>0.92982456140350878</v>
      </c>
    </row>
    <row r="7" spans="1:22" x14ac:dyDescent="0.35">
      <c r="A7" t="s">
        <v>34</v>
      </c>
      <c r="B7">
        <v>304</v>
      </c>
      <c r="C7" t="str">
        <f t="shared" si="0"/>
        <v>OTU_5;size=304;</v>
      </c>
      <c r="D7" t="s">
        <v>96</v>
      </c>
      <c r="E7" s="9">
        <f t="shared" si="1"/>
        <v>100</v>
      </c>
      <c r="F7" s="9" t="str">
        <f t="shared" si="2"/>
        <v>Acetobacterium_malicum_(T)_DSM_4132_(X96957)</v>
      </c>
      <c r="G7" t="s">
        <v>1630</v>
      </c>
      <c r="H7" t="s">
        <v>1744</v>
      </c>
      <c r="I7" t="s">
        <v>1745</v>
      </c>
      <c r="J7">
        <v>100</v>
      </c>
      <c r="L7" t="s">
        <v>23</v>
      </c>
      <c r="M7">
        <v>1238</v>
      </c>
      <c r="N7" t="str">
        <f t="shared" si="3"/>
        <v>OTU_4;size=1238;</v>
      </c>
      <c r="O7" t="s">
        <v>54</v>
      </c>
    </row>
    <row r="8" spans="1:22" x14ac:dyDescent="0.35">
      <c r="A8" t="s">
        <v>51</v>
      </c>
      <c r="B8">
        <v>262</v>
      </c>
      <c r="C8" t="str">
        <f t="shared" si="0"/>
        <v>OTU_6;size=262;</v>
      </c>
      <c r="D8" t="s">
        <v>38</v>
      </c>
      <c r="E8" s="9">
        <f t="shared" si="1"/>
        <v>100</v>
      </c>
      <c r="F8" s="9" t="str">
        <f t="shared" si="2"/>
        <v>Parabacteroides_distasonis_(T)_JCM_5825_(AB238922)</v>
      </c>
      <c r="G8" t="s">
        <v>1630</v>
      </c>
      <c r="H8" t="s">
        <v>1746</v>
      </c>
      <c r="I8" t="s">
        <v>1747</v>
      </c>
      <c r="J8">
        <v>100</v>
      </c>
      <c r="L8" t="s">
        <v>51</v>
      </c>
      <c r="M8">
        <v>1059</v>
      </c>
      <c r="N8" t="str">
        <f t="shared" si="3"/>
        <v>OTU_6;size=1059;</v>
      </c>
      <c r="O8" t="s">
        <v>92</v>
      </c>
    </row>
    <row r="9" spans="1:22" x14ac:dyDescent="0.35">
      <c r="A9" t="s">
        <v>39</v>
      </c>
      <c r="B9">
        <v>254</v>
      </c>
      <c r="C9" t="str">
        <f t="shared" si="0"/>
        <v>OTU_7;size=254;</v>
      </c>
      <c r="D9" t="s">
        <v>125</v>
      </c>
      <c r="E9" s="9">
        <f t="shared" si="1"/>
        <v>100</v>
      </c>
      <c r="F9" s="9" t="str">
        <f t="shared" si="2"/>
        <v>Ornatilinea_apprima_P3M-1_(JQ292916)</v>
      </c>
      <c r="G9" t="s">
        <v>1630</v>
      </c>
      <c r="H9" t="s">
        <v>1748</v>
      </c>
      <c r="I9" t="s">
        <v>1749</v>
      </c>
      <c r="J9">
        <v>100</v>
      </c>
      <c r="L9" t="s">
        <v>31</v>
      </c>
      <c r="M9">
        <v>1032</v>
      </c>
      <c r="N9" t="str">
        <f t="shared" si="3"/>
        <v>OTU_8;size=1032;</v>
      </c>
      <c r="O9" t="s">
        <v>44</v>
      </c>
    </row>
    <row r="10" spans="1:22" x14ac:dyDescent="0.35">
      <c r="A10" t="s">
        <v>63</v>
      </c>
      <c r="B10">
        <v>192</v>
      </c>
      <c r="C10" t="str">
        <f t="shared" si="0"/>
        <v>OTU_9;size=192;</v>
      </c>
      <c r="D10" t="s">
        <v>44</v>
      </c>
      <c r="E10" s="9">
        <f t="shared" si="1"/>
        <v>100</v>
      </c>
      <c r="F10" s="9" t="str">
        <f t="shared" si="2"/>
        <v>Methanosaeta_harundinacea_(T)_8Ac_(AY817738)</v>
      </c>
      <c r="G10" t="s">
        <v>1630</v>
      </c>
      <c r="H10" t="s">
        <v>1750</v>
      </c>
      <c r="I10" t="s">
        <v>1751</v>
      </c>
      <c r="J10">
        <v>100</v>
      </c>
      <c r="L10" t="s">
        <v>39</v>
      </c>
      <c r="M10">
        <v>929</v>
      </c>
      <c r="N10" t="str">
        <f t="shared" si="3"/>
        <v>OTU_7;size=929;</v>
      </c>
      <c r="O10" t="s">
        <v>96</v>
      </c>
    </row>
    <row r="11" spans="1:22" x14ac:dyDescent="0.35">
      <c r="A11" t="s">
        <v>31</v>
      </c>
      <c r="B11">
        <v>135</v>
      </c>
      <c r="C11" t="str">
        <f t="shared" si="0"/>
        <v>OTU_8;size=135;</v>
      </c>
      <c r="D11" t="s">
        <v>206</v>
      </c>
      <c r="E11" s="9">
        <f t="shared" si="1"/>
        <v>100</v>
      </c>
      <c r="F11" s="9" t="str">
        <f t="shared" si="2"/>
        <v>Methanospirillum_hungatei_strain_JF-1_(NR_074177.1)</v>
      </c>
      <c r="G11" t="s">
        <v>1630</v>
      </c>
      <c r="H11" t="s">
        <v>1752</v>
      </c>
      <c r="I11" t="s">
        <v>1753</v>
      </c>
      <c r="J11">
        <v>100</v>
      </c>
      <c r="L11" t="s">
        <v>63</v>
      </c>
      <c r="M11">
        <v>796</v>
      </c>
      <c r="N11" t="str">
        <f t="shared" si="3"/>
        <v>OTU_9;size=796;</v>
      </c>
      <c r="O11" t="s">
        <v>125</v>
      </c>
    </row>
    <row r="12" spans="1:22" x14ac:dyDescent="0.35">
      <c r="A12" t="s">
        <v>49</v>
      </c>
      <c r="B12">
        <v>125</v>
      </c>
      <c r="C12" t="str">
        <f t="shared" si="0"/>
        <v>OTU_10;size=125;</v>
      </c>
      <c r="D12" t="s">
        <v>92</v>
      </c>
      <c r="E12" s="9">
        <f t="shared" si="1"/>
        <v>100</v>
      </c>
      <c r="F12" s="9" t="str">
        <f t="shared" si="2"/>
        <v>Porphyromonas_pogonae_strain_MI_10-1288_(NR_136443.1)</v>
      </c>
      <c r="G12" t="s">
        <v>1630</v>
      </c>
      <c r="H12" t="s">
        <v>1754</v>
      </c>
      <c r="I12" t="s">
        <v>1755</v>
      </c>
      <c r="J12">
        <v>100</v>
      </c>
      <c r="L12" t="s">
        <v>49</v>
      </c>
      <c r="M12">
        <v>304</v>
      </c>
      <c r="N12" t="str">
        <f t="shared" si="3"/>
        <v>OTU_10;size=304;</v>
      </c>
      <c r="O12" t="s">
        <v>154</v>
      </c>
    </row>
    <row r="13" spans="1:22" x14ac:dyDescent="0.35">
      <c r="A13" t="s">
        <v>45</v>
      </c>
      <c r="B13">
        <v>110</v>
      </c>
      <c r="C13" t="str">
        <f t="shared" si="0"/>
        <v>OTU_11;size=110;</v>
      </c>
      <c r="D13" t="s">
        <v>158</v>
      </c>
      <c r="E13" s="9">
        <f t="shared" si="1"/>
        <v>100</v>
      </c>
      <c r="F13" s="9" t="str">
        <f t="shared" si="2"/>
        <v>Dethiosulfatibacter_aminovorans_(T)_C/G2_(=_JCM_13356,_=_NBRC_101112,_=_DSM_17477)_(AB218661)</v>
      </c>
      <c r="G13" t="s">
        <v>1630</v>
      </c>
      <c r="H13" t="s">
        <v>1756</v>
      </c>
      <c r="I13" t="s">
        <v>1757</v>
      </c>
      <c r="J13">
        <v>100</v>
      </c>
      <c r="L13" t="s">
        <v>77</v>
      </c>
      <c r="M13">
        <v>230</v>
      </c>
      <c r="N13" t="str">
        <f t="shared" si="3"/>
        <v>OTU_12;size=230;</v>
      </c>
      <c r="O13" t="s">
        <v>158</v>
      </c>
    </row>
    <row r="14" spans="1:22" x14ac:dyDescent="0.35">
      <c r="A14" t="s">
        <v>77</v>
      </c>
      <c r="B14">
        <v>98</v>
      </c>
      <c r="C14" t="str">
        <f t="shared" si="0"/>
        <v>OTU_12;size=98;</v>
      </c>
      <c r="D14" t="s">
        <v>154</v>
      </c>
      <c r="E14" s="9">
        <f t="shared" si="1"/>
        <v>100</v>
      </c>
      <c r="F14" s="9" t="str">
        <f t="shared" si="2"/>
        <v>Thiohalocapsa_marina_(T)_type_strain:_JA142_(AM491592)</v>
      </c>
      <c r="G14" t="s">
        <v>1630</v>
      </c>
      <c r="H14" t="s">
        <v>1758</v>
      </c>
      <c r="I14" t="s">
        <v>1759</v>
      </c>
      <c r="J14">
        <v>100</v>
      </c>
      <c r="L14" t="s">
        <v>68</v>
      </c>
      <c r="M14">
        <v>219</v>
      </c>
      <c r="N14" t="str">
        <f t="shared" si="3"/>
        <v>OTU_13;size=219;</v>
      </c>
      <c r="O14" t="s">
        <v>134</v>
      </c>
    </row>
    <row r="15" spans="1:22" x14ac:dyDescent="0.35">
      <c r="A15" t="s">
        <v>68</v>
      </c>
      <c r="B15">
        <v>82</v>
      </c>
      <c r="C15" t="str">
        <f t="shared" si="0"/>
        <v>OTU_13;size=82;</v>
      </c>
      <c r="D15" t="s">
        <v>170</v>
      </c>
      <c r="E15" s="9">
        <f t="shared" si="1"/>
        <v>100</v>
      </c>
      <c r="F15" s="9" t="str">
        <f t="shared" si="2"/>
        <v>Aminiphilus_circumscriptus_(T)_ILE-2_(AY642589)</v>
      </c>
      <c r="G15" t="s">
        <v>1630</v>
      </c>
      <c r="H15" t="s">
        <v>1760</v>
      </c>
      <c r="I15" t="s">
        <v>1761</v>
      </c>
      <c r="J15">
        <v>100</v>
      </c>
      <c r="L15" t="s">
        <v>45</v>
      </c>
      <c r="M15">
        <v>205</v>
      </c>
      <c r="N15" t="str">
        <f t="shared" si="3"/>
        <v>OTU_11;size=205;</v>
      </c>
      <c r="O15" t="s">
        <v>170</v>
      </c>
    </row>
    <row r="16" spans="1:22" x14ac:dyDescent="0.35">
      <c r="A16" t="s">
        <v>55</v>
      </c>
      <c r="B16">
        <v>70</v>
      </c>
      <c r="C16" t="str">
        <f t="shared" si="0"/>
        <v>OTU_14;size=70;</v>
      </c>
      <c r="D16" t="s">
        <v>1631</v>
      </c>
      <c r="E16" s="9">
        <f t="shared" si="1"/>
        <v>100</v>
      </c>
      <c r="F16" s="9" t="str">
        <f t="shared" si="2"/>
        <v>-</v>
      </c>
      <c r="G16" t="s">
        <v>1630</v>
      </c>
      <c r="H16" t="s">
        <v>1762</v>
      </c>
      <c r="I16" t="s">
        <v>1763</v>
      </c>
      <c r="J16">
        <v>100</v>
      </c>
      <c r="L16" t="s">
        <v>60</v>
      </c>
      <c r="M16">
        <v>175</v>
      </c>
      <c r="N16" t="str">
        <f t="shared" si="3"/>
        <v>OTU_15;size=175;</v>
      </c>
      <c r="O16" t="s">
        <v>202</v>
      </c>
    </row>
    <row r="17" spans="1:15" x14ac:dyDescent="0.35">
      <c r="A17" t="s">
        <v>72</v>
      </c>
      <c r="B17">
        <v>66</v>
      </c>
      <c r="C17" t="str">
        <f t="shared" si="0"/>
        <v>OTU_16;size=66;</v>
      </c>
      <c r="D17" t="s">
        <v>199</v>
      </c>
      <c r="E17" s="9">
        <f t="shared" si="1"/>
        <v>100</v>
      </c>
      <c r="F17" s="9" t="str">
        <f t="shared" si="2"/>
        <v>Aminivibrio_pyruvatiphilus_4F6E_(AB623229)</v>
      </c>
      <c r="G17" t="s">
        <v>1630</v>
      </c>
      <c r="H17" t="s">
        <v>1764</v>
      </c>
      <c r="I17" t="s">
        <v>1765</v>
      </c>
      <c r="J17">
        <v>100</v>
      </c>
      <c r="L17" t="s">
        <v>55</v>
      </c>
      <c r="M17">
        <v>169</v>
      </c>
      <c r="N17" t="str">
        <f t="shared" si="3"/>
        <v>OTU_14;size=169;</v>
      </c>
      <c r="O17" t="s">
        <v>192</v>
      </c>
    </row>
    <row r="18" spans="1:15" x14ac:dyDescent="0.35">
      <c r="A18" t="s">
        <v>60</v>
      </c>
      <c r="B18">
        <v>65</v>
      </c>
      <c r="C18" t="str">
        <f t="shared" si="0"/>
        <v>OTU_15;size=65;</v>
      </c>
      <c r="D18" t="s">
        <v>134</v>
      </c>
      <c r="E18" s="9">
        <f t="shared" si="1"/>
        <v>100</v>
      </c>
      <c r="F18" s="9" t="str">
        <f t="shared" si="2"/>
        <v>Syntrophobacter_sulfatireducens_(T)_TB8106_(AY651787)</v>
      </c>
      <c r="G18" t="s">
        <v>1630</v>
      </c>
      <c r="H18" t="s">
        <v>1766</v>
      </c>
      <c r="I18" t="s">
        <v>1767</v>
      </c>
      <c r="J18">
        <v>100</v>
      </c>
      <c r="L18" t="s">
        <v>72</v>
      </c>
      <c r="M18">
        <v>161</v>
      </c>
      <c r="N18" t="str">
        <f t="shared" si="3"/>
        <v>OTU_16;size=161;</v>
      </c>
      <c r="O18" t="s">
        <v>1631</v>
      </c>
    </row>
    <row r="19" spans="1:15" x14ac:dyDescent="0.35">
      <c r="A19" t="s">
        <v>97</v>
      </c>
      <c r="B19">
        <v>50</v>
      </c>
      <c r="C19" t="str">
        <f t="shared" si="0"/>
        <v>OTU_17;size=50;</v>
      </c>
      <c r="D19" t="s">
        <v>217</v>
      </c>
      <c r="E19" s="9">
        <f t="shared" si="1"/>
        <v>100</v>
      </c>
      <c r="F19" s="9" t="str">
        <f t="shared" si="2"/>
        <v>Marivirga_sericea_(T)_IFO_15983_(AB078081)</v>
      </c>
      <c r="G19" t="s">
        <v>1630</v>
      </c>
      <c r="H19" t="s">
        <v>1768</v>
      </c>
      <c r="I19" t="s">
        <v>1769</v>
      </c>
      <c r="J19">
        <v>100</v>
      </c>
      <c r="L19" t="s">
        <v>97</v>
      </c>
      <c r="M19">
        <v>128</v>
      </c>
      <c r="N19" t="str">
        <f t="shared" si="3"/>
        <v>OTU_17;size=128;</v>
      </c>
      <c r="O19" t="s">
        <v>199</v>
      </c>
    </row>
    <row r="20" spans="1:15" x14ac:dyDescent="0.35">
      <c r="A20" t="s">
        <v>74</v>
      </c>
      <c r="B20">
        <v>47</v>
      </c>
      <c r="C20" t="str">
        <f t="shared" si="0"/>
        <v>OTU_18;size=47;</v>
      </c>
      <c r="D20" t="s">
        <v>192</v>
      </c>
      <c r="E20" s="9">
        <f t="shared" si="1"/>
        <v>100</v>
      </c>
      <c r="F20" s="9" t="str">
        <f t="shared" si="2"/>
        <v>Ruminococcaceae_bacterium_ZWB_4_(HG003571)</v>
      </c>
      <c r="G20" t="s">
        <v>1630</v>
      </c>
      <c r="H20" t="s">
        <v>1770</v>
      </c>
      <c r="I20" t="s">
        <v>1771</v>
      </c>
      <c r="J20">
        <v>100</v>
      </c>
      <c r="L20" t="s">
        <v>74</v>
      </c>
      <c r="M20">
        <v>125</v>
      </c>
      <c r="N20" t="str">
        <f t="shared" si="3"/>
        <v>OTU_18;size=125;</v>
      </c>
      <c r="O20" t="s">
        <v>217</v>
      </c>
    </row>
    <row r="21" spans="1:15" x14ac:dyDescent="0.35">
      <c r="A21" t="s">
        <v>135</v>
      </c>
      <c r="B21">
        <v>42</v>
      </c>
      <c r="C21" t="str">
        <f t="shared" si="0"/>
        <v>OTU_19;size=42;</v>
      </c>
      <c r="D21" t="s">
        <v>202</v>
      </c>
      <c r="E21" s="9">
        <f t="shared" si="1"/>
        <v>100</v>
      </c>
      <c r="F21" s="9" t="str">
        <f t="shared" si="2"/>
        <v>Olivibacter_sitiensis_(T)_AW-6_(DQ421387)</v>
      </c>
      <c r="G21" t="s">
        <v>1630</v>
      </c>
      <c r="H21" t="s">
        <v>1772</v>
      </c>
      <c r="I21" t="s">
        <v>1773</v>
      </c>
      <c r="J21">
        <v>100</v>
      </c>
      <c r="L21" t="s">
        <v>135</v>
      </c>
      <c r="M21">
        <v>109</v>
      </c>
      <c r="N21" t="str">
        <f t="shared" si="3"/>
        <v>OTU_19;size=109;</v>
      </c>
      <c r="O21" t="s">
        <v>125</v>
      </c>
    </row>
    <row r="22" spans="1:15" x14ac:dyDescent="0.35">
      <c r="A22" t="s">
        <v>99</v>
      </c>
      <c r="B22">
        <v>37</v>
      </c>
      <c r="C22" t="str">
        <f t="shared" si="0"/>
        <v>OTU_20;size=37;</v>
      </c>
      <c r="D22" t="s">
        <v>285</v>
      </c>
      <c r="E22" s="9">
        <f t="shared" si="1"/>
        <v>100</v>
      </c>
      <c r="F22" s="9" t="str">
        <f t="shared" si="2"/>
        <v>Crocinitomix_catalasitica_(T)_IFO_15977_(AB078042)</v>
      </c>
      <c r="G22" t="s">
        <v>1630</v>
      </c>
      <c r="H22" t="s">
        <v>1774</v>
      </c>
      <c r="I22" t="s">
        <v>1775</v>
      </c>
      <c r="J22">
        <v>100</v>
      </c>
      <c r="L22" t="s">
        <v>99</v>
      </c>
      <c r="M22">
        <v>108</v>
      </c>
      <c r="N22" t="str">
        <f t="shared" si="3"/>
        <v>OTU_20;size=108;</v>
      </c>
      <c r="O22" t="s">
        <v>129</v>
      </c>
    </row>
    <row r="23" spans="1:15" x14ac:dyDescent="0.35">
      <c r="A23" t="s">
        <v>106</v>
      </c>
      <c r="B23">
        <v>35</v>
      </c>
      <c r="C23" t="str">
        <f t="shared" si="0"/>
        <v>OTU_21;size=35;</v>
      </c>
      <c r="D23" t="s">
        <v>1631</v>
      </c>
      <c r="E23" s="9">
        <f t="shared" si="1"/>
        <v>100</v>
      </c>
      <c r="F23" s="9" t="str">
        <f t="shared" si="2"/>
        <v>-</v>
      </c>
      <c r="G23" t="s">
        <v>1630</v>
      </c>
      <c r="H23" t="s">
        <v>1776</v>
      </c>
      <c r="I23" t="s">
        <v>1777</v>
      </c>
      <c r="J23">
        <v>100</v>
      </c>
      <c r="L23" t="s">
        <v>106</v>
      </c>
      <c r="M23">
        <v>104</v>
      </c>
      <c r="N23" t="str">
        <f t="shared" si="3"/>
        <v>OTU_21;size=104;</v>
      </c>
      <c r="O23" t="s">
        <v>232</v>
      </c>
    </row>
    <row r="24" spans="1:15" x14ac:dyDescent="0.35">
      <c r="A24" t="s">
        <v>91</v>
      </c>
      <c r="B24">
        <v>34</v>
      </c>
      <c r="C24" t="str">
        <f t="shared" si="0"/>
        <v>OTU_23;size=34;</v>
      </c>
      <c r="D24" t="s">
        <v>125</v>
      </c>
      <c r="E24" s="9">
        <f t="shared" si="1"/>
        <v>100</v>
      </c>
      <c r="F24" s="9" t="str">
        <f t="shared" si="2"/>
        <v>Ornatilinea_apprima_P3M-1_(JQ292916)</v>
      </c>
      <c r="G24" t="s">
        <v>1630</v>
      </c>
      <c r="H24" t="s">
        <v>1778</v>
      </c>
      <c r="I24" t="s">
        <v>1779</v>
      </c>
      <c r="J24">
        <v>100</v>
      </c>
      <c r="L24" t="s">
        <v>83</v>
      </c>
      <c r="M24">
        <v>92</v>
      </c>
      <c r="N24" t="str">
        <f t="shared" si="3"/>
        <v>OTU_22;size=92;</v>
      </c>
      <c r="O24" t="s">
        <v>152</v>
      </c>
    </row>
    <row r="25" spans="1:15" x14ac:dyDescent="0.35">
      <c r="A25" t="s">
        <v>83</v>
      </c>
      <c r="B25">
        <v>34</v>
      </c>
      <c r="C25" t="str">
        <f t="shared" si="0"/>
        <v>OTU_22;size=34;</v>
      </c>
      <c r="D25" t="s">
        <v>152</v>
      </c>
      <c r="E25" s="9">
        <f t="shared" si="1"/>
        <v>100</v>
      </c>
      <c r="F25" s="9" t="str">
        <f t="shared" si="2"/>
        <v>Smithella_propionica_(T)_LYP_(AF126282)</v>
      </c>
      <c r="G25" t="s">
        <v>1630</v>
      </c>
      <c r="H25" t="s">
        <v>1780</v>
      </c>
      <c r="I25" t="s">
        <v>1781</v>
      </c>
      <c r="J25">
        <v>100</v>
      </c>
      <c r="L25" t="s">
        <v>126</v>
      </c>
      <c r="M25">
        <v>71</v>
      </c>
      <c r="N25" t="str">
        <f t="shared" si="3"/>
        <v>OTU_24;size=71;</v>
      </c>
      <c r="O25" t="s">
        <v>247</v>
      </c>
    </row>
    <row r="26" spans="1:15" x14ac:dyDescent="0.35">
      <c r="A26" t="s">
        <v>126</v>
      </c>
      <c r="B26">
        <v>31</v>
      </c>
      <c r="C26" t="str">
        <f t="shared" si="0"/>
        <v>OTU_24;size=31;</v>
      </c>
      <c r="D26" t="s">
        <v>152</v>
      </c>
      <c r="E26" s="9">
        <f t="shared" si="1"/>
        <v>100</v>
      </c>
      <c r="F26" s="9" t="str">
        <f t="shared" si="2"/>
        <v>Smithella_propionica_(T)_LYP_(AF126282)</v>
      </c>
      <c r="G26" t="s">
        <v>1630</v>
      </c>
      <c r="H26" t="s">
        <v>1782</v>
      </c>
      <c r="I26" t="s">
        <v>1783</v>
      </c>
      <c r="J26">
        <v>100</v>
      </c>
      <c r="L26" t="s">
        <v>91</v>
      </c>
      <c r="M26">
        <v>67</v>
      </c>
      <c r="N26" t="str">
        <f t="shared" si="3"/>
        <v>OTU_23;size=67;</v>
      </c>
      <c r="O26" t="s">
        <v>206</v>
      </c>
    </row>
    <row r="27" spans="1:15" x14ac:dyDescent="0.35">
      <c r="A27" t="s">
        <v>145</v>
      </c>
      <c r="B27">
        <v>30</v>
      </c>
      <c r="C27" t="str">
        <f t="shared" si="0"/>
        <v>OTU_25;size=30;</v>
      </c>
      <c r="D27" t="s">
        <v>302</v>
      </c>
      <c r="E27" s="9">
        <f t="shared" si="1"/>
        <v>100</v>
      </c>
      <c r="F27" s="9" t="str">
        <f t="shared" si="2"/>
        <v>Clostridium_putrificum_(T)_DSM_1734_(X73442)</v>
      </c>
      <c r="G27" t="s">
        <v>1630</v>
      </c>
      <c r="H27" t="s">
        <v>1784</v>
      </c>
      <c r="I27" t="s">
        <v>1785</v>
      </c>
      <c r="J27">
        <v>100</v>
      </c>
      <c r="L27" t="s">
        <v>465</v>
      </c>
      <c r="M27">
        <v>60</v>
      </c>
      <c r="N27" t="str">
        <f t="shared" si="3"/>
        <v>OTU_101;size=60;</v>
      </c>
      <c r="O27" t="s">
        <v>199</v>
      </c>
    </row>
    <row r="28" spans="1:15" x14ac:dyDescent="0.35">
      <c r="A28" t="s">
        <v>87</v>
      </c>
      <c r="B28">
        <v>28</v>
      </c>
      <c r="C28" t="str">
        <f t="shared" si="0"/>
        <v>OTU_28;size=28;</v>
      </c>
      <c r="D28" t="s">
        <v>232</v>
      </c>
      <c r="E28" s="9">
        <f t="shared" si="1"/>
        <v>100</v>
      </c>
      <c r="F28" s="9" t="str">
        <f t="shared" si="2"/>
        <v>Petrimonas_sulfuriphila_(T)_BN3_(AY570690)</v>
      </c>
      <c r="G28" t="s">
        <v>1630</v>
      </c>
      <c r="H28" t="s">
        <v>1786</v>
      </c>
      <c r="I28" t="s">
        <v>1787</v>
      </c>
      <c r="J28">
        <v>100</v>
      </c>
      <c r="L28" t="s">
        <v>89</v>
      </c>
      <c r="M28">
        <v>59</v>
      </c>
      <c r="N28" t="str">
        <f t="shared" si="3"/>
        <v>OTU_26;size=59;</v>
      </c>
      <c r="O28" t="s">
        <v>152</v>
      </c>
    </row>
    <row r="29" spans="1:15" x14ac:dyDescent="0.35">
      <c r="A29" t="s">
        <v>89</v>
      </c>
      <c r="B29">
        <v>24</v>
      </c>
      <c r="C29" t="str">
        <f t="shared" si="0"/>
        <v>OTU_26;size=24;</v>
      </c>
      <c r="D29" t="s">
        <v>152</v>
      </c>
      <c r="E29" s="9">
        <f t="shared" si="1"/>
        <v>100</v>
      </c>
      <c r="F29" s="9" t="str">
        <f t="shared" si="2"/>
        <v>Smithella_propionica_(T)_LYP_(AF126282)</v>
      </c>
      <c r="G29" t="s">
        <v>1630</v>
      </c>
      <c r="H29" t="s">
        <v>1788</v>
      </c>
      <c r="I29" t="s">
        <v>1808</v>
      </c>
      <c r="J29">
        <v>100</v>
      </c>
      <c r="L29" t="s">
        <v>153</v>
      </c>
      <c r="M29">
        <v>54</v>
      </c>
      <c r="N29" t="str">
        <f t="shared" si="3"/>
        <v>OTU_30;size=54;</v>
      </c>
      <c r="O29" t="s">
        <v>152</v>
      </c>
    </row>
    <row r="30" spans="1:15" x14ac:dyDescent="0.35">
      <c r="A30" t="s">
        <v>93</v>
      </c>
      <c r="B30">
        <v>23</v>
      </c>
      <c r="C30" t="str">
        <f t="shared" si="0"/>
        <v>OTU_27;size=23;</v>
      </c>
      <c r="D30" t="s">
        <v>129</v>
      </c>
      <c r="E30" s="9">
        <f t="shared" si="1"/>
        <v>100</v>
      </c>
      <c r="F30" s="9" t="str">
        <f t="shared" si="2"/>
        <v>Desulfovibrio_alkalitolerans_(T)_RT2_(AY649785)</v>
      </c>
      <c r="G30" t="s">
        <v>1630</v>
      </c>
      <c r="H30" t="s">
        <v>1789</v>
      </c>
      <c r="I30" t="s">
        <v>1631</v>
      </c>
      <c r="J30" t="s">
        <v>1631</v>
      </c>
      <c r="L30" t="s">
        <v>87</v>
      </c>
      <c r="M30">
        <v>53</v>
      </c>
      <c r="N30" t="str">
        <f t="shared" si="3"/>
        <v>OTU_28;size=53;</v>
      </c>
      <c r="O30" t="s">
        <v>212</v>
      </c>
    </row>
    <row r="31" spans="1:15" x14ac:dyDescent="0.35">
      <c r="A31" t="s">
        <v>294</v>
      </c>
      <c r="B31">
        <v>21</v>
      </c>
      <c r="C31" t="str">
        <f t="shared" si="0"/>
        <v>OTU_29;size=21;</v>
      </c>
      <c r="D31" t="s">
        <v>212</v>
      </c>
      <c r="E31" s="9">
        <f t="shared" si="1"/>
        <v>100</v>
      </c>
      <c r="F31" s="9" t="str">
        <f t="shared" si="2"/>
        <v>Syntrophomonas_bryantii_type_strain:_DSM_3014_(HE654006)</v>
      </c>
      <c r="G31" t="s">
        <v>1630</v>
      </c>
      <c r="H31" t="s">
        <v>1790</v>
      </c>
      <c r="I31" t="s">
        <v>1791</v>
      </c>
      <c r="J31">
        <v>100</v>
      </c>
      <c r="L31" t="s">
        <v>145</v>
      </c>
      <c r="M31">
        <v>53</v>
      </c>
      <c r="N31" t="str">
        <f t="shared" si="3"/>
        <v>OTU_25;size=53;</v>
      </c>
      <c r="O31" t="s">
        <v>144</v>
      </c>
    </row>
    <row r="32" spans="1:15" x14ac:dyDescent="0.35">
      <c r="A32" t="s">
        <v>153</v>
      </c>
      <c r="B32">
        <v>20</v>
      </c>
      <c r="C32" t="str">
        <f t="shared" si="0"/>
        <v>OTU_30;size=20;</v>
      </c>
      <c r="D32" s="17" t="s">
        <v>358</v>
      </c>
      <c r="E32" s="9" t="str">
        <f t="shared" si="1"/>
        <v>-</v>
      </c>
      <c r="F32" s="9" t="str">
        <f t="shared" si="2"/>
        <v>Not present in amplicons</v>
      </c>
      <c r="G32" t="s">
        <v>1630</v>
      </c>
      <c r="H32" t="s">
        <v>1792</v>
      </c>
      <c r="I32" t="s">
        <v>1502</v>
      </c>
      <c r="J32">
        <v>98.4</v>
      </c>
      <c r="L32" t="s">
        <v>93</v>
      </c>
      <c r="M32">
        <v>51</v>
      </c>
      <c r="N32" t="str">
        <f t="shared" si="3"/>
        <v>OTU_27;size=51;</v>
      </c>
      <c r="O32" t="s">
        <v>263</v>
      </c>
    </row>
    <row r="33" spans="1:15" x14ac:dyDescent="0.35">
      <c r="A33" t="s">
        <v>602</v>
      </c>
      <c r="B33">
        <v>18</v>
      </c>
      <c r="C33" t="str">
        <f t="shared" si="0"/>
        <v>OTU_31;size=18;</v>
      </c>
      <c r="D33" t="s">
        <v>247</v>
      </c>
      <c r="E33" s="9">
        <f t="shared" si="1"/>
        <v>100</v>
      </c>
      <c r="F33" s="9" t="str">
        <f t="shared" si="2"/>
        <v>Azoarcus_olearius_DQS-4_(EF158388)</v>
      </c>
      <c r="G33" t="s">
        <v>1630</v>
      </c>
      <c r="H33" t="s">
        <v>1793</v>
      </c>
      <c r="I33" t="s">
        <v>1794</v>
      </c>
      <c r="J33">
        <v>100</v>
      </c>
      <c r="L33" t="s">
        <v>294</v>
      </c>
      <c r="M33">
        <v>43</v>
      </c>
      <c r="N33" t="str">
        <f t="shared" si="3"/>
        <v>OTU_29;size=43;</v>
      </c>
      <c r="O33" t="s">
        <v>1631</v>
      </c>
    </row>
    <row r="34" spans="1:15" x14ac:dyDescent="0.35">
      <c r="A34" t="s">
        <v>111</v>
      </c>
      <c r="B34">
        <v>17</v>
      </c>
      <c r="C34" t="str">
        <f t="shared" si="0"/>
        <v>OTU_32;size=17;</v>
      </c>
      <c r="D34" t="s">
        <v>144</v>
      </c>
      <c r="E34" s="9">
        <f t="shared" si="1"/>
        <v>100</v>
      </c>
      <c r="F34" s="9" t="str">
        <f t="shared" si="2"/>
        <v>Sunxiuqinia_faeciviva_(T)_JAM-BA0302_(AB362263)</v>
      </c>
      <c r="G34" t="s">
        <v>1630</v>
      </c>
      <c r="H34" t="s">
        <v>1795</v>
      </c>
      <c r="I34" t="s">
        <v>1796</v>
      </c>
      <c r="J34">
        <v>100</v>
      </c>
      <c r="L34" t="s">
        <v>602</v>
      </c>
      <c r="M34">
        <v>38</v>
      </c>
      <c r="N34" t="str">
        <f t="shared" si="3"/>
        <v>OTU_31;size=38;</v>
      </c>
      <c r="O34" t="s">
        <v>285</v>
      </c>
    </row>
    <row r="35" spans="1:15" x14ac:dyDescent="0.35">
      <c r="A35" t="s">
        <v>130</v>
      </c>
      <c r="B35">
        <v>15</v>
      </c>
      <c r="C35" t="str">
        <f t="shared" si="0"/>
        <v>OTU_33;size=15;</v>
      </c>
      <c r="D35" t="s">
        <v>274</v>
      </c>
      <c r="E35" s="9">
        <f t="shared" si="1"/>
        <v>98.4</v>
      </c>
      <c r="F35" s="9" t="str">
        <f t="shared" si="2"/>
        <v>Clostridium_thermosuccinogenes_(T)_DSM_5807_(Y18180)</v>
      </c>
      <c r="G35" t="s">
        <v>1630</v>
      </c>
      <c r="H35" t="s">
        <v>1797</v>
      </c>
      <c r="I35" t="s">
        <v>1798</v>
      </c>
      <c r="J35">
        <v>100</v>
      </c>
      <c r="L35" t="s">
        <v>149</v>
      </c>
      <c r="M35">
        <v>32</v>
      </c>
      <c r="N35" t="str">
        <f t="shared" si="3"/>
        <v>OTU_45;size=32;</v>
      </c>
      <c r="O35" t="s">
        <v>90</v>
      </c>
    </row>
    <row r="36" spans="1:15" x14ac:dyDescent="0.35">
      <c r="A36" t="s">
        <v>272</v>
      </c>
      <c r="B36">
        <v>14</v>
      </c>
      <c r="C36" t="str">
        <f t="shared" si="0"/>
        <v>OTU_34;size=14;</v>
      </c>
      <c r="D36" t="s">
        <v>229</v>
      </c>
      <c r="E36" s="9">
        <f t="shared" si="1"/>
        <v>100</v>
      </c>
      <c r="F36" s="9" t="str">
        <f t="shared" si="2"/>
        <v>Syntrophorhabdus_aromaticivorans_(T)_UI_(AB212873)</v>
      </c>
      <c r="G36" t="s">
        <v>1630</v>
      </c>
      <c r="H36" t="s">
        <v>1799</v>
      </c>
      <c r="I36" t="s">
        <v>1800</v>
      </c>
      <c r="J36">
        <v>100</v>
      </c>
      <c r="L36" t="s">
        <v>128</v>
      </c>
      <c r="M36">
        <v>30</v>
      </c>
      <c r="N36" t="str">
        <f t="shared" si="3"/>
        <v>OTU_37;size=30;</v>
      </c>
      <c r="O36" t="s">
        <v>326</v>
      </c>
    </row>
    <row r="37" spans="1:15" x14ac:dyDescent="0.35">
      <c r="A37" t="s">
        <v>113</v>
      </c>
      <c r="B37">
        <v>11</v>
      </c>
      <c r="C37" t="str">
        <f t="shared" si="0"/>
        <v>OTU_35;size=11;</v>
      </c>
      <c r="D37" t="s">
        <v>625</v>
      </c>
      <c r="E37" s="9">
        <f t="shared" si="1"/>
        <v>100</v>
      </c>
      <c r="F37" s="9" t="str">
        <f t="shared" si="2"/>
        <v>Pedomicrobium_manganicum_(T)_ATCC_33121_(GU269549)</v>
      </c>
      <c r="G37" t="s">
        <v>1630</v>
      </c>
      <c r="H37" t="s">
        <v>1801</v>
      </c>
      <c r="I37" t="s">
        <v>1802</v>
      </c>
      <c r="J37">
        <v>100</v>
      </c>
      <c r="L37" t="s">
        <v>111</v>
      </c>
      <c r="M37">
        <v>29</v>
      </c>
      <c r="N37" t="str">
        <f t="shared" si="3"/>
        <v>OTU_32;size=29;</v>
      </c>
      <c r="O37" t="s">
        <v>312</v>
      </c>
    </row>
    <row r="38" spans="1:15" x14ac:dyDescent="0.35">
      <c r="A38" t="s">
        <v>193</v>
      </c>
      <c r="B38">
        <v>10</v>
      </c>
      <c r="C38" t="str">
        <f t="shared" si="0"/>
        <v>OTU_36;size=10;</v>
      </c>
      <c r="D38" t="s">
        <v>110</v>
      </c>
      <c r="E38" s="9">
        <f t="shared" si="1"/>
        <v>100</v>
      </c>
      <c r="F38" s="9" t="str">
        <f t="shared" si="2"/>
        <v>Desulfovibrio_oxamicus_(T)_DSM_1925_(DQ122124)</v>
      </c>
      <c r="G38" t="s">
        <v>1630</v>
      </c>
      <c r="H38" t="s">
        <v>1803</v>
      </c>
      <c r="I38" t="s">
        <v>1517</v>
      </c>
      <c r="J38">
        <v>100</v>
      </c>
      <c r="L38" t="s">
        <v>203</v>
      </c>
      <c r="M38">
        <v>27</v>
      </c>
      <c r="N38" t="str">
        <f t="shared" si="3"/>
        <v>OTU_48;size=27;</v>
      </c>
      <c r="O38" t="s">
        <v>305</v>
      </c>
    </row>
    <row r="39" spans="1:15" x14ac:dyDescent="0.35">
      <c r="A39" t="s">
        <v>349</v>
      </c>
      <c r="B39">
        <v>8</v>
      </c>
      <c r="C39" t="str">
        <f t="shared" si="0"/>
        <v>OTU_38;size=8;</v>
      </c>
      <c r="D39" t="s">
        <v>310</v>
      </c>
      <c r="E39" s="9">
        <f t="shared" si="1"/>
        <v>100</v>
      </c>
      <c r="F39" s="9" t="str">
        <f t="shared" si="2"/>
        <v>Desulfomicrobium_salsuginis_strain_ADR21_(NR_132593.1)</v>
      </c>
      <c r="G39" t="s">
        <v>1630</v>
      </c>
      <c r="H39" t="s">
        <v>1804</v>
      </c>
      <c r="I39" t="s">
        <v>1523</v>
      </c>
      <c r="J39">
        <v>95.7</v>
      </c>
      <c r="L39" t="s">
        <v>209</v>
      </c>
      <c r="M39">
        <v>25</v>
      </c>
      <c r="N39" t="str">
        <f t="shared" si="3"/>
        <v>OTU_49;size=25;</v>
      </c>
      <c r="O39" t="s">
        <v>310</v>
      </c>
    </row>
    <row r="40" spans="1:15" x14ac:dyDescent="0.35">
      <c r="A40" t="s">
        <v>128</v>
      </c>
      <c r="B40">
        <v>8</v>
      </c>
      <c r="C40" t="str">
        <f t="shared" si="0"/>
        <v>OTU_37;size=8;</v>
      </c>
      <c r="D40" t="s">
        <v>90</v>
      </c>
      <c r="E40" s="9">
        <f t="shared" si="1"/>
        <v>100</v>
      </c>
      <c r="F40" s="9" t="str">
        <f t="shared" si="2"/>
        <v>Clostridium_hungatei_(T)_AD;_ATCC_700212_(AF020429)</v>
      </c>
      <c r="G40" t="s">
        <v>1630</v>
      </c>
      <c r="H40" t="s">
        <v>1805</v>
      </c>
      <c r="I40" t="s">
        <v>1644</v>
      </c>
      <c r="J40">
        <v>100</v>
      </c>
      <c r="L40" t="s">
        <v>193</v>
      </c>
      <c r="M40">
        <v>25</v>
      </c>
      <c r="N40" t="str">
        <f t="shared" si="3"/>
        <v>OTU_36;size=25;</v>
      </c>
      <c r="O40" t="s">
        <v>229</v>
      </c>
    </row>
    <row r="41" spans="1:15" x14ac:dyDescent="0.35">
      <c r="A41" t="s">
        <v>137</v>
      </c>
      <c r="B41">
        <v>3</v>
      </c>
      <c r="C41" t="str">
        <f t="shared" si="0"/>
        <v>OTU_39;size=3;</v>
      </c>
      <c r="D41" t="s">
        <v>1525</v>
      </c>
      <c r="E41" s="9">
        <f t="shared" si="1"/>
        <v>95.7</v>
      </c>
      <c r="F41" s="9" t="str">
        <f t="shared" si="2"/>
        <v>Clostridium_acetireducens_(T)_30A_(X79862)</v>
      </c>
      <c r="G41" t="s">
        <v>1630</v>
      </c>
      <c r="H41" t="s">
        <v>1806</v>
      </c>
      <c r="I41" t="s">
        <v>1807</v>
      </c>
      <c r="J41">
        <v>100</v>
      </c>
      <c r="L41" t="s">
        <v>171</v>
      </c>
      <c r="M41">
        <v>25</v>
      </c>
      <c r="N41" t="str">
        <f t="shared" si="3"/>
        <v>OTU_46;size=25;</v>
      </c>
      <c r="O41" t="s">
        <v>339</v>
      </c>
    </row>
    <row r="42" spans="1:15" x14ac:dyDescent="0.35">
      <c r="L42" t="s">
        <v>113</v>
      </c>
      <c r="M42">
        <v>24</v>
      </c>
      <c r="N42" t="str">
        <f t="shared" si="3"/>
        <v>OTU_35;size=24;</v>
      </c>
      <c r="O42" t="s">
        <v>16</v>
      </c>
    </row>
    <row r="43" spans="1:15" x14ac:dyDescent="0.35">
      <c r="L43" t="s">
        <v>272</v>
      </c>
      <c r="M43">
        <v>23</v>
      </c>
      <c r="N43" t="str">
        <f t="shared" si="3"/>
        <v>OTU_34;size=23;</v>
      </c>
      <c r="O43" t="s">
        <v>337</v>
      </c>
    </row>
    <row r="44" spans="1:15" x14ac:dyDescent="0.35">
      <c r="L44" t="s">
        <v>130</v>
      </c>
      <c r="M44">
        <v>23</v>
      </c>
      <c r="N44" t="str">
        <f t="shared" si="3"/>
        <v>OTU_33;size=23;</v>
      </c>
      <c r="O44" t="s">
        <v>302</v>
      </c>
    </row>
    <row r="45" spans="1:15" x14ac:dyDescent="0.35">
      <c r="L45" t="s">
        <v>181</v>
      </c>
      <c r="M45">
        <v>20</v>
      </c>
      <c r="N45" t="str">
        <f t="shared" si="3"/>
        <v>OTU_41;size=20;</v>
      </c>
      <c r="O45" t="s">
        <v>625</v>
      </c>
    </row>
    <row r="46" spans="1:15" x14ac:dyDescent="0.35">
      <c r="L46" t="s">
        <v>255</v>
      </c>
      <c r="M46">
        <v>19</v>
      </c>
      <c r="N46" t="str">
        <f t="shared" si="3"/>
        <v>OTU_51;size=19;</v>
      </c>
      <c r="O46" t="s">
        <v>110</v>
      </c>
    </row>
    <row r="47" spans="1:15" x14ac:dyDescent="0.35">
      <c r="L47" t="s">
        <v>230</v>
      </c>
      <c r="M47">
        <v>18</v>
      </c>
      <c r="N47" t="str">
        <f t="shared" si="3"/>
        <v>OTU_58;size=18;</v>
      </c>
      <c r="O47" t="s">
        <v>332</v>
      </c>
    </row>
    <row r="48" spans="1:15" x14ac:dyDescent="0.35">
      <c r="L48" t="s">
        <v>137</v>
      </c>
      <c r="M48">
        <v>18</v>
      </c>
      <c r="N48" t="str">
        <f t="shared" si="3"/>
        <v>OTU_39;size=18;</v>
      </c>
      <c r="O48" t="s">
        <v>321</v>
      </c>
    </row>
    <row r="49" spans="12:15" x14ac:dyDescent="0.35">
      <c r="L49" t="s">
        <v>142</v>
      </c>
      <c r="M49">
        <v>18</v>
      </c>
      <c r="N49" t="str">
        <f t="shared" si="3"/>
        <v>OTU_42;size=18;</v>
      </c>
      <c r="O49" t="s">
        <v>317</v>
      </c>
    </row>
    <row r="50" spans="12:15" x14ac:dyDescent="0.35">
      <c r="L50" t="s">
        <v>349</v>
      </c>
      <c r="M50">
        <v>17</v>
      </c>
      <c r="N50" t="str">
        <f t="shared" si="3"/>
        <v>OTU_38;size=17;</v>
      </c>
      <c r="O50" t="s">
        <v>136</v>
      </c>
    </row>
    <row r="51" spans="12:15" x14ac:dyDescent="0.35">
      <c r="L51" t="s">
        <v>223</v>
      </c>
      <c r="M51">
        <v>17</v>
      </c>
      <c r="N51" t="str">
        <f t="shared" si="3"/>
        <v>OTU_60;size=17;</v>
      </c>
      <c r="O51" t="s">
        <v>263</v>
      </c>
    </row>
    <row r="52" spans="12:15" x14ac:dyDescent="0.35">
      <c r="L52" t="s">
        <v>148</v>
      </c>
      <c r="M52">
        <v>16</v>
      </c>
      <c r="N52" t="str">
        <f t="shared" si="3"/>
        <v>OTU_47;size=16;</v>
      </c>
      <c r="O52" t="s">
        <v>373</v>
      </c>
    </row>
    <row r="53" spans="12:15" x14ac:dyDescent="0.35">
      <c r="L53" t="s">
        <v>197</v>
      </c>
      <c r="M53">
        <v>15</v>
      </c>
      <c r="N53" t="str">
        <f t="shared" si="3"/>
        <v>OTU_43;size=15;</v>
      </c>
      <c r="O53" t="s">
        <v>341</v>
      </c>
    </row>
    <row r="54" spans="12:15" x14ac:dyDescent="0.35">
      <c r="L54" t="s">
        <v>164</v>
      </c>
      <c r="M54">
        <v>15</v>
      </c>
      <c r="N54" t="str">
        <f t="shared" si="3"/>
        <v>OTU_44;size=15;</v>
      </c>
      <c r="O54" t="s">
        <v>163</v>
      </c>
    </row>
    <row r="55" spans="12:15" x14ac:dyDescent="0.35">
      <c r="L55" t="s">
        <v>177</v>
      </c>
      <c r="M55">
        <v>14</v>
      </c>
      <c r="N55" t="str">
        <f t="shared" si="3"/>
        <v>OTU_55;size=14;</v>
      </c>
      <c r="O55" t="s">
        <v>348</v>
      </c>
    </row>
    <row r="56" spans="12:15" x14ac:dyDescent="0.35">
      <c r="L56" t="s">
        <v>119</v>
      </c>
      <c r="M56">
        <v>14</v>
      </c>
      <c r="N56" t="str">
        <f t="shared" si="3"/>
        <v>OTU_40;size=14;</v>
      </c>
      <c r="O56" t="s">
        <v>392</v>
      </c>
    </row>
    <row r="57" spans="12:15" x14ac:dyDescent="0.35">
      <c r="L57" t="s">
        <v>156</v>
      </c>
      <c r="M57">
        <v>13</v>
      </c>
      <c r="N57" t="str">
        <f t="shared" si="3"/>
        <v>OTU_52;size=13;</v>
      </c>
      <c r="O57" t="s">
        <v>314</v>
      </c>
    </row>
    <row r="58" spans="12:15" x14ac:dyDescent="0.35">
      <c r="L58" t="s">
        <v>185</v>
      </c>
      <c r="M58">
        <v>13</v>
      </c>
      <c r="N58" t="str">
        <f t="shared" si="3"/>
        <v>OTU_57;size=13;</v>
      </c>
      <c r="O58" t="s">
        <v>22</v>
      </c>
    </row>
    <row r="59" spans="12:15" x14ac:dyDescent="0.35">
      <c r="L59" t="s">
        <v>234</v>
      </c>
      <c r="M59">
        <v>13</v>
      </c>
      <c r="N59" t="str">
        <f t="shared" si="3"/>
        <v>OTU_61;size=13;</v>
      </c>
      <c r="O59" t="s">
        <v>614</v>
      </c>
    </row>
    <row r="60" spans="12:15" x14ac:dyDescent="0.35">
      <c r="L60" t="s">
        <v>248</v>
      </c>
      <c r="M60">
        <v>12</v>
      </c>
      <c r="N60" t="str">
        <f t="shared" si="3"/>
        <v>OTU_78;size=12;</v>
      </c>
      <c r="O60" t="s">
        <v>86</v>
      </c>
    </row>
    <row r="61" spans="12:15" x14ac:dyDescent="0.35">
      <c r="L61" t="s">
        <v>200</v>
      </c>
      <c r="M61">
        <v>11</v>
      </c>
      <c r="N61" t="str">
        <f t="shared" si="3"/>
        <v>OTU_65;size=11;</v>
      </c>
      <c r="O61" t="s">
        <v>343</v>
      </c>
    </row>
    <row r="62" spans="12:15" x14ac:dyDescent="0.35">
      <c r="L62" t="s">
        <v>213</v>
      </c>
      <c r="M62">
        <v>11</v>
      </c>
      <c r="N62" t="str">
        <f t="shared" si="3"/>
        <v>OTU_63;size=11;</v>
      </c>
      <c r="O62" t="s">
        <v>360</v>
      </c>
    </row>
    <row r="63" spans="12:15" x14ac:dyDescent="0.35">
      <c r="L63" t="s">
        <v>216</v>
      </c>
      <c r="M63">
        <v>11</v>
      </c>
      <c r="N63" t="str">
        <f t="shared" si="3"/>
        <v>OTU_62;size=11;</v>
      </c>
      <c r="O63" t="s">
        <v>352</v>
      </c>
    </row>
    <row r="64" spans="12:15" x14ac:dyDescent="0.35">
      <c r="L64" t="s">
        <v>300</v>
      </c>
      <c r="M64">
        <v>11</v>
      </c>
      <c r="N64" t="str">
        <f t="shared" si="3"/>
        <v>OTU_92;size=11;</v>
      </c>
      <c r="O64" t="s">
        <v>328</v>
      </c>
    </row>
    <row r="65" spans="12:15" x14ac:dyDescent="0.35">
      <c r="L65" t="s">
        <v>159</v>
      </c>
      <c r="M65">
        <v>10</v>
      </c>
      <c r="N65" t="str">
        <f t="shared" si="3"/>
        <v>OTU_50;size=10;</v>
      </c>
      <c r="O65" t="s">
        <v>330</v>
      </c>
    </row>
    <row r="66" spans="12:15" x14ac:dyDescent="0.35">
      <c r="L66" t="s">
        <v>237</v>
      </c>
      <c r="M66">
        <v>10</v>
      </c>
      <c r="N66" t="str">
        <f t="shared" si="3"/>
        <v>OTU_53;size=10;</v>
      </c>
      <c r="O66" t="s">
        <v>283</v>
      </c>
    </row>
    <row r="67" spans="12:15" x14ac:dyDescent="0.35">
      <c r="L67" t="s">
        <v>188</v>
      </c>
      <c r="M67">
        <v>9</v>
      </c>
      <c r="N67" t="str">
        <f t="shared" si="3"/>
        <v>OTU_59;size=9;</v>
      </c>
      <c r="O67" t="s">
        <v>319</v>
      </c>
    </row>
    <row r="68" spans="12:15" x14ac:dyDescent="0.35">
      <c r="L68" t="s">
        <v>242</v>
      </c>
      <c r="M68">
        <v>9</v>
      </c>
      <c r="N68" t="str">
        <f t="shared" ref="N68:N122" si="5">L68&amp;";size="&amp;M68&amp;";"</f>
        <v>OTU_73;size=9;</v>
      </c>
      <c r="O68" t="s">
        <v>33</v>
      </c>
    </row>
    <row r="69" spans="12:15" x14ac:dyDescent="0.35">
      <c r="L69" t="s">
        <v>218</v>
      </c>
      <c r="M69">
        <v>9</v>
      </c>
      <c r="N69" t="str">
        <f t="shared" si="5"/>
        <v>OTU_66;size=9;</v>
      </c>
      <c r="O69" t="s">
        <v>152</v>
      </c>
    </row>
    <row r="70" spans="12:15" x14ac:dyDescent="0.35">
      <c r="L70" t="s">
        <v>307</v>
      </c>
      <c r="M70">
        <v>8</v>
      </c>
      <c r="N70" t="str">
        <f t="shared" si="5"/>
        <v>OTU_56;size=8;</v>
      </c>
      <c r="O70" t="s">
        <v>430</v>
      </c>
    </row>
    <row r="71" spans="12:15" x14ac:dyDescent="0.35">
      <c r="L71" t="s">
        <v>253</v>
      </c>
      <c r="M71">
        <v>8</v>
      </c>
      <c r="N71" t="str">
        <f t="shared" si="5"/>
        <v>OTU_76;size=8;</v>
      </c>
      <c r="O71" t="s">
        <v>354</v>
      </c>
    </row>
    <row r="72" spans="12:15" x14ac:dyDescent="0.35">
      <c r="L72" t="s">
        <v>189</v>
      </c>
      <c r="M72">
        <v>8</v>
      </c>
      <c r="N72" t="str">
        <f t="shared" si="5"/>
        <v>OTU_54;size=8;</v>
      </c>
      <c r="O72" t="s">
        <v>470</v>
      </c>
    </row>
    <row r="73" spans="12:15" x14ac:dyDescent="0.35">
      <c r="L73" t="s">
        <v>356</v>
      </c>
      <c r="M73">
        <v>7</v>
      </c>
      <c r="N73" t="str">
        <f t="shared" si="5"/>
        <v>OTU_94;size=7;</v>
      </c>
      <c r="O73" t="s">
        <v>449</v>
      </c>
    </row>
    <row r="74" spans="12:15" x14ac:dyDescent="0.35">
      <c r="L74" t="s">
        <v>225</v>
      </c>
      <c r="M74">
        <v>7</v>
      </c>
      <c r="N74" t="str">
        <f t="shared" si="5"/>
        <v>OTU_70;size=7;</v>
      </c>
      <c r="O74" t="s">
        <v>232</v>
      </c>
    </row>
    <row r="75" spans="12:15" x14ac:dyDescent="0.35">
      <c r="L75" t="s">
        <v>221</v>
      </c>
      <c r="M75">
        <v>7</v>
      </c>
      <c r="N75" t="str">
        <f t="shared" si="5"/>
        <v>OTU_69;size=7;</v>
      </c>
      <c r="O75" t="s">
        <v>464</v>
      </c>
    </row>
    <row r="76" spans="12:15" x14ac:dyDescent="0.35">
      <c r="L76" t="s">
        <v>214</v>
      </c>
      <c r="M76">
        <v>7</v>
      </c>
      <c r="N76" t="str">
        <f t="shared" si="5"/>
        <v>OTU_68;size=7;</v>
      </c>
      <c r="O76" t="s">
        <v>229</v>
      </c>
    </row>
    <row r="77" spans="12:15" x14ac:dyDescent="0.35">
      <c r="L77" t="s">
        <v>264</v>
      </c>
      <c r="M77">
        <v>6</v>
      </c>
      <c r="N77" t="str">
        <f t="shared" si="5"/>
        <v>OTU_77;size=6;</v>
      </c>
      <c r="O77" t="s">
        <v>507</v>
      </c>
    </row>
    <row r="78" spans="12:15" x14ac:dyDescent="0.35">
      <c r="L78" t="s">
        <v>286</v>
      </c>
      <c r="M78">
        <v>6</v>
      </c>
      <c r="N78" t="str">
        <f t="shared" si="5"/>
        <v>OTU_72;size=6;</v>
      </c>
      <c r="O78" t="s">
        <v>362</v>
      </c>
    </row>
    <row r="79" spans="12:15" x14ac:dyDescent="0.35">
      <c r="L79" t="s">
        <v>363</v>
      </c>
      <c r="M79">
        <v>6</v>
      </c>
      <c r="N79" t="str">
        <f t="shared" si="5"/>
        <v>OTU_111;size=6;</v>
      </c>
      <c r="O79" t="s">
        <v>176</v>
      </c>
    </row>
    <row r="80" spans="12:15" x14ac:dyDescent="0.35">
      <c r="L80" t="s">
        <v>275</v>
      </c>
      <c r="M80">
        <v>6</v>
      </c>
      <c r="N80" t="str">
        <f t="shared" si="5"/>
        <v>OTU_75;size=6;</v>
      </c>
      <c r="O80" t="s">
        <v>30</v>
      </c>
    </row>
    <row r="81" spans="12:15" x14ac:dyDescent="0.35">
      <c r="L81" t="s">
        <v>295</v>
      </c>
      <c r="M81">
        <v>6</v>
      </c>
      <c r="N81" t="str">
        <f t="shared" si="5"/>
        <v>OTU_82;size=6;</v>
      </c>
      <c r="O81" t="s">
        <v>505</v>
      </c>
    </row>
    <row r="82" spans="12:15" x14ac:dyDescent="0.35">
      <c r="L82" t="s">
        <v>323</v>
      </c>
      <c r="M82">
        <v>6</v>
      </c>
      <c r="N82" t="str">
        <f t="shared" si="5"/>
        <v>OTU_91;size=6;</v>
      </c>
      <c r="O82" t="s">
        <v>71</v>
      </c>
    </row>
    <row r="83" spans="12:15" x14ac:dyDescent="0.35">
      <c r="L83" t="s">
        <v>282</v>
      </c>
      <c r="M83">
        <v>6</v>
      </c>
      <c r="N83" t="str">
        <f t="shared" si="5"/>
        <v>OTU_87;size=6;</v>
      </c>
      <c r="O83" t="s">
        <v>384</v>
      </c>
    </row>
    <row r="84" spans="12:15" x14ac:dyDescent="0.35">
      <c r="L84" t="s">
        <v>233</v>
      </c>
      <c r="M84">
        <v>6</v>
      </c>
      <c r="N84" t="str">
        <f t="shared" si="5"/>
        <v>OTU_85;size=6;</v>
      </c>
      <c r="O84" t="s">
        <v>141</v>
      </c>
    </row>
    <row r="85" spans="12:15" x14ac:dyDescent="0.35">
      <c r="L85" t="s">
        <v>267</v>
      </c>
      <c r="M85">
        <v>6</v>
      </c>
      <c r="N85" t="str">
        <f t="shared" si="5"/>
        <v>OTU_67;size=6;</v>
      </c>
      <c r="O85" t="s">
        <v>607</v>
      </c>
    </row>
    <row r="86" spans="12:15" x14ac:dyDescent="0.35">
      <c r="L86" t="s">
        <v>271</v>
      </c>
      <c r="M86">
        <v>5</v>
      </c>
      <c r="N86" t="str">
        <f t="shared" si="5"/>
        <v>OTU_86;size=5;</v>
      </c>
      <c r="O86" t="s">
        <v>48</v>
      </c>
    </row>
    <row r="87" spans="12:15" x14ac:dyDescent="0.35">
      <c r="L87" t="s">
        <v>280</v>
      </c>
      <c r="M87">
        <v>5</v>
      </c>
      <c r="N87" t="str">
        <f t="shared" si="5"/>
        <v>OTU_84;size=5;</v>
      </c>
      <c r="O87" t="s">
        <v>379</v>
      </c>
    </row>
    <row r="88" spans="12:15" x14ac:dyDescent="0.35">
      <c r="L88" t="s">
        <v>226</v>
      </c>
      <c r="M88">
        <v>5</v>
      </c>
      <c r="N88" t="str">
        <f t="shared" si="5"/>
        <v>OTU_71;size=5;</v>
      </c>
      <c r="O88" t="s">
        <v>92</v>
      </c>
    </row>
    <row r="89" spans="12:15" x14ac:dyDescent="0.35">
      <c r="L89" t="s">
        <v>257</v>
      </c>
      <c r="M89">
        <v>5</v>
      </c>
      <c r="N89" t="str">
        <f t="shared" si="5"/>
        <v>OTU_79;size=5;</v>
      </c>
      <c r="O89" t="s">
        <v>401</v>
      </c>
    </row>
    <row r="90" spans="12:15" x14ac:dyDescent="0.35">
      <c r="L90" t="s">
        <v>603</v>
      </c>
      <c r="M90">
        <v>5</v>
      </c>
      <c r="N90" t="str">
        <f t="shared" si="5"/>
        <v>OTU_64;size=5;</v>
      </c>
      <c r="O90" t="s">
        <v>401</v>
      </c>
    </row>
    <row r="91" spans="12:15" x14ac:dyDescent="0.35">
      <c r="L91" t="s">
        <v>284</v>
      </c>
      <c r="M91">
        <v>5</v>
      </c>
      <c r="N91" t="str">
        <f t="shared" si="5"/>
        <v>OTU_74;size=5;</v>
      </c>
      <c r="O91" t="s">
        <v>381</v>
      </c>
    </row>
    <row r="92" spans="12:15" x14ac:dyDescent="0.35">
      <c r="L92" t="s">
        <v>301</v>
      </c>
      <c r="M92">
        <v>5</v>
      </c>
      <c r="N92" t="str">
        <f t="shared" si="5"/>
        <v>OTU_93;size=5;</v>
      </c>
      <c r="O92" t="s">
        <v>112</v>
      </c>
    </row>
    <row r="93" spans="12:15" x14ac:dyDescent="0.35">
      <c r="L93" t="s">
        <v>369</v>
      </c>
      <c r="M93">
        <v>5</v>
      </c>
      <c r="N93" t="str">
        <f t="shared" si="5"/>
        <v>OTU_114;size=5;</v>
      </c>
      <c r="O93" t="s">
        <v>412</v>
      </c>
    </row>
    <row r="94" spans="12:15" x14ac:dyDescent="0.35">
      <c r="L94" t="s">
        <v>311</v>
      </c>
      <c r="M94">
        <v>5</v>
      </c>
      <c r="N94" t="str">
        <f t="shared" si="5"/>
        <v>OTU_98;size=5;</v>
      </c>
      <c r="O94" t="s">
        <v>90</v>
      </c>
    </row>
    <row r="95" spans="12:15" x14ac:dyDescent="0.35">
      <c r="L95" t="s">
        <v>289</v>
      </c>
      <c r="M95">
        <v>5</v>
      </c>
      <c r="N95" t="str">
        <f t="shared" si="5"/>
        <v>OTU_88;size=5;</v>
      </c>
      <c r="O95" t="s">
        <v>509</v>
      </c>
    </row>
    <row r="96" spans="12:15" x14ac:dyDescent="0.35">
      <c r="L96" t="s">
        <v>327</v>
      </c>
      <c r="M96">
        <v>5</v>
      </c>
      <c r="N96" t="str">
        <f t="shared" si="5"/>
        <v>OTU_102;size=5;</v>
      </c>
      <c r="O96" t="s">
        <v>144</v>
      </c>
    </row>
    <row r="97" spans="12:15" x14ac:dyDescent="0.35">
      <c r="L97" t="s">
        <v>336</v>
      </c>
      <c r="M97">
        <v>4</v>
      </c>
      <c r="N97" t="str">
        <f t="shared" si="5"/>
        <v>OTU_99;size=4;</v>
      </c>
      <c r="O97" t="s">
        <v>487</v>
      </c>
    </row>
    <row r="98" spans="12:15" x14ac:dyDescent="0.35">
      <c r="L98" t="s">
        <v>266</v>
      </c>
      <c r="M98">
        <v>4</v>
      </c>
      <c r="N98" t="str">
        <f t="shared" si="5"/>
        <v>OTU_80;size=4;</v>
      </c>
      <c r="O98" t="s">
        <v>251</v>
      </c>
    </row>
    <row r="99" spans="12:15" x14ac:dyDescent="0.35">
      <c r="L99" t="s">
        <v>287</v>
      </c>
      <c r="M99">
        <v>4</v>
      </c>
      <c r="N99" t="str">
        <f t="shared" si="5"/>
        <v>OTU_83;size=4;</v>
      </c>
      <c r="O99" t="s">
        <v>494</v>
      </c>
    </row>
    <row r="100" spans="12:15" x14ac:dyDescent="0.35">
      <c r="L100" t="s">
        <v>306</v>
      </c>
      <c r="M100">
        <v>4</v>
      </c>
      <c r="N100" t="str">
        <f t="shared" si="5"/>
        <v>OTU_89;size=4;</v>
      </c>
      <c r="O100" t="s">
        <v>192</v>
      </c>
    </row>
    <row r="101" spans="12:15" x14ac:dyDescent="0.35">
      <c r="L101" t="s">
        <v>333</v>
      </c>
      <c r="M101">
        <v>4</v>
      </c>
      <c r="N101" t="str">
        <f t="shared" si="5"/>
        <v>OTU_104;size=4;</v>
      </c>
      <c r="O101" t="s">
        <v>536</v>
      </c>
    </row>
    <row r="102" spans="12:15" x14ac:dyDescent="0.35">
      <c r="L102" t="s">
        <v>329</v>
      </c>
      <c r="M102">
        <v>4</v>
      </c>
      <c r="N102" t="str">
        <f t="shared" si="5"/>
        <v>OTU_103;size=4;</v>
      </c>
      <c r="O102" t="s">
        <v>127</v>
      </c>
    </row>
    <row r="103" spans="12:15" x14ac:dyDescent="0.35">
      <c r="L103" t="s">
        <v>346</v>
      </c>
      <c r="M103">
        <v>4</v>
      </c>
      <c r="N103" t="str">
        <f t="shared" si="5"/>
        <v>OTU_117;size=4;</v>
      </c>
      <c r="O103" t="s">
        <v>184</v>
      </c>
    </row>
    <row r="104" spans="12:15" x14ac:dyDescent="0.35">
      <c r="L104" t="s">
        <v>386</v>
      </c>
      <c r="M104">
        <v>4</v>
      </c>
      <c r="N104" t="str">
        <f t="shared" si="5"/>
        <v>OTU_116;size=4;</v>
      </c>
      <c r="O104" t="s">
        <v>441</v>
      </c>
    </row>
    <row r="105" spans="12:15" x14ac:dyDescent="0.35">
      <c r="L105" t="s">
        <v>353</v>
      </c>
      <c r="M105">
        <v>3</v>
      </c>
      <c r="N105" t="str">
        <f t="shared" si="5"/>
        <v>OTU_108;size=3;</v>
      </c>
      <c r="O105" t="s">
        <v>1631</v>
      </c>
    </row>
    <row r="106" spans="12:15" x14ac:dyDescent="0.35">
      <c r="L106" t="s">
        <v>344</v>
      </c>
      <c r="M106">
        <v>3</v>
      </c>
      <c r="N106" t="str">
        <f t="shared" si="5"/>
        <v>OTU_107;size=3;</v>
      </c>
      <c r="O106" t="s">
        <v>511</v>
      </c>
    </row>
    <row r="107" spans="12:15" x14ac:dyDescent="0.35">
      <c r="L107" t="s">
        <v>241</v>
      </c>
      <c r="M107">
        <v>3</v>
      </c>
      <c r="N107" t="str">
        <f t="shared" si="5"/>
        <v>OTU_105;size=3;</v>
      </c>
      <c r="O107" t="s">
        <v>50</v>
      </c>
    </row>
    <row r="108" spans="12:15" x14ac:dyDescent="0.35">
      <c r="L108" t="s">
        <v>320</v>
      </c>
      <c r="M108">
        <v>3</v>
      </c>
      <c r="N108" t="str">
        <f t="shared" si="5"/>
        <v>OTU_100;size=3;</v>
      </c>
      <c r="O108" t="s">
        <v>525</v>
      </c>
    </row>
    <row r="109" spans="12:15" x14ac:dyDescent="0.35">
      <c r="L109" t="s">
        <v>265</v>
      </c>
      <c r="M109">
        <v>3</v>
      </c>
      <c r="N109" t="str">
        <f t="shared" si="5"/>
        <v>OTU_81;size=3;</v>
      </c>
      <c r="O109" t="s">
        <v>608</v>
      </c>
    </row>
    <row r="110" spans="12:15" x14ac:dyDescent="0.35">
      <c r="L110" t="s">
        <v>277</v>
      </c>
      <c r="M110">
        <v>3</v>
      </c>
      <c r="N110" t="str">
        <f t="shared" si="5"/>
        <v>OTU_90;size=3;</v>
      </c>
      <c r="O110" t="s">
        <v>1631</v>
      </c>
    </row>
    <row r="111" spans="12:15" x14ac:dyDescent="0.35">
      <c r="L111" t="s">
        <v>338</v>
      </c>
      <c r="M111">
        <v>3</v>
      </c>
      <c r="N111" t="str">
        <f t="shared" si="5"/>
        <v>OTU_119;size=3;</v>
      </c>
      <c r="O111" t="s">
        <v>558</v>
      </c>
    </row>
    <row r="112" spans="12:15" x14ac:dyDescent="0.35">
      <c r="L112" t="s">
        <v>350</v>
      </c>
      <c r="M112">
        <v>3</v>
      </c>
      <c r="N112" t="str">
        <f t="shared" si="5"/>
        <v>OTU_109;size=3;</v>
      </c>
      <c r="O112" t="s">
        <v>558</v>
      </c>
    </row>
    <row r="113" spans="12:15" x14ac:dyDescent="0.35">
      <c r="L113" t="s">
        <v>325</v>
      </c>
      <c r="M113">
        <v>3</v>
      </c>
      <c r="N113" t="str">
        <f t="shared" si="5"/>
        <v>OTU_110;size=3;</v>
      </c>
      <c r="O113" t="s">
        <v>551</v>
      </c>
    </row>
    <row r="114" spans="12:15" x14ac:dyDescent="0.35">
      <c r="L114" t="s">
        <v>313</v>
      </c>
      <c r="M114">
        <v>2</v>
      </c>
      <c r="N114" t="str">
        <f t="shared" si="5"/>
        <v>OTU_96;size=2;</v>
      </c>
      <c r="O114" t="s">
        <v>574</v>
      </c>
    </row>
    <row r="115" spans="12:15" x14ac:dyDescent="0.35">
      <c r="L115" t="s">
        <v>315</v>
      </c>
      <c r="M115">
        <v>2</v>
      </c>
      <c r="N115" t="str">
        <f t="shared" si="5"/>
        <v>OTU_97;size=2;</v>
      </c>
      <c r="O115" t="s">
        <v>224</v>
      </c>
    </row>
    <row r="116" spans="12:15" x14ac:dyDescent="0.35">
      <c r="L116" t="s">
        <v>400</v>
      </c>
      <c r="M116">
        <v>2</v>
      </c>
      <c r="N116" t="str">
        <f t="shared" si="5"/>
        <v>OTU_112;size=2;</v>
      </c>
      <c r="O116" t="s">
        <v>576</v>
      </c>
    </row>
    <row r="117" spans="12:15" x14ac:dyDescent="0.35">
      <c r="L117" t="s">
        <v>359</v>
      </c>
      <c r="M117">
        <v>2</v>
      </c>
      <c r="N117" t="str">
        <f t="shared" si="5"/>
        <v>OTU_120;size=2;</v>
      </c>
      <c r="O117" t="s">
        <v>401</v>
      </c>
    </row>
    <row r="118" spans="12:15" x14ac:dyDescent="0.35">
      <c r="L118" t="s">
        <v>340</v>
      </c>
      <c r="M118">
        <v>2</v>
      </c>
      <c r="N118" t="str">
        <f t="shared" si="5"/>
        <v>OTU_106;size=2;</v>
      </c>
      <c r="O118" t="s">
        <v>548</v>
      </c>
    </row>
    <row r="119" spans="12:15" x14ac:dyDescent="0.35">
      <c r="L119" t="s">
        <v>303</v>
      </c>
      <c r="M119">
        <v>2</v>
      </c>
      <c r="N119" t="str">
        <f t="shared" si="5"/>
        <v>OTU_113;size=2;</v>
      </c>
      <c r="O119" t="s">
        <v>588</v>
      </c>
    </row>
    <row r="120" spans="12:15" x14ac:dyDescent="0.35">
      <c r="L120" t="s">
        <v>355</v>
      </c>
      <c r="M120">
        <v>2</v>
      </c>
      <c r="N120" t="str">
        <f t="shared" si="5"/>
        <v>OTU_115;size=2;</v>
      </c>
      <c r="O120" t="s">
        <v>16</v>
      </c>
    </row>
    <row r="121" spans="12:15" x14ac:dyDescent="0.35">
      <c r="L121" t="s">
        <v>428</v>
      </c>
      <c r="M121">
        <v>2</v>
      </c>
      <c r="N121" t="str">
        <f t="shared" si="5"/>
        <v>OTU_118;size=2;</v>
      </c>
      <c r="O121" t="s">
        <v>585</v>
      </c>
    </row>
    <row r="122" spans="12:15" x14ac:dyDescent="0.35">
      <c r="L122" t="s">
        <v>318</v>
      </c>
      <c r="M122">
        <v>2</v>
      </c>
      <c r="N122" t="str">
        <f t="shared" si="5"/>
        <v>OTU_95;size=2;</v>
      </c>
      <c r="O122" t="s">
        <v>152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F1" sqref="F1"/>
    </sheetView>
  </sheetViews>
  <sheetFormatPr defaultRowHeight="14.5" x14ac:dyDescent="0.35"/>
  <cols>
    <col min="4" max="4" width="54.81640625" customWidth="1"/>
    <col min="6" max="6" width="36" customWidth="1"/>
    <col min="15" max="15" width="51.81640625" customWidth="1"/>
  </cols>
  <sheetData>
    <row r="1" spans="1:15" x14ac:dyDescent="0.35">
      <c r="A1" t="s">
        <v>1526</v>
      </c>
      <c r="D1" s="9"/>
      <c r="E1" s="9"/>
      <c r="F1" s="9"/>
      <c r="H1" t="s">
        <v>1527</v>
      </c>
      <c r="L1" t="s">
        <v>1524</v>
      </c>
    </row>
    <row r="2" spans="1:15" x14ac:dyDescent="0.35">
      <c r="A2" t="s">
        <v>0</v>
      </c>
      <c r="B2" t="s">
        <v>1</v>
      </c>
      <c r="D2" t="s">
        <v>3</v>
      </c>
      <c r="L2" t="s">
        <v>0</v>
      </c>
      <c r="M2" t="s">
        <v>1</v>
      </c>
      <c r="O2" t="s">
        <v>3</v>
      </c>
    </row>
    <row r="3" spans="1:15" x14ac:dyDescent="0.35">
      <c r="A3" t="s">
        <v>6</v>
      </c>
      <c r="B3">
        <v>7816</v>
      </c>
      <c r="C3" t="str">
        <f>A3&amp;";size="&amp;B3&amp;";"</f>
        <v>OTU_1;size=7816;</v>
      </c>
      <c r="D3" t="s">
        <v>16</v>
      </c>
      <c r="E3" s="9">
        <f>VLOOKUP(C3,$H$3:$J$32,3,FALSE)</f>
        <v>100</v>
      </c>
      <c r="F3" s="9" t="str">
        <f>IFERROR(VLOOKUP(VLOOKUP(C3,$H$3:$I$41,2,FALSE),$N$3:$O$122,2,FALSE),"Not present in amplicons")</f>
        <v>Thermodesulfovibrio_aggregans_(T)_TGE-P1_(AB021302)</v>
      </c>
      <c r="G3" t="s">
        <v>1630</v>
      </c>
      <c r="H3" t="s">
        <v>1809</v>
      </c>
      <c r="I3" t="s">
        <v>1810</v>
      </c>
      <c r="J3">
        <v>100</v>
      </c>
      <c r="L3" t="s">
        <v>6</v>
      </c>
      <c r="M3">
        <v>17120</v>
      </c>
      <c r="N3" t="str">
        <f>L3&amp;";size="&amp;M3&amp;";"</f>
        <v>OTU_1;size=17120;</v>
      </c>
      <c r="O3" t="s">
        <v>16</v>
      </c>
    </row>
    <row r="4" spans="1:15" x14ac:dyDescent="0.35">
      <c r="A4" t="s">
        <v>15</v>
      </c>
      <c r="B4">
        <v>1220</v>
      </c>
      <c r="C4" t="str">
        <f t="shared" ref="C4:C32" si="0">A4&amp;";size="&amp;B4&amp;";"</f>
        <v>OTU_2;size=1220;</v>
      </c>
      <c r="D4" t="s">
        <v>33</v>
      </c>
      <c r="E4" s="9">
        <f t="shared" ref="E4:E32" si="1">VLOOKUP(C4,$H$3:$J$32,3,FALSE)</f>
        <v>100</v>
      </c>
      <c r="F4" s="9" t="str">
        <f t="shared" ref="F4:F32" si="2">IFERROR(VLOOKUP(VLOOKUP(C4,$H$3:$I$41,2,FALSE),$N$3:$O$122,2,FALSE),"Not present in amplicons")</f>
        <v>Cytophaga_fermentans_(T)_ATCC_19072_(M58766)</v>
      </c>
      <c r="G4" t="s">
        <v>1630</v>
      </c>
      <c r="H4" t="s">
        <v>1811</v>
      </c>
      <c r="I4" t="s">
        <v>1812</v>
      </c>
      <c r="J4">
        <v>100</v>
      </c>
      <c r="L4" t="s">
        <v>15</v>
      </c>
      <c r="M4">
        <v>5845</v>
      </c>
      <c r="N4" t="str">
        <f t="shared" ref="N4:N67" si="3">L4&amp;";size="&amp;M4&amp;";"</f>
        <v>OTU_2;size=5845;</v>
      </c>
      <c r="O4" t="s">
        <v>33</v>
      </c>
    </row>
    <row r="5" spans="1:15" x14ac:dyDescent="0.35">
      <c r="A5" t="s">
        <v>17</v>
      </c>
      <c r="B5">
        <v>1169</v>
      </c>
      <c r="C5" t="str">
        <f t="shared" si="0"/>
        <v>OTU_3;size=1169;</v>
      </c>
      <c r="D5" t="s">
        <v>62</v>
      </c>
      <c r="E5" s="9">
        <f t="shared" si="1"/>
        <v>100</v>
      </c>
      <c r="F5" s="9" t="str">
        <f t="shared" si="2"/>
        <v>Desulfotomaculum_acetoxidans_(T)_DSM_771_(Y11566)</v>
      </c>
      <c r="G5" t="s">
        <v>1630</v>
      </c>
      <c r="H5" t="s">
        <v>1813</v>
      </c>
      <c r="I5" t="s">
        <v>1814</v>
      </c>
      <c r="J5">
        <v>100</v>
      </c>
      <c r="L5" t="s">
        <v>17</v>
      </c>
      <c r="M5">
        <v>4057</v>
      </c>
      <c r="N5" t="str">
        <f t="shared" si="3"/>
        <v>OTU_3;size=4057;</v>
      </c>
      <c r="O5" t="s">
        <v>50</v>
      </c>
    </row>
    <row r="6" spans="1:15" x14ac:dyDescent="0.35">
      <c r="A6" t="s">
        <v>23</v>
      </c>
      <c r="B6">
        <v>847</v>
      </c>
      <c r="C6" t="str">
        <f t="shared" si="0"/>
        <v>OTU_4;size=847;</v>
      </c>
      <c r="D6" t="s">
        <v>127</v>
      </c>
      <c r="E6" s="9">
        <f t="shared" si="1"/>
        <v>100</v>
      </c>
      <c r="F6" s="9" t="str">
        <f t="shared" si="2"/>
        <v>Moorella_humiferrea_(T)_64_FGQ_(GQ872425)</v>
      </c>
      <c r="G6" t="s">
        <v>1630</v>
      </c>
      <c r="H6" t="s">
        <v>1815</v>
      </c>
      <c r="I6" t="s">
        <v>1816</v>
      </c>
      <c r="J6">
        <v>100</v>
      </c>
      <c r="L6" t="s">
        <v>23</v>
      </c>
      <c r="M6">
        <v>3104</v>
      </c>
      <c r="N6" t="str">
        <f t="shared" si="3"/>
        <v>OTU_4;size=3104;</v>
      </c>
      <c r="O6" t="s">
        <v>73</v>
      </c>
    </row>
    <row r="7" spans="1:15" x14ac:dyDescent="0.35">
      <c r="A7" t="s">
        <v>34</v>
      </c>
      <c r="B7">
        <v>771</v>
      </c>
      <c r="C7" t="str">
        <f t="shared" si="0"/>
        <v>OTU_5;size=771;</v>
      </c>
      <c r="D7" t="s">
        <v>50</v>
      </c>
      <c r="E7" s="9">
        <f t="shared" si="1"/>
        <v>100</v>
      </c>
      <c r="F7" s="9" t="str">
        <f t="shared" si="2"/>
        <v>candidate_division_OP1_clone_OPB14_(AF027045)</v>
      </c>
      <c r="G7" t="s">
        <v>1630</v>
      </c>
      <c r="H7" t="s">
        <v>1817</v>
      </c>
      <c r="I7" t="s">
        <v>1818</v>
      </c>
      <c r="J7">
        <v>100</v>
      </c>
      <c r="L7" t="s">
        <v>34</v>
      </c>
      <c r="M7">
        <v>2871</v>
      </c>
      <c r="N7" t="str">
        <f t="shared" si="3"/>
        <v>OTU_5;size=2871;</v>
      </c>
      <c r="O7" t="s">
        <v>71</v>
      </c>
    </row>
    <row r="8" spans="1:15" x14ac:dyDescent="0.35">
      <c r="A8" t="s">
        <v>51</v>
      </c>
      <c r="B8">
        <v>556</v>
      </c>
      <c r="C8" t="str">
        <f t="shared" si="0"/>
        <v>OTU_6;size=556;</v>
      </c>
      <c r="D8" t="s">
        <v>1631</v>
      </c>
      <c r="E8" s="9">
        <f t="shared" si="1"/>
        <v>100</v>
      </c>
      <c r="F8" s="9" t="str">
        <f t="shared" si="2"/>
        <v>-</v>
      </c>
      <c r="G8" t="s">
        <v>1630</v>
      </c>
      <c r="H8" t="s">
        <v>1819</v>
      </c>
      <c r="I8" t="s">
        <v>1820</v>
      </c>
      <c r="J8">
        <v>100</v>
      </c>
      <c r="L8" t="s">
        <v>51</v>
      </c>
      <c r="M8">
        <v>2685</v>
      </c>
      <c r="N8" t="str">
        <f t="shared" si="3"/>
        <v>OTU_6;size=2685;</v>
      </c>
      <c r="O8" t="s">
        <v>76</v>
      </c>
    </row>
    <row r="9" spans="1:15" x14ac:dyDescent="0.35">
      <c r="A9" t="s">
        <v>39</v>
      </c>
      <c r="B9">
        <v>506</v>
      </c>
      <c r="C9" t="str">
        <f t="shared" si="0"/>
        <v>OTU_7;size=506;</v>
      </c>
      <c r="D9" t="s">
        <v>71</v>
      </c>
      <c r="E9" s="9">
        <f t="shared" si="1"/>
        <v>100</v>
      </c>
      <c r="F9" s="9" t="str">
        <f t="shared" si="2"/>
        <v>Syntrophaceticus_schinkii_(T)_Sp3_(EU386162)</v>
      </c>
      <c r="G9" t="s">
        <v>1630</v>
      </c>
      <c r="H9" t="s">
        <v>1821</v>
      </c>
      <c r="I9" t="s">
        <v>1822</v>
      </c>
      <c r="J9">
        <v>100</v>
      </c>
      <c r="L9" t="s">
        <v>39</v>
      </c>
      <c r="M9">
        <v>2463</v>
      </c>
      <c r="N9" t="str">
        <f t="shared" si="3"/>
        <v>OTU_7;size=2463;</v>
      </c>
      <c r="O9" t="s">
        <v>62</v>
      </c>
    </row>
    <row r="10" spans="1:15" x14ac:dyDescent="0.35">
      <c r="A10" t="s">
        <v>31</v>
      </c>
      <c r="B10">
        <v>419</v>
      </c>
      <c r="C10" t="str">
        <f t="shared" si="0"/>
        <v>OTU_8;size=419;</v>
      </c>
      <c r="D10" t="s">
        <v>16</v>
      </c>
      <c r="E10" s="9">
        <f t="shared" si="1"/>
        <v>100</v>
      </c>
      <c r="F10" s="9" t="str">
        <f t="shared" si="2"/>
        <v>Thermodesulfovibrio_aggregans_(T)_TGE-P1_(AB021302)</v>
      </c>
      <c r="G10" t="s">
        <v>1630</v>
      </c>
      <c r="H10" t="s">
        <v>1823</v>
      </c>
      <c r="I10" t="s">
        <v>1824</v>
      </c>
      <c r="J10">
        <v>100</v>
      </c>
      <c r="L10" t="s">
        <v>63</v>
      </c>
      <c r="M10">
        <v>1171</v>
      </c>
      <c r="N10" t="str">
        <f t="shared" si="3"/>
        <v>OTU_9;size=1171;</v>
      </c>
      <c r="O10" t="s">
        <v>22</v>
      </c>
    </row>
    <row r="11" spans="1:15" x14ac:dyDescent="0.35">
      <c r="A11" t="s">
        <v>63</v>
      </c>
      <c r="B11">
        <v>408</v>
      </c>
      <c r="C11" t="str">
        <f t="shared" si="0"/>
        <v>OTU_9;size=408;</v>
      </c>
      <c r="D11" t="s">
        <v>105</v>
      </c>
      <c r="E11" s="9">
        <f t="shared" si="1"/>
        <v>100</v>
      </c>
      <c r="F11" s="9" t="str">
        <f t="shared" si="2"/>
        <v>Ignavibacterium_album_(T)_Mat9-16_(AB478415)</v>
      </c>
      <c r="G11" t="s">
        <v>1630</v>
      </c>
      <c r="H11" t="s">
        <v>1825</v>
      </c>
      <c r="I11" t="s">
        <v>1826</v>
      </c>
      <c r="J11">
        <v>100</v>
      </c>
      <c r="L11" t="s">
        <v>45</v>
      </c>
      <c r="M11">
        <v>1161</v>
      </c>
      <c r="N11" t="str">
        <f t="shared" si="3"/>
        <v>OTU_11;size=1161;</v>
      </c>
      <c r="O11" t="s">
        <v>88</v>
      </c>
    </row>
    <row r="12" spans="1:15" x14ac:dyDescent="0.35">
      <c r="A12" t="s">
        <v>49</v>
      </c>
      <c r="B12">
        <v>326</v>
      </c>
      <c r="C12" t="str">
        <f t="shared" si="0"/>
        <v>OTU_10;size=326;</v>
      </c>
      <c r="D12" t="s">
        <v>76</v>
      </c>
      <c r="E12" s="9">
        <f t="shared" si="1"/>
        <v>100</v>
      </c>
      <c r="F12" s="9" t="str">
        <f t="shared" si="2"/>
        <v>Methanothermobacter_thermoflexus_(T)_IDZ,_VKM_B-1963,_DSM_7268_(X99047)</v>
      </c>
      <c r="G12" t="s">
        <v>1630</v>
      </c>
      <c r="H12" t="s">
        <v>1827</v>
      </c>
      <c r="I12" t="s">
        <v>1828</v>
      </c>
      <c r="J12">
        <v>100</v>
      </c>
      <c r="L12" t="s">
        <v>31</v>
      </c>
      <c r="M12">
        <v>1089</v>
      </c>
      <c r="N12" t="str">
        <f t="shared" si="3"/>
        <v>OTU_8;size=1089;</v>
      </c>
      <c r="O12" t="s">
        <v>105</v>
      </c>
    </row>
    <row r="13" spans="1:15" x14ac:dyDescent="0.35">
      <c r="A13" t="s">
        <v>45</v>
      </c>
      <c r="B13">
        <v>305</v>
      </c>
      <c r="C13" t="str">
        <f t="shared" si="0"/>
        <v>OTU_11;size=305;</v>
      </c>
      <c r="D13" t="s">
        <v>22</v>
      </c>
      <c r="E13" s="9">
        <f t="shared" si="1"/>
        <v>100</v>
      </c>
      <c r="F13" s="9" t="str">
        <f t="shared" si="2"/>
        <v>Treponema_zuelzerae_(T)_type_strain:_DSM_1903;_2_(FR749929)</v>
      </c>
      <c r="G13" t="s">
        <v>1630</v>
      </c>
      <c r="H13" t="s">
        <v>1829</v>
      </c>
      <c r="I13" t="s">
        <v>1830</v>
      </c>
      <c r="J13">
        <v>100</v>
      </c>
      <c r="L13" t="s">
        <v>49</v>
      </c>
      <c r="M13">
        <v>955</v>
      </c>
      <c r="N13" t="str">
        <f t="shared" si="3"/>
        <v>OTU_10;size=955;</v>
      </c>
      <c r="O13" t="s">
        <v>1631</v>
      </c>
    </row>
    <row r="14" spans="1:15" x14ac:dyDescent="0.35">
      <c r="A14" t="s">
        <v>77</v>
      </c>
      <c r="B14">
        <v>271</v>
      </c>
      <c r="C14" t="str">
        <f t="shared" si="0"/>
        <v>OTU_12;size=271;</v>
      </c>
      <c r="D14" t="s">
        <v>73</v>
      </c>
      <c r="E14" s="9">
        <f t="shared" si="1"/>
        <v>100</v>
      </c>
      <c r="F14" s="9" t="str">
        <f t="shared" si="2"/>
        <v>Methanobacterium_aarhusense_(T)_H2-LR_(AY386124)</v>
      </c>
      <c r="G14" t="s">
        <v>1630</v>
      </c>
      <c r="H14" t="s">
        <v>1808</v>
      </c>
      <c r="I14" t="s">
        <v>1831</v>
      </c>
      <c r="J14">
        <v>98</v>
      </c>
      <c r="L14" t="s">
        <v>77</v>
      </c>
      <c r="M14">
        <v>722</v>
      </c>
      <c r="N14" t="str">
        <f t="shared" si="3"/>
        <v>OTU_12;size=722;</v>
      </c>
      <c r="O14" t="s">
        <v>16</v>
      </c>
    </row>
    <row r="15" spans="1:15" x14ac:dyDescent="0.35">
      <c r="A15" t="s">
        <v>68</v>
      </c>
      <c r="B15">
        <v>211</v>
      </c>
      <c r="C15" t="str">
        <f t="shared" si="0"/>
        <v>OTU_13;size=211;</v>
      </c>
      <c r="D15" t="s">
        <v>1631</v>
      </c>
      <c r="E15" s="9">
        <f t="shared" si="1"/>
        <v>100</v>
      </c>
      <c r="F15" s="9" t="str">
        <f t="shared" si="2"/>
        <v>-</v>
      </c>
      <c r="G15" t="s">
        <v>1630</v>
      </c>
      <c r="H15" t="s">
        <v>1832</v>
      </c>
      <c r="I15" t="s">
        <v>1833</v>
      </c>
      <c r="J15">
        <v>100</v>
      </c>
      <c r="L15" t="s">
        <v>68</v>
      </c>
      <c r="M15">
        <v>269</v>
      </c>
      <c r="N15" t="str">
        <f t="shared" si="3"/>
        <v>OTU_13;size=269;</v>
      </c>
      <c r="O15" t="s">
        <v>1631</v>
      </c>
    </row>
    <row r="16" spans="1:15" x14ac:dyDescent="0.35">
      <c r="A16" t="s">
        <v>99</v>
      </c>
      <c r="B16">
        <v>108</v>
      </c>
      <c r="C16" t="str">
        <f t="shared" si="0"/>
        <v>OTU_20;size=108;</v>
      </c>
      <c r="D16" t="s">
        <v>163</v>
      </c>
      <c r="E16" s="9">
        <f t="shared" si="1"/>
        <v>98</v>
      </c>
      <c r="F16" s="9" t="str">
        <f t="shared" si="2"/>
        <v>Dethiobacter_alkaliphilus_(T)_AHT_1_(EF422412)</v>
      </c>
      <c r="G16" t="s">
        <v>1630</v>
      </c>
      <c r="H16" t="s">
        <v>1834</v>
      </c>
      <c r="I16" t="s">
        <v>1835</v>
      </c>
      <c r="J16">
        <v>100</v>
      </c>
      <c r="L16" t="s">
        <v>55</v>
      </c>
      <c r="M16">
        <v>259</v>
      </c>
      <c r="N16" t="str">
        <f t="shared" si="3"/>
        <v>OTU_14;size=259;</v>
      </c>
      <c r="O16" t="s">
        <v>1631</v>
      </c>
    </row>
    <row r="17" spans="1:15" x14ac:dyDescent="0.35">
      <c r="A17" t="s">
        <v>55</v>
      </c>
      <c r="B17">
        <v>100</v>
      </c>
      <c r="C17" t="str">
        <f t="shared" si="0"/>
        <v>OTU_14;size=100;</v>
      </c>
      <c r="D17" t="s">
        <v>88</v>
      </c>
      <c r="E17" s="9">
        <f t="shared" si="1"/>
        <v>100</v>
      </c>
      <c r="F17" s="9" t="str">
        <f t="shared" si="2"/>
        <v>Methanobacterium_alcaliphilum_(T)_NBRC_105226_(AB496639)</v>
      </c>
      <c r="G17" t="s">
        <v>1630</v>
      </c>
      <c r="H17" t="s">
        <v>1836</v>
      </c>
      <c r="I17" t="s">
        <v>1837</v>
      </c>
      <c r="J17">
        <v>100</v>
      </c>
      <c r="L17" t="s">
        <v>60</v>
      </c>
      <c r="M17">
        <v>220</v>
      </c>
      <c r="N17" t="str">
        <f t="shared" si="3"/>
        <v>OTU_15;size=220;</v>
      </c>
      <c r="O17" t="s">
        <v>152</v>
      </c>
    </row>
    <row r="18" spans="1:15" x14ac:dyDescent="0.35">
      <c r="A18" t="s">
        <v>60</v>
      </c>
      <c r="B18">
        <v>100</v>
      </c>
      <c r="C18" t="str">
        <f t="shared" si="0"/>
        <v>OTU_15;size=100;</v>
      </c>
      <c r="D18" t="s">
        <v>1631</v>
      </c>
      <c r="E18" s="9">
        <f t="shared" si="1"/>
        <v>100</v>
      </c>
      <c r="F18" s="9" t="str">
        <f t="shared" si="2"/>
        <v>-</v>
      </c>
      <c r="G18" t="s">
        <v>1630</v>
      </c>
      <c r="H18" t="s">
        <v>1838</v>
      </c>
      <c r="I18" t="s">
        <v>1839</v>
      </c>
      <c r="J18">
        <v>100</v>
      </c>
      <c r="L18" t="s">
        <v>72</v>
      </c>
      <c r="M18">
        <v>188</v>
      </c>
      <c r="N18" t="str">
        <f t="shared" si="3"/>
        <v>OTU_16;size=188;</v>
      </c>
      <c r="O18" t="s">
        <v>184</v>
      </c>
    </row>
    <row r="19" spans="1:15" x14ac:dyDescent="0.35">
      <c r="A19" t="s">
        <v>72</v>
      </c>
      <c r="B19">
        <v>98</v>
      </c>
      <c r="C19" t="str">
        <f t="shared" si="0"/>
        <v>OTU_16;size=98;</v>
      </c>
      <c r="D19" t="s">
        <v>215</v>
      </c>
      <c r="E19" s="9">
        <f t="shared" si="1"/>
        <v>100</v>
      </c>
      <c r="F19" s="9" t="str">
        <f t="shared" si="2"/>
        <v>Thermodesulfovibrio_yellowstonii_(T)_YP87_(AB231858)</v>
      </c>
      <c r="G19" t="s">
        <v>1630</v>
      </c>
      <c r="H19" t="s">
        <v>1840</v>
      </c>
      <c r="I19" t="s">
        <v>1841</v>
      </c>
      <c r="J19">
        <v>100</v>
      </c>
      <c r="L19" t="s">
        <v>97</v>
      </c>
      <c r="M19">
        <v>135</v>
      </c>
      <c r="N19" t="str">
        <f t="shared" si="3"/>
        <v>OTU_17;size=135;</v>
      </c>
      <c r="O19" t="s">
        <v>609</v>
      </c>
    </row>
    <row r="20" spans="1:15" x14ac:dyDescent="0.35">
      <c r="A20" t="s">
        <v>97</v>
      </c>
      <c r="B20">
        <v>85</v>
      </c>
      <c r="C20" t="str">
        <f t="shared" si="0"/>
        <v>OTU_17;size=85;</v>
      </c>
      <c r="D20" t="s">
        <v>184</v>
      </c>
      <c r="E20" s="9">
        <f t="shared" si="1"/>
        <v>100</v>
      </c>
      <c r="F20" s="9" t="str">
        <f t="shared" si="2"/>
        <v>Pelotomaculum_propionicicum_(T)_MGP_(AB154390)</v>
      </c>
      <c r="G20" t="s">
        <v>1630</v>
      </c>
      <c r="H20" t="s">
        <v>1842</v>
      </c>
      <c r="I20" t="s">
        <v>1843</v>
      </c>
      <c r="J20">
        <v>100</v>
      </c>
      <c r="L20" t="s">
        <v>74</v>
      </c>
      <c r="M20">
        <v>132</v>
      </c>
      <c r="N20" t="str">
        <f t="shared" si="3"/>
        <v>OTU_18;size=132;</v>
      </c>
      <c r="O20" t="s">
        <v>14</v>
      </c>
    </row>
    <row r="21" spans="1:15" x14ac:dyDescent="0.35">
      <c r="A21" t="s">
        <v>74</v>
      </c>
      <c r="B21">
        <v>82</v>
      </c>
      <c r="C21" t="str">
        <f t="shared" si="0"/>
        <v>OTU_18;size=82;</v>
      </c>
      <c r="D21" t="s">
        <v>144</v>
      </c>
      <c r="E21" s="9">
        <f t="shared" si="1"/>
        <v>100</v>
      </c>
      <c r="F21" s="9" t="str">
        <f t="shared" si="2"/>
        <v>Sunxiuqinia_faeciviva_(T)_JAM-BA0302_(AB362263)</v>
      </c>
      <c r="G21" t="s">
        <v>1630</v>
      </c>
      <c r="H21" t="s">
        <v>1844</v>
      </c>
      <c r="I21" t="s">
        <v>1845</v>
      </c>
      <c r="J21">
        <v>100</v>
      </c>
      <c r="L21" t="s">
        <v>135</v>
      </c>
      <c r="M21">
        <v>129</v>
      </c>
      <c r="N21" t="str">
        <f t="shared" si="3"/>
        <v>OTU_19;size=129;</v>
      </c>
      <c r="O21" t="s">
        <v>127</v>
      </c>
    </row>
    <row r="22" spans="1:15" x14ac:dyDescent="0.35">
      <c r="A22" t="s">
        <v>135</v>
      </c>
      <c r="B22">
        <v>79</v>
      </c>
      <c r="C22" t="str">
        <f t="shared" si="0"/>
        <v>OTU_19;size=79;</v>
      </c>
      <c r="D22" t="s">
        <v>224</v>
      </c>
      <c r="E22" s="9">
        <f t="shared" si="1"/>
        <v>100</v>
      </c>
      <c r="F22" s="9" t="str">
        <f t="shared" si="2"/>
        <v>Thermanaerothrix_daxensis_strain_GNS-1_(NR_117865.1)</v>
      </c>
      <c r="G22" t="s">
        <v>1630</v>
      </c>
      <c r="H22" t="s">
        <v>1846</v>
      </c>
      <c r="I22" t="s">
        <v>1847</v>
      </c>
      <c r="J22">
        <v>100</v>
      </c>
      <c r="L22" t="s">
        <v>99</v>
      </c>
      <c r="M22">
        <v>112</v>
      </c>
      <c r="N22" t="str">
        <f t="shared" si="3"/>
        <v>OTU_20;size=112;</v>
      </c>
      <c r="O22" t="s">
        <v>144</v>
      </c>
    </row>
    <row r="23" spans="1:15" x14ac:dyDescent="0.35">
      <c r="A23" t="s">
        <v>106</v>
      </c>
      <c r="B23">
        <v>65</v>
      </c>
      <c r="C23" t="str">
        <f t="shared" si="0"/>
        <v>OTU_21;size=65;</v>
      </c>
      <c r="D23" t="s">
        <v>152</v>
      </c>
      <c r="E23" s="9">
        <f t="shared" si="1"/>
        <v>100</v>
      </c>
      <c r="F23" s="9" t="str">
        <f t="shared" si="2"/>
        <v>Smithella_propionica_(T)_LYP_(AF126282)</v>
      </c>
      <c r="G23" t="s">
        <v>1630</v>
      </c>
      <c r="H23" t="s">
        <v>1848</v>
      </c>
      <c r="I23" t="s">
        <v>1849</v>
      </c>
      <c r="J23">
        <v>100</v>
      </c>
      <c r="L23" t="s">
        <v>106</v>
      </c>
      <c r="M23">
        <v>107</v>
      </c>
      <c r="N23" t="str">
        <f t="shared" si="3"/>
        <v>OTU_21;size=107;</v>
      </c>
      <c r="O23" t="s">
        <v>215</v>
      </c>
    </row>
    <row r="24" spans="1:15" x14ac:dyDescent="0.35">
      <c r="A24" t="s">
        <v>83</v>
      </c>
      <c r="B24">
        <v>60</v>
      </c>
      <c r="C24" t="str">
        <f t="shared" si="0"/>
        <v>OTU_22;size=60;</v>
      </c>
      <c r="D24" t="s">
        <v>609</v>
      </c>
      <c r="E24" s="9">
        <f t="shared" si="1"/>
        <v>100</v>
      </c>
      <c r="F24" s="9" t="str">
        <f t="shared" si="2"/>
        <v>Caldicoprobacter_oshimai_(T)_JW/HY-331_(AB450762)</v>
      </c>
      <c r="G24" t="s">
        <v>1630</v>
      </c>
      <c r="H24" t="s">
        <v>1850</v>
      </c>
      <c r="I24" t="s">
        <v>1851</v>
      </c>
      <c r="J24">
        <v>100</v>
      </c>
      <c r="L24" t="s">
        <v>126</v>
      </c>
      <c r="M24">
        <v>102</v>
      </c>
      <c r="N24" t="str">
        <f t="shared" si="3"/>
        <v>OTU_24;size=102;</v>
      </c>
      <c r="O24" t="s">
        <v>163</v>
      </c>
    </row>
    <row r="25" spans="1:15" x14ac:dyDescent="0.35">
      <c r="A25" t="s">
        <v>91</v>
      </c>
      <c r="B25">
        <v>48</v>
      </c>
      <c r="C25" t="str">
        <f t="shared" si="0"/>
        <v>OTU_23;size=48;</v>
      </c>
      <c r="D25" t="s">
        <v>220</v>
      </c>
      <c r="E25" s="9">
        <f t="shared" si="1"/>
        <v>100</v>
      </c>
      <c r="F25" s="9" t="str">
        <f t="shared" si="2"/>
        <v>Bellilinea_caldifistulae_(T)_GOMI-1_(AB243672)</v>
      </c>
      <c r="G25" t="s">
        <v>1630</v>
      </c>
      <c r="H25" t="s">
        <v>1852</v>
      </c>
      <c r="I25" t="s">
        <v>1853</v>
      </c>
      <c r="J25">
        <v>100</v>
      </c>
      <c r="L25" t="s">
        <v>83</v>
      </c>
      <c r="M25">
        <v>93</v>
      </c>
      <c r="N25" t="str">
        <f t="shared" si="3"/>
        <v>OTU_22;size=93;</v>
      </c>
      <c r="O25" t="s">
        <v>220</v>
      </c>
    </row>
    <row r="26" spans="1:15" x14ac:dyDescent="0.35">
      <c r="A26" t="s">
        <v>126</v>
      </c>
      <c r="B26">
        <v>37</v>
      </c>
      <c r="C26" t="str">
        <f t="shared" si="0"/>
        <v>OTU_24;size=37;</v>
      </c>
      <c r="D26" t="s">
        <v>276</v>
      </c>
      <c r="E26" s="9">
        <f t="shared" si="1"/>
        <v>100</v>
      </c>
      <c r="F26" s="9" t="str">
        <f t="shared" si="2"/>
        <v>Leptolinea_tardivitalis_(T)_YMTK-2_(AB109438)</v>
      </c>
      <c r="G26" t="s">
        <v>1630</v>
      </c>
      <c r="H26" t="s">
        <v>1854</v>
      </c>
      <c r="I26" t="s">
        <v>1855</v>
      </c>
      <c r="J26">
        <v>100</v>
      </c>
      <c r="L26" t="s">
        <v>91</v>
      </c>
      <c r="M26">
        <v>70</v>
      </c>
      <c r="N26" t="str">
        <f t="shared" si="3"/>
        <v>OTU_23;size=70;</v>
      </c>
      <c r="O26" t="s">
        <v>224</v>
      </c>
    </row>
    <row r="27" spans="1:15" x14ac:dyDescent="0.35">
      <c r="A27" t="s">
        <v>145</v>
      </c>
      <c r="B27">
        <v>36</v>
      </c>
      <c r="C27" t="str">
        <f t="shared" si="0"/>
        <v>OTU_25;size=36;</v>
      </c>
      <c r="D27" t="s">
        <v>256</v>
      </c>
      <c r="E27" s="9">
        <f t="shared" si="1"/>
        <v>100</v>
      </c>
      <c r="F27" s="9" t="str">
        <f t="shared" si="2"/>
        <v>uncultured_bacterium_KF-JG30-18_(AJ295656)</v>
      </c>
      <c r="G27" t="s">
        <v>1630</v>
      </c>
      <c r="H27" t="s">
        <v>1856</v>
      </c>
      <c r="I27" t="s">
        <v>1857</v>
      </c>
      <c r="J27">
        <v>100</v>
      </c>
      <c r="L27" t="s">
        <v>89</v>
      </c>
      <c r="M27">
        <v>58</v>
      </c>
      <c r="N27" t="str">
        <f t="shared" si="3"/>
        <v>OTU_26;size=58;</v>
      </c>
      <c r="O27" t="s">
        <v>163</v>
      </c>
    </row>
    <row r="28" spans="1:15" x14ac:dyDescent="0.35">
      <c r="A28" t="s">
        <v>89</v>
      </c>
      <c r="B28">
        <v>35</v>
      </c>
      <c r="C28" t="str">
        <f t="shared" si="0"/>
        <v>OTU_26;size=35;</v>
      </c>
      <c r="D28" t="s">
        <v>254</v>
      </c>
      <c r="E28" s="9">
        <f t="shared" si="1"/>
        <v>100</v>
      </c>
      <c r="F28" s="9" t="str">
        <f t="shared" si="2"/>
        <v>Desulfotomaculum_kuznetsovii_strain_17_(NR_115129.1)</v>
      </c>
      <c r="G28" t="s">
        <v>1630</v>
      </c>
      <c r="H28" t="s">
        <v>1858</v>
      </c>
      <c r="I28" t="s">
        <v>1859</v>
      </c>
      <c r="J28">
        <v>100</v>
      </c>
      <c r="L28" t="s">
        <v>87</v>
      </c>
      <c r="M28">
        <v>52</v>
      </c>
      <c r="N28" t="str">
        <f t="shared" si="3"/>
        <v>OTU_28;size=52;</v>
      </c>
      <c r="O28" t="s">
        <v>229</v>
      </c>
    </row>
    <row r="29" spans="1:15" x14ac:dyDescent="0.35">
      <c r="A29" t="s">
        <v>93</v>
      </c>
      <c r="B29">
        <v>29</v>
      </c>
      <c r="C29" t="str">
        <f t="shared" si="0"/>
        <v>OTU_27;size=29;</v>
      </c>
      <c r="D29" t="s">
        <v>163</v>
      </c>
      <c r="E29" s="9">
        <f t="shared" si="1"/>
        <v>100</v>
      </c>
      <c r="F29" s="9" t="str">
        <f t="shared" si="2"/>
        <v>Dethiobacter_alkaliphilus_(T)_AHT_1_(EF422412)</v>
      </c>
      <c r="G29" t="s">
        <v>1630</v>
      </c>
      <c r="H29" t="s">
        <v>1790</v>
      </c>
      <c r="I29" t="s">
        <v>1860</v>
      </c>
      <c r="J29">
        <v>99.6</v>
      </c>
      <c r="L29" t="s">
        <v>145</v>
      </c>
      <c r="M29">
        <v>50</v>
      </c>
      <c r="N29" t="str">
        <f t="shared" si="3"/>
        <v>OTU_25;size=50;</v>
      </c>
      <c r="O29" t="s">
        <v>254</v>
      </c>
    </row>
    <row r="30" spans="1:15" x14ac:dyDescent="0.35">
      <c r="A30" t="s">
        <v>87</v>
      </c>
      <c r="B30">
        <v>21</v>
      </c>
      <c r="C30" t="str">
        <f t="shared" si="0"/>
        <v>OTU_28;size=21;</v>
      </c>
      <c r="D30" t="s">
        <v>293</v>
      </c>
      <c r="E30" s="9">
        <f t="shared" si="1"/>
        <v>100</v>
      </c>
      <c r="F30" s="9" t="str">
        <f t="shared" si="2"/>
        <v>Acidobacteria_bacterium_P105_(KJ461654)</v>
      </c>
      <c r="G30" t="s">
        <v>1630</v>
      </c>
      <c r="H30" t="s">
        <v>1861</v>
      </c>
      <c r="I30" t="s">
        <v>1862</v>
      </c>
      <c r="J30">
        <v>100</v>
      </c>
      <c r="L30" t="s">
        <v>294</v>
      </c>
      <c r="M30">
        <v>44</v>
      </c>
      <c r="N30" t="str">
        <f t="shared" si="3"/>
        <v>OTU_29;size=44;</v>
      </c>
      <c r="O30" t="s">
        <v>256</v>
      </c>
    </row>
    <row r="31" spans="1:15" x14ac:dyDescent="0.35">
      <c r="A31" t="s">
        <v>294</v>
      </c>
      <c r="B31">
        <v>21</v>
      </c>
      <c r="C31" t="str">
        <f t="shared" si="0"/>
        <v>OTU_29;size=21;</v>
      </c>
      <c r="D31" t="s">
        <v>328</v>
      </c>
      <c r="E31" s="9">
        <f t="shared" si="1"/>
        <v>99.6</v>
      </c>
      <c r="F31" s="9" t="str">
        <f t="shared" si="2"/>
        <v>Olegusella_massiliensis_strain_KHD7_(NR_146815.1)</v>
      </c>
      <c r="G31" t="s">
        <v>1630</v>
      </c>
      <c r="H31" t="s">
        <v>1863</v>
      </c>
      <c r="I31" t="s">
        <v>1864</v>
      </c>
      <c r="J31">
        <v>100</v>
      </c>
      <c r="L31" t="s">
        <v>93</v>
      </c>
      <c r="M31">
        <v>41</v>
      </c>
      <c r="N31" t="str">
        <f t="shared" si="3"/>
        <v>OTU_27;size=41;</v>
      </c>
      <c r="O31" t="s">
        <v>82</v>
      </c>
    </row>
    <row r="32" spans="1:15" x14ac:dyDescent="0.35">
      <c r="A32" t="s">
        <v>153</v>
      </c>
      <c r="B32">
        <v>19</v>
      </c>
      <c r="C32" t="str">
        <f t="shared" si="0"/>
        <v>OTU_30;size=19;</v>
      </c>
      <c r="D32" t="s">
        <v>229</v>
      </c>
      <c r="E32" s="9">
        <f t="shared" si="1"/>
        <v>100</v>
      </c>
      <c r="F32" s="9" t="str">
        <f t="shared" si="2"/>
        <v>Syntrophorhabdus_aromaticivorans_(T)_UI_(AB212873)</v>
      </c>
      <c r="G32" t="s">
        <v>1630</v>
      </c>
      <c r="H32" t="s">
        <v>1865</v>
      </c>
      <c r="I32" t="s">
        <v>1866</v>
      </c>
      <c r="J32">
        <v>100</v>
      </c>
      <c r="L32" t="s">
        <v>153</v>
      </c>
      <c r="M32">
        <v>31</v>
      </c>
      <c r="N32" t="str">
        <f t="shared" si="3"/>
        <v>OTU_30;size=31;</v>
      </c>
      <c r="O32" t="s">
        <v>293</v>
      </c>
    </row>
    <row r="33" spans="12:15" x14ac:dyDescent="0.35">
      <c r="L33" t="s">
        <v>602</v>
      </c>
      <c r="M33">
        <v>30</v>
      </c>
      <c r="N33" t="str">
        <f t="shared" si="3"/>
        <v>OTU_31;size=30;</v>
      </c>
      <c r="O33" t="s">
        <v>59</v>
      </c>
    </row>
    <row r="34" spans="12:15" x14ac:dyDescent="0.35">
      <c r="L34" t="s">
        <v>272</v>
      </c>
      <c r="M34">
        <v>29</v>
      </c>
      <c r="N34" t="str">
        <f t="shared" si="3"/>
        <v>OTU_34;size=29;</v>
      </c>
      <c r="O34" t="s">
        <v>30</v>
      </c>
    </row>
    <row r="35" spans="12:15" x14ac:dyDescent="0.35">
      <c r="L35" t="s">
        <v>130</v>
      </c>
      <c r="M35">
        <v>29</v>
      </c>
      <c r="N35" t="str">
        <f t="shared" si="3"/>
        <v>OTU_33;size=29;</v>
      </c>
      <c r="O35" t="s">
        <v>92</v>
      </c>
    </row>
    <row r="36" spans="12:15" x14ac:dyDescent="0.35">
      <c r="L36" t="s">
        <v>111</v>
      </c>
      <c r="M36">
        <v>29</v>
      </c>
      <c r="N36" t="str">
        <f t="shared" si="3"/>
        <v>OTU_32;size=29;</v>
      </c>
      <c r="O36" t="s">
        <v>276</v>
      </c>
    </row>
    <row r="37" spans="12:15" x14ac:dyDescent="0.35">
      <c r="L37" t="s">
        <v>164</v>
      </c>
      <c r="M37">
        <v>19</v>
      </c>
      <c r="N37" t="str">
        <f t="shared" si="3"/>
        <v>OTU_44;size=19;</v>
      </c>
      <c r="O37" t="s">
        <v>328</v>
      </c>
    </row>
    <row r="38" spans="12:15" x14ac:dyDescent="0.35">
      <c r="L38" t="s">
        <v>349</v>
      </c>
      <c r="M38">
        <v>18</v>
      </c>
      <c r="N38" t="str">
        <f t="shared" si="3"/>
        <v>OTU_38;size=18;</v>
      </c>
      <c r="O38" t="s">
        <v>283</v>
      </c>
    </row>
    <row r="39" spans="12:15" x14ac:dyDescent="0.35">
      <c r="L39" t="s">
        <v>113</v>
      </c>
      <c r="M39">
        <v>18</v>
      </c>
      <c r="N39" t="str">
        <f t="shared" si="3"/>
        <v>OTU_35;size=18;</v>
      </c>
      <c r="O39" t="s">
        <v>314</v>
      </c>
    </row>
    <row r="40" spans="12:15" x14ac:dyDescent="0.35">
      <c r="L40" t="s">
        <v>128</v>
      </c>
      <c r="M40">
        <v>17</v>
      </c>
      <c r="N40" t="str">
        <f t="shared" si="3"/>
        <v>OTU_37;size=17;</v>
      </c>
      <c r="O40" t="s">
        <v>134</v>
      </c>
    </row>
    <row r="41" spans="12:15" x14ac:dyDescent="0.35">
      <c r="L41" t="s">
        <v>137</v>
      </c>
      <c r="M41">
        <v>16</v>
      </c>
      <c r="N41" t="str">
        <f t="shared" si="3"/>
        <v>OTU_39;size=16;</v>
      </c>
      <c r="O41" t="s">
        <v>44</v>
      </c>
    </row>
    <row r="42" spans="12:15" x14ac:dyDescent="0.35">
      <c r="L42" t="s">
        <v>193</v>
      </c>
      <c r="M42">
        <v>16</v>
      </c>
      <c r="N42" t="str">
        <f t="shared" si="3"/>
        <v>OTU_36;size=16;</v>
      </c>
      <c r="O42" t="s">
        <v>96</v>
      </c>
    </row>
    <row r="43" spans="12:15" x14ac:dyDescent="0.35">
      <c r="L43" t="s">
        <v>142</v>
      </c>
      <c r="M43">
        <v>14</v>
      </c>
      <c r="N43" t="str">
        <f t="shared" si="3"/>
        <v>OTU_42;size=14;</v>
      </c>
      <c r="O43" t="s">
        <v>263</v>
      </c>
    </row>
    <row r="44" spans="12:15" x14ac:dyDescent="0.35">
      <c r="L44" t="s">
        <v>181</v>
      </c>
      <c r="M44">
        <v>14</v>
      </c>
      <c r="N44" t="str">
        <f t="shared" si="3"/>
        <v>OTU_41;size=14;</v>
      </c>
      <c r="O44" t="s">
        <v>163</v>
      </c>
    </row>
    <row r="45" spans="12:15" x14ac:dyDescent="0.35">
      <c r="L45" t="s">
        <v>149</v>
      </c>
      <c r="M45">
        <v>14</v>
      </c>
      <c r="N45" t="str">
        <f t="shared" si="3"/>
        <v>OTU_45;size=14;</v>
      </c>
      <c r="O45" t="s">
        <v>48</v>
      </c>
    </row>
    <row r="46" spans="12:15" x14ac:dyDescent="0.35">
      <c r="L46" t="s">
        <v>119</v>
      </c>
      <c r="M46">
        <v>13</v>
      </c>
      <c r="N46" t="str">
        <f t="shared" si="3"/>
        <v>OTU_40;size=13;</v>
      </c>
      <c r="O46" t="s">
        <v>368</v>
      </c>
    </row>
    <row r="47" spans="12:15" x14ac:dyDescent="0.35">
      <c r="L47" t="s">
        <v>209</v>
      </c>
      <c r="M47">
        <v>11</v>
      </c>
      <c r="N47" t="str">
        <f t="shared" si="3"/>
        <v>OTU_49;size=11;</v>
      </c>
      <c r="O47" t="s">
        <v>54</v>
      </c>
    </row>
    <row r="48" spans="12:15" x14ac:dyDescent="0.35">
      <c r="L48" t="s">
        <v>159</v>
      </c>
      <c r="M48">
        <v>10</v>
      </c>
      <c r="N48" t="str">
        <f t="shared" si="3"/>
        <v>OTU_50;size=10;</v>
      </c>
      <c r="O48" t="s">
        <v>330</v>
      </c>
    </row>
    <row r="49" spans="12:15" x14ac:dyDescent="0.35">
      <c r="L49" t="s">
        <v>213</v>
      </c>
      <c r="M49">
        <v>10</v>
      </c>
      <c r="N49" t="str">
        <f t="shared" si="3"/>
        <v>OTU_63;size=10;</v>
      </c>
      <c r="O49" t="s">
        <v>247</v>
      </c>
    </row>
    <row r="50" spans="12:15" x14ac:dyDescent="0.35">
      <c r="L50" t="s">
        <v>148</v>
      </c>
      <c r="M50">
        <v>10</v>
      </c>
      <c r="N50" t="str">
        <f t="shared" si="3"/>
        <v>OTU_47;size=10;</v>
      </c>
      <c r="O50" t="s">
        <v>319</v>
      </c>
    </row>
    <row r="51" spans="12:15" x14ac:dyDescent="0.35">
      <c r="L51" t="s">
        <v>271</v>
      </c>
      <c r="M51">
        <v>9</v>
      </c>
      <c r="N51" t="str">
        <f t="shared" si="3"/>
        <v>OTU_86;size=9;</v>
      </c>
      <c r="O51" t="s">
        <v>438</v>
      </c>
    </row>
    <row r="52" spans="12:15" x14ac:dyDescent="0.35">
      <c r="L52" t="s">
        <v>237</v>
      </c>
      <c r="M52">
        <v>9</v>
      </c>
      <c r="N52" t="str">
        <f t="shared" si="3"/>
        <v>OTU_53;size=9;</v>
      </c>
      <c r="O52" t="s">
        <v>343</v>
      </c>
    </row>
    <row r="53" spans="12:15" x14ac:dyDescent="0.35">
      <c r="L53" t="s">
        <v>177</v>
      </c>
      <c r="M53">
        <v>9</v>
      </c>
      <c r="N53" t="str">
        <f t="shared" si="3"/>
        <v>OTU_55;size=9;</v>
      </c>
      <c r="O53" t="s">
        <v>457</v>
      </c>
    </row>
    <row r="54" spans="12:15" x14ac:dyDescent="0.35">
      <c r="L54" t="s">
        <v>230</v>
      </c>
      <c r="M54">
        <v>9</v>
      </c>
      <c r="N54" t="str">
        <f t="shared" si="3"/>
        <v>OTU_58;size=9;</v>
      </c>
      <c r="O54" t="s">
        <v>360</v>
      </c>
    </row>
    <row r="55" spans="12:15" x14ac:dyDescent="0.35">
      <c r="L55" t="s">
        <v>203</v>
      </c>
      <c r="M55">
        <v>9</v>
      </c>
      <c r="N55" t="str">
        <f t="shared" si="3"/>
        <v>OTU_48;size=9;</v>
      </c>
      <c r="O55" t="s">
        <v>317</v>
      </c>
    </row>
    <row r="56" spans="12:15" x14ac:dyDescent="0.35">
      <c r="L56" t="s">
        <v>197</v>
      </c>
      <c r="M56">
        <v>9</v>
      </c>
      <c r="N56" t="str">
        <f t="shared" si="3"/>
        <v>OTU_43;size=9;</v>
      </c>
      <c r="O56" t="s">
        <v>38</v>
      </c>
    </row>
    <row r="57" spans="12:15" x14ac:dyDescent="0.35">
      <c r="L57" t="s">
        <v>171</v>
      </c>
      <c r="M57">
        <v>9</v>
      </c>
      <c r="N57" t="str">
        <f t="shared" si="3"/>
        <v>OTU_46;size=9;</v>
      </c>
      <c r="O57" t="s">
        <v>426</v>
      </c>
    </row>
    <row r="58" spans="12:15" x14ac:dyDescent="0.35">
      <c r="L58" t="s">
        <v>214</v>
      </c>
      <c r="M58">
        <v>8</v>
      </c>
      <c r="N58" t="str">
        <f t="shared" si="3"/>
        <v>OTU_68;size=8;</v>
      </c>
      <c r="O58" t="s">
        <v>408</v>
      </c>
    </row>
    <row r="59" spans="12:15" x14ac:dyDescent="0.35">
      <c r="L59" t="s">
        <v>234</v>
      </c>
      <c r="M59">
        <v>8</v>
      </c>
      <c r="N59" t="str">
        <f t="shared" si="3"/>
        <v>OTU_61;size=8;</v>
      </c>
      <c r="O59" t="s">
        <v>217</v>
      </c>
    </row>
    <row r="60" spans="12:15" x14ac:dyDescent="0.35">
      <c r="L60" t="s">
        <v>185</v>
      </c>
      <c r="M60">
        <v>7</v>
      </c>
      <c r="N60" t="str">
        <f t="shared" si="3"/>
        <v>OTU_57;size=7;</v>
      </c>
      <c r="O60" t="s">
        <v>414</v>
      </c>
    </row>
    <row r="61" spans="12:15" x14ac:dyDescent="0.35">
      <c r="L61" t="s">
        <v>188</v>
      </c>
      <c r="M61">
        <v>7</v>
      </c>
      <c r="N61" t="str">
        <f t="shared" si="3"/>
        <v>OTU_59;size=7;</v>
      </c>
      <c r="O61" t="s">
        <v>379</v>
      </c>
    </row>
    <row r="62" spans="12:15" x14ac:dyDescent="0.35">
      <c r="L62" t="s">
        <v>255</v>
      </c>
      <c r="M62">
        <v>7</v>
      </c>
      <c r="N62" t="str">
        <f t="shared" si="3"/>
        <v>OTU_51;size=7;</v>
      </c>
      <c r="O62" t="s">
        <v>67</v>
      </c>
    </row>
    <row r="63" spans="12:15" x14ac:dyDescent="0.35">
      <c r="L63" t="s">
        <v>253</v>
      </c>
      <c r="M63">
        <v>7</v>
      </c>
      <c r="N63" t="str">
        <f t="shared" si="3"/>
        <v>OTU_76;size=7;</v>
      </c>
      <c r="O63" t="s">
        <v>406</v>
      </c>
    </row>
    <row r="64" spans="12:15" x14ac:dyDescent="0.35">
      <c r="L64" t="s">
        <v>286</v>
      </c>
      <c r="M64">
        <v>6</v>
      </c>
      <c r="N64" t="str">
        <f t="shared" si="3"/>
        <v>OTU_72;size=6;</v>
      </c>
      <c r="O64" t="s">
        <v>144</v>
      </c>
    </row>
    <row r="65" spans="12:15" x14ac:dyDescent="0.35">
      <c r="L65" t="s">
        <v>225</v>
      </c>
      <c r="M65">
        <v>6</v>
      </c>
      <c r="N65" t="str">
        <f t="shared" si="3"/>
        <v>OTU_70;size=6;</v>
      </c>
      <c r="O65" t="s">
        <v>610</v>
      </c>
    </row>
    <row r="66" spans="12:15" x14ac:dyDescent="0.35">
      <c r="L66" t="s">
        <v>327</v>
      </c>
      <c r="M66">
        <v>6</v>
      </c>
      <c r="N66" t="str">
        <f t="shared" si="3"/>
        <v>OTU_102;size=6;</v>
      </c>
      <c r="O66" t="s">
        <v>381</v>
      </c>
    </row>
    <row r="67" spans="12:15" x14ac:dyDescent="0.35">
      <c r="L67" t="s">
        <v>267</v>
      </c>
      <c r="M67">
        <v>6</v>
      </c>
      <c r="N67" t="str">
        <f t="shared" si="3"/>
        <v>OTU_67;size=6;</v>
      </c>
      <c r="O67" t="s">
        <v>375</v>
      </c>
    </row>
    <row r="68" spans="12:15" x14ac:dyDescent="0.35">
      <c r="L68" t="s">
        <v>223</v>
      </c>
      <c r="M68">
        <v>6</v>
      </c>
      <c r="N68" t="str">
        <f t="shared" ref="N68:N105" si="4">L68&amp;";size="&amp;M68&amp;";"</f>
        <v>OTU_60;size=6;</v>
      </c>
      <c r="O68" t="s">
        <v>401</v>
      </c>
    </row>
    <row r="69" spans="12:15" x14ac:dyDescent="0.35">
      <c r="L69" t="s">
        <v>287</v>
      </c>
      <c r="M69">
        <v>5</v>
      </c>
      <c r="N69" t="str">
        <f t="shared" si="4"/>
        <v>OTU_83;size=5;</v>
      </c>
      <c r="O69" t="s">
        <v>521</v>
      </c>
    </row>
    <row r="70" spans="12:15" x14ac:dyDescent="0.35">
      <c r="L70" t="s">
        <v>221</v>
      </c>
      <c r="M70">
        <v>5</v>
      </c>
      <c r="N70" t="str">
        <f t="shared" si="4"/>
        <v>OTU_69;size=5;</v>
      </c>
      <c r="O70" t="s">
        <v>90</v>
      </c>
    </row>
    <row r="71" spans="12:15" x14ac:dyDescent="0.35">
      <c r="L71" t="s">
        <v>603</v>
      </c>
      <c r="M71">
        <v>5</v>
      </c>
      <c r="N71" t="str">
        <f t="shared" si="4"/>
        <v>OTU_64;size=5;</v>
      </c>
      <c r="O71" t="s">
        <v>1631</v>
      </c>
    </row>
    <row r="72" spans="12:15" x14ac:dyDescent="0.35">
      <c r="L72" t="s">
        <v>318</v>
      </c>
      <c r="M72">
        <v>5</v>
      </c>
      <c r="N72" t="str">
        <f t="shared" si="4"/>
        <v>OTU_95;size=5;</v>
      </c>
      <c r="O72" t="s">
        <v>341</v>
      </c>
    </row>
    <row r="73" spans="12:15" x14ac:dyDescent="0.35">
      <c r="L73" t="s">
        <v>189</v>
      </c>
      <c r="M73">
        <v>5</v>
      </c>
      <c r="N73" t="str">
        <f t="shared" si="4"/>
        <v>OTU_54;size=5;</v>
      </c>
      <c r="O73" t="s">
        <v>455</v>
      </c>
    </row>
    <row r="74" spans="12:15" x14ac:dyDescent="0.35">
      <c r="L74" t="s">
        <v>248</v>
      </c>
      <c r="M74">
        <v>5</v>
      </c>
      <c r="N74" t="str">
        <f t="shared" si="4"/>
        <v>OTU_78;size=5;</v>
      </c>
      <c r="O74" t="s">
        <v>141</v>
      </c>
    </row>
    <row r="75" spans="12:15" x14ac:dyDescent="0.35">
      <c r="L75" t="s">
        <v>282</v>
      </c>
      <c r="M75">
        <v>5</v>
      </c>
      <c r="N75" t="str">
        <f t="shared" si="4"/>
        <v>OTU_87;size=5;</v>
      </c>
      <c r="O75" t="s">
        <v>348</v>
      </c>
    </row>
    <row r="76" spans="12:15" x14ac:dyDescent="0.35">
      <c r="L76" t="s">
        <v>306</v>
      </c>
      <c r="M76">
        <v>5</v>
      </c>
      <c r="N76" t="str">
        <f t="shared" si="4"/>
        <v>OTU_89;size=5;</v>
      </c>
      <c r="O76" t="s">
        <v>384</v>
      </c>
    </row>
    <row r="77" spans="12:15" x14ac:dyDescent="0.35">
      <c r="L77" t="s">
        <v>356</v>
      </c>
      <c r="M77">
        <v>5</v>
      </c>
      <c r="N77" t="str">
        <f t="shared" si="4"/>
        <v>OTU_94;size=5;</v>
      </c>
      <c r="O77" t="s">
        <v>33</v>
      </c>
    </row>
    <row r="78" spans="12:15" x14ac:dyDescent="0.35">
      <c r="L78" t="s">
        <v>277</v>
      </c>
      <c r="M78">
        <v>5</v>
      </c>
      <c r="N78" t="str">
        <f t="shared" si="4"/>
        <v>OTU_90;size=5;</v>
      </c>
      <c r="O78" t="s">
        <v>613</v>
      </c>
    </row>
    <row r="79" spans="12:15" x14ac:dyDescent="0.35">
      <c r="L79" t="s">
        <v>218</v>
      </c>
      <c r="M79">
        <v>5</v>
      </c>
      <c r="N79" t="str">
        <f t="shared" si="4"/>
        <v>OTU_66;size=5;</v>
      </c>
      <c r="O79" t="s">
        <v>401</v>
      </c>
    </row>
    <row r="80" spans="12:15" x14ac:dyDescent="0.35">
      <c r="L80" t="s">
        <v>284</v>
      </c>
      <c r="M80">
        <v>4</v>
      </c>
      <c r="N80" t="str">
        <f t="shared" si="4"/>
        <v>OTU_74;size=4;</v>
      </c>
      <c r="O80" t="s">
        <v>354</v>
      </c>
    </row>
    <row r="81" spans="12:15" x14ac:dyDescent="0.35">
      <c r="L81" t="s">
        <v>257</v>
      </c>
      <c r="M81">
        <v>4</v>
      </c>
      <c r="N81" t="str">
        <f t="shared" si="4"/>
        <v>OTU_79;size=4;</v>
      </c>
      <c r="O81" t="s">
        <v>332</v>
      </c>
    </row>
    <row r="82" spans="12:15" x14ac:dyDescent="0.35">
      <c r="L82" t="s">
        <v>264</v>
      </c>
      <c r="M82">
        <v>4</v>
      </c>
      <c r="N82" t="str">
        <f t="shared" si="4"/>
        <v>OTU_77;size=4;</v>
      </c>
      <c r="O82" t="s">
        <v>412</v>
      </c>
    </row>
    <row r="83" spans="12:15" x14ac:dyDescent="0.35">
      <c r="L83" t="s">
        <v>216</v>
      </c>
      <c r="M83">
        <v>4</v>
      </c>
      <c r="N83" t="str">
        <f t="shared" si="4"/>
        <v>OTU_62;size=4;</v>
      </c>
      <c r="O83" t="s">
        <v>129</v>
      </c>
    </row>
    <row r="84" spans="12:15" x14ac:dyDescent="0.35">
      <c r="L84" t="s">
        <v>156</v>
      </c>
      <c r="M84">
        <v>4</v>
      </c>
      <c r="N84" t="str">
        <f t="shared" si="4"/>
        <v>OTU_52;size=4;</v>
      </c>
      <c r="O84" t="s">
        <v>401</v>
      </c>
    </row>
    <row r="85" spans="12:15" x14ac:dyDescent="0.35">
      <c r="L85" t="s">
        <v>307</v>
      </c>
      <c r="M85">
        <v>4</v>
      </c>
      <c r="N85" t="str">
        <f t="shared" si="4"/>
        <v>OTU_56;size=4;</v>
      </c>
      <c r="O85" t="s">
        <v>212</v>
      </c>
    </row>
    <row r="86" spans="12:15" x14ac:dyDescent="0.35">
      <c r="L86" t="s">
        <v>320</v>
      </c>
      <c r="M86">
        <v>4</v>
      </c>
      <c r="N86" t="str">
        <f t="shared" si="4"/>
        <v>OTU_100;size=4;</v>
      </c>
      <c r="O86" t="s">
        <v>354</v>
      </c>
    </row>
    <row r="87" spans="12:15" x14ac:dyDescent="0.35">
      <c r="L87" t="s">
        <v>242</v>
      </c>
      <c r="M87">
        <v>4</v>
      </c>
      <c r="N87" t="str">
        <f t="shared" si="4"/>
        <v>OTU_73;size=4;</v>
      </c>
      <c r="O87" t="s">
        <v>220</v>
      </c>
    </row>
    <row r="88" spans="12:15" x14ac:dyDescent="0.35">
      <c r="L88" t="s">
        <v>226</v>
      </c>
      <c r="M88">
        <v>4</v>
      </c>
      <c r="N88" t="str">
        <f t="shared" si="4"/>
        <v>OTU_71;size=4;</v>
      </c>
      <c r="O88" t="s">
        <v>1631</v>
      </c>
    </row>
    <row r="89" spans="12:15" x14ac:dyDescent="0.35">
      <c r="L89" t="s">
        <v>313</v>
      </c>
      <c r="M89">
        <v>4</v>
      </c>
      <c r="N89" t="str">
        <f t="shared" si="4"/>
        <v>OTU_96;size=4;</v>
      </c>
      <c r="O89" t="s">
        <v>224</v>
      </c>
    </row>
    <row r="90" spans="12:15" x14ac:dyDescent="0.35">
      <c r="L90" t="s">
        <v>301</v>
      </c>
      <c r="M90">
        <v>4</v>
      </c>
      <c r="N90" t="str">
        <f t="shared" si="4"/>
        <v>OTU_93;size=4;</v>
      </c>
      <c r="O90" t="s">
        <v>305</v>
      </c>
    </row>
    <row r="91" spans="12:15" x14ac:dyDescent="0.35">
      <c r="L91" t="s">
        <v>465</v>
      </c>
      <c r="M91">
        <v>4</v>
      </c>
      <c r="N91" t="str">
        <f t="shared" si="4"/>
        <v>OTU_101;size=4;</v>
      </c>
      <c r="O91" t="s">
        <v>302</v>
      </c>
    </row>
    <row r="92" spans="12:15" x14ac:dyDescent="0.35">
      <c r="L92" t="s">
        <v>233</v>
      </c>
      <c r="M92">
        <v>4</v>
      </c>
      <c r="N92" t="str">
        <f t="shared" si="4"/>
        <v>OTU_85;size=4;</v>
      </c>
      <c r="O92" t="s">
        <v>125</v>
      </c>
    </row>
    <row r="93" spans="12:15" x14ac:dyDescent="0.35">
      <c r="L93" t="s">
        <v>300</v>
      </c>
      <c r="M93">
        <v>3</v>
      </c>
      <c r="N93" t="str">
        <f t="shared" si="4"/>
        <v>OTU_92;size=3;</v>
      </c>
      <c r="O93" t="s">
        <v>1631</v>
      </c>
    </row>
    <row r="94" spans="12:15" x14ac:dyDescent="0.35">
      <c r="L94" t="s">
        <v>275</v>
      </c>
      <c r="M94">
        <v>3</v>
      </c>
      <c r="N94" t="str">
        <f t="shared" si="4"/>
        <v>OTU_75;size=3;</v>
      </c>
      <c r="O94" t="s">
        <v>540</v>
      </c>
    </row>
    <row r="95" spans="12:15" x14ac:dyDescent="0.35">
      <c r="L95" t="s">
        <v>311</v>
      </c>
      <c r="M95">
        <v>3</v>
      </c>
      <c r="N95" t="str">
        <f t="shared" si="4"/>
        <v>OTU_98;size=3;</v>
      </c>
      <c r="O95" t="s">
        <v>399</v>
      </c>
    </row>
    <row r="96" spans="12:15" x14ac:dyDescent="0.35">
      <c r="L96" t="s">
        <v>265</v>
      </c>
      <c r="M96">
        <v>3</v>
      </c>
      <c r="N96" t="str">
        <f t="shared" si="4"/>
        <v>OTU_81;size=3;</v>
      </c>
      <c r="O96" t="s">
        <v>401</v>
      </c>
    </row>
    <row r="97" spans="12:15" x14ac:dyDescent="0.35">
      <c r="L97" t="s">
        <v>323</v>
      </c>
      <c r="M97">
        <v>3</v>
      </c>
      <c r="N97" t="str">
        <f t="shared" si="4"/>
        <v>OTU_91;size=3;</v>
      </c>
      <c r="O97" t="s">
        <v>163</v>
      </c>
    </row>
    <row r="98" spans="12:15" x14ac:dyDescent="0.35">
      <c r="L98" t="s">
        <v>200</v>
      </c>
      <c r="M98">
        <v>3</v>
      </c>
      <c r="N98" t="str">
        <f t="shared" si="4"/>
        <v>OTU_65;size=3;</v>
      </c>
      <c r="O98" t="s">
        <v>460</v>
      </c>
    </row>
    <row r="99" spans="12:15" x14ac:dyDescent="0.35">
      <c r="L99" t="s">
        <v>315</v>
      </c>
      <c r="M99">
        <v>3</v>
      </c>
      <c r="N99" t="str">
        <f t="shared" si="4"/>
        <v>OTU_97;size=3;</v>
      </c>
      <c r="O99" t="s">
        <v>529</v>
      </c>
    </row>
    <row r="100" spans="12:15" x14ac:dyDescent="0.35">
      <c r="L100" t="s">
        <v>329</v>
      </c>
      <c r="M100">
        <v>2</v>
      </c>
      <c r="N100" t="str">
        <f t="shared" si="4"/>
        <v>OTU_103;size=2;</v>
      </c>
      <c r="O100" t="s">
        <v>152</v>
      </c>
    </row>
    <row r="101" spans="12:15" x14ac:dyDescent="0.35">
      <c r="L101" t="s">
        <v>280</v>
      </c>
      <c r="M101">
        <v>2</v>
      </c>
      <c r="N101" t="str">
        <f t="shared" si="4"/>
        <v>OTU_84;size=2;</v>
      </c>
      <c r="O101" t="s">
        <v>580</v>
      </c>
    </row>
    <row r="102" spans="12:15" x14ac:dyDescent="0.35">
      <c r="L102" t="s">
        <v>295</v>
      </c>
      <c r="M102">
        <v>2</v>
      </c>
      <c r="N102" t="str">
        <f t="shared" si="4"/>
        <v>OTU_82;size=2;</v>
      </c>
      <c r="O102" t="s">
        <v>441</v>
      </c>
    </row>
    <row r="103" spans="12:15" x14ac:dyDescent="0.35">
      <c r="L103" t="s">
        <v>266</v>
      </c>
      <c r="M103">
        <v>2</v>
      </c>
      <c r="N103" t="str">
        <f t="shared" si="4"/>
        <v>OTU_80;size=2;</v>
      </c>
      <c r="O103" t="s">
        <v>548</v>
      </c>
    </row>
    <row r="104" spans="12:15" x14ac:dyDescent="0.35">
      <c r="L104" t="s">
        <v>289</v>
      </c>
      <c r="M104">
        <v>2</v>
      </c>
      <c r="N104" t="str">
        <f t="shared" si="4"/>
        <v>OTU_88;size=2;</v>
      </c>
      <c r="O104" t="s">
        <v>578</v>
      </c>
    </row>
    <row r="105" spans="12:15" x14ac:dyDescent="0.35">
      <c r="L105" t="s">
        <v>336</v>
      </c>
      <c r="M105">
        <v>2</v>
      </c>
      <c r="N105" t="str">
        <f t="shared" si="4"/>
        <v>OTU_99;size=2;</v>
      </c>
      <c r="O105" t="s">
        <v>487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0" workbookViewId="0">
      <selection activeCell="F1" sqref="F1"/>
    </sheetView>
  </sheetViews>
  <sheetFormatPr defaultRowHeight="14.5" x14ac:dyDescent="0.35"/>
  <cols>
    <col min="3" max="3" width="4.81640625" customWidth="1"/>
    <col min="4" max="4" width="59.1796875" customWidth="1"/>
    <col min="6" max="6" width="41.54296875" customWidth="1"/>
    <col min="8" max="8" width="9.453125" customWidth="1"/>
    <col min="15" max="15" width="60.81640625" customWidth="1"/>
  </cols>
  <sheetData>
    <row r="1" spans="1:15" x14ac:dyDescent="0.35">
      <c r="A1" t="s">
        <v>1526</v>
      </c>
      <c r="D1" s="9"/>
      <c r="E1" s="9"/>
      <c r="F1" s="9"/>
      <c r="H1" t="s">
        <v>1527</v>
      </c>
      <c r="L1" t="s">
        <v>1524</v>
      </c>
    </row>
    <row r="2" spans="1:15" x14ac:dyDescent="0.35">
      <c r="A2" t="s">
        <v>0</v>
      </c>
      <c r="B2" t="s">
        <v>1</v>
      </c>
      <c r="D2" t="s">
        <v>3</v>
      </c>
      <c r="L2" t="s">
        <v>0</v>
      </c>
      <c r="M2" t="s">
        <v>1</v>
      </c>
      <c r="O2" t="s">
        <v>3</v>
      </c>
    </row>
    <row r="3" spans="1:15" x14ac:dyDescent="0.35">
      <c r="A3" t="s">
        <v>17</v>
      </c>
      <c r="B3">
        <v>3953</v>
      </c>
      <c r="C3" t="str">
        <f>A3&amp;";size="&amp;B3&amp;";"</f>
        <v>OTU_3;size=3953;</v>
      </c>
      <c r="D3" t="s">
        <v>67</v>
      </c>
      <c r="E3" s="9">
        <f>VLOOKUP(C3,$H$3:$J$59,3,FALSE)</f>
        <v>100</v>
      </c>
      <c r="F3" s="9" t="str">
        <f>IFERROR(VLOOKUP(VLOOKUP(C3,$H$3:$I$59,2,FALSE),$N$3:$O$124,2,FALSE),"Not present in amplicons")</f>
        <v>Lysinibacillus_sp._LAM612_(KF443809)</v>
      </c>
      <c r="G3" t="s">
        <v>1630</v>
      </c>
      <c r="H3" t="s">
        <v>1867</v>
      </c>
      <c r="I3" t="s">
        <v>1868</v>
      </c>
      <c r="J3">
        <v>100</v>
      </c>
      <c r="L3" t="s">
        <v>6</v>
      </c>
      <c r="M3">
        <v>7736</v>
      </c>
      <c r="N3" t="str">
        <f>L3&amp;";size="&amp;M3&amp;";"</f>
        <v>OTU_1;size=7736;</v>
      </c>
      <c r="O3" t="s">
        <v>30</v>
      </c>
    </row>
    <row r="4" spans="1:15" x14ac:dyDescent="0.35">
      <c r="A4" t="s">
        <v>6</v>
      </c>
      <c r="B4">
        <v>3069</v>
      </c>
      <c r="C4" t="str">
        <f t="shared" ref="C4:C59" si="0">A4&amp;";size="&amp;B4&amp;";"</f>
        <v>OTU_1;size=3069;</v>
      </c>
      <c r="D4" t="s">
        <v>22</v>
      </c>
      <c r="E4" s="9">
        <f t="shared" ref="E4:E59" si="1">VLOOKUP(C4,$H$3:$J$59,3,FALSE)</f>
        <v>100</v>
      </c>
      <c r="F4" s="9" t="str">
        <f t="shared" ref="F4:F59" si="2">IFERROR(VLOOKUP(VLOOKUP(C4,$H$3:$I$59,2,FALSE),$N$3:$O$124,2,FALSE),"Not present in amplicons")</f>
        <v>Treponema_zuelzerae_(T)_type_strain:_DSM_1903;_2_(FR749929)</v>
      </c>
      <c r="G4" t="s">
        <v>1630</v>
      </c>
      <c r="H4" t="s">
        <v>1869</v>
      </c>
      <c r="I4" t="s">
        <v>1870</v>
      </c>
      <c r="J4">
        <v>100</v>
      </c>
      <c r="L4" t="s">
        <v>15</v>
      </c>
      <c r="M4">
        <v>5956</v>
      </c>
      <c r="N4" t="str">
        <f t="shared" ref="N4:N67" si="3">L4&amp;";size="&amp;M4&amp;";"</f>
        <v>OTU_2;size=5956;</v>
      </c>
      <c r="O4" t="s">
        <v>22</v>
      </c>
    </row>
    <row r="5" spans="1:15" x14ac:dyDescent="0.35">
      <c r="A5" t="s">
        <v>15</v>
      </c>
      <c r="B5">
        <v>2485</v>
      </c>
      <c r="C5" t="str">
        <f t="shared" si="0"/>
        <v>OTU_2;size=2485;</v>
      </c>
      <c r="D5" t="s">
        <v>30</v>
      </c>
      <c r="E5" s="9">
        <f t="shared" si="1"/>
        <v>100</v>
      </c>
      <c r="F5" s="9" t="str">
        <f t="shared" si="2"/>
        <v>Methanobacterium_subterraneum_(T)_A8p,_DSM_11074_(X99044)</v>
      </c>
      <c r="G5" t="s">
        <v>1630</v>
      </c>
      <c r="H5" t="s">
        <v>1871</v>
      </c>
      <c r="I5" t="s">
        <v>1872</v>
      </c>
      <c r="J5">
        <v>100</v>
      </c>
      <c r="L5" t="s">
        <v>17</v>
      </c>
      <c r="M5">
        <v>3332</v>
      </c>
      <c r="N5" t="str">
        <f t="shared" si="3"/>
        <v>OTU_3;size=3332;</v>
      </c>
      <c r="O5" t="s">
        <v>44</v>
      </c>
    </row>
    <row r="6" spans="1:15" x14ac:dyDescent="0.35">
      <c r="A6" t="s">
        <v>23</v>
      </c>
      <c r="B6">
        <v>2216</v>
      </c>
      <c r="C6" t="str">
        <f t="shared" si="0"/>
        <v>OTU_4;size=2216;</v>
      </c>
      <c r="D6" t="s">
        <v>48</v>
      </c>
      <c r="E6" s="9">
        <f t="shared" si="1"/>
        <v>100</v>
      </c>
      <c r="F6" s="9" t="str">
        <f t="shared" si="2"/>
        <v>Thermacetogenium_phaeum_(T)_PB_(AB020336)</v>
      </c>
      <c r="G6" t="s">
        <v>1630</v>
      </c>
      <c r="H6" t="s">
        <v>1873</v>
      </c>
      <c r="I6" t="s">
        <v>1874</v>
      </c>
      <c r="J6">
        <v>100</v>
      </c>
      <c r="L6" t="s">
        <v>34</v>
      </c>
      <c r="M6">
        <v>3285</v>
      </c>
      <c r="N6" t="str">
        <f t="shared" si="3"/>
        <v>OTU_5;size=3285;</v>
      </c>
      <c r="O6" t="s">
        <v>48</v>
      </c>
    </row>
    <row r="7" spans="1:15" x14ac:dyDescent="0.35">
      <c r="A7" t="s">
        <v>34</v>
      </c>
      <c r="B7">
        <v>1942</v>
      </c>
      <c r="C7" t="str">
        <f t="shared" si="0"/>
        <v>OTU_5;size=1942;</v>
      </c>
      <c r="D7" t="s">
        <v>44</v>
      </c>
      <c r="E7" s="9">
        <f t="shared" si="1"/>
        <v>100</v>
      </c>
      <c r="F7" s="9" t="str">
        <f t="shared" si="2"/>
        <v>Methanosaeta_harundinacea_(T)_8Ac_(AY817738)</v>
      </c>
      <c r="G7" t="s">
        <v>1630</v>
      </c>
      <c r="H7" t="s">
        <v>1875</v>
      </c>
      <c r="I7" t="s">
        <v>1876</v>
      </c>
      <c r="J7">
        <v>100</v>
      </c>
      <c r="L7" t="s">
        <v>23</v>
      </c>
      <c r="M7">
        <v>3116</v>
      </c>
      <c r="N7" t="str">
        <f t="shared" si="3"/>
        <v>OTU_4;size=3116;</v>
      </c>
      <c r="O7" t="s">
        <v>38</v>
      </c>
    </row>
    <row r="8" spans="1:15" x14ac:dyDescent="0.35">
      <c r="A8" t="s">
        <v>51</v>
      </c>
      <c r="B8">
        <v>1550</v>
      </c>
      <c r="C8" t="str">
        <f t="shared" si="0"/>
        <v>OTU_6;size=1550;</v>
      </c>
      <c r="D8" t="s">
        <v>38</v>
      </c>
      <c r="E8" s="9">
        <f t="shared" si="1"/>
        <v>100</v>
      </c>
      <c r="F8" s="9" t="str">
        <f t="shared" si="2"/>
        <v>Parabacteroides_distasonis_(T)_JCM_5825_(AB238922)</v>
      </c>
      <c r="G8" t="s">
        <v>1630</v>
      </c>
      <c r="H8" t="s">
        <v>1877</v>
      </c>
      <c r="I8" t="s">
        <v>1878</v>
      </c>
      <c r="J8">
        <v>100</v>
      </c>
      <c r="L8" t="s">
        <v>51</v>
      </c>
      <c r="M8">
        <v>1554</v>
      </c>
      <c r="N8" t="str">
        <f t="shared" si="3"/>
        <v>OTU_6;size=1554;</v>
      </c>
      <c r="O8" t="s">
        <v>14</v>
      </c>
    </row>
    <row r="9" spans="1:15" x14ac:dyDescent="0.35">
      <c r="A9" t="s">
        <v>39</v>
      </c>
      <c r="B9">
        <v>1066</v>
      </c>
      <c r="C9" t="str">
        <f t="shared" si="0"/>
        <v>OTU_7;size=1066;</v>
      </c>
      <c r="D9" t="s">
        <v>112</v>
      </c>
      <c r="E9" s="9">
        <f t="shared" si="1"/>
        <v>100</v>
      </c>
      <c r="F9" s="9" t="str">
        <f t="shared" si="2"/>
        <v>Pontibacter_sp._JC215_A10_(HG008901)</v>
      </c>
      <c r="G9" t="s">
        <v>1630</v>
      </c>
      <c r="H9" t="s">
        <v>1879</v>
      </c>
      <c r="I9" t="s">
        <v>1880</v>
      </c>
      <c r="J9">
        <v>100</v>
      </c>
      <c r="L9" t="s">
        <v>39</v>
      </c>
      <c r="M9">
        <v>1293</v>
      </c>
      <c r="N9" t="str">
        <f t="shared" si="3"/>
        <v>OTU_7;size=1293;</v>
      </c>
      <c r="O9" t="s">
        <v>86</v>
      </c>
    </row>
    <row r="10" spans="1:15" x14ac:dyDescent="0.35">
      <c r="A10" t="s">
        <v>31</v>
      </c>
      <c r="B10">
        <v>1015</v>
      </c>
      <c r="C10" t="str">
        <f t="shared" si="0"/>
        <v>OTU_8;size=1015;</v>
      </c>
      <c r="D10" t="s">
        <v>14</v>
      </c>
      <c r="E10" s="9">
        <f t="shared" si="1"/>
        <v>100</v>
      </c>
      <c r="F10" s="9" t="str">
        <f t="shared" si="2"/>
        <v>Desulfuromonas_acetexigens_(T)_(U23140)</v>
      </c>
      <c r="G10" t="s">
        <v>1630</v>
      </c>
      <c r="H10" t="s">
        <v>1881</v>
      </c>
      <c r="I10" t="s">
        <v>1882</v>
      </c>
      <c r="J10">
        <v>100</v>
      </c>
      <c r="L10" t="s">
        <v>31</v>
      </c>
      <c r="M10">
        <v>1124</v>
      </c>
      <c r="N10" t="str">
        <f t="shared" si="3"/>
        <v>OTU_8;size=1124;</v>
      </c>
      <c r="O10" t="s">
        <v>90</v>
      </c>
    </row>
    <row r="11" spans="1:15" x14ac:dyDescent="0.35">
      <c r="A11" t="s">
        <v>63</v>
      </c>
      <c r="B11">
        <v>942</v>
      </c>
      <c r="C11" t="str">
        <f t="shared" si="0"/>
        <v>OTU_9;size=942;</v>
      </c>
      <c r="D11" t="s">
        <v>90</v>
      </c>
      <c r="E11" s="9">
        <f t="shared" si="1"/>
        <v>100</v>
      </c>
      <c r="F11" s="9" t="str">
        <f t="shared" si="2"/>
        <v>Clostridium_hungatei_(T)_AD;_ATCC_700212_(AF020429)</v>
      </c>
      <c r="G11" t="s">
        <v>1630</v>
      </c>
      <c r="H11" t="s">
        <v>1883</v>
      </c>
      <c r="I11" t="s">
        <v>1884</v>
      </c>
      <c r="J11">
        <v>100</v>
      </c>
      <c r="L11" t="s">
        <v>63</v>
      </c>
      <c r="M11">
        <v>931</v>
      </c>
      <c r="N11" t="str">
        <f t="shared" si="3"/>
        <v>OTU_9;size=931;</v>
      </c>
      <c r="O11" t="s">
        <v>112</v>
      </c>
    </row>
    <row r="12" spans="1:15" x14ac:dyDescent="0.35">
      <c r="A12" t="s">
        <v>49</v>
      </c>
      <c r="B12">
        <v>754</v>
      </c>
      <c r="C12" t="str">
        <f t="shared" si="0"/>
        <v>OTU_10;size=754;</v>
      </c>
      <c r="D12" t="s">
        <v>86</v>
      </c>
      <c r="E12" s="9">
        <f t="shared" si="1"/>
        <v>100</v>
      </c>
      <c r="F12" s="9" t="str">
        <f t="shared" si="2"/>
        <v>Natronincola_peptidivorans_(T)_Z-7031_(EF382661)</v>
      </c>
      <c r="G12" t="s">
        <v>1630</v>
      </c>
      <c r="H12" t="s">
        <v>1885</v>
      </c>
      <c r="I12" t="s">
        <v>1886</v>
      </c>
      <c r="J12">
        <v>100</v>
      </c>
      <c r="L12" t="s">
        <v>49</v>
      </c>
      <c r="M12">
        <v>860</v>
      </c>
      <c r="N12" t="str">
        <f t="shared" si="3"/>
        <v>OTU_10;size=860;</v>
      </c>
      <c r="O12" t="s">
        <v>110</v>
      </c>
    </row>
    <row r="13" spans="1:15" x14ac:dyDescent="0.35">
      <c r="A13" t="s">
        <v>45</v>
      </c>
      <c r="B13">
        <v>624</v>
      </c>
      <c r="C13" t="str">
        <f t="shared" si="0"/>
        <v>OTU_11;size=624;</v>
      </c>
      <c r="D13" t="s">
        <v>110</v>
      </c>
      <c r="E13" s="9">
        <f t="shared" si="1"/>
        <v>100</v>
      </c>
      <c r="F13" s="9" t="str">
        <f t="shared" si="2"/>
        <v>Desulfovibrio_oxamicus_(T)_DSM_1925_(DQ122124)</v>
      </c>
      <c r="G13" t="s">
        <v>1630</v>
      </c>
      <c r="H13" t="s">
        <v>1887</v>
      </c>
      <c r="I13" t="s">
        <v>1888</v>
      </c>
      <c r="J13">
        <v>100</v>
      </c>
      <c r="L13" t="s">
        <v>45</v>
      </c>
      <c r="M13">
        <v>586</v>
      </c>
      <c r="N13" t="str">
        <f t="shared" si="3"/>
        <v>OTU_11;size=586;</v>
      </c>
      <c r="O13" t="s">
        <v>88</v>
      </c>
    </row>
    <row r="14" spans="1:15" x14ac:dyDescent="0.35">
      <c r="A14" t="s">
        <v>77</v>
      </c>
      <c r="B14">
        <v>334</v>
      </c>
      <c r="C14" t="str">
        <f t="shared" si="0"/>
        <v>OTU_12;size=334;</v>
      </c>
      <c r="D14" t="s">
        <v>136</v>
      </c>
      <c r="E14" s="9">
        <f t="shared" si="1"/>
        <v>100</v>
      </c>
      <c r="F14" s="9" t="str">
        <f t="shared" si="2"/>
        <v>Caldicoprobacter_guelmensis_(T)_D2C22_(JQ707908)</v>
      </c>
      <c r="G14" t="s">
        <v>1630</v>
      </c>
      <c r="H14" t="s">
        <v>1889</v>
      </c>
      <c r="I14" t="s">
        <v>1783</v>
      </c>
      <c r="J14">
        <v>100</v>
      </c>
      <c r="L14" t="s">
        <v>60</v>
      </c>
      <c r="M14">
        <v>533</v>
      </c>
      <c r="N14" t="str">
        <f t="shared" si="3"/>
        <v>OTU_15;size=533;</v>
      </c>
      <c r="O14" t="s">
        <v>67</v>
      </c>
    </row>
    <row r="15" spans="1:15" x14ac:dyDescent="0.35">
      <c r="A15" t="s">
        <v>68</v>
      </c>
      <c r="B15">
        <v>298</v>
      </c>
      <c r="C15" t="str">
        <f t="shared" si="0"/>
        <v>OTU_13;size=298;</v>
      </c>
      <c r="D15" t="s">
        <v>141</v>
      </c>
      <c r="E15" s="9">
        <f t="shared" si="1"/>
        <v>100</v>
      </c>
      <c r="F15" s="9" t="str">
        <f t="shared" si="2"/>
        <v>Magnetospira_thiophila_(T)_MMS-1_(EU861390)</v>
      </c>
      <c r="G15" t="s">
        <v>1630</v>
      </c>
      <c r="H15" t="s">
        <v>1890</v>
      </c>
      <c r="I15" t="s">
        <v>1504</v>
      </c>
      <c r="J15">
        <v>98.8</v>
      </c>
      <c r="L15" t="s">
        <v>68</v>
      </c>
      <c r="M15">
        <v>477</v>
      </c>
      <c r="N15" t="str">
        <f t="shared" si="3"/>
        <v>OTU_13;size=477;</v>
      </c>
      <c r="O15" t="s">
        <v>136</v>
      </c>
    </row>
    <row r="16" spans="1:15" x14ac:dyDescent="0.35">
      <c r="A16" t="s">
        <v>99</v>
      </c>
      <c r="B16">
        <v>290</v>
      </c>
      <c r="C16" t="str">
        <f t="shared" si="0"/>
        <v>OTU_20;size=290;</v>
      </c>
      <c r="D16" t="s">
        <v>1498</v>
      </c>
      <c r="E16" s="9">
        <f t="shared" si="1"/>
        <v>98.8</v>
      </c>
      <c r="F16" s="9" t="str">
        <f t="shared" si="2"/>
        <v>Sporomusa_ovata_strain_DSM_2662_(NR_117659.1)</v>
      </c>
      <c r="G16" t="s">
        <v>1630</v>
      </c>
      <c r="H16" t="s">
        <v>1891</v>
      </c>
      <c r="I16" t="s">
        <v>1892</v>
      </c>
      <c r="J16">
        <v>100</v>
      </c>
      <c r="L16" t="s">
        <v>77</v>
      </c>
      <c r="M16">
        <v>429</v>
      </c>
      <c r="N16" t="str">
        <f t="shared" si="3"/>
        <v>OTU_12;size=429;</v>
      </c>
      <c r="O16" t="s">
        <v>129</v>
      </c>
    </row>
    <row r="17" spans="1:15" x14ac:dyDescent="0.35">
      <c r="A17" t="s">
        <v>55</v>
      </c>
      <c r="B17">
        <v>222</v>
      </c>
      <c r="C17" t="str">
        <f t="shared" si="0"/>
        <v>OTU_14;size=222;</v>
      </c>
      <c r="D17" t="s">
        <v>54</v>
      </c>
      <c r="E17" s="9">
        <f t="shared" si="1"/>
        <v>100</v>
      </c>
      <c r="F17" s="9" t="str">
        <f t="shared" si="2"/>
        <v>Methanosarcina_siciliae_type_strain:_DSM3028_(FR733698)</v>
      </c>
      <c r="G17" t="s">
        <v>1630</v>
      </c>
      <c r="H17" t="s">
        <v>1893</v>
      </c>
      <c r="I17" t="s">
        <v>1953</v>
      </c>
      <c r="J17">
        <v>100</v>
      </c>
      <c r="L17" t="s">
        <v>55</v>
      </c>
      <c r="M17">
        <v>389</v>
      </c>
      <c r="N17" t="str">
        <f t="shared" si="3"/>
        <v>OTU_14;size=389;</v>
      </c>
      <c r="O17" t="s">
        <v>92</v>
      </c>
    </row>
    <row r="18" spans="1:15" x14ac:dyDescent="0.35">
      <c r="A18" t="s">
        <v>60</v>
      </c>
      <c r="B18">
        <v>200</v>
      </c>
      <c r="C18" t="str">
        <f t="shared" si="0"/>
        <v>OTU_15;size=200;</v>
      </c>
      <c r="D18" t="s">
        <v>129</v>
      </c>
      <c r="E18" s="9">
        <f t="shared" si="1"/>
        <v>100</v>
      </c>
      <c r="F18" s="9" t="str">
        <f t="shared" si="2"/>
        <v>Desulfovibrio_alkalitolerans_(T)_RT2_(AY649785)</v>
      </c>
      <c r="G18" t="s">
        <v>1630</v>
      </c>
      <c r="H18" t="s">
        <v>1894</v>
      </c>
      <c r="I18" t="s">
        <v>1895</v>
      </c>
      <c r="J18">
        <v>100</v>
      </c>
      <c r="L18" t="s">
        <v>135</v>
      </c>
      <c r="M18">
        <v>309</v>
      </c>
      <c r="N18" t="str">
        <f t="shared" si="3"/>
        <v>OTU_19;size=309;</v>
      </c>
      <c r="O18" t="s">
        <v>147</v>
      </c>
    </row>
    <row r="19" spans="1:15" x14ac:dyDescent="0.35">
      <c r="A19" t="s">
        <v>72</v>
      </c>
      <c r="B19">
        <v>188</v>
      </c>
      <c r="C19" t="str">
        <f t="shared" si="0"/>
        <v>OTU_16;size=188;</v>
      </c>
      <c r="D19" t="s">
        <v>144</v>
      </c>
      <c r="E19" s="9">
        <f t="shared" si="1"/>
        <v>100</v>
      </c>
      <c r="F19" s="9" t="str">
        <f t="shared" si="2"/>
        <v>Sunxiuqinia_faeciviva_(T)_JAM-BA0302_(AB362263)</v>
      </c>
      <c r="G19" t="s">
        <v>1630</v>
      </c>
      <c r="H19" t="s">
        <v>1896</v>
      </c>
      <c r="I19" t="s">
        <v>1897</v>
      </c>
      <c r="J19">
        <v>100</v>
      </c>
      <c r="L19" t="s">
        <v>72</v>
      </c>
      <c r="M19">
        <v>290</v>
      </c>
      <c r="N19" t="str">
        <f t="shared" si="3"/>
        <v>OTU_16;size=290;</v>
      </c>
      <c r="O19" t="s">
        <v>141</v>
      </c>
    </row>
    <row r="20" spans="1:15" x14ac:dyDescent="0.35">
      <c r="A20" t="s">
        <v>97</v>
      </c>
      <c r="B20">
        <v>178</v>
      </c>
      <c r="C20" t="str">
        <f t="shared" si="0"/>
        <v>OTU_17;size=178;</v>
      </c>
      <c r="D20" t="s">
        <v>196</v>
      </c>
      <c r="E20" s="9">
        <f t="shared" si="1"/>
        <v>100</v>
      </c>
      <c r="F20" s="9" t="str">
        <f t="shared" si="2"/>
        <v>Dielma_fastidiosa_strain_JC13_(NR_125593.1)</v>
      </c>
      <c r="G20" t="s">
        <v>1630</v>
      </c>
      <c r="H20" t="s">
        <v>1898</v>
      </c>
      <c r="I20" t="s">
        <v>1899</v>
      </c>
      <c r="J20">
        <v>100</v>
      </c>
      <c r="L20" t="s">
        <v>97</v>
      </c>
      <c r="M20">
        <v>254</v>
      </c>
      <c r="N20" t="str">
        <f t="shared" si="3"/>
        <v>OTU_17;size=254;</v>
      </c>
      <c r="O20" t="s">
        <v>134</v>
      </c>
    </row>
    <row r="21" spans="1:15" x14ac:dyDescent="0.35">
      <c r="A21" t="s">
        <v>74</v>
      </c>
      <c r="B21">
        <v>173</v>
      </c>
      <c r="C21" t="str">
        <f t="shared" si="0"/>
        <v>OTU_18;size=173;</v>
      </c>
      <c r="D21" t="s">
        <v>88</v>
      </c>
      <c r="E21" s="9">
        <f t="shared" si="1"/>
        <v>100</v>
      </c>
      <c r="F21" s="9" t="str">
        <f t="shared" si="2"/>
        <v>Methanobacterium_alcaliphilum_(T)_NBRC_105226_(AB496639)</v>
      </c>
      <c r="G21" t="s">
        <v>1630</v>
      </c>
      <c r="H21" t="s">
        <v>1841</v>
      </c>
      <c r="I21" t="s">
        <v>1900</v>
      </c>
      <c r="J21">
        <v>100</v>
      </c>
      <c r="L21" t="s">
        <v>74</v>
      </c>
      <c r="M21">
        <v>181</v>
      </c>
      <c r="N21" t="str">
        <f t="shared" si="3"/>
        <v>OTU_18;size=181;</v>
      </c>
      <c r="O21" t="s">
        <v>187</v>
      </c>
    </row>
    <row r="22" spans="1:15" x14ac:dyDescent="0.35">
      <c r="A22" t="s">
        <v>135</v>
      </c>
      <c r="B22">
        <v>155</v>
      </c>
      <c r="C22" t="str">
        <f t="shared" si="0"/>
        <v>OTU_19;size=155;</v>
      </c>
      <c r="D22" t="s">
        <v>96</v>
      </c>
      <c r="E22" s="9">
        <f t="shared" si="1"/>
        <v>100</v>
      </c>
      <c r="F22" s="9" t="str">
        <f t="shared" si="2"/>
        <v>Acetobacterium_malicum_(T)_DSM_4132_(X96957)</v>
      </c>
      <c r="G22" t="s">
        <v>1630</v>
      </c>
      <c r="H22" t="s">
        <v>1901</v>
      </c>
      <c r="I22" t="s">
        <v>1902</v>
      </c>
      <c r="J22">
        <v>100</v>
      </c>
      <c r="L22" t="s">
        <v>106</v>
      </c>
      <c r="M22">
        <v>153</v>
      </c>
      <c r="N22" t="str">
        <f t="shared" si="3"/>
        <v>OTU_21;size=153;</v>
      </c>
      <c r="O22" t="s">
        <v>96</v>
      </c>
    </row>
    <row r="23" spans="1:15" x14ac:dyDescent="0.35">
      <c r="A23" t="s">
        <v>106</v>
      </c>
      <c r="B23">
        <v>139</v>
      </c>
      <c r="C23" t="str">
        <f t="shared" si="0"/>
        <v>OTU_21;size=139;</v>
      </c>
      <c r="D23" t="s">
        <v>134</v>
      </c>
      <c r="E23" s="9">
        <f t="shared" si="1"/>
        <v>100</v>
      </c>
      <c r="F23" s="9" t="str">
        <f t="shared" si="2"/>
        <v>Syntrophobacter_sulfatireducens_(T)_TB8106_(AY651787)</v>
      </c>
      <c r="G23" t="s">
        <v>1630</v>
      </c>
      <c r="H23" t="s">
        <v>1903</v>
      </c>
      <c r="I23" t="s">
        <v>1904</v>
      </c>
      <c r="J23">
        <v>100</v>
      </c>
      <c r="L23" t="s">
        <v>99</v>
      </c>
      <c r="M23">
        <v>146</v>
      </c>
      <c r="N23" t="str">
        <f t="shared" si="3"/>
        <v>OTU_20;size=146;</v>
      </c>
      <c r="O23" t="s">
        <v>180</v>
      </c>
    </row>
    <row r="24" spans="1:15" x14ac:dyDescent="0.35">
      <c r="A24" t="s">
        <v>83</v>
      </c>
      <c r="B24">
        <v>129</v>
      </c>
      <c r="C24" t="str">
        <f t="shared" si="0"/>
        <v>OTU_22;size=129;</v>
      </c>
      <c r="D24" t="s">
        <v>92</v>
      </c>
      <c r="E24" s="9">
        <f t="shared" si="1"/>
        <v>100</v>
      </c>
      <c r="F24" s="9" t="str">
        <f t="shared" si="2"/>
        <v>Porphyromonas_pogonae_strain_MI_10-1288_(NR_136443.1)</v>
      </c>
      <c r="G24" t="s">
        <v>1630</v>
      </c>
      <c r="H24" t="s">
        <v>1905</v>
      </c>
      <c r="I24" t="s">
        <v>1906</v>
      </c>
      <c r="J24">
        <v>100</v>
      </c>
      <c r="L24" t="s">
        <v>83</v>
      </c>
      <c r="M24">
        <v>138</v>
      </c>
      <c r="N24" t="str">
        <f t="shared" si="3"/>
        <v>OTU_22;size=138;</v>
      </c>
      <c r="O24" t="s">
        <v>176</v>
      </c>
    </row>
    <row r="25" spans="1:15" x14ac:dyDescent="0.35">
      <c r="A25" t="s">
        <v>91</v>
      </c>
      <c r="B25">
        <v>126</v>
      </c>
      <c r="C25" t="str">
        <f t="shared" si="0"/>
        <v>OTU_23;size=126;</v>
      </c>
      <c r="D25" t="s">
        <v>176</v>
      </c>
      <c r="E25" s="9">
        <f t="shared" si="1"/>
        <v>100</v>
      </c>
      <c r="F25" s="9" t="str">
        <f t="shared" si="2"/>
        <v>Pseudomonas_songnenensis_strain_NEAU-ST5-5_(NR_148295.1)</v>
      </c>
      <c r="G25" t="s">
        <v>1630</v>
      </c>
      <c r="H25" t="s">
        <v>1907</v>
      </c>
      <c r="I25" t="s">
        <v>1908</v>
      </c>
      <c r="J25">
        <v>100</v>
      </c>
      <c r="L25" t="s">
        <v>93</v>
      </c>
      <c r="M25">
        <v>128</v>
      </c>
      <c r="N25" t="str">
        <f t="shared" si="3"/>
        <v>OTU_27;size=128;</v>
      </c>
      <c r="O25" t="s">
        <v>163</v>
      </c>
    </row>
    <row r="26" spans="1:15" x14ac:dyDescent="0.35">
      <c r="A26" t="s">
        <v>126</v>
      </c>
      <c r="B26">
        <v>118</v>
      </c>
      <c r="C26" t="str">
        <f t="shared" si="0"/>
        <v>OTU_24;size=118;</v>
      </c>
      <c r="D26" t="s">
        <v>180</v>
      </c>
      <c r="E26" s="9">
        <f t="shared" si="1"/>
        <v>100</v>
      </c>
      <c r="F26" s="9" t="str">
        <f t="shared" si="2"/>
        <v>Desulfitobacterium_metallireducens_(T)_853-15A_(AF297871)</v>
      </c>
      <c r="G26" t="s">
        <v>1630</v>
      </c>
      <c r="H26" t="s">
        <v>1909</v>
      </c>
      <c r="I26" t="s">
        <v>1910</v>
      </c>
      <c r="J26">
        <v>100</v>
      </c>
      <c r="L26" t="s">
        <v>91</v>
      </c>
      <c r="M26">
        <v>119</v>
      </c>
      <c r="N26" t="str">
        <f t="shared" si="3"/>
        <v>OTU_23;size=119;</v>
      </c>
      <c r="O26" t="s">
        <v>144</v>
      </c>
    </row>
    <row r="27" spans="1:15" x14ac:dyDescent="0.35">
      <c r="A27" t="s">
        <v>89</v>
      </c>
      <c r="B27">
        <v>103</v>
      </c>
      <c r="C27" t="str">
        <f t="shared" si="0"/>
        <v>OTU_26;size=103;</v>
      </c>
      <c r="D27" t="s">
        <v>163</v>
      </c>
      <c r="E27" s="9">
        <f t="shared" si="1"/>
        <v>100</v>
      </c>
      <c r="F27" s="9" t="str">
        <f t="shared" si="2"/>
        <v>Dethiobacter_alkaliphilus_(T)_AHT_1_(EF422412)</v>
      </c>
      <c r="G27" t="s">
        <v>1630</v>
      </c>
      <c r="H27" t="s">
        <v>1911</v>
      </c>
      <c r="I27" t="s">
        <v>1912</v>
      </c>
      <c r="J27">
        <v>100</v>
      </c>
      <c r="L27" t="s">
        <v>145</v>
      </c>
      <c r="M27">
        <v>108</v>
      </c>
      <c r="N27" t="str">
        <f t="shared" si="3"/>
        <v>OTU_25;size=108;</v>
      </c>
      <c r="O27" t="s">
        <v>152</v>
      </c>
    </row>
    <row r="28" spans="1:15" x14ac:dyDescent="0.35">
      <c r="A28" t="s">
        <v>145</v>
      </c>
      <c r="B28">
        <v>98</v>
      </c>
      <c r="C28" t="str">
        <f t="shared" si="0"/>
        <v>OTU_25;size=98;</v>
      </c>
      <c r="D28" t="s">
        <v>187</v>
      </c>
      <c r="E28" s="9">
        <f t="shared" si="1"/>
        <v>100</v>
      </c>
      <c r="F28" s="9" t="str">
        <f t="shared" si="2"/>
        <v>Desulfitibacter_alkalitolerans_(T)_sk.kt5_(AY538171)</v>
      </c>
      <c r="G28" t="s">
        <v>1630</v>
      </c>
      <c r="H28" t="s">
        <v>1913</v>
      </c>
      <c r="I28" t="s">
        <v>1914</v>
      </c>
      <c r="J28">
        <v>100</v>
      </c>
      <c r="L28" t="s">
        <v>126</v>
      </c>
      <c r="M28">
        <v>106</v>
      </c>
      <c r="N28" t="str">
        <f t="shared" si="3"/>
        <v>OTU_24;size=106;</v>
      </c>
      <c r="O28" t="s">
        <v>222</v>
      </c>
    </row>
    <row r="29" spans="1:15" x14ac:dyDescent="0.35">
      <c r="A29" t="s">
        <v>93</v>
      </c>
      <c r="B29">
        <v>69</v>
      </c>
      <c r="C29" t="str">
        <f t="shared" si="0"/>
        <v>OTU_27;size=69;</v>
      </c>
      <c r="D29" t="s">
        <v>212</v>
      </c>
      <c r="E29" s="9">
        <f t="shared" si="1"/>
        <v>100</v>
      </c>
      <c r="F29" s="9" t="str">
        <f t="shared" si="2"/>
        <v>Syntrophomonas_bryantii_type_strain:_DSM_3014_(HE654006)</v>
      </c>
      <c r="G29" t="s">
        <v>1630</v>
      </c>
      <c r="H29" t="s">
        <v>1915</v>
      </c>
      <c r="I29" t="s">
        <v>1916</v>
      </c>
      <c r="J29">
        <v>99.2</v>
      </c>
      <c r="L29" t="s">
        <v>89</v>
      </c>
      <c r="M29">
        <v>82</v>
      </c>
      <c r="N29" t="str">
        <f t="shared" si="3"/>
        <v>OTU_26;size=82;</v>
      </c>
      <c r="O29" t="s">
        <v>229</v>
      </c>
    </row>
    <row r="30" spans="1:15" x14ac:dyDescent="0.35">
      <c r="A30" t="s">
        <v>272</v>
      </c>
      <c r="B30">
        <v>65</v>
      </c>
      <c r="C30" t="str">
        <f t="shared" si="0"/>
        <v>OTU_34;size=65;</v>
      </c>
      <c r="D30" t="s">
        <v>220</v>
      </c>
      <c r="E30" s="9">
        <f t="shared" si="1"/>
        <v>100</v>
      </c>
      <c r="F30" s="9" t="str">
        <f t="shared" si="2"/>
        <v>Bellilinea_caldifistulae_(T)_GOMI-1_(AB243672)</v>
      </c>
      <c r="G30" t="s">
        <v>1630</v>
      </c>
      <c r="H30" t="s">
        <v>1917</v>
      </c>
      <c r="I30" t="s">
        <v>1918</v>
      </c>
      <c r="J30">
        <v>100</v>
      </c>
      <c r="L30" t="s">
        <v>87</v>
      </c>
      <c r="M30">
        <v>61</v>
      </c>
      <c r="N30" t="str">
        <f t="shared" si="3"/>
        <v>OTU_28;size=61;</v>
      </c>
      <c r="O30" t="s">
        <v>236</v>
      </c>
    </row>
    <row r="31" spans="1:15" x14ac:dyDescent="0.35">
      <c r="A31" t="s">
        <v>87</v>
      </c>
      <c r="B31">
        <v>65</v>
      </c>
      <c r="C31" t="str">
        <f t="shared" si="0"/>
        <v>OTU_28;size=65;</v>
      </c>
      <c r="D31" t="s">
        <v>229</v>
      </c>
      <c r="E31" s="9">
        <f t="shared" si="1"/>
        <v>99.2</v>
      </c>
      <c r="F31" s="9" t="str">
        <f t="shared" si="2"/>
        <v>Syntrophorhabdus_aromaticivorans_(T)_UI_(AB212873)</v>
      </c>
      <c r="G31" t="s">
        <v>1630</v>
      </c>
      <c r="H31" t="s">
        <v>1919</v>
      </c>
      <c r="I31" t="s">
        <v>1920</v>
      </c>
      <c r="J31">
        <v>100</v>
      </c>
      <c r="L31" t="s">
        <v>111</v>
      </c>
      <c r="M31">
        <v>61</v>
      </c>
      <c r="N31" t="str">
        <f t="shared" si="3"/>
        <v>OTU_32;size=61;</v>
      </c>
      <c r="O31" t="s">
        <v>251</v>
      </c>
    </row>
    <row r="32" spans="1:15" x14ac:dyDescent="0.35">
      <c r="A32" t="s">
        <v>294</v>
      </c>
      <c r="B32">
        <v>63</v>
      </c>
      <c r="C32" t="str">
        <f t="shared" si="0"/>
        <v>OTU_29;size=63;</v>
      </c>
      <c r="D32" t="s">
        <v>240</v>
      </c>
      <c r="E32" s="9">
        <f t="shared" si="1"/>
        <v>100</v>
      </c>
      <c r="F32" s="9" t="str">
        <f t="shared" si="2"/>
        <v>Clostridium_luticellarii_strain_FW431_(NR_145907.1)</v>
      </c>
      <c r="G32" t="s">
        <v>1630</v>
      </c>
      <c r="H32" t="s">
        <v>1921</v>
      </c>
      <c r="I32" t="s">
        <v>1922</v>
      </c>
      <c r="J32">
        <v>100</v>
      </c>
      <c r="L32" t="s">
        <v>294</v>
      </c>
      <c r="M32">
        <v>61</v>
      </c>
      <c r="N32" t="str">
        <f t="shared" si="3"/>
        <v>OTU_29;size=61;</v>
      </c>
      <c r="O32" t="s">
        <v>212</v>
      </c>
    </row>
    <row r="33" spans="1:15" x14ac:dyDescent="0.35">
      <c r="A33" t="s">
        <v>153</v>
      </c>
      <c r="B33">
        <v>57</v>
      </c>
      <c r="C33" t="str">
        <f t="shared" si="0"/>
        <v>OTU_30;size=57;</v>
      </c>
      <c r="D33" t="s">
        <v>222</v>
      </c>
      <c r="E33" s="9">
        <f t="shared" si="1"/>
        <v>100</v>
      </c>
      <c r="F33" s="9" t="str">
        <f t="shared" si="2"/>
        <v>Clostridium_thermocellum_(T)_ATCC_27405_(CP000568)</v>
      </c>
      <c r="G33" t="s">
        <v>1630</v>
      </c>
      <c r="H33" t="s">
        <v>1923</v>
      </c>
      <c r="I33" t="s">
        <v>1924</v>
      </c>
      <c r="J33">
        <v>100</v>
      </c>
      <c r="L33" t="s">
        <v>130</v>
      </c>
      <c r="M33">
        <v>58</v>
      </c>
      <c r="N33" t="str">
        <f t="shared" si="3"/>
        <v>OTU_33;size=58;</v>
      </c>
      <c r="O33" t="s">
        <v>220</v>
      </c>
    </row>
    <row r="34" spans="1:15" x14ac:dyDescent="0.35">
      <c r="A34" t="s">
        <v>602</v>
      </c>
      <c r="B34">
        <v>53</v>
      </c>
      <c r="C34" t="str">
        <f t="shared" si="0"/>
        <v>OTU_31;size=53;</v>
      </c>
      <c r="D34" t="s">
        <v>236</v>
      </c>
      <c r="E34" s="9">
        <f t="shared" si="1"/>
        <v>100</v>
      </c>
      <c r="F34" s="9" t="str">
        <f t="shared" si="2"/>
        <v>Spirochaeta_smaragdinae_(T)_SEBR_4228;_DSM_11293_(U80597)</v>
      </c>
      <c r="G34" t="s">
        <v>1630</v>
      </c>
      <c r="H34" t="s">
        <v>1925</v>
      </c>
      <c r="I34" t="s">
        <v>1638</v>
      </c>
      <c r="J34">
        <v>100</v>
      </c>
      <c r="L34" t="s">
        <v>153</v>
      </c>
      <c r="M34">
        <v>54</v>
      </c>
      <c r="N34" t="str">
        <f t="shared" si="3"/>
        <v>OTU_30;size=54;</v>
      </c>
      <c r="O34" t="s">
        <v>54</v>
      </c>
    </row>
    <row r="35" spans="1:15" x14ac:dyDescent="0.35">
      <c r="A35" t="s">
        <v>128</v>
      </c>
      <c r="B35">
        <v>50</v>
      </c>
      <c r="C35" t="str">
        <f t="shared" si="0"/>
        <v>OTU_37;size=50;</v>
      </c>
      <c r="D35" t="s">
        <v>152</v>
      </c>
      <c r="E35" s="9">
        <f t="shared" si="1"/>
        <v>100</v>
      </c>
      <c r="F35" s="9" t="str">
        <f t="shared" si="2"/>
        <v>Smithella_propionica_(T)_LYP_(AF126282)</v>
      </c>
      <c r="G35" t="s">
        <v>1630</v>
      </c>
      <c r="H35" t="s">
        <v>1926</v>
      </c>
      <c r="I35" t="s">
        <v>1927</v>
      </c>
      <c r="J35">
        <v>100</v>
      </c>
      <c r="L35" t="s">
        <v>602</v>
      </c>
      <c r="M35">
        <v>53</v>
      </c>
      <c r="N35" t="str">
        <f t="shared" si="3"/>
        <v>OTU_31;size=53;</v>
      </c>
      <c r="O35" t="s">
        <v>240</v>
      </c>
    </row>
    <row r="36" spans="1:15" x14ac:dyDescent="0.35">
      <c r="A36" t="s">
        <v>130</v>
      </c>
      <c r="B36">
        <v>43</v>
      </c>
      <c r="C36" t="str">
        <f t="shared" si="0"/>
        <v>OTU_33;size=43;</v>
      </c>
      <c r="D36" t="s">
        <v>270</v>
      </c>
      <c r="E36" s="9">
        <f t="shared" si="1"/>
        <v>100</v>
      </c>
      <c r="F36" s="9" t="str">
        <f t="shared" si="2"/>
        <v>Tepidanaerobacter_syntrophicus_(T)_JL_(AB106353)</v>
      </c>
      <c r="G36" t="s">
        <v>1630</v>
      </c>
      <c r="H36" t="s">
        <v>1918</v>
      </c>
      <c r="I36" t="s">
        <v>1928</v>
      </c>
      <c r="J36">
        <v>100</v>
      </c>
      <c r="L36" t="s">
        <v>272</v>
      </c>
      <c r="M36">
        <v>46</v>
      </c>
      <c r="N36" t="str">
        <f t="shared" si="3"/>
        <v>OTU_34;size=46;</v>
      </c>
      <c r="O36" t="s">
        <v>192</v>
      </c>
    </row>
    <row r="37" spans="1:15" x14ac:dyDescent="0.35">
      <c r="A37" t="s">
        <v>111</v>
      </c>
      <c r="B37">
        <v>40</v>
      </c>
      <c r="C37" t="str">
        <f t="shared" si="0"/>
        <v>OTU_32;size=40;</v>
      </c>
      <c r="D37" t="s">
        <v>1631</v>
      </c>
      <c r="E37" s="9">
        <f t="shared" si="1"/>
        <v>100</v>
      </c>
      <c r="F37" s="9" t="str">
        <f t="shared" si="2"/>
        <v>-</v>
      </c>
      <c r="G37" t="s">
        <v>1630</v>
      </c>
      <c r="H37" t="s">
        <v>1499</v>
      </c>
      <c r="I37" t="s">
        <v>1929</v>
      </c>
      <c r="J37">
        <v>100</v>
      </c>
      <c r="L37" t="s">
        <v>193</v>
      </c>
      <c r="M37">
        <v>39</v>
      </c>
      <c r="N37" t="str">
        <f t="shared" si="3"/>
        <v>OTU_36;size=39;</v>
      </c>
      <c r="O37" t="s">
        <v>288</v>
      </c>
    </row>
    <row r="38" spans="1:15" x14ac:dyDescent="0.35">
      <c r="A38" t="s">
        <v>113</v>
      </c>
      <c r="B38">
        <v>38</v>
      </c>
      <c r="C38" t="str">
        <f t="shared" si="0"/>
        <v>OTU_35;size=38;</v>
      </c>
      <c r="D38" t="s">
        <v>251</v>
      </c>
      <c r="E38" s="9">
        <f t="shared" si="1"/>
        <v>100</v>
      </c>
      <c r="F38" s="9" t="str">
        <f t="shared" si="2"/>
        <v>Geoalkalibacter_ferrihydriticus_(T)_Z-0531_(DQ309326)</v>
      </c>
      <c r="G38" t="s">
        <v>1630</v>
      </c>
      <c r="H38" t="s">
        <v>1904</v>
      </c>
      <c r="I38" t="s">
        <v>1631</v>
      </c>
      <c r="J38" t="s">
        <v>1631</v>
      </c>
      <c r="L38" t="s">
        <v>128</v>
      </c>
      <c r="M38">
        <v>33</v>
      </c>
      <c r="N38" t="str">
        <f t="shared" si="3"/>
        <v>OTU_37;size=33;</v>
      </c>
      <c r="O38" t="s">
        <v>610</v>
      </c>
    </row>
    <row r="39" spans="1:15" x14ac:dyDescent="0.35">
      <c r="A39" t="s">
        <v>193</v>
      </c>
      <c r="B39">
        <v>33</v>
      </c>
      <c r="C39" t="str">
        <f t="shared" si="0"/>
        <v>OTU_36;size=33;</v>
      </c>
      <c r="D39" t="s">
        <v>229</v>
      </c>
      <c r="E39" s="9">
        <f t="shared" si="1"/>
        <v>100</v>
      </c>
      <c r="F39" s="9" t="str">
        <f t="shared" si="2"/>
        <v>Syntrophorhabdus_aromaticivorans_(T)_UI_(AB212873)</v>
      </c>
      <c r="G39" t="s">
        <v>1630</v>
      </c>
      <c r="H39" t="s">
        <v>1641</v>
      </c>
      <c r="I39" t="s">
        <v>1930</v>
      </c>
      <c r="J39">
        <v>100</v>
      </c>
      <c r="L39" t="s">
        <v>113</v>
      </c>
      <c r="M39">
        <v>33</v>
      </c>
      <c r="N39" t="str">
        <f t="shared" si="3"/>
        <v>OTU_35;size=33;</v>
      </c>
      <c r="O39" t="s">
        <v>283</v>
      </c>
    </row>
    <row r="40" spans="1:15" x14ac:dyDescent="0.35">
      <c r="A40" t="s">
        <v>349</v>
      </c>
      <c r="B40">
        <v>33</v>
      </c>
      <c r="C40" t="str">
        <f t="shared" si="0"/>
        <v>OTU_38;size=33;</v>
      </c>
      <c r="D40" t="s">
        <v>324</v>
      </c>
      <c r="E40" s="9">
        <f t="shared" si="1"/>
        <v>100</v>
      </c>
      <c r="F40" s="9" t="str">
        <f t="shared" si="2"/>
        <v>Longilinea_arvoryzae_(T)_KOME-1_(AB243673)</v>
      </c>
      <c r="G40" t="s">
        <v>1630</v>
      </c>
      <c r="H40" t="s">
        <v>1931</v>
      </c>
      <c r="I40" t="s">
        <v>1932</v>
      </c>
      <c r="J40">
        <v>100</v>
      </c>
      <c r="L40" t="s">
        <v>197</v>
      </c>
      <c r="M40">
        <v>32</v>
      </c>
      <c r="N40" t="str">
        <f t="shared" si="3"/>
        <v>OTU_43;size=32;</v>
      </c>
      <c r="O40" t="s">
        <v>270</v>
      </c>
    </row>
    <row r="41" spans="1:15" x14ac:dyDescent="0.35">
      <c r="A41" t="s">
        <v>137</v>
      </c>
      <c r="B41">
        <v>32</v>
      </c>
      <c r="C41" t="str">
        <f t="shared" si="0"/>
        <v>OTU_39;size=32;</v>
      </c>
      <c r="D41" s="17" t="s">
        <v>299</v>
      </c>
      <c r="E41" s="9" t="str">
        <f t="shared" si="1"/>
        <v>-</v>
      </c>
      <c r="F41" s="9" t="str">
        <f t="shared" si="2"/>
        <v>Not present in amplicons</v>
      </c>
      <c r="G41" t="s">
        <v>1630</v>
      </c>
      <c r="H41" t="s">
        <v>1933</v>
      </c>
      <c r="I41" t="s">
        <v>1934</v>
      </c>
      <c r="J41">
        <v>100</v>
      </c>
      <c r="L41" t="s">
        <v>137</v>
      </c>
      <c r="M41">
        <v>32</v>
      </c>
      <c r="N41" t="str">
        <f t="shared" si="3"/>
        <v>OTU_39;size=32;</v>
      </c>
      <c r="O41" t="s">
        <v>196</v>
      </c>
    </row>
    <row r="42" spans="1:15" x14ac:dyDescent="0.35">
      <c r="A42" t="s">
        <v>119</v>
      </c>
      <c r="B42">
        <v>27</v>
      </c>
      <c r="C42" t="str">
        <f t="shared" si="0"/>
        <v>OTU_40;size=27;</v>
      </c>
      <c r="D42" t="s">
        <v>281</v>
      </c>
      <c r="E42" s="9">
        <f t="shared" si="1"/>
        <v>100</v>
      </c>
      <c r="F42" s="9" t="str">
        <f t="shared" si="2"/>
        <v>Veillonella_magna_(T)_lac18_(EU096495)</v>
      </c>
      <c r="G42" t="s">
        <v>1630</v>
      </c>
      <c r="H42" t="s">
        <v>1632</v>
      </c>
      <c r="I42" t="s">
        <v>1522</v>
      </c>
      <c r="J42">
        <v>100</v>
      </c>
      <c r="L42" t="s">
        <v>349</v>
      </c>
      <c r="M42">
        <v>31</v>
      </c>
      <c r="N42" t="str">
        <f t="shared" si="3"/>
        <v>OTU_38;size=31;</v>
      </c>
      <c r="O42" t="s">
        <v>82</v>
      </c>
    </row>
    <row r="43" spans="1:15" x14ac:dyDescent="0.35">
      <c r="A43" t="s">
        <v>142</v>
      </c>
      <c r="B43">
        <v>24</v>
      </c>
      <c r="C43" t="str">
        <f t="shared" si="0"/>
        <v>OTU_42;size=24;</v>
      </c>
      <c r="D43" t="s">
        <v>360</v>
      </c>
      <c r="E43" s="9">
        <f t="shared" si="1"/>
        <v>100</v>
      </c>
      <c r="F43" s="9" t="str">
        <f t="shared" si="2"/>
        <v>Syntrophomonas_zehnderi_(T)_OL-4_(DQ898277)</v>
      </c>
      <c r="G43" t="s">
        <v>1630</v>
      </c>
      <c r="H43" t="s">
        <v>1518</v>
      </c>
      <c r="I43" t="s">
        <v>1935</v>
      </c>
      <c r="J43">
        <v>100</v>
      </c>
      <c r="L43" t="s">
        <v>142</v>
      </c>
      <c r="M43">
        <v>29</v>
      </c>
      <c r="N43" t="str">
        <f t="shared" si="3"/>
        <v>OTU_42;size=29;</v>
      </c>
      <c r="O43" t="s">
        <v>59</v>
      </c>
    </row>
    <row r="44" spans="1:15" x14ac:dyDescent="0.35">
      <c r="A44" t="s">
        <v>181</v>
      </c>
      <c r="B44">
        <v>24</v>
      </c>
      <c r="C44" t="str">
        <f t="shared" si="0"/>
        <v>OTU_41;size=24;</v>
      </c>
      <c r="D44" t="s">
        <v>192</v>
      </c>
      <c r="E44" s="9">
        <f t="shared" si="1"/>
        <v>100</v>
      </c>
      <c r="F44" s="9" t="str">
        <f t="shared" si="2"/>
        <v>Ruminococcaceae_bacterium_ZWB_4_(HG003571)</v>
      </c>
      <c r="G44" t="s">
        <v>1630</v>
      </c>
      <c r="H44" t="s">
        <v>1936</v>
      </c>
      <c r="I44" t="s">
        <v>1937</v>
      </c>
      <c r="J44">
        <v>100</v>
      </c>
      <c r="L44" t="s">
        <v>181</v>
      </c>
      <c r="M44">
        <v>29</v>
      </c>
      <c r="N44" t="str">
        <f t="shared" si="3"/>
        <v>OTU_41;size=29;</v>
      </c>
      <c r="O44" t="s">
        <v>614</v>
      </c>
    </row>
    <row r="45" spans="1:15" x14ac:dyDescent="0.35">
      <c r="A45" t="s">
        <v>197</v>
      </c>
      <c r="B45">
        <v>21</v>
      </c>
      <c r="C45" t="str">
        <f t="shared" si="0"/>
        <v>OTU_43;size=21;</v>
      </c>
      <c r="D45" t="s">
        <v>787</v>
      </c>
      <c r="E45" s="9">
        <f t="shared" si="1"/>
        <v>100</v>
      </c>
      <c r="F45" s="9" t="str">
        <f t="shared" si="2"/>
        <v>Clostridium_thermopalmarium_(T)_(X72869)</v>
      </c>
      <c r="G45" t="s">
        <v>1630</v>
      </c>
      <c r="H45" t="s">
        <v>1519</v>
      </c>
      <c r="I45" t="s">
        <v>1938</v>
      </c>
      <c r="J45">
        <v>100</v>
      </c>
      <c r="L45" t="s">
        <v>119</v>
      </c>
      <c r="M45">
        <v>28</v>
      </c>
      <c r="N45" t="str">
        <f t="shared" si="3"/>
        <v>OTU_40;size=28;</v>
      </c>
      <c r="O45" t="s">
        <v>281</v>
      </c>
    </row>
    <row r="46" spans="1:15" x14ac:dyDescent="0.35">
      <c r="A46" t="s">
        <v>164</v>
      </c>
      <c r="B46">
        <v>19</v>
      </c>
      <c r="C46" t="str">
        <f t="shared" si="0"/>
        <v>OTU_44;size=19;</v>
      </c>
      <c r="D46" t="s">
        <v>468</v>
      </c>
      <c r="E46" s="9">
        <f t="shared" si="1"/>
        <v>100</v>
      </c>
      <c r="F46" s="9" t="str">
        <f t="shared" si="2"/>
        <v>Methanolinea_mesophila_TNR_(AB447467)</v>
      </c>
      <c r="G46" t="s">
        <v>1630</v>
      </c>
      <c r="H46" t="s">
        <v>1939</v>
      </c>
      <c r="I46" t="s">
        <v>1940</v>
      </c>
      <c r="J46">
        <v>100</v>
      </c>
      <c r="L46" t="s">
        <v>164</v>
      </c>
      <c r="M46">
        <v>25</v>
      </c>
      <c r="N46" t="str">
        <f t="shared" si="3"/>
        <v>OTU_44;size=25;</v>
      </c>
      <c r="O46" t="s">
        <v>229</v>
      </c>
    </row>
    <row r="47" spans="1:15" x14ac:dyDescent="0.35">
      <c r="A47" t="s">
        <v>149</v>
      </c>
      <c r="B47">
        <v>18</v>
      </c>
      <c r="C47" t="str">
        <f t="shared" si="0"/>
        <v>OTU_45;size=18;</v>
      </c>
      <c r="D47" t="s">
        <v>610</v>
      </c>
      <c r="E47" s="9">
        <f t="shared" si="1"/>
        <v>100</v>
      </c>
      <c r="F47" s="9" t="str">
        <f t="shared" si="2"/>
        <v>Thermoanaerobacter_pseudethanolicus_ATCC_33223_(CP000924)</v>
      </c>
      <c r="G47" t="s">
        <v>1630</v>
      </c>
      <c r="H47" t="s">
        <v>1860</v>
      </c>
      <c r="I47" t="s">
        <v>1521</v>
      </c>
      <c r="J47">
        <v>100</v>
      </c>
      <c r="L47" t="s">
        <v>148</v>
      </c>
      <c r="M47">
        <v>22</v>
      </c>
      <c r="N47" t="str">
        <f t="shared" si="3"/>
        <v>OTU_47;size=22;</v>
      </c>
      <c r="O47" t="s">
        <v>324</v>
      </c>
    </row>
    <row r="48" spans="1:15" x14ac:dyDescent="0.35">
      <c r="A48" t="s">
        <v>171</v>
      </c>
      <c r="B48">
        <v>16</v>
      </c>
      <c r="C48" t="str">
        <f t="shared" si="0"/>
        <v>OTU_46;size=16;</v>
      </c>
      <c r="D48" t="s">
        <v>370</v>
      </c>
      <c r="E48" s="9">
        <f t="shared" si="1"/>
        <v>100</v>
      </c>
      <c r="F48" s="9" t="str">
        <f t="shared" si="2"/>
        <v>Pelotomaculum_thermopropionicum_(T)_SI_(AB035723)</v>
      </c>
      <c r="G48" t="s">
        <v>1630</v>
      </c>
      <c r="H48" t="s">
        <v>1633</v>
      </c>
      <c r="I48" t="s">
        <v>1512</v>
      </c>
      <c r="J48">
        <v>100</v>
      </c>
      <c r="L48" t="s">
        <v>171</v>
      </c>
      <c r="M48">
        <v>17</v>
      </c>
      <c r="N48" t="str">
        <f t="shared" si="3"/>
        <v>OTU_46;size=17;</v>
      </c>
      <c r="O48" t="s">
        <v>787</v>
      </c>
    </row>
    <row r="49" spans="1:15" x14ac:dyDescent="0.35">
      <c r="A49" t="s">
        <v>148</v>
      </c>
      <c r="B49">
        <v>13</v>
      </c>
      <c r="C49" t="str">
        <f t="shared" si="0"/>
        <v>OTU_47;size=13;</v>
      </c>
      <c r="D49" t="s">
        <v>614</v>
      </c>
      <c r="E49" s="9">
        <f t="shared" si="1"/>
        <v>100</v>
      </c>
      <c r="F49" s="9" t="str">
        <f t="shared" si="2"/>
        <v>Clostridium_thermosuccinogenes_(T)_DSM_5807_(Y18180)</v>
      </c>
      <c r="G49" t="s">
        <v>1630</v>
      </c>
      <c r="H49" t="s">
        <v>1941</v>
      </c>
      <c r="I49" t="s">
        <v>1636</v>
      </c>
      <c r="J49">
        <v>96</v>
      </c>
      <c r="L49" t="s">
        <v>149</v>
      </c>
      <c r="M49">
        <v>17</v>
      </c>
      <c r="N49" t="str">
        <f t="shared" si="3"/>
        <v>OTU_45;size=17;</v>
      </c>
      <c r="O49" t="s">
        <v>335</v>
      </c>
    </row>
    <row r="50" spans="1:15" x14ac:dyDescent="0.35">
      <c r="A50" t="s">
        <v>203</v>
      </c>
      <c r="B50">
        <v>12</v>
      </c>
      <c r="C50" t="str">
        <f t="shared" si="0"/>
        <v>OTU_48;size=12;</v>
      </c>
      <c r="D50" t="s">
        <v>335</v>
      </c>
      <c r="E50" s="9">
        <f t="shared" si="1"/>
        <v>96</v>
      </c>
      <c r="F50" s="9" t="str">
        <f t="shared" si="2"/>
        <v>Vallitalea_pronyensis_FatNI3_(KC876639)</v>
      </c>
      <c r="G50" t="s">
        <v>1630</v>
      </c>
      <c r="H50" t="s">
        <v>1942</v>
      </c>
      <c r="I50" t="s">
        <v>1943</v>
      </c>
      <c r="J50">
        <v>100</v>
      </c>
      <c r="L50" t="s">
        <v>189</v>
      </c>
      <c r="M50">
        <v>16</v>
      </c>
      <c r="N50" t="str">
        <f t="shared" si="3"/>
        <v>OTU_54;size=16;</v>
      </c>
      <c r="O50" t="s">
        <v>370</v>
      </c>
    </row>
    <row r="51" spans="1:15" x14ac:dyDescent="0.35">
      <c r="A51" t="s">
        <v>255</v>
      </c>
      <c r="B51">
        <v>11</v>
      </c>
      <c r="C51" t="str">
        <f t="shared" si="0"/>
        <v>OTU_51;size=11;</v>
      </c>
      <c r="D51" t="s">
        <v>321</v>
      </c>
      <c r="E51" s="9">
        <f t="shared" si="1"/>
        <v>97.6</v>
      </c>
      <c r="F51" s="9" t="str">
        <f t="shared" si="2"/>
        <v>Gracilibacter_thermotolerans_(T)_JW/YJL-S1_(DQ117465)</v>
      </c>
      <c r="G51" t="s">
        <v>1630</v>
      </c>
      <c r="H51" t="s">
        <v>1944</v>
      </c>
      <c r="I51" t="s">
        <v>1501</v>
      </c>
      <c r="J51">
        <v>97.6</v>
      </c>
      <c r="L51" t="s">
        <v>255</v>
      </c>
      <c r="M51">
        <v>14</v>
      </c>
      <c r="N51" t="str">
        <f t="shared" si="3"/>
        <v>OTU_51;size=14;</v>
      </c>
      <c r="O51" t="s">
        <v>321</v>
      </c>
    </row>
    <row r="52" spans="1:15" x14ac:dyDescent="0.35">
      <c r="A52" t="s">
        <v>209</v>
      </c>
      <c r="B52">
        <v>11</v>
      </c>
      <c r="C52" t="str">
        <f t="shared" si="0"/>
        <v>OTU_49;size=11;</v>
      </c>
      <c r="D52" t="s">
        <v>288</v>
      </c>
      <c r="E52" s="9">
        <f t="shared" si="1"/>
        <v>100</v>
      </c>
      <c r="F52" s="9" t="str">
        <f t="shared" si="2"/>
        <v>Desulfotomaculum_varum_RH04-3_(GU126374)</v>
      </c>
      <c r="G52" t="s">
        <v>1630</v>
      </c>
      <c r="H52" t="s">
        <v>1945</v>
      </c>
      <c r="I52" t="s">
        <v>1500</v>
      </c>
      <c r="J52">
        <v>99.2</v>
      </c>
      <c r="L52" t="s">
        <v>159</v>
      </c>
      <c r="M52">
        <v>14</v>
      </c>
      <c r="N52" t="str">
        <f t="shared" si="3"/>
        <v>OTU_50;size=14;</v>
      </c>
      <c r="O52" t="s">
        <v>319</v>
      </c>
    </row>
    <row r="53" spans="1:15" x14ac:dyDescent="0.35">
      <c r="A53" t="s">
        <v>159</v>
      </c>
      <c r="B53">
        <v>9</v>
      </c>
      <c r="C53" t="str">
        <f t="shared" si="0"/>
        <v>OTU_50;size=9;</v>
      </c>
      <c r="D53" t="s">
        <v>321</v>
      </c>
      <c r="E53" s="9" t="str">
        <f t="shared" si="1"/>
        <v>-</v>
      </c>
      <c r="F53" s="9" t="str">
        <f t="shared" si="2"/>
        <v>Not present in amplicons</v>
      </c>
      <c r="G53" t="s">
        <v>1630</v>
      </c>
      <c r="H53" t="s">
        <v>1505</v>
      </c>
      <c r="I53" t="s">
        <v>1631</v>
      </c>
      <c r="J53" t="s">
        <v>1631</v>
      </c>
      <c r="L53" t="s">
        <v>203</v>
      </c>
      <c r="M53">
        <v>14</v>
      </c>
      <c r="N53" t="str">
        <f t="shared" si="3"/>
        <v>OTU_48;size=14;</v>
      </c>
      <c r="O53" t="s">
        <v>263</v>
      </c>
    </row>
    <row r="54" spans="1:15" x14ac:dyDescent="0.35">
      <c r="A54" t="s">
        <v>237</v>
      </c>
      <c r="B54">
        <v>7</v>
      </c>
      <c r="C54" t="str">
        <f t="shared" si="0"/>
        <v>OTU_53;size=7;</v>
      </c>
      <c r="D54" t="s">
        <v>335</v>
      </c>
      <c r="E54" s="9">
        <f t="shared" si="1"/>
        <v>99.2</v>
      </c>
      <c r="F54" s="9" t="str">
        <f t="shared" si="2"/>
        <v>Vallitalea_pronyensis_FatNI3_(KC876639)</v>
      </c>
      <c r="G54" t="s">
        <v>1630</v>
      </c>
      <c r="H54" t="s">
        <v>1639</v>
      </c>
      <c r="I54" t="s">
        <v>1946</v>
      </c>
      <c r="J54">
        <v>100</v>
      </c>
      <c r="L54" t="s">
        <v>177</v>
      </c>
      <c r="M54">
        <v>13</v>
      </c>
      <c r="N54" t="str">
        <f t="shared" si="3"/>
        <v>OTU_55;size=13;</v>
      </c>
      <c r="O54" t="s">
        <v>247</v>
      </c>
    </row>
    <row r="55" spans="1:15" x14ac:dyDescent="0.35">
      <c r="A55" t="s">
        <v>156</v>
      </c>
      <c r="B55">
        <v>7</v>
      </c>
      <c r="C55" t="str">
        <f t="shared" si="0"/>
        <v>OTU_52;size=7;</v>
      </c>
      <c r="D55" t="s">
        <v>30</v>
      </c>
      <c r="E55" s="9">
        <f t="shared" si="1"/>
        <v>96.9</v>
      </c>
      <c r="F55" s="9" t="str">
        <f t="shared" si="2"/>
        <v>Methanobacterium_subterraneum_(T)_A8p,_DSM_11074_(X99044)</v>
      </c>
      <c r="G55" t="s">
        <v>1630</v>
      </c>
      <c r="H55" t="s">
        <v>1947</v>
      </c>
      <c r="I55" t="s">
        <v>1948</v>
      </c>
      <c r="J55">
        <v>100</v>
      </c>
      <c r="L55" t="s">
        <v>213</v>
      </c>
      <c r="M55">
        <v>12</v>
      </c>
      <c r="N55" t="str">
        <f t="shared" si="3"/>
        <v>OTU_63;size=12;</v>
      </c>
      <c r="O55" t="s">
        <v>187</v>
      </c>
    </row>
    <row r="56" spans="1:15" x14ac:dyDescent="0.35">
      <c r="A56" t="s">
        <v>189</v>
      </c>
      <c r="B56">
        <v>6</v>
      </c>
      <c r="C56" t="str">
        <f t="shared" si="0"/>
        <v>OTU_54;size=6;</v>
      </c>
      <c r="D56" t="s">
        <v>187</v>
      </c>
      <c r="E56" s="9">
        <f t="shared" si="1"/>
        <v>100</v>
      </c>
      <c r="F56" s="9" t="str">
        <f t="shared" si="2"/>
        <v>Desulfitibacter_alkalitolerans_(T)_sk.kt5_(AY538171)</v>
      </c>
      <c r="G56" t="s">
        <v>1630</v>
      </c>
      <c r="H56" t="s">
        <v>1949</v>
      </c>
      <c r="I56" t="s">
        <v>1635</v>
      </c>
      <c r="J56">
        <v>100</v>
      </c>
      <c r="L56" t="s">
        <v>209</v>
      </c>
      <c r="M56">
        <v>12</v>
      </c>
      <c r="N56" t="str">
        <f t="shared" si="3"/>
        <v>OTU_49;size=12;</v>
      </c>
      <c r="O56" t="s">
        <v>163</v>
      </c>
    </row>
    <row r="57" spans="1:15" x14ac:dyDescent="0.35">
      <c r="A57" t="s">
        <v>177</v>
      </c>
      <c r="B57">
        <v>4</v>
      </c>
      <c r="C57" t="str">
        <f t="shared" si="0"/>
        <v>OTU_55;size=4;</v>
      </c>
      <c r="D57" t="s">
        <v>170</v>
      </c>
      <c r="E57" s="9">
        <f t="shared" si="1"/>
        <v>96</v>
      </c>
      <c r="F57" s="9" t="str">
        <f t="shared" si="2"/>
        <v>Aminiphilus_circumscriptus_(T)_ILE-2_(AY642589)</v>
      </c>
      <c r="G57" t="s">
        <v>1630</v>
      </c>
      <c r="H57" t="s">
        <v>1640</v>
      </c>
      <c r="I57" t="s">
        <v>1950</v>
      </c>
      <c r="J57">
        <v>96</v>
      </c>
      <c r="L57" t="s">
        <v>237</v>
      </c>
      <c r="M57">
        <v>11</v>
      </c>
      <c r="N57" t="str">
        <f t="shared" si="3"/>
        <v>OTU_53;size=11;</v>
      </c>
      <c r="O57" t="s">
        <v>1631</v>
      </c>
    </row>
    <row r="58" spans="1:15" x14ac:dyDescent="0.35">
      <c r="A58" t="s">
        <v>307</v>
      </c>
      <c r="B58">
        <v>3</v>
      </c>
      <c r="C58" t="str">
        <f t="shared" si="0"/>
        <v>OTU_56;size=3;</v>
      </c>
      <c r="D58" t="s">
        <v>362</v>
      </c>
      <c r="E58" s="9">
        <f t="shared" si="1"/>
        <v>100</v>
      </c>
      <c r="F58" s="9" t="str">
        <f t="shared" si="2"/>
        <v>Pelospora_glutarica_(T)_WoGl3_(AJ251214)</v>
      </c>
      <c r="G58" t="s">
        <v>1630</v>
      </c>
      <c r="H58" t="s">
        <v>1513</v>
      </c>
      <c r="I58" t="s">
        <v>1870</v>
      </c>
      <c r="J58">
        <v>96.9</v>
      </c>
      <c r="L58" t="s">
        <v>188</v>
      </c>
      <c r="M58">
        <v>11</v>
      </c>
      <c r="N58" t="str">
        <f t="shared" si="3"/>
        <v>OTU_59;size=11;</v>
      </c>
      <c r="O58" t="s">
        <v>628</v>
      </c>
    </row>
    <row r="59" spans="1:15" x14ac:dyDescent="0.35">
      <c r="A59" t="s">
        <v>185</v>
      </c>
      <c r="B59">
        <v>2</v>
      </c>
      <c r="C59" t="str">
        <f t="shared" si="0"/>
        <v>OTU_57;size=2;</v>
      </c>
      <c r="D59" t="s">
        <v>1515</v>
      </c>
      <c r="E59" s="9">
        <f t="shared" si="1"/>
        <v>96.4</v>
      </c>
      <c r="F59" s="9" t="str">
        <f t="shared" si="2"/>
        <v>[Clostridium]_caenicola_strain_EBR596_(NR_126170.1)</v>
      </c>
      <c r="G59" t="s">
        <v>1630</v>
      </c>
      <c r="H59" t="s">
        <v>1951</v>
      </c>
      <c r="I59" t="s">
        <v>1952</v>
      </c>
      <c r="J59">
        <v>96.4</v>
      </c>
      <c r="L59" t="s">
        <v>214</v>
      </c>
      <c r="M59">
        <v>11</v>
      </c>
      <c r="N59" t="str">
        <f t="shared" si="3"/>
        <v>OTU_68;size=11;</v>
      </c>
      <c r="O59" t="s">
        <v>362</v>
      </c>
    </row>
    <row r="60" spans="1:15" x14ac:dyDescent="0.35">
      <c r="L60" t="s">
        <v>156</v>
      </c>
      <c r="M60">
        <v>11</v>
      </c>
      <c r="N60" t="str">
        <f t="shared" si="3"/>
        <v>OTU_52;size=11;</v>
      </c>
      <c r="O60" t="s">
        <v>423</v>
      </c>
    </row>
    <row r="61" spans="1:15" x14ac:dyDescent="0.35">
      <c r="L61" t="s">
        <v>223</v>
      </c>
      <c r="M61">
        <v>10</v>
      </c>
      <c r="N61" t="str">
        <f t="shared" si="3"/>
        <v>OTU_60;size=10;</v>
      </c>
      <c r="O61" t="s">
        <v>419</v>
      </c>
    </row>
    <row r="62" spans="1:15" x14ac:dyDescent="0.35">
      <c r="L62" t="s">
        <v>185</v>
      </c>
      <c r="M62">
        <v>10</v>
      </c>
      <c r="N62" t="str">
        <f t="shared" si="3"/>
        <v>OTU_57;size=10;</v>
      </c>
      <c r="O62" t="s">
        <v>335</v>
      </c>
    </row>
    <row r="63" spans="1:15" x14ac:dyDescent="0.35">
      <c r="L63" t="s">
        <v>234</v>
      </c>
      <c r="M63">
        <v>10</v>
      </c>
      <c r="N63" t="str">
        <f t="shared" si="3"/>
        <v>OTU_61;size=10;</v>
      </c>
      <c r="O63" t="s">
        <v>16</v>
      </c>
    </row>
    <row r="64" spans="1:15" x14ac:dyDescent="0.35">
      <c r="L64" t="s">
        <v>230</v>
      </c>
      <c r="M64">
        <v>10</v>
      </c>
      <c r="N64" t="str">
        <f t="shared" si="3"/>
        <v>OTU_58;size=10;</v>
      </c>
      <c r="O64" t="s">
        <v>354</v>
      </c>
    </row>
    <row r="65" spans="12:15" x14ac:dyDescent="0.35">
      <c r="L65" t="s">
        <v>216</v>
      </c>
      <c r="M65">
        <v>9</v>
      </c>
      <c r="N65" t="str">
        <f t="shared" si="3"/>
        <v>OTU_62;size=9;</v>
      </c>
      <c r="O65" t="s">
        <v>321</v>
      </c>
    </row>
    <row r="66" spans="12:15" x14ac:dyDescent="0.35">
      <c r="L66" t="s">
        <v>329</v>
      </c>
      <c r="M66">
        <v>9</v>
      </c>
      <c r="N66" t="str">
        <f t="shared" si="3"/>
        <v>OTU_103;size=9;</v>
      </c>
      <c r="O66" t="s">
        <v>105</v>
      </c>
    </row>
    <row r="67" spans="12:15" x14ac:dyDescent="0.35">
      <c r="L67" t="s">
        <v>200</v>
      </c>
      <c r="M67">
        <v>8</v>
      </c>
      <c r="N67" t="str">
        <f t="shared" si="3"/>
        <v>OTU_65;size=8;</v>
      </c>
      <c r="O67" t="s">
        <v>352</v>
      </c>
    </row>
    <row r="68" spans="12:15" x14ac:dyDescent="0.35">
      <c r="L68" t="s">
        <v>221</v>
      </c>
      <c r="M68">
        <v>8</v>
      </c>
      <c r="N68" t="str">
        <f t="shared" ref="N68:N124" si="4">L68&amp;";size="&amp;M68&amp;";"</f>
        <v>OTU_69;size=8;</v>
      </c>
      <c r="O68" t="s">
        <v>125</v>
      </c>
    </row>
    <row r="69" spans="12:15" x14ac:dyDescent="0.35">
      <c r="L69" t="s">
        <v>267</v>
      </c>
      <c r="M69">
        <v>7</v>
      </c>
      <c r="N69" t="str">
        <f t="shared" si="4"/>
        <v>OTU_67;size=7;</v>
      </c>
      <c r="O69" t="s">
        <v>33</v>
      </c>
    </row>
    <row r="70" spans="12:15" x14ac:dyDescent="0.35">
      <c r="L70" t="s">
        <v>286</v>
      </c>
      <c r="M70">
        <v>7</v>
      </c>
      <c r="N70" t="str">
        <f t="shared" si="4"/>
        <v>OTU_72;size=7;</v>
      </c>
      <c r="O70" t="s">
        <v>399</v>
      </c>
    </row>
    <row r="71" spans="12:15" x14ac:dyDescent="0.35">
      <c r="L71" t="s">
        <v>320</v>
      </c>
      <c r="M71">
        <v>7</v>
      </c>
      <c r="N71" t="str">
        <f t="shared" si="4"/>
        <v>OTU_100;size=7;</v>
      </c>
      <c r="O71" t="s">
        <v>434</v>
      </c>
    </row>
    <row r="72" spans="12:15" x14ac:dyDescent="0.35">
      <c r="L72" t="s">
        <v>307</v>
      </c>
      <c r="M72">
        <v>7</v>
      </c>
      <c r="N72" t="str">
        <f t="shared" si="4"/>
        <v>OTU_56;size=7;</v>
      </c>
      <c r="O72" t="s">
        <v>478</v>
      </c>
    </row>
    <row r="73" spans="12:15" x14ac:dyDescent="0.35">
      <c r="L73" t="s">
        <v>282</v>
      </c>
      <c r="M73">
        <v>7</v>
      </c>
      <c r="N73" t="str">
        <f t="shared" si="4"/>
        <v>OTU_87;size=7;</v>
      </c>
      <c r="O73" t="s">
        <v>71</v>
      </c>
    </row>
    <row r="74" spans="12:15" x14ac:dyDescent="0.35">
      <c r="L74" t="s">
        <v>356</v>
      </c>
      <c r="M74">
        <v>7</v>
      </c>
      <c r="N74" t="str">
        <f t="shared" si="4"/>
        <v>OTU_94;size=7;</v>
      </c>
      <c r="O74" t="s">
        <v>305</v>
      </c>
    </row>
    <row r="75" spans="12:15" x14ac:dyDescent="0.35">
      <c r="L75" t="s">
        <v>257</v>
      </c>
      <c r="M75">
        <v>7</v>
      </c>
      <c r="N75" t="str">
        <f t="shared" si="4"/>
        <v>OTU_79;size=7;</v>
      </c>
      <c r="O75" t="s">
        <v>368</v>
      </c>
    </row>
    <row r="76" spans="12:15" x14ac:dyDescent="0.35">
      <c r="L76" t="s">
        <v>350</v>
      </c>
      <c r="M76">
        <v>7</v>
      </c>
      <c r="N76" t="str">
        <f t="shared" si="4"/>
        <v>OTU_109;size=7;</v>
      </c>
      <c r="O76" t="s">
        <v>330</v>
      </c>
    </row>
    <row r="77" spans="12:15" x14ac:dyDescent="0.35">
      <c r="L77" t="s">
        <v>248</v>
      </c>
      <c r="M77">
        <v>6</v>
      </c>
      <c r="N77" t="str">
        <f t="shared" si="4"/>
        <v>OTU_78;size=6;</v>
      </c>
      <c r="O77" t="s">
        <v>375</v>
      </c>
    </row>
    <row r="78" spans="12:15" x14ac:dyDescent="0.35">
      <c r="L78" t="s">
        <v>340</v>
      </c>
      <c r="M78">
        <v>6</v>
      </c>
      <c r="N78" t="str">
        <f t="shared" si="4"/>
        <v>OTU_106;size=6;</v>
      </c>
      <c r="O78" t="s">
        <v>460</v>
      </c>
    </row>
    <row r="79" spans="12:15" x14ac:dyDescent="0.35">
      <c r="L79" t="s">
        <v>603</v>
      </c>
      <c r="M79">
        <v>6</v>
      </c>
      <c r="N79" t="str">
        <f t="shared" si="4"/>
        <v>OTU_64;size=6;</v>
      </c>
      <c r="O79" t="s">
        <v>468</v>
      </c>
    </row>
    <row r="80" spans="12:15" x14ac:dyDescent="0.35">
      <c r="L80" t="s">
        <v>226</v>
      </c>
      <c r="M80">
        <v>6</v>
      </c>
      <c r="N80" t="str">
        <f t="shared" si="4"/>
        <v>OTU_71;size=6;</v>
      </c>
      <c r="O80" t="s">
        <v>62</v>
      </c>
    </row>
    <row r="81" spans="12:15" x14ac:dyDescent="0.35">
      <c r="L81" t="s">
        <v>218</v>
      </c>
      <c r="M81">
        <v>6</v>
      </c>
      <c r="N81" t="str">
        <f t="shared" si="4"/>
        <v>OTU_66;size=6;</v>
      </c>
      <c r="O81" t="s">
        <v>317</v>
      </c>
    </row>
    <row r="82" spans="12:15" x14ac:dyDescent="0.35">
      <c r="L82" t="s">
        <v>225</v>
      </c>
      <c r="M82">
        <v>6</v>
      </c>
      <c r="N82" t="str">
        <f t="shared" si="4"/>
        <v>OTU_70;size=6;</v>
      </c>
      <c r="O82" t="s">
        <v>220</v>
      </c>
    </row>
    <row r="83" spans="12:15" x14ac:dyDescent="0.35">
      <c r="L83" t="s">
        <v>284</v>
      </c>
      <c r="M83">
        <v>6</v>
      </c>
      <c r="N83" t="str">
        <f t="shared" si="4"/>
        <v>OTU_74;size=6;</v>
      </c>
      <c r="O83" t="s">
        <v>50</v>
      </c>
    </row>
    <row r="84" spans="12:15" x14ac:dyDescent="0.35">
      <c r="L84" t="s">
        <v>353</v>
      </c>
      <c r="M84">
        <v>5</v>
      </c>
      <c r="N84" t="str">
        <f t="shared" si="4"/>
        <v>OTU_108;size=5;</v>
      </c>
      <c r="O84" t="s">
        <v>401</v>
      </c>
    </row>
    <row r="85" spans="12:15" x14ac:dyDescent="0.35">
      <c r="L85" t="s">
        <v>275</v>
      </c>
      <c r="M85">
        <v>5</v>
      </c>
      <c r="N85" t="str">
        <f t="shared" si="4"/>
        <v>OTU_75;size=5;</v>
      </c>
      <c r="O85" t="s">
        <v>154</v>
      </c>
    </row>
    <row r="86" spans="12:15" x14ac:dyDescent="0.35">
      <c r="L86" t="s">
        <v>265</v>
      </c>
      <c r="M86">
        <v>5</v>
      </c>
      <c r="N86" t="str">
        <f t="shared" si="4"/>
        <v>OTU_81;size=5;</v>
      </c>
      <c r="O86" t="s">
        <v>92</v>
      </c>
    </row>
    <row r="87" spans="12:15" x14ac:dyDescent="0.35">
      <c r="L87" t="s">
        <v>465</v>
      </c>
      <c r="M87">
        <v>5</v>
      </c>
      <c r="N87" t="str">
        <f t="shared" si="4"/>
        <v>OTU_101;size=5;</v>
      </c>
      <c r="O87" t="s">
        <v>381</v>
      </c>
    </row>
    <row r="88" spans="12:15" x14ac:dyDescent="0.35">
      <c r="L88" t="s">
        <v>428</v>
      </c>
      <c r="M88">
        <v>5</v>
      </c>
      <c r="N88" t="str">
        <f t="shared" si="4"/>
        <v>OTU_118;size=5;</v>
      </c>
      <c r="O88" t="s">
        <v>328</v>
      </c>
    </row>
    <row r="89" spans="12:15" x14ac:dyDescent="0.35">
      <c r="L89" t="s">
        <v>242</v>
      </c>
      <c r="M89">
        <v>5</v>
      </c>
      <c r="N89" t="str">
        <f t="shared" si="4"/>
        <v>OTU_73;size=5;</v>
      </c>
      <c r="O89" t="s">
        <v>414</v>
      </c>
    </row>
    <row r="90" spans="12:15" x14ac:dyDescent="0.35">
      <c r="L90" t="s">
        <v>313</v>
      </c>
      <c r="M90">
        <v>5</v>
      </c>
      <c r="N90" t="str">
        <f t="shared" si="4"/>
        <v>OTU_96;size=5;</v>
      </c>
      <c r="O90" t="s">
        <v>328</v>
      </c>
    </row>
    <row r="91" spans="12:15" x14ac:dyDescent="0.35">
      <c r="L91" t="s">
        <v>323</v>
      </c>
      <c r="M91">
        <v>5</v>
      </c>
      <c r="N91" t="str">
        <f t="shared" si="4"/>
        <v>OTU_91;size=5;</v>
      </c>
      <c r="O91" t="s">
        <v>341</v>
      </c>
    </row>
    <row r="92" spans="12:15" x14ac:dyDescent="0.35">
      <c r="L92" t="s">
        <v>363</v>
      </c>
      <c r="M92">
        <v>5</v>
      </c>
      <c r="N92" t="str">
        <f t="shared" si="4"/>
        <v>OTU_111;size=5;</v>
      </c>
      <c r="O92" t="s">
        <v>399</v>
      </c>
    </row>
    <row r="93" spans="12:15" x14ac:dyDescent="0.35">
      <c r="L93" t="s">
        <v>386</v>
      </c>
      <c r="M93">
        <v>5</v>
      </c>
      <c r="N93" t="str">
        <f t="shared" si="4"/>
        <v>OTU_116;size=5;</v>
      </c>
      <c r="O93" t="s">
        <v>436</v>
      </c>
    </row>
    <row r="94" spans="12:15" x14ac:dyDescent="0.35">
      <c r="L94" t="s">
        <v>325</v>
      </c>
      <c r="M94">
        <v>4</v>
      </c>
      <c r="N94" t="str">
        <f t="shared" si="4"/>
        <v>OTU_110;size=4;</v>
      </c>
      <c r="O94" t="s">
        <v>33</v>
      </c>
    </row>
    <row r="95" spans="12:15" x14ac:dyDescent="0.35">
      <c r="L95" t="s">
        <v>277</v>
      </c>
      <c r="M95">
        <v>4</v>
      </c>
      <c r="N95" t="str">
        <f t="shared" si="4"/>
        <v>OTU_90;size=4;</v>
      </c>
      <c r="O95" t="s">
        <v>348</v>
      </c>
    </row>
    <row r="96" spans="12:15" x14ac:dyDescent="0.35">
      <c r="L96" t="s">
        <v>318</v>
      </c>
      <c r="M96">
        <v>4</v>
      </c>
      <c r="N96" t="str">
        <f t="shared" si="4"/>
        <v>OTU_95;size=4;</v>
      </c>
      <c r="O96" t="s">
        <v>202</v>
      </c>
    </row>
    <row r="97" spans="12:15" x14ac:dyDescent="0.35">
      <c r="L97" t="s">
        <v>359</v>
      </c>
      <c r="M97">
        <v>4</v>
      </c>
      <c r="N97" t="str">
        <f t="shared" si="4"/>
        <v>OTU_120;size=4;</v>
      </c>
      <c r="O97" t="s">
        <v>314</v>
      </c>
    </row>
    <row r="98" spans="12:15" x14ac:dyDescent="0.35">
      <c r="L98" t="s">
        <v>280</v>
      </c>
      <c r="M98">
        <v>4</v>
      </c>
      <c r="N98" t="str">
        <f t="shared" si="4"/>
        <v>OTU_84;size=4;</v>
      </c>
      <c r="O98" t="s">
        <v>441</v>
      </c>
    </row>
    <row r="99" spans="12:15" x14ac:dyDescent="0.35">
      <c r="L99" t="s">
        <v>427</v>
      </c>
      <c r="M99">
        <v>4</v>
      </c>
      <c r="N99" t="str">
        <f t="shared" si="4"/>
        <v>OTU_121;size=4;</v>
      </c>
      <c r="O99" t="s">
        <v>485</v>
      </c>
    </row>
    <row r="100" spans="12:15" x14ac:dyDescent="0.35">
      <c r="L100" t="s">
        <v>311</v>
      </c>
      <c r="M100">
        <v>4</v>
      </c>
      <c r="N100" t="str">
        <f t="shared" si="4"/>
        <v>OTU_98;size=4;</v>
      </c>
      <c r="O100" t="s">
        <v>384</v>
      </c>
    </row>
    <row r="101" spans="12:15" x14ac:dyDescent="0.35">
      <c r="L101" t="s">
        <v>322</v>
      </c>
      <c r="M101">
        <v>4</v>
      </c>
      <c r="N101" t="str">
        <f t="shared" si="4"/>
        <v>OTU_122;size=4;</v>
      </c>
      <c r="O101" t="s">
        <v>158</v>
      </c>
    </row>
    <row r="102" spans="12:15" x14ac:dyDescent="0.35">
      <c r="L102" t="s">
        <v>295</v>
      </c>
      <c r="M102">
        <v>4</v>
      </c>
      <c r="N102" t="str">
        <f t="shared" si="4"/>
        <v>OTU_82;size=4;</v>
      </c>
      <c r="O102" t="s">
        <v>615</v>
      </c>
    </row>
    <row r="103" spans="12:15" x14ac:dyDescent="0.35">
      <c r="L103" t="s">
        <v>241</v>
      </c>
      <c r="M103">
        <v>4</v>
      </c>
      <c r="N103" t="str">
        <f t="shared" si="4"/>
        <v>OTU_105;size=4;</v>
      </c>
      <c r="O103" t="s">
        <v>312</v>
      </c>
    </row>
    <row r="104" spans="12:15" x14ac:dyDescent="0.35">
      <c r="L104" t="s">
        <v>266</v>
      </c>
      <c r="M104">
        <v>4</v>
      </c>
      <c r="N104" t="str">
        <f t="shared" si="4"/>
        <v>OTU_80;size=4;</v>
      </c>
      <c r="O104" t="s">
        <v>516</v>
      </c>
    </row>
    <row r="105" spans="12:15" x14ac:dyDescent="0.35">
      <c r="L105" t="s">
        <v>264</v>
      </c>
      <c r="M105">
        <v>4</v>
      </c>
      <c r="N105" t="str">
        <f t="shared" si="4"/>
        <v>OTU_77;size=4;</v>
      </c>
      <c r="O105" t="s">
        <v>543</v>
      </c>
    </row>
    <row r="106" spans="12:15" x14ac:dyDescent="0.35">
      <c r="L106" t="s">
        <v>271</v>
      </c>
      <c r="M106">
        <v>3</v>
      </c>
      <c r="N106" t="str">
        <f t="shared" si="4"/>
        <v>OTU_86;size=3;</v>
      </c>
      <c r="O106" t="s">
        <v>401</v>
      </c>
    </row>
    <row r="107" spans="12:15" x14ac:dyDescent="0.35">
      <c r="L107" t="s">
        <v>287</v>
      </c>
      <c r="M107">
        <v>3</v>
      </c>
      <c r="N107" t="str">
        <f t="shared" si="4"/>
        <v>OTU_83;size=3;</v>
      </c>
      <c r="O107" t="s">
        <v>401</v>
      </c>
    </row>
    <row r="108" spans="12:15" x14ac:dyDescent="0.35">
      <c r="L108" t="s">
        <v>253</v>
      </c>
      <c r="M108">
        <v>3</v>
      </c>
      <c r="N108" t="str">
        <f t="shared" si="4"/>
        <v>OTU_76;size=3;</v>
      </c>
      <c r="O108" t="s">
        <v>170</v>
      </c>
    </row>
    <row r="109" spans="12:15" x14ac:dyDescent="0.35">
      <c r="L109" t="s">
        <v>327</v>
      </c>
      <c r="M109">
        <v>3</v>
      </c>
      <c r="N109" t="str">
        <f t="shared" si="4"/>
        <v>OTU_102;size=3;</v>
      </c>
      <c r="O109" t="s">
        <v>125</v>
      </c>
    </row>
    <row r="110" spans="12:15" x14ac:dyDescent="0.35">
      <c r="L110" t="s">
        <v>333</v>
      </c>
      <c r="M110">
        <v>3</v>
      </c>
      <c r="N110" t="str">
        <f t="shared" si="4"/>
        <v>OTU_104;size=3;</v>
      </c>
      <c r="O110" t="s">
        <v>412</v>
      </c>
    </row>
    <row r="111" spans="12:15" x14ac:dyDescent="0.35">
      <c r="L111" t="s">
        <v>369</v>
      </c>
      <c r="M111">
        <v>3</v>
      </c>
      <c r="N111" t="str">
        <f t="shared" si="4"/>
        <v>OTU_114;size=3;</v>
      </c>
      <c r="O111" t="s">
        <v>563</v>
      </c>
    </row>
    <row r="112" spans="12:15" x14ac:dyDescent="0.35">
      <c r="L112" t="s">
        <v>233</v>
      </c>
      <c r="M112">
        <v>3</v>
      </c>
      <c r="N112" t="str">
        <f t="shared" si="4"/>
        <v>OTU_85;size=3;</v>
      </c>
      <c r="O112" t="s">
        <v>401</v>
      </c>
    </row>
    <row r="113" spans="12:15" x14ac:dyDescent="0.35">
      <c r="L113" t="s">
        <v>344</v>
      </c>
      <c r="M113">
        <v>2</v>
      </c>
      <c r="N113" t="str">
        <f t="shared" si="4"/>
        <v>OTU_107;size=2;</v>
      </c>
      <c r="O113" t="s">
        <v>401</v>
      </c>
    </row>
    <row r="114" spans="12:15" x14ac:dyDescent="0.35">
      <c r="L114" t="s">
        <v>301</v>
      </c>
      <c r="M114">
        <v>2</v>
      </c>
      <c r="N114" t="str">
        <f t="shared" si="4"/>
        <v>OTU_93;size=2;</v>
      </c>
      <c r="O114" t="s">
        <v>597</v>
      </c>
    </row>
    <row r="115" spans="12:15" x14ac:dyDescent="0.35">
      <c r="L115" t="s">
        <v>303</v>
      </c>
      <c r="M115">
        <v>2</v>
      </c>
      <c r="N115" t="str">
        <f t="shared" si="4"/>
        <v>OTU_113;size=2;</v>
      </c>
      <c r="O115" t="s">
        <v>152</v>
      </c>
    </row>
    <row r="116" spans="12:15" x14ac:dyDescent="0.35">
      <c r="L116" t="s">
        <v>315</v>
      </c>
      <c r="M116">
        <v>2</v>
      </c>
      <c r="N116" t="str">
        <f t="shared" si="4"/>
        <v>OTU_97;size=2;</v>
      </c>
      <c r="O116" t="s">
        <v>401</v>
      </c>
    </row>
    <row r="117" spans="12:15" x14ac:dyDescent="0.35">
      <c r="L117" t="s">
        <v>338</v>
      </c>
      <c r="M117">
        <v>2</v>
      </c>
      <c r="N117" t="str">
        <f t="shared" si="4"/>
        <v>OTU_119;size=2;</v>
      </c>
      <c r="O117" t="s">
        <v>401</v>
      </c>
    </row>
    <row r="118" spans="12:15" x14ac:dyDescent="0.35">
      <c r="L118" t="s">
        <v>400</v>
      </c>
      <c r="M118">
        <v>2</v>
      </c>
      <c r="N118" t="str">
        <f t="shared" si="4"/>
        <v>OTU_112;size=2;</v>
      </c>
      <c r="O118" t="s">
        <v>426</v>
      </c>
    </row>
    <row r="119" spans="12:15" x14ac:dyDescent="0.35">
      <c r="L119" t="s">
        <v>336</v>
      </c>
      <c r="M119">
        <v>2</v>
      </c>
      <c r="N119" t="str">
        <f t="shared" si="4"/>
        <v>OTU_99;size=2;</v>
      </c>
      <c r="O119" t="s">
        <v>503</v>
      </c>
    </row>
    <row r="120" spans="12:15" x14ac:dyDescent="0.35">
      <c r="L120" t="s">
        <v>289</v>
      </c>
      <c r="M120">
        <v>2</v>
      </c>
      <c r="N120" t="str">
        <f t="shared" si="4"/>
        <v>OTU_88;size=2;</v>
      </c>
      <c r="O120" t="s">
        <v>476</v>
      </c>
    </row>
    <row r="121" spans="12:15" x14ac:dyDescent="0.35">
      <c r="L121" t="s">
        <v>346</v>
      </c>
      <c r="M121">
        <v>2</v>
      </c>
      <c r="N121" t="str">
        <f t="shared" si="4"/>
        <v>OTU_117;size=2;</v>
      </c>
      <c r="O121" t="s">
        <v>401</v>
      </c>
    </row>
    <row r="122" spans="12:15" x14ac:dyDescent="0.35">
      <c r="L122" t="s">
        <v>306</v>
      </c>
      <c r="M122">
        <v>2</v>
      </c>
      <c r="N122" t="str">
        <f t="shared" si="4"/>
        <v>OTU_89;size=2;</v>
      </c>
      <c r="O122" t="s">
        <v>592</v>
      </c>
    </row>
    <row r="123" spans="12:15" x14ac:dyDescent="0.35">
      <c r="L123" t="s">
        <v>300</v>
      </c>
      <c r="M123">
        <v>2</v>
      </c>
      <c r="N123" t="str">
        <f t="shared" si="4"/>
        <v>OTU_92;size=2;</v>
      </c>
      <c r="O123" t="s">
        <v>360</v>
      </c>
    </row>
    <row r="124" spans="12:15" x14ac:dyDescent="0.35">
      <c r="L124" t="s">
        <v>355</v>
      </c>
      <c r="M124">
        <v>2</v>
      </c>
      <c r="N124" t="str">
        <f t="shared" si="4"/>
        <v>OTU_115;size=2;</v>
      </c>
      <c r="O124" t="s">
        <v>1631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31" workbookViewId="0">
      <selection activeCell="F1" sqref="F1"/>
    </sheetView>
  </sheetViews>
  <sheetFormatPr defaultRowHeight="14.5" x14ac:dyDescent="0.35"/>
  <cols>
    <col min="1" max="1" width="151.453125" customWidth="1"/>
    <col min="4" max="4" width="118.453125" customWidth="1"/>
    <col min="7" max="7" width="8.81640625" customWidth="1"/>
  </cols>
  <sheetData>
    <row r="1" spans="1:10" x14ac:dyDescent="0.35">
      <c r="A1" t="s">
        <v>2145</v>
      </c>
      <c r="B1" t="s">
        <v>1087</v>
      </c>
      <c r="D1" t="s">
        <v>2135</v>
      </c>
      <c r="E1" t="s">
        <v>1087</v>
      </c>
      <c r="G1" t="s">
        <v>2125</v>
      </c>
    </row>
    <row r="2" spans="1:10" x14ac:dyDescent="0.35">
      <c r="A2" t="s">
        <v>1088</v>
      </c>
      <c r="B2">
        <v>74.856890000000007</v>
      </c>
      <c r="D2" t="s">
        <v>1089</v>
      </c>
      <c r="E2">
        <v>69.363560000000007</v>
      </c>
      <c r="G2" t="s">
        <v>1088</v>
      </c>
      <c r="H2">
        <v>93.684380000000004</v>
      </c>
    </row>
    <row r="3" spans="1:10" x14ac:dyDescent="0.35">
      <c r="A3" t="s">
        <v>1089</v>
      </c>
      <c r="B3">
        <v>25.14311</v>
      </c>
      <c r="D3" t="s">
        <v>1088</v>
      </c>
      <c r="E3">
        <v>30.63644</v>
      </c>
      <c r="G3" t="s">
        <v>1089</v>
      </c>
      <c r="H3">
        <v>6.31562</v>
      </c>
    </row>
    <row r="4" spans="1:10" x14ac:dyDescent="0.35">
      <c r="A4" t="s">
        <v>1090</v>
      </c>
      <c r="B4">
        <v>74.856890000000007</v>
      </c>
      <c r="D4" t="s">
        <v>1094</v>
      </c>
      <c r="E4">
        <v>41.850239999999999</v>
      </c>
      <c r="G4" t="s">
        <v>1088</v>
      </c>
      <c r="H4" t="s">
        <v>1174</v>
      </c>
      <c r="I4">
        <v>93.684380000000004</v>
      </c>
    </row>
    <row r="5" spans="1:10" x14ac:dyDescent="0.35">
      <c r="A5" t="s">
        <v>1091</v>
      </c>
      <c r="B5">
        <v>25.132719999999999</v>
      </c>
      <c r="D5" t="s">
        <v>1090</v>
      </c>
      <c r="E5">
        <v>30.63644</v>
      </c>
      <c r="G5" t="s">
        <v>1089</v>
      </c>
      <c r="H5" t="s">
        <v>1185</v>
      </c>
      <c r="I5">
        <v>5.4662499999999996</v>
      </c>
    </row>
    <row r="6" spans="1:10" x14ac:dyDescent="0.35">
      <c r="A6" t="s">
        <v>1092</v>
      </c>
      <c r="B6">
        <v>7.11E-3</v>
      </c>
      <c r="D6" t="s">
        <v>1239</v>
      </c>
      <c r="E6">
        <v>22.408349999999999</v>
      </c>
      <c r="G6" t="s">
        <v>1089</v>
      </c>
      <c r="H6" t="s">
        <v>1288</v>
      </c>
      <c r="I6">
        <v>0.46745999999999999</v>
      </c>
    </row>
    <row r="7" spans="1:10" x14ac:dyDescent="0.35">
      <c r="A7" t="s">
        <v>1093</v>
      </c>
      <c r="B7">
        <v>2.9299999999999999E-3</v>
      </c>
      <c r="D7" t="s">
        <v>1093</v>
      </c>
      <c r="E7">
        <v>5.1049699999999998</v>
      </c>
      <c r="G7" t="s">
        <v>1089</v>
      </c>
      <c r="H7" t="s">
        <v>1289</v>
      </c>
      <c r="I7">
        <v>0.37515999999999999</v>
      </c>
    </row>
    <row r="8" spans="1:10" x14ac:dyDescent="0.35">
      <c r="A8" t="s">
        <v>1094</v>
      </c>
      <c r="B8">
        <v>3.5E-4</v>
      </c>
      <c r="D8" t="s">
        <v>1103</v>
      </c>
      <c r="E8">
        <v>41.850239999999999</v>
      </c>
      <c r="G8" t="s">
        <v>1089</v>
      </c>
      <c r="H8" t="s">
        <v>1224</v>
      </c>
      <c r="I8">
        <v>6.7499999999999999E-3</v>
      </c>
    </row>
    <row r="9" spans="1:10" x14ac:dyDescent="0.35">
      <c r="A9" t="s">
        <v>1095</v>
      </c>
      <c r="B9">
        <v>45.55903</v>
      </c>
      <c r="D9" t="s">
        <v>1095</v>
      </c>
      <c r="E9">
        <v>30.61673</v>
      </c>
      <c r="G9" t="s">
        <v>1088</v>
      </c>
      <c r="H9" t="s">
        <v>1174</v>
      </c>
      <c r="I9" t="s">
        <v>1180</v>
      </c>
      <c r="J9">
        <v>93.676760000000002</v>
      </c>
    </row>
    <row r="10" spans="1:10" x14ac:dyDescent="0.35">
      <c r="A10" t="s">
        <v>1096</v>
      </c>
      <c r="B10">
        <v>29.29786</v>
      </c>
      <c r="D10" t="s">
        <v>1240</v>
      </c>
      <c r="E10">
        <v>22.408349999999999</v>
      </c>
      <c r="G10" t="s">
        <v>1089</v>
      </c>
      <c r="H10" t="s">
        <v>1185</v>
      </c>
      <c r="I10" t="s">
        <v>1186</v>
      </c>
      <c r="J10">
        <v>4.1868600000000002</v>
      </c>
    </row>
    <row r="11" spans="1:10" x14ac:dyDescent="0.35">
      <c r="A11" t="s">
        <v>1097</v>
      </c>
      <c r="B11">
        <v>19.103850000000001</v>
      </c>
      <c r="D11" t="s">
        <v>1102</v>
      </c>
      <c r="E11">
        <v>5.0814899999999996</v>
      </c>
      <c r="G11" t="s">
        <v>1089</v>
      </c>
      <c r="H11" t="s">
        <v>1185</v>
      </c>
      <c r="I11" t="s">
        <v>1205</v>
      </c>
      <c r="J11">
        <v>1.1403300000000001</v>
      </c>
    </row>
    <row r="12" spans="1:10" x14ac:dyDescent="0.35">
      <c r="A12" t="s">
        <v>1098</v>
      </c>
      <c r="B12">
        <v>5.9899300000000002</v>
      </c>
      <c r="D12" t="s">
        <v>1241</v>
      </c>
      <c r="E12">
        <v>2.3470000000000001E-2</v>
      </c>
      <c r="G12" t="s">
        <v>1089</v>
      </c>
      <c r="H12" t="s">
        <v>1288</v>
      </c>
      <c r="I12" t="s">
        <v>1290</v>
      </c>
      <c r="J12">
        <v>0.46745999999999999</v>
      </c>
    </row>
    <row r="13" spans="1:10" x14ac:dyDescent="0.35">
      <c r="A13" t="s">
        <v>1099</v>
      </c>
      <c r="B13">
        <v>2.0660000000000001E-2</v>
      </c>
      <c r="D13" t="s">
        <v>1096</v>
      </c>
      <c r="E13">
        <v>1.9709999999999998E-2</v>
      </c>
      <c r="G13" t="s">
        <v>1089</v>
      </c>
      <c r="H13" t="s">
        <v>1289</v>
      </c>
      <c r="I13" t="s">
        <v>1291</v>
      </c>
      <c r="J13">
        <v>0.37515999999999999</v>
      </c>
    </row>
    <row r="14" spans="1:10" x14ac:dyDescent="0.35">
      <c r="A14" t="s">
        <v>1100</v>
      </c>
      <c r="B14">
        <v>1.8280000000000001E-2</v>
      </c>
      <c r="D14" t="s">
        <v>1114</v>
      </c>
      <c r="E14">
        <v>41.850239999999999</v>
      </c>
      <c r="G14" t="s">
        <v>1089</v>
      </c>
      <c r="H14" t="s">
        <v>1185</v>
      </c>
      <c r="I14" t="s">
        <v>1191</v>
      </c>
      <c r="J14">
        <v>0.13907</v>
      </c>
    </row>
    <row r="15" spans="1:10" x14ac:dyDescent="0.35">
      <c r="A15" t="s">
        <v>1101</v>
      </c>
      <c r="B15">
        <v>7.11E-3</v>
      </c>
      <c r="D15" t="s">
        <v>1104</v>
      </c>
      <c r="E15">
        <v>30.61673</v>
      </c>
      <c r="G15" t="s">
        <v>1088</v>
      </c>
      <c r="H15" t="s">
        <v>1174</v>
      </c>
      <c r="I15" t="s">
        <v>1175</v>
      </c>
      <c r="J15">
        <v>7.62E-3</v>
      </c>
    </row>
    <row r="16" spans="1:10" x14ac:dyDescent="0.35">
      <c r="A16" t="s">
        <v>1102</v>
      </c>
      <c r="B16">
        <v>2.9299999999999999E-3</v>
      </c>
      <c r="D16" t="s">
        <v>1242</v>
      </c>
      <c r="E16">
        <v>22.408349999999999</v>
      </c>
      <c r="G16" t="s">
        <v>1089</v>
      </c>
      <c r="H16" t="s">
        <v>1224</v>
      </c>
      <c r="I16" t="s">
        <v>1225</v>
      </c>
      <c r="J16">
        <v>6.7499999999999999E-3</v>
      </c>
    </row>
    <row r="17" spans="1:12" x14ac:dyDescent="0.35">
      <c r="A17" t="s">
        <v>1103</v>
      </c>
      <c r="B17">
        <v>3.5E-4</v>
      </c>
      <c r="D17" t="s">
        <v>1112</v>
      </c>
      <c r="E17">
        <v>5.0814899999999996</v>
      </c>
      <c r="G17" t="s">
        <v>1088</v>
      </c>
      <c r="H17" t="s">
        <v>1174</v>
      </c>
      <c r="I17" t="s">
        <v>1180</v>
      </c>
      <c r="J17" t="s">
        <v>1181</v>
      </c>
      <c r="K17">
        <v>92.052729999999997</v>
      </c>
    </row>
    <row r="18" spans="1:12" x14ac:dyDescent="0.35">
      <c r="A18" t="s">
        <v>1104</v>
      </c>
      <c r="B18">
        <v>45.55903</v>
      </c>
      <c r="D18" t="s">
        <v>1105</v>
      </c>
      <c r="E18">
        <v>1.9709999999999998E-2</v>
      </c>
      <c r="G18" t="s">
        <v>1089</v>
      </c>
      <c r="H18" t="s">
        <v>1185</v>
      </c>
      <c r="I18" t="s">
        <v>1186</v>
      </c>
      <c r="J18" t="s">
        <v>1187</v>
      </c>
      <c r="K18">
        <v>4.1868600000000002</v>
      </c>
    </row>
    <row r="19" spans="1:12" x14ac:dyDescent="0.35">
      <c r="A19" t="s">
        <v>1105</v>
      </c>
      <c r="B19">
        <v>29.295649999999998</v>
      </c>
      <c r="D19" t="s">
        <v>1243</v>
      </c>
      <c r="E19">
        <v>1.8620000000000001E-2</v>
      </c>
      <c r="G19" t="s">
        <v>1088</v>
      </c>
      <c r="H19" t="s">
        <v>1174</v>
      </c>
      <c r="I19" t="s">
        <v>1180</v>
      </c>
      <c r="J19" t="s">
        <v>1292</v>
      </c>
      <c r="K19">
        <v>1.6240300000000001</v>
      </c>
    </row>
    <row r="20" spans="1:12" x14ac:dyDescent="0.35">
      <c r="A20" t="s">
        <v>1106</v>
      </c>
      <c r="B20">
        <v>19.103850000000001</v>
      </c>
      <c r="D20" t="s">
        <v>1244</v>
      </c>
      <c r="E20">
        <v>4.8500000000000001E-3</v>
      </c>
      <c r="G20" t="s">
        <v>1089</v>
      </c>
      <c r="H20" t="s">
        <v>1185</v>
      </c>
      <c r="I20" t="s">
        <v>1205</v>
      </c>
      <c r="J20" t="s">
        <v>1206</v>
      </c>
      <c r="K20">
        <v>1.1403300000000001</v>
      </c>
    </row>
    <row r="21" spans="1:12" x14ac:dyDescent="0.35">
      <c r="A21" t="s">
        <v>1107</v>
      </c>
      <c r="B21">
        <v>5.9899300000000002</v>
      </c>
      <c r="D21" t="s">
        <v>1127</v>
      </c>
      <c r="E21">
        <v>41.850239999999999</v>
      </c>
      <c r="G21" t="s">
        <v>1089</v>
      </c>
      <c r="H21" t="s">
        <v>1288</v>
      </c>
      <c r="I21" t="s">
        <v>1290</v>
      </c>
      <c r="J21" t="s">
        <v>1293</v>
      </c>
      <c r="K21">
        <v>0.46745999999999999</v>
      </c>
    </row>
    <row r="22" spans="1:12" x14ac:dyDescent="0.35">
      <c r="A22" t="s">
        <v>1108</v>
      </c>
      <c r="B22">
        <v>1.8280000000000001E-2</v>
      </c>
      <c r="D22" t="s">
        <v>1115</v>
      </c>
      <c r="E22">
        <v>30.61673</v>
      </c>
      <c r="G22" t="s">
        <v>1089</v>
      </c>
      <c r="H22" t="s">
        <v>1289</v>
      </c>
      <c r="I22" t="s">
        <v>1291</v>
      </c>
      <c r="J22" t="s">
        <v>1294</v>
      </c>
      <c r="K22">
        <v>0.37515999999999999</v>
      </c>
    </row>
    <row r="23" spans="1:12" x14ac:dyDescent="0.35">
      <c r="A23" t="s">
        <v>1109</v>
      </c>
      <c r="B23">
        <v>1.227E-2</v>
      </c>
      <c r="D23" t="s">
        <v>1245</v>
      </c>
      <c r="E23">
        <v>22.408349999999999</v>
      </c>
      <c r="G23" t="s">
        <v>1089</v>
      </c>
      <c r="H23" t="s">
        <v>1185</v>
      </c>
      <c r="I23" t="s">
        <v>1191</v>
      </c>
      <c r="J23" t="s">
        <v>1192</v>
      </c>
      <c r="K23">
        <v>0.13907</v>
      </c>
    </row>
    <row r="24" spans="1:12" x14ac:dyDescent="0.35">
      <c r="A24" t="s">
        <v>1110</v>
      </c>
      <c r="B24">
        <v>8.3899999999999999E-3</v>
      </c>
      <c r="D24" t="s">
        <v>1125</v>
      </c>
      <c r="E24">
        <v>5.0814899999999996</v>
      </c>
      <c r="G24" t="s">
        <v>1088</v>
      </c>
      <c r="H24" t="s">
        <v>1174</v>
      </c>
      <c r="I24" t="s">
        <v>1175</v>
      </c>
      <c r="J24" t="s">
        <v>1176</v>
      </c>
      <c r="K24">
        <v>7.62E-3</v>
      </c>
    </row>
    <row r="25" spans="1:12" x14ac:dyDescent="0.35">
      <c r="A25" t="s">
        <v>1111</v>
      </c>
      <c r="B25">
        <v>7.11E-3</v>
      </c>
      <c r="D25" t="s">
        <v>1246</v>
      </c>
      <c r="E25">
        <v>1.8620000000000001E-2</v>
      </c>
      <c r="G25" t="s">
        <v>1089</v>
      </c>
      <c r="H25" t="s">
        <v>1224</v>
      </c>
      <c r="I25" t="s">
        <v>1225</v>
      </c>
      <c r="J25" t="s">
        <v>1226</v>
      </c>
      <c r="K25">
        <v>6.7499999999999999E-3</v>
      </c>
    </row>
    <row r="26" spans="1:12" x14ac:dyDescent="0.35">
      <c r="A26" t="s">
        <v>1112</v>
      </c>
      <c r="B26">
        <v>2.9299999999999999E-3</v>
      </c>
      <c r="D26" t="s">
        <v>1116</v>
      </c>
      <c r="E26">
        <v>1.6289999999999999E-2</v>
      </c>
      <c r="G26" t="s">
        <v>1088</v>
      </c>
      <c r="H26" t="s">
        <v>1174</v>
      </c>
      <c r="I26" t="s">
        <v>1180</v>
      </c>
      <c r="J26" t="s">
        <v>1181</v>
      </c>
      <c r="K26" t="s">
        <v>1196</v>
      </c>
      <c r="L26">
        <v>84.853210000000004</v>
      </c>
    </row>
    <row r="27" spans="1:12" x14ac:dyDescent="0.35">
      <c r="A27" t="s">
        <v>1113</v>
      </c>
      <c r="B27">
        <v>2.2100000000000002E-3</v>
      </c>
      <c r="D27" t="s">
        <v>1247</v>
      </c>
      <c r="E27">
        <v>4.8500000000000001E-3</v>
      </c>
      <c r="G27" t="s">
        <v>1088</v>
      </c>
      <c r="H27" t="s">
        <v>1174</v>
      </c>
      <c r="I27" t="s">
        <v>1180</v>
      </c>
      <c r="J27" t="s">
        <v>1181</v>
      </c>
      <c r="K27" t="s">
        <v>1182</v>
      </c>
      <c r="L27">
        <v>7.1995300000000002</v>
      </c>
    </row>
    <row r="28" spans="1:12" x14ac:dyDescent="0.35">
      <c r="A28" t="s">
        <v>1114</v>
      </c>
      <c r="B28">
        <v>3.5E-4</v>
      </c>
      <c r="D28" t="s">
        <v>1119</v>
      </c>
      <c r="E28">
        <v>3.4199999999999999E-3</v>
      </c>
      <c r="G28" t="s">
        <v>1089</v>
      </c>
      <c r="H28" t="s">
        <v>1185</v>
      </c>
      <c r="I28" t="s">
        <v>1186</v>
      </c>
      <c r="J28" t="s">
        <v>1187</v>
      </c>
      <c r="K28" t="s">
        <v>1188</v>
      </c>
      <c r="L28">
        <v>4.1868600000000002</v>
      </c>
    </row>
    <row r="29" spans="1:12" x14ac:dyDescent="0.35">
      <c r="A29" t="s">
        <v>1115</v>
      </c>
      <c r="B29">
        <v>45.55903</v>
      </c>
      <c r="D29" t="s">
        <v>1143</v>
      </c>
      <c r="E29">
        <v>41.850239999999999</v>
      </c>
      <c r="G29" t="s">
        <v>1088</v>
      </c>
      <c r="H29" t="s">
        <v>1174</v>
      </c>
      <c r="I29" t="s">
        <v>1180</v>
      </c>
      <c r="J29" t="s">
        <v>1292</v>
      </c>
      <c r="K29" t="s">
        <v>1295</v>
      </c>
      <c r="L29">
        <v>1.23634</v>
      </c>
    </row>
    <row r="30" spans="1:12" x14ac:dyDescent="0.35">
      <c r="A30" t="s">
        <v>1116</v>
      </c>
      <c r="B30">
        <v>26.458359999999999</v>
      </c>
      <c r="D30" t="s">
        <v>1248</v>
      </c>
      <c r="E30">
        <v>30.60811</v>
      </c>
      <c r="G30" t="s">
        <v>1089</v>
      </c>
      <c r="H30" t="s">
        <v>1185</v>
      </c>
      <c r="I30" t="s">
        <v>1205</v>
      </c>
      <c r="J30" t="s">
        <v>1206</v>
      </c>
      <c r="K30" t="s">
        <v>1207</v>
      </c>
      <c r="L30">
        <v>1.1403300000000001</v>
      </c>
    </row>
    <row r="31" spans="1:12" x14ac:dyDescent="0.35">
      <c r="A31" t="s">
        <v>1117</v>
      </c>
      <c r="B31">
        <v>19.103850000000001</v>
      </c>
      <c r="D31" t="s">
        <v>1249</v>
      </c>
      <c r="E31">
        <v>22.408349999999999</v>
      </c>
      <c r="G31" t="s">
        <v>1089</v>
      </c>
      <c r="H31" t="s">
        <v>1288</v>
      </c>
      <c r="I31" t="s">
        <v>1290</v>
      </c>
      <c r="J31" t="s">
        <v>1293</v>
      </c>
      <c r="K31" t="s">
        <v>1296</v>
      </c>
      <c r="L31">
        <v>0.46745999999999999</v>
      </c>
    </row>
    <row r="32" spans="1:12" x14ac:dyDescent="0.35">
      <c r="A32" t="s">
        <v>1118</v>
      </c>
      <c r="B32">
        <v>5.9649900000000002</v>
      </c>
      <c r="D32" t="s">
        <v>1141</v>
      </c>
      <c r="E32">
        <v>5.0814899999999996</v>
      </c>
      <c r="G32" t="s">
        <v>1088</v>
      </c>
      <c r="H32" t="s">
        <v>1174</v>
      </c>
      <c r="I32" t="s">
        <v>1180</v>
      </c>
      <c r="J32" t="s">
        <v>1292</v>
      </c>
      <c r="K32" t="s">
        <v>1297</v>
      </c>
      <c r="L32">
        <v>0.38768999999999998</v>
      </c>
    </row>
    <row r="33" spans="1:13" x14ac:dyDescent="0.35">
      <c r="A33" t="s">
        <v>1119</v>
      </c>
      <c r="B33">
        <v>2.8372899999999999</v>
      </c>
      <c r="D33" t="s">
        <v>1250</v>
      </c>
      <c r="E33">
        <v>1.8620000000000001E-2</v>
      </c>
      <c r="G33" t="s">
        <v>1089</v>
      </c>
      <c r="H33" t="s">
        <v>1289</v>
      </c>
      <c r="I33" t="s">
        <v>1291</v>
      </c>
      <c r="J33" t="s">
        <v>1294</v>
      </c>
      <c r="K33" t="s">
        <v>1298</v>
      </c>
      <c r="L33">
        <v>0.37515999999999999</v>
      </c>
    </row>
    <row r="34" spans="1:13" x14ac:dyDescent="0.35">
      <c r="A34" t="s">
        <v>1120</v>
      </c>
      <c r="B34">
        <v>2.494E-2</v>
      </c>
      <c r="D34" t="s">
        <v>1130</v>
      </c>
      <c r="E34">
        <v>1.6289999999999999E-2</v>
      </c>
      <c r="G34" t="s">
        <v>1089</v>
      </c>
      <c r="H34" t="s">
        <v>1185</v>
      </c>
      <c r="I34" t="s">
        <v>1191</v>
      </c>
      <c r="J34" t="s">
        <v>1192</v>
      </c>
      <c r="K34" t="s">
        <v>1193</v>
      </c>
      <c r="L34">
        <v>0.13907</v>
      </c>
    </row>
    <row r="35" spans="1:13" x14ac:dyDescent="0.35">
      <c r="A35" t="s">
        <v>1121</v>
      </c>
      <c r="B35">
        <v>1.8280000000000001E-2</v>
      </c>
      <c r="D35" t="s">
        <v>1129</v>
      </c>
      <c r="E35">
        <v>6.1599999999999997E-3</v>
      </c>
      <c r="G35" t="s">
        <v>1088</v>
      </c>
      <c r="H35" t="s">
        <v>1174</v>
      </c>
      <c r="I35" t="s">
        <v>1175</v>
      </c>
      <c r="J35" t="s">
        <v>1176</v>
      </c>
      <c r="K35" t="s">
        <v>1177</v>
      </c>
      <c r="L35">
        <v>7.62E-3</v>
      </c>
    </row>
    <row r="36" spans="1:13" x14ac:dyDescent="0.35">
      <c r="A36" t="s">
        <v>1122</v>
      </c>
      <c r="B36">
        <v>1.227E-2</v>
      </c>
      <c r="D36" t="s">
        <v>1251</v>
      </c>
      <c r="E36">
        <v>4.8500000000000001E-3</v>
      </c>
      <c r="G36" t="s">
        <v>1089</v>
      </c>
      <c r="H36" t="s">
        <v>1224</v>
      </c>
      <c r="I36" t="s">
        <v>1225</v>
      </c>
      <c r="J36" t="s">
        <v>1226</v>
      </c>
      <c r="K36" t="s">
        <v>1236</v>
      </c>
      <c r="L36">
        <v>6.7499999999999999E-3</v>
      </c>
    </row>
    <row r="37" spans="1:13" x14ac:dyDescent="0.35">
      <c r="A37" t="s">
        <v>1123</v>
      </c>
      <c r="B37">
        <v>8.3899999999999999E-3</v>
      </c>
      <c r="D37" t="s">
        <v>1133</v>
      </c>
      <c r="E37">
        <v>3.4199999999999999E-3</v>
      </c>
      <c r="G37" t="s">
        <v>1088</v>
      </c>
      <c r="H37" t="s">
        <v>1174</v>
      </c>
      <c r="I37" t="s">
        <v>1180</v>
      </c>
      <c r="J37" t="s">
        <v>1181</v>
      </c>
      <c r="K37" t="s">
        <v>1196</v>
      </c>
      <c r="L37" t="s">
        <v>1197</v>
      </c>
      <c r="M37">
        <v>84.633099999999999</v>
      </c>
    </row>
    <row r="38" spans="1:13" x14ac:dyDescent="0.35">
      <c r="A38" t="s">
        <v>1124</v>
      </c>
      <c r="B38">
        <v>7.11E-3</v>
      </c>
      <c r="D38" t="s">
        <v>1138</v>
      </c>
      <c r="E38">
        <v>2.4499999999999999E-3</v>
      </c>
      <c r="G38" t="s">
        <v>1088</v>
      </c>
      <c r="H38" t="s">
        <v>1174</v>
      </c>
      <c r="I38" t="s">
        <v>1180</v>
      </c>
      <c r="J38" t="s">
        <v>1181</v>
      </c>
      <c r="K38" t="s">
        <v>1182</v>
      </c>
      <c r="L38" t="s">
        <v>1183</v>
      </c>
      <c r="M38">
        <v>7.1995300000000002</v>
      </c>
    </row>
    <row r="39" spans="1:13" x14ac:dyDescent="0.35">
      <c r="A39" t="s">
        <v>1125</v>
      </c>
      <c r="B39">
        <v>2.7399999999999998E-3</v>
      </c>
      <c r="D39" t="s">
        <v>1161</v>
      </c>
      <c r="E39">
        <v>41.850239999999999</v>
      </c>
      <c r="G39" t="s">
        <v>1089</v>
      </c>
      <c r="H39" t="s">
        <v>1185</v>
      </c>
      <c r="I39" t="s">
        <v>1186</v>
      </c>
      <c r="J39" t="s">
        <v>1187</v>
      </c>
      <c r="K39" t="s">
        <v>1188</v>
      </c>
      <c r="L39" t="s">
        <v>1189</v>
      </c>
      <c r="M39">
        <v>4.1868600000000002</v>
      </c>
    </row>
    <row r="40" spans="1:13" x14ac:dyDescent="0.35">
      <c r="A40" t="s">
        <v>1126</v>
      </c>
      <c r="B40">
        <v>2.2100000000000002E-3</v>
      </c>
      <c r="D40" t="s">
        <v>1252</v>
      </c>
      <c r="E40">
        <v>23.065989999999999</v>
      </c>
      <c r="G40" t="s">
        <v>1088</v>
      </c>
      <c r="H40" t="s">
        <v>1174</v>
      </c>
      <c r="I40" t="s">
        <v>1180</v>
      </c>
      <c r="J40" t="s">
        <v>1292</v>
      </c>
      <c r="K40" t="s">
        <v>1295</v>
      </c>
      <c r="L40" t="s">
        <v>1299</v>
      </c>
      <c r="M40">
        <v>1.23506</v>
      </c>
    </row>
    <row r="41" spans="1:13" x14ac:dyDescent="0.35">
      <c r="A41" t="s">
        <v>1127</v>
      </c>
      <c r="B41">
        <v>3.5E-4</v>
      </c>
      <c r="D41" t="s">
        <v>1253</v>
      </c>
      <c r="E41">
        <v>22.408349999999999</v>
      </c>
      <c r="G41" t="s">
        <v>1089</v>
      </c>
      <c r="H41" t="s">
        <v>1185</v>
      </c>
      <c r="I41" t="s">
        <v>1205</v>
      </c>
      <c r="J41" t="s">
        <v>1206</v>
      </c>
      <c r="K41" t="s">
        <v>1207</v>
      </c>
      <c r="L41" t="s">
        <v>1208</v>
      </c>
      <c r="M41">
        <v>1.1403300000000001</v>
      </c>
    </row>
    <row r="42" spans="1:13" x14ac:dyDescent="0.35">
      <c r="A42" t="s">
        <v>1128</v>
      </c>
      <c r="B42">
        <v>1.8000000000000001E-4</v>
      </c>
      <c r="D42" t="s">
        <v>1254</v>
      </c>
      <c r="E42">
        <v>7.4619299999999997</v>
      </c>
      <c r="G42" t="s">
        <v>1089</v>
      </c>
      <c r="H42" t="s">
        <v>1288</v>
      </c>
      <c r="I42" t="s">
        <v>1290</v>
      </c>
      <c r="J42" t="s">
        <v>1293</v>
      </c>
      <c r="K42" t="s">
        <v>1296</v>
      </c>
      <c r="L42" t="s">
        <v>1300</v>
      </c>
      <c r="M42">
        <v>0.46745999999999999</v>
      </c>
    </row>
    <row r="43" spans="1:13" x14ac:dyDescent="0.35">
      <c r="A43" t="s">
        <v>1129</v>
      </c>
      <c r="B43">
        <v>45.550820000000002</v>
      </c>
      <c r="D43" t="s">
        <v>1160</v>
      </c>
      <c r="E43">
        <v>5.0814899999999996</v>
      </c>
      <c r="G43" t="s">
        <v>1088</v>
      </c>
      <c r="H43" t="s">
        <v>1174</v>
      </c>
      <c r="I43" t="s">
        <v>1180</v>
      </c>
      <c r="J43" t="s">
        <v>1292</v>
      </c>
      <c r="K43" t="s">
        <v>1297</v>
      </c>
      <c r="L43" t="s">
        <v>1301</v>
      </c>
      <c r="M43">
        <v>0.38768999999999998</v>
      </c>
    </row>
    <row r="44" spans="1:13" x14ac:dyDescent="0.35">
      <c r="A44" t="s">
        <v>1130</v>
      </c>
      <c r="B44">
        <v>26.458359999999999</v>
      </c>
      <c r="D44" t="s">
        <v>1255</v>
      </c>
      <c r="E44">
        <v>8.0180000000000001E-2</v>
      </c>
      <c r="G44" t="s">
        <v>1089</v>
      </c>
      <c r="H44" t="s">
        <v>1289</v>
      </c>
      <c r="I44" t="s">
        <v>1291</v>
      </c>
      <c r="J44" t="s">
        <v>1294</v>
      </c>
      <c r="K44" t="s">
        <v>1298</v>
      </c>
      <c r="L44" t="s">
        <v>1302</v>
      </c>
      <c r="M44">
        <v>0.37515999999999999</v>
      </c>
    </row>
    <row r="45" spans="1:13" x14ac:dyDescent="0.35">
      <c r="A45" t="s">
        <v>1131</v>
      </c>
      <c r="B45">
        <v>19.103850000000001</v>
      </c>
      <c r="D45" t="s">
        <v>1146</v>
      </c>
      <c r="E45">
        <v>1.6289999999999999E-2</v>
      </c>
      <c r="G45" t="s">
        <v>1088</v>
      </c>
      <c r="H45" t="s">
        <v>1174</v>
      </c>
      <c r="I45" t="s">
        <v>1180</v>
      </c>
      <c r="J45" t="s">
        <v>1181</v>
      </c>
      <c r="K45" t="s">
        <v>1196</v>
      </c>
      <c r="L45" t="s">
        <v>1222</v>
      </c>
      <c r="M45">
        <v>0.22009999999999999</v>
      </c>
    </row>
    <row r="46" spans="1:13" x14ac:dyDescent="0.35">
      <c r="A46" t="s">
        <v>1132</v>
      </c>
      <c r="B46">
        <v>5.9649900000000002</v>
      </c>
      <c r="D46" t="s">
        <v>1256</v>
      </c>
      <c r="E46">
        <v>9.2499999999999995E-3</v>
      </c>
      <c r="G46" t="s">
        <v>1089</v>
      </c>
      <c r="H46" t="s">
        <v>1185</v>
      </c>
      <c r="I46" t="s">
        <v>1191</v>
      </c>
      <c r="J46" t="s">
        <v>1192</v>
      </c>
      <c r="K46" t="s">
        <v>1193</v>
      </c>
      <c r="L46" t="s">
        <v>1194</v>
      </c>
      <c r="M46">
        <v>0.13907</v>
      </c>
    </row>
    <row r="47" spans="1:13" x14ac:dyDescent="0.35">
      <c r="A47" t="s">
        <v>1133</v>
      </c>
      <c r="B47">
        <v>2.8342000000000001</v>
      </c>
      <c r="D47" t="s">
        <v>1145</v>
      </c>
      <c r="E47">
        <v>6.1599999999999997E-3</v>
      </c>
      <c r="G47" t="s">
        <v>1088</v>
      </c>
      <c r="H47" t="s">
        <v>1174</v>
      </c>
      <c r="I47" t="s">
        <v>1175</v>
      </c>
      <c r="J47" t="s">
        <v>1176</v>
      </c>
      <c r="K47" t="s">
        <v>1177</v>
      </c>
      <c r="L47" t="s">
        <v>1178</v>
      </c>
      <c r="M47">
        <v>7.62E-3</v>
      </c>
    </row>
    <row r="48" spans="1:13" x14ac:dyDescent="0.35">
      <c r="A48" t="s">
        <v>1134</v>
      </c>
      <c r="B48">
        <v>2.494E-2</v>
      </c>
      <c r="D48" t="s">
        <v>1257</v>
      </c>
      <c r="E48">
        <v>5.0499999999999998E-3</v>
      </c>
      <c r="G48" t="s">
        <v>1089</v>
      </c>
      <c r="H48" t="s">
        <v>1224</v>
      </c>
      <c r="I48" t="s">
        <v>1225</v>
      </c>
      <c r="J48" t="s">
        <v>1226</v>
      </c>
      <c r="K48" t="s">
        <v>1236</v>
      </c>
      <c r="L48" t="s">
        <v>1237</v>
      </c>
      <c r="M48">
        <v>6.7499999999999999E-3</v>
      </c>
    </row>
    <row r="49" spans="1:14" x14ac:dyDescent="0.35">
      <c r="A49" t="s">
        <v>1135</v>
      </c>
      <c r="B49">
        <v>1.8280000000000001E-2</v>
      </c>
      <c r="D49" t="s">
        <v>1258</v>
      </c>
      <c r="E49">
        <v>4.8500000000000001E-3</v>
      </c>
      <c r="G49" t="s">
        <v>1088</v>
      </c>
      <c r="H49" t="s">
        <v>1174</v>
      </c>
      <c r="I49" t="s">
        <v>1180</v>
      </c>
      <c r="J49" t="s">
        <v>1292</v>
      </c>
      <c r="K49" t="s">
        <v>1295</v>
      </c>
      <c r="L49" t="s">
        <v>1303</v>
      </c>
      <c r="M49">
        <v>1.2899999999999999E-3</v>
      </c>
    </row>
    <row r="50" spans="1:14" x14ac:dyDescent="0.35">
      <c r="A50" t="s">
        <v>1136</v>
      </c>
      <c r="B50">
        <v>1.227E-2</v>
      </c>
      <c r="D50" t="s">
        <v>1259</v>
      </c>
      <c r="E50">
        <v>4.3299999999999996E-3</v>
      </c>
      <c r="G50" t="s">
        <v>1088</v>
      </c>
      <c r="H50" t="s">
        <v>1174</v>
      </c>
      <c r="I50" t="s">
        <v>1180</v>
      </c>
      <c r="J50" t="s">
        <v>1181</v>
      </c>
      <c r="K50" t="s">
        <v>1196</v>
      </c>
      <c r="L50" t="s">
        <v>1197</v>
      </c>
      <c r="M50" t="s">
        <v>1198</v>
      </c>
      <c r="N50">
        <v>79.366500000000002</v>
      </c>
    </row>
    <row r="51" spans="1:14" x14ac:dyDescent="0.35">
      <c r="A51" t="s">
        <v>1137</v>
      </c>
      <c r="B51">
        <v>8.3899999999999999E-3</v>
      </c>
      <c r="D51" t="s">
        <v>1149</v>
      </c>
      <c r="E51">
        <v>3.4199999999999999E-3</v>
      </c>
      <c r="G51" t="s">
        <v>1088</v>
      </c>
      <c r="H51" t="s">
        <v>1174</v>
      </c>
      <c r="I51" t="s">
        <v>1180</v>
      </c>
      <c r="J51" t="s">
        <v>1181</v>
      </c>
      <c r="K51" t="s">
        <v>1182</v>
      </c>
      <c r="L51" t="s">
        <v>1183</v>
      </c>
      <c r="M51" t="s">
        <v>1184</v>
      </c>
      <c r="N51">
        <v>7.1995300000000002</v>
      </c>
    </row>
    <row r="52" spans="1:14" x14ac:dyDescent="0.35">
      <c r="A52" t="s">
        <v>1138</v>
      </c>
      <c r="B52">
        <v>8.2100000000000003E-3</v>
      </c>
      <c r="D52" t="s">
        <v>1157</v>
      </c>
      <c r="E52">
        <v>2.4499999999999999E-3</v>
      </c>
      <c r="G52" t="s">
        <v>1089</v>
      </c>
      <c r="H52" t="s">
        <v>1185</v>
      </c>
      <c r="I52" t="s">
        <v>1186</v>
      </c>
      <c r="J52" t="s">
        <v>1187</v>
      </c>
      <c r="K52" t="s">
        <v>1188</v>
      </c>
      <c r="L52" t="s">
        <v>1189</v>
      </c>
      <c r="M52" t="s">
        <v>1190</v>
      </c>
      <c r="N52">
        <v>4.1861600000000001</v>
      </c>
    </row>
    <row r="53" spans="1:14" x14ac:dyDescent="0.35">
      <c r="A53" t="s">
        <v>1139</v>
      </c>
      <c r="B53">
        <v>7.11E-3</v>
      </c>
      <c r="D53" t="s">
        <v>1172</v>
      </c>
      <c r="E53">
        <v>41.850239999999999</v>
      </c>
      <c r="G53" t="s">
        <v>1088</v>
      </c>
      <c r="H53" t="s">
        <v>1174</v>
      </c>
      <c r="I53" t="s">
        <v>1180</v>
      </c>
      <c r="J53" t="s">
        <v>1181</v>
      </c>
      <c r="K53" t="s">
        <v>1196</v>
      </c>
      <c r="L53" t="s">
        <v>1197</v>
      </c>
      <c r="M53" t="s">
        <v>1199</v>
      </c>
      <c r="N53">
        <v>3.18215</v>
      </c>
    </row>
    <row r="54" spans="1:14" x14ac:dyDescent="0.35">
      <c r="A54" t="s">
        <v>1140</v>
      </c>
      <c r="B54">
        <v>3.0899999999999999E-3</v>
      </c>
      <c r="D54" t="s">
        <v>1260</v>
      </c>
      <c r="E54">
        <v>23.065989999999999</v>
      </c>
      <c r="G54" t="s">
        <v>1088</v>
      </c>
      <c r="H54" t="s">
        <v>1174</v>
      </c>
      <c r="I54" t="s">
        <v>1180</v>
      </c>
      <c r="J54" t="s">
        <v>1181</v>
      </c>
      <c r="K54" t="s">
        <v>1196</v>
      </c>
      <c r="L54" t="s">
        <v>1197</v>
      </c>
      <c r="M54" t="s">
        <v>1200</v>
      </c>
      <c r="N54">
        <v>2.0844499999999999</v>
      </c>
    </row>
    <row r="55" spans="1:14" x14ac:dyDescent="0.35">
      <c r="A55" t="s">
        <v>1141</v>
      </c>
      <c r="B55">
        <v>2.7399999999999998E-3</v>
      </c>
      <c r="D55" t="s">
        <v>1261</v>
      </c>
      <c r="E55">
        <v>22.408349999999999</v>
      </c>
      <c r="G55" t="s">
        <v>1088</v>
      </c>
      <c r="H55" t="s">
        <v>1174</v>
      </c>
      <c r="I55" t="s">
        <v>1180</v>
      </c>
      <c r="J55" t="s">
        <v>1292</v>
      </c>
      <c r="K55" t="s">
        <v>1295</v>
      </c>
      <c r="L55" t="s">
        <v>1299</v>
      </c>
      <c r="M55" t="s">
        <v>1304</v>
      </c>
      <c r="N55">
        <v>1.23506</v>
      </c>
    </row>
    <row r="56" spans="1:14" x14ac:dyDescent="0.35">
      <c r="A56" t="s">
        <v>1142</v>
      </c>
      <c r="B56">
        <v>2.2100000000000002E-3</v>
      </c>
      <c r="D56" t="s">
        <v>1171</v>
      </c>
      <c r="E56">
        <v>5.0814899999999996</v>
      </c>
      <c r="G56" t="s">
        <v>1089</v>
      </c>
      <c r="H56" t="s">
        <v>1185</v>
      </c>
      <c r="I56" t="s">
        <v>1205</v>
      </c>
      <c r="J56" t="s">
        <v>1206</v>
      </c>
      <c r="K56" t="s">
        <v>1207</v>
      </c>
      <c r="L56" t="s">
        <v>1208</v>
      </c>
      <c r="M56" t="s">
        <v>1209</v>
      </c>
      <c r="N56">
        <v>1.1403300000000001</v>
      </c>
    </row>
    <row r="57" spans="1:14" x14ac:dyDescent="0.35">
      <c r="A57" t="s">
        <v>1143</v>
      </c>
      <c r="B57">
        <v>3.5E-4</v>
      </c>
      <c r="D57" t="s">
        <v>1262</v>
      </c>
      <c r="E57">
        <v>8.0180000000000001E-2</v>
      </c>
      <c r="G57" t="s">
        <v>1089</v>
      </c>
      <c r="H57" t="s">
        <v>1288</v>
      </c>
      <c r="I57" t="s">
        <v>1290</v>
      </c>
      <c r="J57" t="s">
        <v>1293</v>
      </c>
      <c r="K57" t="s">
        <v>1296</v>
      </c>
      <c r="L57" t="s">
        <v>1300</v>
      </c>
      <c r="M57" t="s">
        <v>1305</v>
      </c>
      <c r="N57">
        <v>0.46745999999999999</v>
      </c>
    </row>
    <row r="58" spans="1:14" x14ac:dyDescent="0.35">
      <c r="A58" t="s">
        <v>1144</v>
      </c>
      <c r="B58">
        <v>1.8000000000000001E-4</v>
      </c>
      <c r="D58" t="s">
        <v>1163</v>
      </c>
      <c r="E58">
        <v>1.6289999999999999E-2</v>
      </c>
      <c r="G58" t="s">
        <v>1089</v>
      </c>
      <c r="H58" t="s">
        <v>1289</v>
      </c>
      <c r="I58" t="s">
        <v>1291</v>
      </c>
      <c r="J58" t="s">
        <v>1294</v>
      </c>
      <c r="K58" t="s">
        <v>1298</v>
      </c>
      <c r="L58" t="s">
        <v>1302</v>
      </c>
      <c r="M58" t="s">
        <v>1306</v>
      </c>
      <c r="N58">
        <v>0.37515999999999999</v>
      </c>
    </row>
    <row r="59" spans="1:14" x14ac:dyDescent="0.35">
      <c r="A59" t="s">
        <v>1145</v>
      </c>
      <c r="B59">
        <v>45.49586</v>
      </c>
      <c r="D59" t="s">
        <v>1263</v>
      </c>
      <c r="E59">
        <v>9.2499999999999995E-3</v>
      </c>
      <c r="G59" t="s">
        <v>1088</v>
      </c>
      <c r="H59" t="s">
        <v>1174</v>
      </c>
      <c r="I59" t="s">
        <v>1180</v>
      </c>
      <c r="J59" t="s">
        <v>1181</v>
      </c>
      <c r="K59" t="s">
        <v>1196</v>
      </c>
      <c r="L59" t="s">
        <v>1222</v>
      </c>
      <c r="M59" t="s">
        <v>1223</v>
      </c>
      <c r="N59">
        <v>0.21092</v>
      </c>
    </row>
    <row r="60" spans="1:14" x14ac:dyDescent="0.35">
      <c r="A60" t="s">
        <v>1146</v>
      </c>
      <c r="B60">
        <v>26.458359999999999</v>
      </c>
      <c r="D60" t="s">
        <v>1264</v>
      </c>
      <c r="E60">
        <v>5.0499999999999998E-3</v>
      </c>
      <c r="G60" t="s">
        <v>1089</v>
      </c>
      <c r="H60" t="s">
        <v>1185</v>
      </c>
      <c r="I60" t="s">
        <v>1191</v>
      </c>
      <c r="J60" t="s">
        <v>1192</v>
      </c>
      <c r="K60" t="s">
        <v>1193</v>
      </c>
      <c r="L60" t="s">
        <v>1194</v>
      </c>
      <c r="M60" t="s">
        <v>1307</v>
      </c>
      <c r="N60">
        <v>0.12193</v>
      </c>
    </row>
    <row r="61" spans="1:14" x14ac:dyDescent="0.35">
      <c r="A61" t="s">
        <v>1147</v>
      </c>
      <c r="B61">
        <v>19.103850000000001</v>
      </c>
      <c r="D61" t="s">
        <v>1265</v>
      </c>
      <c r="E61">
        <v>4.8500000000000001E-3</v>
      </c>
      <c r="G61" t="s">
        <v>1089</v>
      </c>
      <c r="H61" t="s">
        <v>1185</v>
      </c>
      <c r="I61" t="s">
        <v>1191</v>
      </c>
      <c r="J61" t="s">
        <v>1192</v>
      </c>
      <c r="K61" t="s">
        <v>1193</v>
      </c>
      <c r="L61" t="s">
        <v>1194</v>
      </c>
      <c r="M61" t="s">
        <v>1195</v>
      </c>
      <c r="N61">
        <v>1.7129999999999999E-2</v>
      </c>
    </row>
    <row r="62" spans="1:14" x14ac:dyDescent="0.35">
      <c r="A62" t="s">
        <v>1148</v>
      </c>
      <c r="B62">
        <v>5.9595700000000003</v>
      </c>
      <c r="D62" t="s">
        <v>1266</v>
      </c>
      <c r="E62">
        <v>4.3299999999999996E-3</v>
      </c>
      <c r="G62" t="s">
        <v>1088</v>
      </c>
      <c r="H62" t="s">
        <v>1174</v>
      </c>
      <c r="I62" t="s">
        <v>1180</v>
      </c>
      <c r="J62" t="s">
        <v>1181</v>
      </c>
      <c r="K62" t="s">
        <v>1196</v>
      </c>
      <c r="L62" t="s">
        <v>1222</v>
      </c>
      <c r="M62" t="s">
        <v>1308</v>
      </c>
      <c r="N62">
        <v>9.1900000000000003E-3</v>
      </c>
    </row>
    <row r="63" spans="1:14" x14ac:dyDescent="0.35">
      <c r="A63" t="s">
        <v>1149</v>
      </c>
      <c r="B63">
        <v>2.6416900000000001</v>
      </c>
      <c r="G63" t="s">
        <v>1088</v>
      </c>
      <c r="H63" t="s">
        <v>1174</v>
      </c>
      <c r="I63" t="s">
        <v>1175</v>
      </c>
      <c r="J63" t="s">
        <v>1176</v>
      </c>
      <c r="K63" t="s">
        <v>1177</v>
      </c>
      <c r="L63" t="s">
        <v>1178</v>
      </c>
      <c r="M63" t="s">
        <v>1179</v>
      </c>
      <c r="N63">
        <v>7.62E-3</v>
      </c>
    </row>
    <row r="64" spans="1:14" x14ac:dyDescent="0.35">
      <c r="A64" t="s">
        <v>1150</v>
      </c>
      <c r="B64">
        <v>0.11723</v>
      </c>
      <c r="G64" t="s">
        <v>1089</v>
      </c>
      <c r="H64" t="s">
        <v>1224</v>
      </c>
      <c r="I64" t="s">
        <v>1225</v>
      </c>
      <c r="J64" t="s">
        <v>1226</v>
      </c>
      <c r="K64" t="s">
        <v>1236</v>
      </c>
      <c r="L64" t="s">
        <v>1237</v>
      </c>
      <c r="M64" t="s">
        <v>1238</v>
      </c>
      <c r="N64">
        <v>6.7499999999999999E-3</v>
      </c>
    </row>
    <row r="65" spans="1:15" x14ac:dyDescent="0.35">
      <c r="A65" t="s">
        <v>1151</v>
      </c>
      <c r="B65">
        <v>7.528E-2</v>
      </c>
      <c r="G65" t="s">
        <v>1088</v>
      </c>
      <c r="H65" t="s">
        <v>1174</v>
      </c>
      <c r="I65" t="s">
        <v>1180</v>
      </c>
      <c r="J65" t="s">
        <v>1292</v>
      </c>
      <c r="K65" t="s">
        <v>1295</v>
      </c>
      <c r="L65" t="s">
        <v>1303</v>
      </c>
      <c r="M65" t="s">
        <v>1309</v>
      </c>
      <c r="N65">
        <v>1.2899999999999999E-3</v>
      </c>
    </row>
    <row r="66" spans="1:15" x14ac:dyDescent="0.35">
      <c r="A66" t="s">
        <v>1152</v>
      </c>
      <c r="B66">
        <v>5.4960000000000002E-2</v>
      </c>
      <c r="G66" t="s">
        <v>1089</v>
      </c>
      <c r="H66" t="s">
        <v>1185</v>
      </c>
      <c r="I66" t="s">
        <v>1186</v>
      </c>
      <c r="J66" t="s">
        <v>1187</v>
      </c>
      <c r="K66" t="s">
        <v>1188</v>
      </c>
      <c r="L66" t="s">
        <v>1189</v>
      </c>
      <c r="M66" t="s">
        <v>1310</v>
      </c>
      <c r="N66">
        <v>6.9999999999999999E-4</v>
      </c>
    </row>
    <row r="67" spans="1:15" x14ac:dyDescent="0.35">
      <c r="A67" t="s">
        <v>1153</v>
      </c>
      <c r="B67">
        <v>2.494E-2</v>
      </c>
      <c r="G67" t="s">
        <v>1088</v>
      </c>
      <c r="H67" t="s">
        <v>1174</v>
      </c>
      <c r="I67" t="s">
        <v>1180</v>
      </c>
      <c r="J67" t="s">
        <v>1181</v>
      </c>
      <c r="K67" t="s">
        <v>1182</v>
      </c>
      <c r="L67" t="s">
        <v>1183</v>
      </c>
      <c r="M67" t="s">
        <v>1184</v>
      </c>
      <c r="N67" t="s">
        <v>1311</v>
      </c>
      <c r="O67">
        <v>7.1995300000000002</v>
      </c>
    </row>
    <row r="68" spans="1:15" x14ac:dyDescent="0.35">
      <c r="A68" t="s">
        <v>1154</v>
      </c>
      <c r="B68">
        <v>1.8280000000000001E-2</v>
      </c>
      <c r="G68" t="s">
        <v>1089</v>
      </c>
      <c r="H68" t="s">
        <v>1185</v>
      </c>
      <c r="I68" t="s">
        <v>1186</v>
      </c>
      <c r="J68" t="s">
        <v>1187</v>
      </c>
      <c r="K68" t="s">
        <v>1188</v>
      </c>
      <c r="L68" t="s">
        <v>1189</v>
      </c>
      <c r="M68" t="s">
        <v>1190</v>
      </c>
      <c r="N68" t="s">
        <v>1312</v>
      </c>
      <c r="O68">
        <v>4.1861600000000001</v>
      </c>
    </row>
    <row r="69" spans="1:15" x14ac:dyDescent="0.35">
      <c r="A69" t="s">
        <v>1155</v>
      </c>
      <c r="B69">
        <v>1.227E-2</v>
      </c>
      <c r="G69" t="s">
        <v>1088</v>
      </c>
      <c r="H69" t="s">
        <v>1174</v>
      </c>
      <c r="I69" t="s">
        <v>1180</v>
      </c>
      <c r="J69" t="s">
        <v>1181</v>
      </c>
      <c r="K69" t="s">
        <v>1196</v>
      </c>
      <c r="L69" t="s">
        <v>1197</v>
      </c>
      <c r="M69" t="s">
        <v>1199</v>
      </c>
      <c r="N69" t="s">
        <v>1313</v>
      </c>
      <c r="O69">
        <v>3.18215</v>
      </c>
    </row>
    <row r="70" spans="1:15" x14ac:dyDescent="0.35">
      <c r="A70" t="s">
        <v>1156</v>
      </c>
      <c r="B70">
        <v>8.3899999999999999E-3</v>
      </c>
      <c r="G70" t="s">
        <v>1088</v>
      </c>
      <c r="H70" t="s">
        <v>1174</v>
      </c>
      <c r="I70" t="s">
        <v>1180</v>
      </c>
      <c r="J70" t="s">
        <v>1181</v>
      </c>
      <c r="K70" t="s">
        <v>1196</v>
      </c>
      <c r="L70" t="s">
        <v>1197</v>
      </c>
      <c r="M70" t="s">
        <v>1200</v>
      </c>
      <c r="N70" t="s">
        <v>1314</v>
      </c>
      <c r="O70">
        <v>2.0844499999999999</v>
      </c>
    </row>
    <row r="71" spans="1:15" x14ac:dyDescent="0.35">
      <c r="A71" t="s">
        <v>1157</v>
      </c>
      <c r="B71">
        <v>8.2100000000000003E-3</v>
      </c>
      <c r="G71" t="s">
        <v>1089</v>
      </c>
      <c r="H71" t="s">
        <v>1288</v>
      </c>
      <c r="I71" t="s">
        <v>1290</v>
      </c>
      <c r="J71" t="s">
        <v>1293</v>
      </c>
      <c r="K71" t="s">
        <v>1296</v>
      </c>
      <c r="L71" t="s">
        <v>1300</v>
      </c>
      <c r="M71" t="s">
        <v>1305</v>
      </c>
      <c r="N71" t="s">
        <v>1315</v>
      </c>
      <c r="O71">
        <v>0.46745999999999999</v>
      </c>
    </row>
    <row r="72" spans="1:15" x14ac:dyDescent="0.35">
      <c r="A72" t="s">
        <v>1158</v>
      </c>
      <c r="B72">
        <v>5.4200000000000003E-3</v>
      </c>
      <c r="G72" t="s">
        <v>1089</v>
      </c>
      <c r="H72" t="s">
        <v>1185</v>
      </c>
      <c r="I72" t="s">
        <v>1191</v>
      </c>
      <c r="J72" t="s">
        <v>1192</v>
      </c>
      <c r="K72" t="s">
        <v>1193</v>
      </c>
      <c r="L72" t="s">
        <v>1194</v>
      </c>
      <c r="M72" t="s">
        <v>1195</v>
      </c>
      <c r="N72" t="s">
        <v>1316</v>
      </c>
      <c r="O72">
        <v>1.7129999999999999E-2</v>
      </c>
    </row>
    <row r="73" spans="1:15" x14ac:dyDescent="0.35">
      <c r="A73" t="s">
        <v>1159</v>
      </c>
      <c r="B73">
        <v>3.0899999999999999E-3</v>
      </c>
      <c r="G73" t="s">
        <v>1088</v>
      </c>
      <c r="H73" t="s">
        <v>1174</v>
      </c>
      <c r="I73" t="s">
        <v>1180</v>
      </c>
      <c r="J73" t="s">
        <v>1181</v>
      </c>
      <c r="K73" t="s">
        <v>1196</v>
      </c>
      <c r="L73" t="s">
        <v>1222</v>
      </c>
      <c r="M73" t="s">
        <v>1308</v>
      </c>
      <c r="N73" t="s">
        <v>1317</v>
      </c>
      <c r="O73">
        <v>9.1900000000000003E-3</v>
      </c>
    </row>
    <row r="74" spans="1:15" x14ac:dyDescent="0.35">
      <c r="A74" t="s">
        <v>1160</v>
      </c>
      <c r="B74">
        <v>2.7399999999999998E-3</v>
      </c>
      <c r="G74" t="s">
        <v>1089</v>
      </c>
      <c r="H74" t="s">
        <v>1224</v>
      </c>
      <c r="I74" t="s">
        <v>1225</v>
      </c>
      <c r="J74" t="s">
        <v>1226</v>
      </c>
      <c r="K74" t="s">
        <v>1236</v>
      </c>
      <c r="L74" t="s">
        <v>1237</v>
      </c>
      <c r="M74" t="s">
        <v>1238</v>
      </c>
      <c r="N74" t="s">
        <v>1318</v>
      </c>
      <c r="O74">
        <v>6.7499999999999999E-3</v>
      </c>
    </row>
    <row r="75" spans="1:15" x14ac:dyDescent="0.35">
      <c r="A75" t="s">
        <v>1161</v>
      </c>
      <c r="B75">
        <v>3.5E-4</v>
      </c>
      <c r="G75" t="s">
        <v>1088</v>
      </c>
      <c r="H75" t="s">
        <v>1174</v>
      </c>
      <c r="I75" t="s">
        <v>1180</v>
      </c>
      <c r="J75" t="s">
        <v>1292</v>
      </c>
      <c r="K75" t="s">
        <v>1295</v>
      </c>
      <c r="L75" t="s">
        <v>1303</v>
      </c>
      <c r="M75" t="s">
        <v>1309</v>
      </c>
      <c r="N75" t="s">
        <v>1319</v>
      </c>
      <c r="O75">
        <v>1.2899999999999999E-3</v>
      </c>
    </row>
    <row r="76" spans="1:15" x14ac:dyDescent="0.35">
      <c r="A76" t="s">
        <v>1162</v>
      </c>
      <c r="B76">
        <v>1.8000000000000001E-4</v>
      </c>
      <c r="G76" t="s">
        <v>1089</v>
      </c>
      <c r="H76" t="s">
        <v>1185</v>
      </c>
      <c r="I76" t="s">
        <v>1186</v>
      </c>
      <c r="J76" t="s">
        <v>1187</v>
      </c>
      <c r="K76" t="s">
        <v>1188</v>
      </c>
      <c r="L76" t="s">
        <v>1189</v>
      </c>
      <c r="M76" t="s">
        <v>1310</v>
      </c>
      <c r="N76" t="s">
        <v>1320</v>
      </c>
      <c r="O76">
        <v>6.9999999999999999E-4</v>
      </c>
    </row>
    <row r="77" spans="1:15" x14ac:dyDescent="0.35">
      <c r="A77" t="s">
        <v>1163</v>
      </c>
      <c r="B77">
        <v>26.458359999999999</v>
      </c>
    </row>
    <row r="78" spans="1:15" x14ac:dyDescent="0.35">
      <c r="A78" t="s">
        <v>1164</v>
      </c>
      <c r="B78">
        <v>19.103850000000001</v>
      </c>
    </row>
    <row r="79" spans="1:15" x14ac:dyDescent="0.35">
      <c r="A79" t="s">
        <v>1165</v>
      </c>
      <c r="B79">
        <v>5.9595700000000003</v>
      </c>
    </row>
    <row r="80" spans="1:15" x14ac:dyDescent="0.35">
      <c r="A80" t="s">
        <v>1166</v>
      </c>
      <c r="B80">
        <v>0.11723</v>
      </c>
    </row>
    <row r="81" spans="1:2" x14ac:dyDescent="0.35">
      <c r="A81" t="s">
        <v>1167</v>
      </c>
      <c r="B81">
        <v>7.528E-2</v>
      </c>
    </row>
    <row r="82" spans="1:2" x14ac:dyDescent="0.35">
      <c r="A82" t="s">
        <v>1168</v>
      </c>
      <c r="B82">
        <v>5.4960000000000002E-2</v>
      </c>
    </row>
    <row r="83" spans="1:2" x14ac:dyDescent="0.35">
      <c r="A83" t="s">
        <v>1169</v>
      </c>
      <c r="B83">
        <v>2.494E-2</v>
      </c>
    </row>
    <row r="84" spans="1:2" x14ac:dyDescent="0.35">
      <c r="A84" t="s">
        <v>1170</v>
      </c>
      <c r="B84">
        <v>5.4200000000000003E-3</v>
      </c>
    </row>
    <row r="85" spans="1:2" x14ac:dyDescent="0.35">
      <c r="A85" t="s">
        <v>1171</v>
      </c>
      <c r="B85">
        <v>2.7399999999999998E-3</v>
      </c>
    </row>
    <row r="86" spans="1:2" x14ac:dyDescent="0.35">
      <c r="A86" t="s">
        <v>1172</v>
      </c>
      <c r="B86">
        <v>3.5E-4</v>
      </c>
    </row>
    <row r="87" spans="1:2" x14ac:dyDescent="0.35">
      <c r="A87" t="s">
        <v>1173</v>
      </c>
      <c r="B87">
        <v>1.8000000000000001E-4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M1" workbookViewId="0">
      <selection activeCell="F1" sqref="F1"/>
    </sheetView>
  </sheetViews>
  <sheetFormatPr defaultRowHeight="14.5" x14ac:dyDescent="0.35"/>
  <cols>
    <col min="7" max="7" width="36" customWidth="1"/>
    <col min="16" max="16" width="42.1796875" customWidth="1"/>
    <col min="25" max="25" width="35" customWidth="1"/>
  </cols>
  <sheetData>
    <row r="1" spans="1:26" x14ac:dyDescent="0.35">
      <c r="A1" t="str">
        <f>MetaPhlAn!A1</f>
        <v>#W3 Metaphlan2_Analysis</v>
      </c>
      <c r="J1" t="str">
        <f>MetaPhlAn!D1</f>
        <v>#W2 Metaphlan2_Analysis</v>
      </c>
      <c r="S1" t="str">
        <f>MetaPhlAn!G1</f>
        <v>#W1 Metaphlan2_Analysis</v>
      </c>
    </row>
    <row r="3" spans="1:26" x14ac:dyDescent="0.35">
      <c r="A3" t="s">
        <v>1088</v>
      </c>
      <c r="B3" t="s">
        <v>1174</v>
      </c>
      <c r="C3" t="s">
        <v>1175</v>
      </c>
      <c r="D3" t="s">
        <v>1176</v>
      </c>
      <c r="E3" t="s">
        <v>1177</v>
      </c>
      <c r="F3" t="s">
        <v>1178</v>
      </c>
      <c r="G3" t="s">
        <v>1179</v>
      </c>
      <c r="H3">
        <v>45.49586</v>
      </c>
      <c r="J3" t="s">
        <v>1089</v>
      </c>
      <c r="K3" t="s">
        <v>1230</v>
      </c>
      <c r="L3" t="s">
        <v>1231</v>
      </c>
      <c r="M3" t="s">
        <v>1232</v>
      </c>
      <c r="N3" t="s">
        <v>1233</v>
      </c>
      <c r="O3" t="s">
        <v>1234</v>
      </c>
      <c r="P3" t="s">
        <v>1235</v>
      </c>
      <c r="Q3">
        <v>41.850239999999999</v>
      </c>
      <c r="S3" t="s">
        <v>1088</v>
      </c>
      <c r="T3" t="s">
        <v>1174</v>
      </c>
      <c r="U3" t="s">
        <v>1180</v>
      </c>
      <c r="V3" t="s">
        <v>1181</v>
      </c>
      <c r="W3" t="s">
        <v>1196</v>
      </c>
      <c r="X3" t="s">
        <v>1197</v>
      </c>
      <c r="Y3" t="s">
        <v>1198</v>
      </c>
      <c r="Z3">
        <v>79.366500000000002</v>
      </c>
    </row>
    <row r="4" spans="1:26" x14ac:dyDescent="0.35">
      <c r="A4" t="s">
        <v>1088</v>
      </c>
      <c r="B4" t="s">
        <v>1174</v>
      </c>
      <c r="C4" t="s">
        <v>1180</v>
      </c>
      <c r="D4" t="s">
        <v>1181</v>
      </c>
      <c r="E4" t="s">
        <v>1182</v>
      </c>
      <c r="F4" t="s">
        <v>1183</v>
      </c>
      <c r="G4" t="s">
        <v>1184</v>
      </c>
      <c r="H4">
        <v>26.458359999999999</v>
      </c>
      <c r="J4" t="s">
        <v>1088</v>
      </c>
      <c r="K4" t="s">
        <v>1174</v>
      </c>
      <c r="L4" t="s">
        <v>1175</v>
      </c>
      <c r="M4" t="s">
        <v>1176</v>
      </c>
      <c r="N4" t="s">
        <v>1177</v>
      </c>
      <c r="O4" t="s">
        <v>1267</v>
      </c>
      <c r="P4" t="s">
        <v>1268</v>
      </c>
      <c r="Q4">
        <v>23.065989999999999</v>
      </c>
      <c r="S4" t="s">
        <v>1088</v>
      </c>
      <c r="T4" t="s">
        <v>1174</v>
      </c>
      <c r="U4" t="s">
        <v>1180</v>
      </c>
      <c r="V4" t="s">
        <v>1181</v>
      </c>
      <c r="W4" t="s">
        <v>1182</v>
      </c>
      <c r="X4" t="s">
        <v>1183</v>
      </c>
      <c r="Y4" t="s">
        <v>1184</v>
      </c>
      <c r="Z4">
        <v>7.1995300000000002</v>
      </c>
    </row>
    <row r="5" spans="1:26" x14ac:dyDescent="0.35">
      <c r="A5" t="s">
        <v>1089</v>
      </c>
      <c r="B5" t="s">
        <v>1185</v>
      </c>
      <c r="C5" t="s">
        <v>1186</v>
      </c>
      <c r="D5" t="s">
        <v>1187</v>
      </c>
      <c r="E5" t="s">
        <v>1188</v>
      </c>
      <c r="F5" t="s">
        <v>1189</v>
      </c>
      <c r="G5" t="s">
        <v>1190</v>
      </c>
      <c r="H5">
        <v>19.103850000000001</v>
      </c>
      <c r="J5" t="s">
        <v>1089</v>
      </c>
      <c r="K5" t="s">
        <v>1269</v>
      </c>
      <c r="L5" t="s">
        <v>1270</v>
      </c>
      <c r="M5" t="s">
        <v>1271</v>
      </c>
      <c r="N5" t="s">
        <v>1272</v>
      </c>
      <c r="O5" t="s">
        <v>1273</v>
      </c>
      <c r="P5" t="s">
        <v>1274</v>
      </c>
      <c r="Q5">
        <v>22.408349999999999</v>
      </c>
      <c r="S5" t="s">
        <v>1089</v>
      </c>
      <c r="T5" t="s">
        <v>1185</v>
      </c>
      <c r="U5" t="s">
        <v>1186</v>
      </c>
      <c r="V5" t="s">
        <v>1187</v>
      </c>
      <c r="W5" t="s">
        <v>1188</v>
      </c>
      <c r="X5" t="s">
        <v>1189</v>
      </c>
      <c r="Y5" t="s">
        <v>1190</v>
      </c>
      <c r="Z5">
        <v>4.1861600000000001</v>
      </c>
    </row>
    <row r="6" spans="1:26" x14ac:dyDescent="0.35">
      <c r="A6" t="s">
        <v>1089</v>
      </c>
      <c r="B6" t="s">
        <v>1185</v>
      </c>
      <c r="C6" t="s">
        <v>1191</v>
      </c>
      <c r="D6" t="s">
        <v>1192</v>
      </c>
      <c r="E6" t="s">
        <v>1193</v>
      </c>
      <c r="F6" t="s">
        <v>1194</v>
      </c>
      <c r="G6" t="s">
        <v>1195</v>
      </c>
      <c r="H6">
        <v>5.9595700000000003</v>
      </c>
      <c r="J6" t="s">
        <v>1088</v>
      </c>
      <c r="K6" t="s">
        <v>1174</v>
      </c>
      <c r="L6" t="s">
        <v>1175</v>
      </c>
      <c r="M6" t="s">
        <v>1176</v>
      </c>
      <c r="N6" t="s">
        <v>1177</v>
      </c>
      <c r="O6" t="s">
        <v>1267</v>
      </c>
      <c r="P6" t="s">
        <v>1275</v>
      </c>
      <c r="Q6">
        <v>7.4619299999999997</v>
      </c>
      <c r="S6" t="s">
        <v>1088</v>
      </c>
      <c r="T6" t="s">
        <v>1174</v>
      </c>
      <c r="U6" t="s">
        <v>1180</v>
      </c>
      <c r="V6" t="s">
        <v>1181</v>
      </c>
      <c r="W6" t="s">
        <v>1196</v>
      </c>
      <c r="X6" t="s">
        <v>1197</v>
      </c>
      <c r="Y6" t="s">
        <v>1199</v>
      </c>
      <c r="Z6">
        <v>3.18215</v>
      </c>
    </row>
    <row r="7" spans="1:26" x14ac:dyDescent="0.35">
      <c r="A7" t="s">
        <v>1088</v>
      </c>
      <c r="B7" t="s">
        <v>1174</v>
      </c>
      <c r="C7" t="s">
        <v>1180</v>
      </c>
      <c r="D7" t="s">
        <v>1181</v>
      </c>
      <c r="E7" t="s">
        <v>1196</v>
      </c>
      <c r="F7" t="s">
        <v>1197</v>
      </c>
      <c r="G7" t="s">
        <v>1198</v>
      </c>
      <c r="H7">
        <v>2.6416900000000001</v>
      </c>
      <c r="J7" t="s">
        <v>1089</v>
      </c>
      <c r="K7" t="s">
        <v>1224</v>
      </c>
      <c r="L7" t="s">
        <v>1225</v>
      </c>
      <c r="M7" t="s">
        <v>1226</v>
      </c>
      <c r="N7" t="s">
        <v>1227</v>
      </c>
      <c r="O7" t="s">
        <v>1228</v>
      </c>
      <c r="P7" t="s">
        <v>1229</v>
      </c>
      <c r="Q7">
        <v>5.0814899999999996</v>
      </c>
      <c r="S7" t="s">
        <v>1088</v>
      </c>
      <c r="T7" t="s">
        <v>1174</v>
      </c>
      <c r="U7" t="s">
        <v>1180</v>
      </c>
      <c r="V7" t="s">
        <v>1181</v>
      </c>
      <c r="W7" t="s">
        <v>1196</v>
      </c>
      <c r="X7" t="s">
        <v>1197</v>
      </c>
      <c r="Y7" t="s">
        <v>1200</v>
      </c>
      <c r="Z7">
        <v>2.0844499999999999</v>
      </c>
    </row>
    <row r="8" spans="1:26" x14ac:dyDescent="0.35">
      <c r="A8" t="s">
        <v>1088</v>
      </c>
      <c r="B8" t="s">
        <v>1174</v>
      </c>
      <c r="C8" t="s">
        <v>1180</v>
      </c>
      <c r="D8" t="s">
        <v>1181</v>
      </c>
      <c r="E8" t="s">
        <v>1196</v>
      </c>
      <c r="F8" t="s">
        <v>1197</v>
      </c>
      <c r="G8" t="s">
        <v>1199</v>
      </c>
      <c r="H8">
        <v>0.11723</v>
      </c>
      <c r="J8" t="s">
        <v>1088</v>
      </c>
      <c r="K8" t="s">
        <v>1174</v>
      </c>
      <c r="L8" t="s">
        <v>1175</v>
      </c>
      <c r="M8" t="s">
        <v>1176</v>
      </c>
      <c r="N8" t="s">
        <v>1177</v>
      </c>
      <c r="O8" t="s">
        <v>1267</v>
      </c>
      <c r="P8" t="s">
        <v>1276</v>
      </c>
      <c r="Q8">
        <v>8.0180000000000001E-2</v>
      </c>
      <c r="S8" t="s">
        <v>1088</v>
      </c>
      <c r="T8" t="s">
        <v>1174</v>
      </c>
      <c r="U8" t="s">
        <v>1180</v>
      </c>
      <c r="V8" t="s">
        <v>1292</v>
      </c>
      <c r="W8" t="s">
        <v>1295</v>
      </c>
      <c r="X8" t="s">
        <v>1299</v>
      </c>
      <c r="Y8" t="s">
        <v>1304</v>
      </c>
      <c r="Z8">
        <v>1.23506</v>
      </c>
    </row>
    <row r="9" spans="1:26" x14ac:dyDescent="0.35">
      <c r="A9" t="s">
        <v>1088</v>
      </c>
      <c r="B9" t="s">
        <v>1174</v>
      </c>
      <c r="C9" t="s">
        <v>1180</v>
      </c>
      <c r="D9" t="s">
        <v>1181</v>
      </c>
      <c r="E9" t="s">
        <v>1196</v>
      </c>
      <c r="F9" t="s">
        <v>1197</v>
      </c>
      <c r="G9" t="s">
        <v>1200</v>
      </c>
      <c r="H9">
        <v>7.528E-2</v>
      </c>
      <c r="J9" t="s">
        <v>1088</v>
      </c>
      <c r="K9" t="s">
        <v>1174</v>
      </c>
      <c r="L9" t="s">
        <v>1180</v>
      </c>
      <c r="M9" t="s">
        <v>1181</v>
      </c>
      <c r="N9" t="s">
        <v>1182</v>
      </c>
      <c r="O9" t="s">
        <v>1183</v>
      </c>
      <c r="P9" t="s">
        <v>1184</v>
      </c>
      <c r="Q9">
        <v>1.6289999999999999E-2</v>
      </c>
      <c r="S9" t="s">
        <v>1089</v>
      </c>
      <c r="T9" t="s">
        <v>1185</v>
      </c>
      <c r="U9" t="s">
        <v>1205</v>
      </c>
      <c r="V9" t="s">
        <v>1206</v>
      </c>
      <c r="W9" t="s">
        <v>1207</v>
      </c>
      <c r="X9" t="s">
        <v>1208</v>
      </c>
      <c r="Y9" t="s">
        <v>1209</v>
      </c>
      <c r="Z9">
        <v>1.1403300000000001</v>
      </c>
    </row>
    <row r="10" spans="1:26" x14ac:dyDescent="0.35">
      <c r="A10" t="s">
        <v>1088</v>
      </c>
      <c r="B10" t="s">
        <v>1174</v>
      </c>
      <c r="C10" t="s">
        <v>1175</v>
      </c>
      <c r="D10" t="s">
        <v>1176</v>
      </c>
      <c r="E10" t="s">
        <v>1177</v>
      </c>
      <c r="F10" t="s">
        <v>1178</v>
      </c>
      <c r="G10" t="s">
        <v>1201</v>
      </c>
      <c r="H10">
        <v>5.4960000000000002E-2</v>
      </c>
      <c r="J10" t="s">
        <v>1089</v>
      </c>
      <c r="K10" t="s">
        <v>1224</v>
      </c>
      <c r="L10" t="s">
        <v>1277</v>
      </c>
      <c r="M10" t="s">
        <v>1278</v>
      </c>
      <c r="N10" t="s">
        <v>1279</v>
      </c>
      <c r="O10" t="s">
        <v>1280</v>
      </c>
      <c r="P10" t="s">
        <v>1281</v>
      </c>
      <c r="Q10">
        <v>9.2499999999999995E-3</v>
      </c>
      <c r="S10" t="s">
        <v>1089</v>
      </c>
      <c r="T10" t="s">
        <v>1288</v>
      </c>
      <c r="U10" t="s">
        <v>1290</v>
      </c>
      <c r="V10" t="s">
        <v>1293</v>
      </c>
      <c r="W10" t="s">
        <v>1296</v>
      </c>
      <c r="X10" t="s">
        <v>1300</v>
      </c>
      <c r="Y10" t="s">
        <v>1305</v>
      </c>
      <c r="Z10">
        <v>0.46745999999999999</v>
      </c>
    </row>
    <row r="11" spans="1:26" x14ac:dyDescent="0.35">
      <c r="A11" t="s">
        <v>1089</v>
      </c>
      <c r="B11" t="s">
        <v>1185</v>
      </c>
      <c r="C11" t="s">
        <v>1191</v>
      </c>
      <c r="D11" t="s">
        <v>1192</v>
      </c>
      <c r="E11" t="s">
        <v>1202</v>
      </c>
      <c r="F11" t="s">
        <v>1203</v>
      </c>
      <c r="G11" t="s">
        <v>1204</v>
      </c>
      <c r="H11">
        <v>2.494E-2</v>
      </c>
      <c r="J11" t="s">
        <v>1088</v>
      </c>
      <c r="K11" t="s">
        <v>1174</v>
      </c>
      <c r="L11" t="s">
        <v>1175</v>
      </c>
      <c r="M11" t="s">
        <v>1176</v>
      </c>
      <c r="N11" t="s">
        <v>1177</v>
      </c>
      <c r="O11" t="s">
        <v>1178</v>
      </c>
      <c r="P11" t="s">
        <v>1179</v>
      </c>
      <c r="Q11">
        <v>6.1599999999999997E-3</v>
      </c>
      <c r="S11" t="s">
        <v>1089</v>
      </c>
      <c r="T11" t="s">
        <v>1289</v>
      </c>
      <c r="U11" t="s">
        <v>1291</v>
      </c>
      <c r="V11" t="s">
        <v>1294</v>
      </c>
      <c r="W11" t="s">
        <v>1298</v>
      </c>
      <c r="X11" t="s">
        <v>1302</v>
      </c>
      <c r="Y11" t="s">
        <v>1306</v>
      </c>
      <c r="Z11">
        <v>0.37515999999999999</v>
      </c>
    </row>
    <row r="12" spans="1:26" x14ac:dyDescent="0.35">
      <c r="A12" t="s">
        <v>1089</v>
      </c>
      <c r="B12" t="s">
        <v>1185</v>
      </c>
      <c r="C12" t="s">
        <v>1205</v>
      </c>
      <c r="D12" t="s">
        <v>1206</v>
      </c>
      <c r="E12" t="s">
        <v>1207</v>
      </c>
      <c r="F12" t="s">
        <v>1208</v>
      </c>
      <c r="G12" t="s">
        <v>1209</v>
      </c>
      <c r="H12">
        <v>1.8280000000000001E-2</v>
      </c>
      <c r="J12" t="s">
        <v>1089</v>
      </c>
      <c r="K12" t="s">
        <v>1224</v>
      </c>
      <c r="L12" t="s">
        <v>1277</v>
      </c>
      <c r="M12" t="s">
        <v>1278</v>
      </c>
      <c r="N12" t="s">
        <v>1279</v>
      </c>
      <c r="O12" t="s">
        <v>1280</v>
      </c>
      <c r="P12" t="s">
        <v>1282</v>
      </c>
      <c r="Q12">
        <v>5.0499999999999998E-3</v>
      </c>
      <c r="S12" t="s">
        <v>1088</v>
      </c>
      <c r="T12" t="s">
        <v>1174</v>
      </c>
      <c r="U12" t="s">
        <v>1180</v>
      </c>
      <c r="V12" t="s">
        <v>1181</v>
      </c>
      <c r="W12" t="s">
        <v>1196</v>
      </c>
      <c r="X12" t="s">
        <v>1222</v>
      </c>
      <c r="Y12" t="s">
        <v>1223</v>
      </c>
      <c r="Z12">
        <v>0.21092</v>
      </c>
    </row>
    <row r="13" spans="1:26" x14ac:dyDescent="0.35">
      <c r="A13" t="s">
        <v>1089</v>
      </c>
      <c r="B13" t="s">
        <v>1185</v>
      </c>
      <c r="C13" t="s">
        <v>1210</v>
      </c>
      <c r="D13" t="s">
        <v>1211</v>
      </c>
      <c r="E13" t="s">
        <v>1212</v>
      </c>
      <c r="F13" t="s">
        <v>1213</v>
      </c>
      <c r="G13" t="s">
        <v>1214</v>
      </c>
      <c r="H13">
        <v>1.227E-2</v>
      </c>
      <c r="J13" t="s">
        <v>1089</v>
      </c>
      <c r="K13" t="s">
        <v>1224</v>
      </c>
      <c r="L13" t="s">
        <v>1277</v>
      </c>
      <c r="M13" t="s">
        <v>1283</v>
      </c>
      <c r="N13" t="s">
        <v>1284</v>
      </c>
      <c r="O13" t="s">
        <v>1285</v>
      </c>
      <c r="P13" t="s">
        <v>1286</v>
      </c>
      <c r="Q13">
        <v>4.8500000000000001E-3</v>
      </c>
      <c r="S13" t="s">
        <v>1089</v>
      </c>
      <c r="T13" t="s">
        <v>1185</v>
      </c>
      <c r="U13" t="s">
        <v>1191</v>
      </c>
      <c r="V13" t="s">
        <v>1192</v>
      </c>
      <c r="W13" t="s">
        <v>1193</v>
      </c>
      <c r="X13" t="s">
        <v>1194</v>
      </c>
      <c r="Y13" t="s">
        <v>1307</v>
      </c>
      <c r="Z13">
        <v>0.12193</v>
      </c>
    </row>
    <row r="14" spans="1:26" x14ac:dyDescent="0.35">
      <c r="A14" t="s">
        <v>1089</v>
      </c>
      <c r="B14" t="s">
        <v>1185</v>
      </c>
      <c r="C14" t="s">
        <v>1210</v>
      </c>
      <c r="D14" t="s">
        <v>1215</v>
      </c>
      <c r="E14" t="s">
        <v>1216</v>
      </c>
      <c r="F14" t="s">
        <v>1217</v>
      </c>
      <c r="G14" t="s">
        <v>1218</v>
      </c>
      <c r="H14">
        <v>8.3899999999999999E-3</v>
      </c>
      <c r="J14" t="s">
        <v>1089</v>
      </c>
      <c r="K14" t="s">
        <v>1224</v>
      </c>
      <c r="L14" t="s">
        <v>1277</v>
      </c>
      <c r="M14" t="s">
        <v>1278</v>
      </c>
      <c r="N14" t="s">
        <v>1279</v>
      </c>
      <c r="O14" t="s">
        <v>1280</v>
      </c>
      <c r="P14" t="s">
        <v>1287</v>
      </c>
      <c r="Q14">
        <v>4.3299999999999996E-3</v>
      </c>
      <c r="S14" t="s">
        <v>1089</v>
      </c>
      <c r="T14" t="s">
        <v>1185</v>
      </c>
      <c r="U14" t="s">
        <v>1191</v>
      </c>
      <c r="V14" t="s">
        <v>1192</v>
      </c>
      <c r="W14" t="s">
        <v>1193</v>
      </c>
      <c r="X14" t="s">
        <v>1194</v>
      </c>
      <c r="Y14" t="s">
        <v>1195</v>
      </c>
      <c r="Z14">
        <v>1.7129999999999999E-2</v>
      </c>
    </row>
    <row r="15" spans="1:26" x14ac:dyDescent="0.35">
      <c r="A15" t="s">
        <v>1088</v>
      </c>
      <c r="B15" t="s">
        <v>1174</v>
      </c>
      <c r="C15" t="s">
        <v>1175</v>
      </c>
      <c r="D15" t="s">
        <v>1176</v>
      </c>
      <c r="E15" t="s">
        <v>1177</v>
      </c>
      <c r="F15" t="s">
        <v>1219</v>
      </c>
      <c r="G15" t="s">
        <v>1220</v>
      </c>
      <c r="H15">
        <v>8.2100000000000003E-3</v>
      </c>
      <c r="J15" t="s">
        <v>1088</v>
      </c>
      <c r="K15" t="s">
        <v>1174</v>
      </c>
      <c r="L15" t="s">
        <v>1180</v>
      </c>
      <c r="M15" t="s">
        <v>1181</v>
      </c>
      <c r="N15" t="s">
        <v>1196</v>
      </c>
      <c r="O15" t="s">
        <v>1197</v>
      </c>
      <c r="P15" t="s">
        <v>1198</v>
      </c>
      <c r="Q15">
        <v>3.4199999999999999E-3</v>
      </c>
      <c r="S15" t="s">
        <v>1088</v>
      </c>
      <c r="T15" t="s">
        <v>1174</v>
      </c>
      <c r="U15" t="s">
        <v>1180</v>
      </c>
      <c r="V15" t="s">
        <v>1181</v>
      </c>
      <c r="W15" t="s">
        <v>1196</v>
      </c>
      <c r="X15" t="s">
        <v>1222</v>
      </c>
      <c r="Y15" t="s">
        <v>1308</v>
      </c>
      <c r="Z15">
        <v>9.1900000000000003E-3</v>
      </c>
    </row>
    <row r="16" spans="1:26" x14ac:dyDescent="0.35">
      <c r="A16" t="s">
        <v>1089</v>
      </c>
      <c r="B16" t="s">
        <v>1185</v>
      </c>
      <c r="C16" t="s">
        <v>1191</v>
      </c>
      <c r="D16" t="s">
        <v>1192</v>
      </c>
      <c r="E16" t="s">
        <v>1193</v>
      </c>
      <c r="F16" t="s">
        <v>1194</v>
      </c>
      <c r="G16" t="s">
        <v>1221</v>
      </c>
      <c r="H16">
        <v>5.4200000000000003E-3</v>
      </c>
      <c r="J16" t="s">
        <v>1088</v>
      </c>
      <c r="K16" t="s">
        <v>1174</v>
      </c>
      <c r="L16" t="s">
        <v>1175</v>
      </c>
      <c r="M16" t="s">
        <v>1176</v>
      </c>
      <c r="N16" t="s">
        <v>1177</v>
      </c>
      <c r="O16" t="s">
        <v>1219</v>
      </c>
      <c r="P16" t="s">
        <v>1220</v>
      </c>
      <c r="Q16">
        <v>2.4499999999999999E-3</v>
      </c>
      <c r="S16" t="s">
        <v>1088</v>
      </c>
      <c r="T16" t="s">
        <v>1174</v>
      </c>
      <c r="U16" t="s">
        <v>1175</v>
      </c>
      <c r="V16" t="s">
        <v>1176</v>
      </c>
      <c r="W16" t="s">
        <v>1177</v>
      </c>
      <c r="X16" t="s">
        <v>1178</v>
      </c>
      <c r="Y16" t="s">
        <v>1179</v>
      </c>
      <c r="Z16">
        <v>7.62E-3</v>
      </c>
    </row>
    <row r="17" spans="1:26" x14ac:dyDescent="0.35">
      <c r="A17" t="s">
        <v>1088</v>
      </c>
      <c r="B17" t="s">
        <v>1174</v>
      </c>
      <c r="C17" t="s">
        <v>1180</v>
      </c>
      <c r="D17" t="s">
        <v>1181</v>
      </c>
      <c r="E17" t="s">
        <v>1196</v>
      </c>
      <c r="F17" t="s">
        <v>1222</v>
      </c>
      <c r="G17" t="s">
        <v>1223</v>
      </c>
      <c r="H17">
        <v>3.0899999999999999E-3</v>
      </c>
      <c r="S17" t="s">
        <v>1089</v>
      </c>
      <c r="T17" t="s">
        <v>1224</v>
      </c>
      <c r="U17" t="s">
        <v>1225</v>
      </c>
      <c r="V17" t="s">
        <v>1226</v>
      </c>
      <c r="W17" t="s">
        <v>1236</v>
      </c>
      <c r="X17" t="s">
        <v>1237</v>
      </c>
      <c r="Y17" t="s">
        <v>1238</v>
      </c>
      <c r="Z17">
        <v>6.7499999999999999E-3</v>
      </c>
    </row>
    <row r="18" spans="1:26" x14ac:dyDescent="0.35">
      <c r="A18" t="s">
        <v>1089</v>
      </c>
      <c r="B18" t="s">
        <v>1224</v>
      </c>
      <c r="C18" t="s">
        <v>1225</v>
      </c>
      <c r="D18" t="s">
        <v>1226</v>
      </c>
      <c r="E18" t="s">
        <v>1227</v>
      </c>
      <c r="F18" t="s">
        <v>1228</v>
      </c>
      <c r="G18" t="s">
        <v>1229</v>
      </c>
      <c r="H18">
        <v>2.7399999999999998E-3</v>
      </c>
      <c r="S18" t="s">
        <v>1088</v>
      </c>
      <c r="T18" t="s">
        <v>1174</v>
      </c>
      <c r="U18" t="s">
        <v>1180</v>
      </c>
      <c r="V18" t="s">
        <v>1292</v>
      </c>
      <c r="W18" t="s">
        <v>1295</v>
      </c>
      <c r="X18" t="s">
        <v>1303</v>
      </c>
      <c r="Y18" t="s">
        <v>1309</v>
      </c>
      <c r="Z18">
        <v>1.2899999999999999E-3</v>
      </c>
    </row>
    <row r="19" spans="1:26" x14ac:dyDescent="0.35">
      <c r="A19" t="s">
        <v>1089</v>
      </c>
      <c r="B19" t="s">
        <v>1230</v>
      </c>
      <c r="C19" t="s">
        <v>1231</v>
      </c>
      <c r="D19" t="s">
        <v>1232</v>
      </c>
      <c r="E19" t="s">
        <v>1233</v>
      </c>
      <c r="F19" t="s">
        <v>1234</v>
      </c>
      <c r="G19" t="s">
        <v>1235</v>
      </c>
      <c r="H19">
        <v>3.5E-4</v>
      </c>
      <c r="S19" t="s">
        <v>1089</v>
      </c>
      <c r="T19" t="s">
        <v>1185</v>
      </c>
      <c r="U19" t="s">
        <v>1186</v>
      </c>
      <c r="V19" t="s">
        <v>1187</v>
      </c>
      <c r="W19" t="s">
        <v>1188</v>
      </c>
      <c r="X19" t="s">
        <v>1189</v>
      </c>
      <c r="Y19" t="s">
        <v>1310</v>
      </c>
      <c r="Z19">
        <v>6.9999999999999999E-4</v>
      </c>
    </row>
    <row r="20" spans="1:26" x14ac:dyDescent="0.35">
      <c r="A20" t="s">
        <v>1089</v>
      </c>
      <c r="B20" t="s">
        <v>1224</v>
      </c>
      <c r="C20" t="s">
        <v>1225</v>
      </c>
      <c r="D20" t="s">
        <v>1226</v>
      </c>
      <c r="E20" t="s">
        <v>1236</v>
      </c>
      <c r="F20" t="s">
        <v>1237</v>
      </c>
      <c r="G20" t="s">
        <v>1238</v>
      </c>
      <c r="H20">
        <v>1.8000000000000001E-4</v>
      </c>
    </row>
    <row r="22" spans="1:26" x14ac:dyDescent="0.35">
      <c r="J22" t="s">
        <v>1321</v>
      </c>
      <c r="K22" t="s">
        <v>1322</v>
      </c>
      <c r="L22" t="s">
        <v>1323</v>
      </c>
      <c r="M22" t="s">
        <v>1324</v>
      </c>
      <c r="N22" t="s">
        <v>1325</v>
      </c>
      <c r="O22" t="s">
        <v>1326</v>
      </c>
      <c r="P22" t="s">
        <v>1327</v>
      </c>
      <c r="Q22" t="s">
        <v>1963</v>
      </c>
      <c r="R22" t="s">
        <v>1964</v>
      </c>
      <c r="S22" t="s">
        <v>1965</v>
      </c>
    </row>
    <row r="23" spans="1:26" x14ac:dyDescent="0.35">
      <c r="J23" t="s">
        <v>1088</v>
      </c>
      <c r="K23" t="s">
        <v>1174</v>
      </c>
      <c r="L23" t="s">
        <v>1180</v>
      </c>
      <c r="M23" t="s">
        <v>1181</v>
      </c>
      <c r="N23" t="s">
        <v>1196</v>
      </c>
      <c r="O23" t="s">
        <v>1197</v>
      </c>
      <c r="P23" t="s">
        <v>1198</v>
      </c>
      <c r="Q23" s="37">
        <f t="shared" ref="Q23:Q55" si="0">IFERROR(VLOOKUP($P23,$Y$3:$Z$19,2,FALSE),"")</f>
        <v>79.366500000000002</v>
      </c>
      <c r="R23" s="37">
        <f t="shared" ref="R23:R55" si="1">IFERROR(VLOOKUP($P23,$P$3:$Q$16,2,FALSE),"")</f>
        <v>3.4199999999999999E-3</v>
      </c>
      <c r="S23" s="37">
        <f t="shared" ref="S23:S55" si="2">IFERROR(VLOOKUP($P23,$G$3:$H$20,2,FALSE),"")</f>
        <v>2.6416900000000001</v>
      </c>
      <c r="T23" s="37"/>
    </row>
    <row r="24" spans="1:26" x14ac:dyDescent="0.35">
      <c r="J24" t="s">
        <v>1088</v>
      </c>
      <c r="K24" t="s">
        <v>1174</v>
      </c>
      <c r="L24" t="s">
        <v>1175</v>
      </c>
      <c r="M24" t="s">
        <v>1176</v>
      </c>
      <c r="N24" t="s">
        <v>1177</v>
      </c>
      <c r="O24" t="s">
        <v>1178</v>
      </c>
      <c r="P24" t="s">
        <v>1179</v>
      </c>
      <c r="Q24" s="37">
        <f t="shared" si="0"/>
        <v>7.62E-3</v>
      </c>
      <c r="R24" s="37">
        <f t="shared" si="1"/>
        <v>6.1599999999999997E-3</v>
      </c>
      <c r="S24" s="37">
        <f t="shared" si="2"/>
        <v>45.49586</v>
      </c>
      <c r="T24" s="37"/>
    </row>
    <row r="25" spans="1:26" x14ac:dyDescent="0.35">
      <c r="J25" t="s">
        <v>1089</v>
      </c>
      <c r="K25" t="s">
        <v>1230</v>
      </c>
      <c r="L25" t="s">
        <v>1231</v>
      </c>
      <c r="M25" t="s">
        <v>1232</v>
      </c>
      <c r="N25" t="s">
        <v>1233</v>
      </c>
      <c r="O25" t="s">
        <v>1234</v>
      </c>
      <c r="P25" t="s">
        <v>1235</v>
      </c>
      <c r="Q25" s="37" t="str">
        <f t="shared" si="0"/>
        <v/>
      </c>
      <c r="R25" s="37">
        <f t="shared" si="1"/>
        <v>41.850239999999999</v>
      </c>
      <c r="S25" s="37">
        <f t="shared" si="2"/>
        <v>3.5E-4</v>
      </c>
      <c r="T25" s="37"/>
    </row>
    <row r="26" spans="1:26" x14ac:dyDescent="0.35">
      <c r="J26" t="s">
        <v>1088</v>
      </c>
      <c r="K26" t="s">
        <v>1174</v>
      </c>
      <c r="L26" t="s">
        <v>1180</v>
      </c>
      <c r="M26" t="s">
        <v>1181</v>
      </c>
      <c r="N26" t="s">
        <v>1182</v>
      </c>
      <c r="O26" t="s">
        <v>1183</v>
      </c>
      <c r="P26" t="s">
        <v>1184</v>
      </c>
      <c r="Q26" s="37">
        <f t="shared" si="0"/>
        <v>7.1995300000000002</v>
      </c>
      <c r="R26" s="37">
        <f t="shared" si="1"/>
        <v>1.6289999999999999E-2</v>
      </c>
      <c r="S26" s="37">
        <f t="shared" si="2"/>
        <v>26.458359999999999</v>
      </c>
      <c r="T26" s="37"/>
    </row>
    <row r="27" spans="1:26" x14ac:dyDescent="0.35">
      <c r="J27" t="s">
        <v>1089</v>
      </c>
      <c r="K27" t="s">
        <v>1185</v>
      </c>
      <c r="L27" t="s">
        <v>1186</v>
      </c>
      <c r="M27" t="s">
        <v>1187</v>
      </c>
      <c r="N27" t="s">
        <v>1188</v>
      </c>
      <c r="O27" t="s">
        <v>1189</v>
      </c>
      <c r="P27" t="s">
        <v>1190</v>
      </c>
      <c r="Q27" s="37">
        <f t="shared" si="0"/>
        <v>4.1861600000000001</v>
      </c>
      <c r="R27" s="37" t="str">
        <f t="shared" si="1"/>
        <v/>
      </c>
      <c r="S27" s="37">
        <f t="shared" si="2"/>
        <v>19.103850000000001</v>
      </c>
      <c r="T27" s="37"/>
    </row>
    <row r="28" spans="1:26" x14ac:dyDescent="0.35">
      <c r="J28" t="s">
        <v>1088</v>
      </c>
      <c r="K28" t="s">
        <v>1174</v>
      </c>
      <c r="L28" t="s">
        <v>1175</v>
      </c>
      <c r="M28" t="s">
        <v>1176</v>
      </c>
      <c r="N28" t="s">
        <v>1177</v>
      </c>
      <c r="O28" t="s">
        <v>1267</v>
      </c>
      <c r="P28" t="s">
        <v>1268</v>
      </c>
      <c r="Q28" s="37" t="str">
        <f t="shared" si="0"/>
        <v/>
      </c>
      <c r="R28" s="37">
        <f t="shared" si="1"/>
        <v>23.065989999999999</v>
      </c>
      <c r="S28" s="37" t="str">
        <f t="shared" si="2"/>
        <v/>
      </c>
      <c r="T28" s="37"/>
    </row>
    <row r="29" spans="1:26" x14ac:dyDescent="0.35">
      <c r="J29" t="s">
        <v>1089</v>
      </c>
      <c r="K29" t="s">
        <v>1269</v>
      </c>
      <c r="L29" t="s">
        <v>1270</v>
      </c>
      <c r="M29" t="s">
        <v>1271</v>
      </c>
      <c r="N29" t="s">
        <v>1272</v>
      </c>
      <c r="O29" t="s">
        <v>1273</v>
      </c>
      <c r="P29" t="s">
        <v>1274</v>
      </c>
      <c r="Q29" s="37" t="str">
        <f t="shared" si="0"/>
        <v/>
      </c>
      <c r="R29" s="37">
        <f t="shared" si="1"/>
        <v>22.408349999999999</v>
      </c>
      <c r="S29" s="37" t="str">
        <f t="shared" si="2"/>
        <v/>
      </c>
      <c r="T29" s="37"/>
    </row>
    <row r="30" spans="1:26" x14ac:dyDescent="0.35">
      <c r="J30" t="s">
        <v>1088</v>
      </c>
      <c r="K30" t="s">
        <v>1174</v>
      </c>
      <c r="L30" t="s">
        <v>1175</v>
      </c>
      <c r="M30" t="s">
        <v>1176</v>
      </c>
      <c r="N30" t="s">
        <v>1177</v>
      </c>
      <c r="O30" t="s">
        <v>1267</v>
      </c>
      <c r="P30" t="s">
        <v>1275</v>
      </c>
      <c r="Q30" s="37" t="str">
        <f t="shared" si="0"/>
        <v/>
      </c>
      <c r="R30" s="37">
        <f t="shared" si="1"/>
        <v>7.4619299999999997</v>
      </c>
      <c r="S30" s="37" t="str">
        <f t="shared" si="2"/>
        <v/>
      </c>
      <c r="T30" s="37"/>
    </row>
    <row r="31" spans="1:26" x14ac:dyDescent="0.35">
      <c r="J31" t="s">
        <v>1089</v>
      </c>
      <c r="K31" t="s">
        <v>1185</v>
      </c>
      <c r="L31" t="s">
        <v>1191</v>
      </c>
      <c r="M31" t="s">
        <v>1192</v>
      </c>
      <c r="N31" t="s">
        <v>1193</v>
      </c>
      <c r="O31" t="s">
        <v>1194</v>
      </c>
      <c r="P31" t="s">
        <v>1195</v>
      </c>
      <c r="Q31" s="37">
        <f t="shared" si="0"/>
        <v>1.7129999999999999E-2</v>
      </c>
      <c r="R31" s="37" t="str">
        <f t="shared" si="1"/>
        <v/>
      </c>
      <c r="S31" s="37">
        <f t="shared" si="2"/>
        <v>5.9595700000000003</v>
      </c>
      <c r="T31" s="37"/>
    </row>
    <row r="32" spans="1:26" x14ac:dyDescent="0.35">
      <c r="J32" t="s">
        <v>1089</v>
      </c>
      <c r="K32" t="s">
        <v>1224</v>
      </c>
      <c r="L32" t="s">
        <v>1225</v>
      </c>
      <c r="M32" t="s">
        <v>1226</v>
      </c>
      <c r="N32" t="s">
        <v>1227</v>
      </c>
      <c r="O32" t="s">
        <v>1228</v>
      </c>
      <c r="P32" t="s">
        <v>1229</v>
      </c>
      <c r="Q32" s="37" t="str">
        <f t="shared" si="0"/>
        <v/>
      </c>
      <c r="R32" s="37">
        <f t="shared" si="1"/>
        <v>5.0814899999999996</v>
      </c>
      <c r="S32" s="37">
        <f t="shared" si="2"/>
        <v>2.7399999999999998E-3</v>
      </c>
      <c r="T32" s="37"/>
    </row>
    <row r="33" spans="10:20" x14ac:dyDescent="0.35">
      <c r="J33" t="s">
        <v>1088</v>
      </c>
      <c r="K33" t="s">
        <v>1174</v>
      </c>
      <c r="L33" t="s">
        <v>1180</v>
      </c>
      <c r="M33" t="s">
        <v>1181</v>
      </c>
      <c r="N33" t="s">
        <v>1196</v>
      </c>
      <c r="O33" t="s">
        <v>1197</v>
      </c>
      <c r="P33" t="s">
        <v>1199</v>
      </c>
      <c r="Q33" s="37">
        <f t="shared" si="0"/>
        <v>3.18215</v>
      </c>
      <c r="R33" s="37" t="str">
        <f t="shared" si="1"/>
        <v/>
      </c>
      <c r="S33" s="37">
        <f t="shared" si="2"/>
        <v>0.11723</v>
      </c>
      <c r="T33" s="37"/>
    </row>
    <row r="34" spans="10:20" x14ac:dyDescent="0.35">
      <c r="J34" t="s">
        <v>1088</v>
      </c>
      <c r="K34" t="s">
        <v>1174</v>
      </c>
      <c r="L34" t="s">
        <v>1180</v>
      </c>
      <c r="M34" t="s">
        <v>1181</v>
      </c>
      <c r="N34" t="s">
        <v>1196</v>
      </c>
      <c r="O34" t="s">
        <v>1197</v>
      </c>
      <c r="P34" t="s">
        <v>1200</v>
      </c>
      <c r="Q34" s="37">
        <f t="shared" si="0"/>
        <v>2.0844499999999999</v>
      </c>
      <c r="R34" s="37" t="str">
        <f t="shared" si="1"/>
        <v/>
      </c>
      <c r="S34" s="37">
        <f t="shared" si="2"/>
        <v>7.528E-2</v>
      </c>
      <c r="T34" s="37"/>
    </row>
    <row r="35" spans="10:20" x14ac:dyDescent="0.35">
      <c r="J35" t="s">
        <v>1088</v>
      </c>
      <c r="K35" t="s">
        <v>1174</v>
      </c>
      <c r="L35" t="s">
        <v>1180</v>
      </c>
      <c r="M35" t="s">
        <v>1292</v>
      </c>
      <c r="N35" t="s">
        <v>1295</v>
      </c>
      <c r="O35" t="s">
        <v>1299</v>
      </c>
      <c r="P35" t="s">
        <v>1304</v>
      </c>
      <c r="Q35" s="37">
        <f t="shared" si="0"/>
        <v>1.23506</v>
      </c>
      <c r="R35" s="37" t="str">
        <f t="shared" si="1"/>
        <v/>
      </c>
      <c r="S35" s="37" t="str">
        <f t="shared" si="2"/>
        <v/>
      </c>
      <c r="T35" s="37"/>
    </row>
    <row r="36" spans="10:20" x14ac:dyDescent="0.35">
      <c r="J36" t="s">
        <v>1089</v>
      </c>
      <c r="K36" t="s">
        <v>1185</v>
      </c>
      <c r="L36" t="s">
        <v>1205</v>
      </c>
      <c r="M36" t="s">
        <v>1206</v>
      </c>
      <c r="N36" t="s">
        <v>1207</v>
      </c>
      <c r="O36" t="s">
        <v>1208</v>
      </c>
      <c r="P36" t="s">
        <v>1209</v>
      </c>
      <c r="Q36" s="37">
        <f t="shared" si="0"/>
        <v>1.1403300000000001</v>
      </c>
      <c r="R36" s="37" t="str">
        <f t="shared" si="1"/>
        <v/>
      </c>
      <c r="S36" s="37">
        <f t="shared" si="2"/>
        <v>1.8280000000000001E-2</v>
      </c>
      <c r="T36" s="37"/>
    </row>
    <row r="37" spans="10:20" x14ac:dyDescent="0.35">
      <c r="J37" t="s">
        <v>1089</v>
      </c>
      <c r="K37" t="s">
        <v>1288</v>
      </c>
      <c r="L37" t="s">
        <v>1290</v>
      </c>
      <c r="M37" t="s">
        <v>1293</v>
      </c>
      <c r="N37" t="s">
        <v>1296</v>
      </c>
      <c r="O37" t="s">
        <v>1300</v>
      </c>
      <c r="P37" t="s">
        <v>1305</v>
      </c>
      <c r="Q37" s="37">
        <f t="shared" si="0"/>
        <v>0.46745999999999999</v>
      </c>
      <c r="R37" s="37" t="str">
        <f t="shared" si="1"/>
        <v/>
      </c>
      <c r="S37" s="37" t="str">
        <f t="shared" si="2"/>
        <v/>
      </c>
      <c r="T37" s="37"/>
    </row>
    <row r="38" spans="10:20" x14ac:dyDescent="0.35">
      <c r="J38" t="s">
        <v>1089</v>
      </c>
      <c r="K38" t="s">
        <v>1289</v>
      </c>
      <c r="L38" t="s">
        <v>1291</v>
      </c>
      <c r="M38" t="s">
        <v>1294</v>
      </c>
      <c r="N38" t="s">
        <v>1298</v>
      </c>
      <c r="O38" t="s">
        <v>1302</v>
      </c>
      <c r="P38" t="s">
        <v>1306</v>
      </c>
      <c r="Q38" s="37">
        <f t="shared" si="0"/>
        <v>0.37515999999999999</v>
      </c>
      <c r="R38" s="37" t="str">
        <f t="shared" si="1"/>
        <v/>
      </c>
      <c r="S38" s="37" t="str">
        <f t="shared" si="2"/>
        <v/>
      </c>
      <c r="T38" s="37"/>
    </row>
    <row r="39" spans="10:20" x14ac:dyDescent="0.35">
      <c r="J39" t="s">
        <v>1088</v>
      </c>
      <c r="K39" t="s">
        <v>1174</v>
      </c>
      <c r="L39" t="s">
        <v>1180</v>
      </c>
      <c r="M39" t="s">
        <v>1181</v>
      </c>
      <c r="N39" t="s">
        <v>1196</v>
      </c>
      <c r="O39" t="s">
        <v>1222</v>
      </c>
      <c r="P39" t="s">
        <v>1223</v>
      </c>
      <c r="Q39" s="37">
        <f t="shared" si="0"/>
        <v>0.21092</v>
      </c>
      <c r="R39" s="37" t="str">
        <f t="shared" si="1"/>
        <v/>
      </c>
      <c r="S39" s="37">
        <f t="shared" si="2"/>
        <v>3.0899999999999999E-3</v>
      </c>
      <c r="T39" s="37"/>
    </row>
    <row r="40" spans="10:20" x14ac:dyDescent="0.35">
      <c r="J40" t="s">
        <v>1089</v>
      </c>
      <c r="K40" t="s">
        <v>1185</v>
      </c>
      <c r="L40" t="s">
        <v>1191</v>
      </c>
      <c r="M40" t="s">
        <v>1192</v>
      </c>
      <c r="N40" t="s">
        <v>1193</v>
      </c>
      <c r="O40" t="s">
        <v>1194</v>
      </c>
      <c r="P40" t="s">
        <v>1307</v>
      </c>
      <c r="Q40" s="37">
        <f t="shared" si="0"/>
        <v>0.12193</v>
      </c>
      <c r="R40" s="37" t="str">
        <f t="shared" si="1"/>
        <v/>
      </c>
      <c r="S40" s="37" t="str">
        <f t="shared" si="2"/>
        <v/>
      </c>
      <c r="T40" s="37"/>
    </row>
    <row r="41" spans="10:20" x14ac:dyDescent="0.35">
      <c r="J41" t="s">
        <v>1088</v>
      </c>
      <c r="K41" t="s">
        <v>1174</v>
      </c>
      <c r="L41" t="s">
        <v>1175</v>
      </c>
      <c r="M41" t="s">
        <v>1176</v>
      </c>
      <c r="N41" t="s">
        <v>1177</v>
      </c>
      <c r="O41" t="s">
        <v>1267</v>
      </c>
      <c r="P41" t="s">
        <v>1276</v>
      </c>
      <c r="Q41" s="37" t="str">
        <f t="shared" si="0"/>
        <v/>
      </c>
      <c r="R41" s="37">
        <f t="shared" si="1"/>
        <v>8.0180000000000001E-2</v>
      </c>
      <c r="S41" s="37" t="str">
        <f t="shared" si="2"/>
        <v/>
      </c>
      <c r="T41" s="37"/>
    </row>
    <row r="42" spans="10:20" x14ac:dyDescent="0.35">
      <c r="J42" t="s">
        <v>1088</v>
      </c>
      <c r="K42" t="s">
        <v>1174</v>
      </c>
      <c r="L42" t="s">
        <v>1175</v>
      </c>
      <c r="M42" t="s">
        <v>1176</v>
      </c>
      <c r="N42" t="s">
        <v>1177</v>
      </c>
      <c r="O42" t="s">
        <v>1178</v>
      </c>
      <c r="P42" t="s">
        <v>1201</v>
      </c>
      <c r="Q42" s="37" t="str">
        <f t="shared" si="0"/>
        <v/>
      </c>
      <c r="R42" s="37" t="str">
        <f t="shared" si="1"/>
        <v/>
      </c>
      <c r="S42" s="37">
        <f t="shared" si="2"/>
        <v>5.4960000000000002E-2</v>
      </c>
      <c r="T42" s="37"/>
    </row>
    <row r="43" spans="10:20" x14ac:dyDescent="0.35">
      <c r="J43" t="s">
        <v>1089</v>
      </c>
      <c r="K43" t="s">
        <v>1185</v>
      </c>
      <c r="L43" t="s">
        <v>1191</v>
      </c>
      <c r="M43" t="s">
        <v>1192</v>
      </c>
      <c r="N43" t="s">
        <v>1202</v>
      </c>
      <c r="O43" t="s">
        <v>1203</v>
      </c>
      <c r="P43" t="s">
        <v>1204</v>
      </c>
      <c r="Q43" s="37" t="str">
        <f t="shared" si="0"/>
        <v/>
      </c>
      <c r="R43" s="37" t="str">
        <f t="shared" si="1"/>
        <v/>
      </c>
      <c r="S43" s="37">
        <f t="shared" si="2"/>
        <v>2.494E-2</v>
      </c>
      <c r="T43" s="37"/>
    </row>
    <row r="44" spans="10:20" x14ac:dyDescent="0.35">
      <c r="J44" t="s">
        <v>1089</v>
      </c>
      <c r="K44" t="s">
        <v>1185</v>
      </c>
      <c r="L44" t="s">
        <v>1210</v>
      </c>
      <c r="M44" t="s">
        <v>1211</v>
      </c>
      <c r="N44" t="s">
        <v>1212</v>
      </c>
      <c r="O44" t="s">
        <v>1213</v>
      </c>
      <c r="P44" t="s">
        <v>1214</v>
      </c>
      <c r="Q44" s="37" t="str">
        <f t="shared" si="0"/>
        <v/>
      </c>
      <c r="R44" s="37" t="str">
        <f t="shared" si="1"/>
        <v/>
      </c>
      <c r="S44" s="37">
        <f t="shared" si="2"/>
        <v>1.227E-2</v>
      </c>
      <c r="T44" s="37"/>
    </row>
    <row r="45" spans="10:20" x14ac:dyDescent="0.35">
      <c r="J45" t="s">
        <v>1088</v>
      </c>
      <c r="K45" t="s">
        <v>1174</v>
      </c>
      <c r="L45" t="s">
        <v>1175</v>
      </c>
      <c r="M45" t="s">
        <v>1176</v>
      </c>
      <c r="N45" t="s">
        <v>1177</v>
      </c>
      <c r="O45" t="s">
        <v>1219</v>
      </c>
      <c r="P45" t="s">
        <v>1220</v>
      </c>
      <c r="Q45" s="37" t="str">
        <f t="shared" si="0"/>
        <v/>
      </c>
      <c r="R45" s="37">
        <f t="shared" si="1"/>
        <v>2.4499999999999999E-3</v>
      </c>
      <c r="S45" s="37">
        <f t="shared" si="2"/>
        <v>8.2100000000000003E-3</v>
      </c>
      <c r="T45" s="37"/>
    </row>
    <row r="46" spans="10:20" x14ac:dyDescent="0.35">
      <c r="J46" t="s">
        <v>1089</v>
      </c>
      <c r="K46" t="s">
        <v>1224</v>
      </c>
      <c r="L46" t="s">
        <v>1277</v>
      </c>
      <c r="M46" t="s">
        <v>1278</v>
      </c>
      <c r="N46" t="s">
        <v>1279</v>
      </c>
      <c r="O46" t="s">
        <v>1280</v>
      </c>
      <c r="P46" t="s">
        <v>1281</v>
      </c>
      <c r="Q46" s="37" t="str">
        <f t="shared" si="0"/>
        <v/>
      </c>
      <c r="R46" s="37">
        <f t="shared" si="1"/>
        <v>9.2499999999999995E-3</v>
      </c>
      <c r="S46" s="37" t="str">
        <f t="shared" si="2"/>
        <v/>
      </c>
      <c r="T46" s="37"/>
    </row>
    <row r="47" spans="10:20" x14ac:dyDescent="0.35">
      <c r="J47" t="s">
        <v>1088</v>
      </c>
      <c r="K47" t="s">
        <v>1174</v>
      </c>
      <c r="L47" t="s">
        <v>1180</v>
      </c>
      <c r="M47" t="s">
        <v>1181</v>
      </c>
      <c r="N47" t="s">
        <v>1196</v>
      </c>
      <c r="O47" t="s">
        <v>1222</v>
      </c>
      <c r="P47" t="s">
        <v>1308</v>
      </c>
      <c r="Q47" s="37">
        <f t="shared" si="0"/>
        <v>9.1900000000000003E-3</v>
      </c>
      <c r="R47" s="37" t="str">
        <f t="shared" si="1"/>
        <v/>
      </c>
      <c r="S47" s="37" t="str">
        <f t="shared" si="2"/>
        <v/>
      </c>
      <c r="T47" s="37"/>
    </row>
    <row r="48" spans="10:20" x14ac:dyDescent="0.35">
      <c r="J48" t="s">
        <v>1089</v>
      </c>
      <c r="K48" t="s">
        <v>1185</v>
      </c>
      <c r="L48" t="s">
        <v>1210</v>
      </c>
      <c r="M48" t="s">
        <v>1215</v>
      </c>
      <c r="N48" t="s">
        <v>1216</v>
      </c>
      <c r="O48" t="s">
        <v>1217</v>
      </c>
      <c r="P48" t="s">
        <v>1218</v>
      </c>
      <c r="Q48" s="37" t="str">
        <f t="shared" si="0"/>
        <v/>
      </c>
      <c r="R48" s="37" t="str">
        <f t="shared" si="1"/>
        <v/>
      </c>
      <c r="S48" s="37">
        <f t="shared" si="2"/>
        <v>8.3899999999999999E-3</v>
      </c>
      <c r="T48" s="37"/>
    </row>
    <row r="49" spans="10:20" x14ac:dyDescent="0.35">
      <c r="J49" t="s">
        <v>1089</v>
      </c>
      <c r="K49" t="s">
        <v>1224</v>
      </c>
      <c r="L49" t="s">
        <v>1225</v>
      </c>
      <c r="M49" t="s">
        <v>1226</v>
      </c>
      <c r="N49" t="s">
        <v>1236</v>
      </c>
      <c r="O49" t="s">
        <v>1237</v>
      </c>
      <c r="P49" t="s">
        <v>1238</v>
      </c>
      <c r="Q49" s="37">
        <f t="shared" si="0"/>
        <v>6.7499999999999999E-3</v>
      </c>
      <c r="R49" s="37" t="str">
        <f t="shared" si="1"/>
        <v/>
      </c>
      <c r="S49" s="37">
        <f t="shared" si="2"/>
        <v>1.8000000000000001E-4</v>
      </c>
      <c r="T49" s="37"/>
    </row>
    <row r="50" spans="10:20" x14ac:dyDescent="0.35">
      <c r="J50" t="s">
        <v>1089</v>
      </c>
      <c r="K50" t="s">
        <v>1185</v>
      </c>
      <c r="L50" t="s">
        <v>1191</v>
      </c>
      <c r="M50" t="s">
        <v>1192</v>
      </c>
      <c r="N50" t="s">
        <v>1193</v>
      </c>
      <c r="O50" t="s">
        <v>1194</v>
      </c>
      <c r="P50" t="s">
        <v>1221</v>
      </c>
      <c r="Q50" s="37" t="str">
        <f t="shared" si="0"/>
        <v/>
      </c>
      <c r="R50" s="37" t="str">
        <f t="shared" si="1"/>
        <v/>
      </c>
      <c r="S50" s="37">
        <f t="shared" si="2"/>
        <v>5.4200000000000003E-3</v>
      </c>
      <c r="T50" s="37"/>
    </row>
    <row r="51" spans="10:20" x14ac:dyDescent="0.35">
      <c r="J51" t="s">
        <v>1089</v>
      </c>
      <c r="K51" t="s">
        <v>1224</v>
      </c>
      <c r="L51" t="s">
        <v>1277</v>
      </c>
      <c r="M51" t="s">
        <v>1278</v>
      </c>
      <c r="N51" t="s">
        <v>1279</v>
      </c>
      <c r="O51" t="s">
        <v>1280</v>
      </c>
      <c r="P51" t="s">
        <v>1282</v>
      </c>
      <c r="Q51" s="37" t="str">
        <f t="shared" si="0"/>
        <v/>
      </c>
      <c r="R51" s="37">
        <f t="shared" si="1"/>
        <v>5.0499999999999998E-3</v>
      </c>
      <c r="S51" s="37" t="str">
        <f t="shared" si="2"/>
        <v/>
      </c>
      <c r="T51" s="37"/>
    </row>
    <row r="52" spans="10:20" x14ac:dyDescent="0.35">
      <c r="J52" t="s">
        <v>1089</v>
      </c>
      <c r="K52" t="s">
        <v>1224</v>
      </c>
      <c r="L52" t="s">
        <v>1277</v>
      </c>
      <c r="M52" t="s">
        <v>1283</v>
      </c>
      <c r="N52" t="s">
        <v>1284</v>
      </c>
      <c r="O52" t="s">
        <v>1285</v>
      </c>
      <c r="P52" t="s">
        <v>1286</v>
      </c>
      <c r="Q52" s="37" t="str">
        <f t="shared" si="0"/>
        <v/>
      </c>
      <c r="R52" s="37">
        <f t="shared" si="1"/>
        <v>4.8500000000000001E-3</v>
      </c>
      <c r="S52" s="37" t="str">
        <f t="shared" si="2"/>
        <v/>
      </c>
      <c r="T52" s="37"/>
    </row>
    <row r="53" spans="10:20" x14ac:dyDescent="0.35">
      <c r="J53" t="s">
        <v>1089</v>
      </c>
      <c r="K53" t="s">
        <v>1224</v>
      </c>
      <c r="L53" t="s">
        <v>1277</v>
      </c>
      <c r="M53" t="s">
        <v>1278</v>
      </c>
      <c r="N53" t="s">
        <v>1279</v>
      </c>
      <c r="O53" t="s">
        <v>1280</v>
      </c>
      <c r="P53" t="s">
        <v>1287</v>
      </c>
      <c r="Q53" s="37" t="str">
        <f t="shared" si="0"/>
        <v/>
      </c>
      <c r="R53" s="37">
        <f t="shared" si="1"/>
        <v>4.3299999999999996E-3</v>
      </c>
      <c r="S53" s="37" t="str">
        <f t="shared" si="2"/>
        <v/>
      </c>
      <c r="T53" s="37"/>
    </row>
    <row r="54" spans="10:20" x14ac:dyDescent="0.35">
      <c r="J54" t="s">
        <v>1088</v>
      </c>
      <c r="K54" t="s">
        <v>1174</v>
      </c>
      <c r="L54" t="s">
        <v>1180</v>
      </c>
      <c r="M54" t="s">
        <v>1292</v>
      </c>
      <c r="N54" t="s">
        <v>1295</v>
      </c>
      <c r="O54" t="s">
        <v>1303</v>
      </c>
      <c r="P54" t="s">
        <v>1309</v>
      </c>
      <c r="Q54" s="37">
        <f t="shared" si="0"/>
        <v>1.2899999999999999E-3</v>
      </c>
      <c r="R54" s="37" t="str">
        <f t="shared" si="1"/>
        <v/>
      </c>
      <c r="S54" s="37" t="str">
        <f t="shared" si="2"/>
        <v/>
      </c>
      <c r="T54" s="37"/>
    </row>
    <row r="55" spans="10:20" x14ac:dyDescent="0.35">
      <c r="J55" t="s">
        <v>1089</v>
      </c>
      <c r="K55" t="s">
        <v>1185</v>
      </c>
      <c r="L55" t="s">
        <v>1186</v>
      </c>
      <c r="M55" t="s">
        <v>1187</v>
      </c>
      <c r="N55" t="s">
        <v>1188</v>
      </c>
      <c r="O55" t="s">
        <v>1189</v>
      </c>
      <c r="P55" t="s">
        <v>1310</v>
      </c>
      <c r="Q55" s="37">
        <f t="shared" si="0"/>
        <v>6.9999999999999999E-4</v>
      </c>
      <c r="R55" s="37" t="str">
        <f t="shared" si="1"/>
        <v/>
      </c>
      <c r="S55" s="37" t="str">
        <f t="shared" si="2"/>
        <v/>
      </c>
      <c r="T55" s="37"/>
    </row>
  </sheetData>
  <sortState ref="J23:T55">
    <sortCondition descending="1" ref="T23:T55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H1" workbookViewId="0">
      <selection activeCell="F1" sqref="F1"/>
    </sheetView>
  </sheetViews>
  <sheetFormatPr defaultRowHeight="14.5" x14ac:dyDescent="0.35"/>
  <cols>
    <col min="6" max="6" width="23" customWidth="1"/>
    <col min="14" max="14" width="24.81640625" customWidth="1"/>
    <col min="22" max="22" width="33" customWidth="1"/>
  </cols>
  <sheetData>
    <row r="1" spans="1:23" x14ac:dyDescent="0.35">
      <c r="A1" t="str">
        <f>MetaPhlAn!G1</f>
        <v>#W1 Metaphlan2_Analysis</v>
      </c>
      <c r="I1" t="str">
        <f>MetaPhlAn!D1</f>
        <v>#W2 Metaphlan2_Analysis</v>
      </c>
      <c r="Q1" t="str">
        <f>MetaPhlAn!A1</f>
        <v>#W3 Metaphlan2_Analysis</v>
      </c>
    </row>
    <row r="3" spans="1:23" x14ac:dyDescent="0.35">
      <c r="A3" t="s">
        <v>24</v>
      </c>
      <c r="B3" t="s">
        <v>25</v>
      </c>
      <c r="C3" t="s">
        <v>40</v>
      </c>
      <c r="D3" t="s">
        <v>41</v>
      </c>
      <c r="E3" t="s">
        <v>52</v>
      </c>
      <c r="F3" t="s">
        <v>53</v>
      </c>
      <c r="G3">
        <v>84.633099999999999</v>
      </c>
      <c r="I3" t="s">
        <v>8</v>
      </c>
      <c r="J3" t="s">
        <v>100</v>
      </c>
      <c r="K3" t="s">
        <v>101</v>
      </c>
      <c r="L3" t="s">
        <v>102</v>
      </c>
      <c r="M3" t="s">
        <v>103</v>
      </c>
      <c r="N3" t="s">
        <v>104</v>
      </c>
      <c r="O3">
        <v>41.850239999999999</v>
      </c>
      <c r="Q3" t="s">
        <v>24</v>
      </c>
      <c r="R3" t="s">
        <v>25</v>
      </c>
      <c r="S3" t="s">
        <v>26</v>
      </c>
      <c r="T3" t="s">
        <v>27</v>
      </c>
      <c r="U3" t="s">
        <v>28</v>
      </c>
      <c r="V3" t="s">
        <v>29</v>
      </c>
      <c r="W3">
        <v>45.550820000000002</v>
      </c>
    </row>
    <row r="4" spans="1:23" x14ac:dyDescent="0.35">
      <c r="A4" t="s">
        <v>24</v>
      </c>
      <c r="B4" t="s">
        <v>25</v>
      </c>
      <c r="C4" t="s">
        <v>40</v>
      </c>
      <c r="D4" t="s">
        <v>41</v>
      </c>
      <c r="E4" t="s">
        <v>1463</v>
      </c>
      <c r="F4" t="s">
        <v>1447</v>
      </c>
      <c r="G4">
        <v>7.1995300000000002</v>
      </c>
      <c r="I4" t="s">
        <v>24</v>
      </c>
      <c r="J4" t="s">
        <v>25</v>
      </c>
      <c r="K4" t="s">
        <v>26</v>
      </c>
      <c r="L4" t="s">
        <v>27</v>
      </c>
      <c r="M4" t="s">
        <v>28</v>
      </c>
      <c r="N4" t="s">
        <v>75</v>
      </c>
      <c r="O4">
        <v>30.60811</v>
      </c>
      <c r="Q4" t="s">
        <v>24</v>
      </c>
      <c r="R4" t="s">
        <v>25</v>
      </c>
      <c r="S4" t="s">
        <v>40</v>
      </c>
      <c r="T4" t="s">
        <v>41</v>
      </c>
      <c r="U4" t="s">
        <v>1463</v>
      </c>
      <c r="V4" t="s">
        <v>1447</v>
      </c>
      <c r="W4">
        <v>26.458359999999999</v>
      </c>
    </row>
    <row r="5" spans="1:23" x14ac:dyDescent="0.35">
      <c r="A5" t="s">
        <v>8</v>
      </c>
      <c r="B5" t="s">
        <v>9</v>
      </c>
      <c r="C5" t="s">
        <v>10</v>
      </c>
      <c r="D5" t="s">
        <v>107</v>
      </c>
      <c r="E5" t="s">
        <v>108</v>
      </c>
      <c r="F5" t="s">
        <v>109</v>
      </c>
      <c r="G5">
        <v>4.1868600000000002</v>
      </c>
      <c r="I5" t="s">
        <v>8</v>
      </c>
      <c r="J5" t="s">
        <v>114</v>
      </c>
      <c r="K5" t="s">
        <v>115</v>
      </c>
      <c r="L5" t="s">
        <v>116</v>
      </c>
      <c r="M5" t="s">
        <v>117</v>
      </c>
      <c r="N5" t="s">
        <v>118</v>
      </c>
      <c r="O5">
        <v>22.408349999999999</v>
      </c>
      <c r="Q5" t="s">
        <v>8</v>
      </c>
      <c r="R5" t="s">
        <v>9</v>
      </c>
      <c r="S5" t="s">
        <v>10</v>
      </c>
      <c r="T5" t="s">
        <v>107</v>
      </c>
      <c r="U5" t="s">
        <v>108</v>
      </c>
      <c r="V5" t="s">
        <v>109</v>
      </c>
      <c r="W5">
        <v>19.103850000000001</v>
      </c>
    </row>
    <row r="6" spans="1:23" x14ac:dyDescent="0.35">
      <c r="A6" t="s">
        <v>24</v>
      </c>
      <c r="B6" t="s">
        <v>25</v>
      </c>
      <c r="C6" t="s">
        <v>40</v>
      </c>
      <c r="D6" t="s">
        <v>56</v>
      </c>
      <c r="E6" t="s">
        <v>523</v>
      </c>
      <c r="F6" t="s">
        <v>1445</v>
      </c>
      <c r="G6">
        <v>1.23506</v>
      </c>
      <c r="I6" t="s">
        <v>8</v>
      </c>
      <c r="J6" t="s">
        <v>46</v>
      </c>
      <c r="K6" t="s">
        <v>47</v>
      </c>
      <c r="L6" t="s">
        <v>61</v>
      </c>
      <c r="M6" t="s">
        <v>1466</v>
      </c>
      <c r="N6" t="s">
        <v>1450</v>
      </c>
      <c r="O6">
        <v>5.0814899999999996</v>
      </c>
      <c r="Q6" t="s">
        <v>8</v>
      </c>
      <c r="R6" t="s">
        <v>9</v>
      </c>
      <c r="S6" t="s">
        <v>172</v>
      </c>
      <c r="T6" t="s">
        <v>173</v>
      </c>
      <c r="U6" t="s">
        <v>174</v>
      </c>
      <c r="V6" t="s">
        <v>175</v>
      </c>
      <c r="W6">
        <v>5.9649900000000002</v>
      </c>
    </row>
    <row r="7" spans="1:23" x14ac:dyDescent="0.35">
      <c r="A7" t="s">
        <v>8</v>
      </c>
      <c r="B7" t="s">
        <v>9</v>
      </c>
      <c r="C7" t="s">
        <v>243</v>
      </c>
      <c r="D7" t="s">
        <v>244</v>
      </c>
      <c r="E7" t="s">
        <v>245</v>
      </c>
      <c r="F7" t="s">
        <v>246</v>
      </c>
      <c r="G7">
        <v>1.1403300000000001</v>
      </c>
      <c r="I7" t="s">
        <v>8</v>
      </c>
      <c r="J7" t="s">
        <v>46</v>
      </c>
      <c r="K7" t="s">
        <v>364</v>
      </c>
      <c r="L7" t="s">
        <v>416</v>
      </c>
      <c r="M7" t="s">
        <v>1465</v>
      </c>
      <c r="N7" t="s">
        <v>679</v>
      </c>
      <c r="O7">
        <v>1.8620000000000001E-2</v>
      </c>
      <c r="Q7" t="s">
        <v>24</v>
      </c>
      <c r="R7" t="s">
        <v>25</v>
      </c>
      <c r="S7" t="s">
        <v>40</v>
      </c>
      <c r="T7" t="s">
        <v>41</v>
      </c>
      <c r="U7" t="s">
        <v>52</v>
      </c>
      <c r="V7" t="s">
        <v>53</v>
      </c>
      <c r="W7">
        <v>2.8342000000000001</v>
      </c>
    </row>
    <row r="8" spans="1:23" x14ac:dyDescent="0.35">
      <c r="A8" t="s">
        <v>8</v>
      </c>
      <c r="B8" t="s">
        <v>32</v>
      </c>
      <c r="C8" t="s">
        <v>35</v>
      </c>
      <c r="D8" t="s">
        <v>36</v>
      </c>
      <c r="E8" t="s">
        <v>37</v>
      </c>
      <c r="F8" t="s">
        <v>304</v>
      </c>
      <c r="G8">
        <v>0.46745999999999999</v>
      </c>
      <c r="I8" t="s">
        <v>24</v>
      </c>
      <c r="J8" t="s">
        <v>25</v>
      </c>
      <c r="K8" t="s">
        <v>40</v>
      </c>
      <c r="L8" t="s">
        <v>41</v>
      </c>
      <c r="M8" t="s">
        <v>1463</v>
      </c>
      <c r="N8" t="s">
        <v>1447</v>
      </c>
      <c r="O8">
        <v>1.6289999999999999E-2</v>
      </c>
      <c r="Q8" t="s">
        <v>8</v>
      </c>
      <c r="R8" t="s">
        <v>9</v>
      </c>
      <c r="S8" t="s">
        <v>172</v>
      </c>
      <c r="T8" t="s">
        <v>173</v>
      </c>
      <c r="U8" t="s">
        <v>590</v>
      </c>
      <c r="V8" t="s">
        <v>591</v>
      </c>
      <c r="W8">
        <v>2.494E-2</v>
      </c>
    </row>
    <row r="9" spans="1:23" x14ac:dyDescent="0.35">
      <c r="A9" t="s">
        <v>24</v>
      </c>
      <c r="B9" t="s">
        <v>25</v>
      </c>
      <c r="C9" t="s">
        <v>40</v>
      </c>
      <c r="D9" t="s">
        <v>56</v>
      </c>
      <c r="E9" t="s">
        <v>466</v>
      </c>
      <c r="F9" t="s">
        <v>1446</v>
      </c>
      <c r="G9">
        <v>0.38768999999999998</v>
      </c>
      <c r="I9" t="s">
        <v>24</v>
      </c>
      <c r="J9" t="s">
        <v>25</v>
      </c>
      <c r="K9" t="s">
        <v>26</v>
      </c>
      <c r="L9" t="s">
        <v>27</v>
      </c>
      <c r="M9" t="s">
        <v>28</v>
      </c>
      <c r="N9" t="s">
        <v>29</v>
      </c>
      <c r="O9">
        <v>6.1599999999999997E-3</v>
      </c>
      <c r="Q9" t="s">
        <v>8</v>
      </c>
      <c r="R9" t="s">
        <v>9</v>
      </c>
      <c r="S9" t="s">
        <v>243</v>
      </c>
      <c r="T9" t="s">
        <v>244</v>
      </c>
      <c r="U9" t="s">
        <v>245</v>
      </c>
      <c r="V9" t="s">
        <v>246</v>
      </c>
      <c r="W9">
        <v>1.8280000000000001E-2</v>
      </c>
    </row>
    <row r="10" spans="1:23" x14ac:dyDescent="0.35">
      <c r="A10" t="s">
        <v>8</v>
      </c>
      <c r="B10" t="s">
        <v>18</v>
      </c>
      <c r="C10" t="s">
        <v>19</v>
      </c>
      <c r="D10" t="s">
        <v>20</v>
      </c>
      <c r="E10" t="s">
        <v>21</v>
      </c>
      <c r="F10" t="s">
        <v>357</v>
      </c>
      <c r="G10">
        <v>0.37515999999999999</v>
      </c>
      <c r="I10" t="s">
        <v>8</v>
      </c>
      <c r="J10" t="s">
        <v>46</v>
      </c>
      <c r="K10" t="s">
        <v>364</v>
      </c>
      <c r="L10" t="s">
        <v>365</v>
      </c>
      <c r="M10" t="s">
        <v>366</v>
      </c>
      <c r="N10" t="s">
        <v>1449</v>
      </c>
      <c r="O10">
        <v>4.8500000000000001E-3</v>
      </c>
      <c r="Q10" t="s">
        <v>8</v>
      </c>
      <c r="R10" t="s">
        <v>9</v>
      </c>
      <c r="S10" t="s">
        <v>138</v>
      </c>
      <c r="T10" t="s">
        <v>410</v>
      </c>
      <c r="U10" t="s">
        <v>411</v>
      </c>
      <c r="V10" t="s">
        <v>1451</v>
      </c>
      <c r="W10">
        <v>1.227E-2</v>
      </c>
    </row>
    <row r="11" spans="1:23" x14ac:dyDescent="0.35">
      <c r="A11" t="s">
        <v>24</v>
      </c>
      <c r="B11" t="s">
        <v>25</v>
      </c>
      <c r="C11" t="s">
        <v>40</v>
      </c>
      <c r="D11" t="s">
        <v>41</v>
      </c>
      <c r="E11" t="s">
        <v>52</v>
      </c>
      <c r="F11" t="s">
        <v>835</v>
      </c>
      <c r="G11">
        <v>0.22009999999999999</v>
      </c>
      <c r="I11" t="s">
        <v>24</v>
      </c>
      <c r="J11" t="s">
        <v>25</v>
      </c>
      <c r="K11" t="s">
        <v>40</v>
      </c>
      <c r="L11" t="s">
        <v>41</v>
      </c>
      <c r="M11" t="s">
        <v>52</v>
      </c>
      <c r="N11" t="s">
        <v>53</v>
      </c>
      <c r="O11">
        <v>3.4199999999999999E-3</v>
      </c>
      <c r="Q11" t="s">
        <v>8</v>
      </c>
      <c r="R11" t="s">
        <v>9</v>
      </c>
      <c r="S11" t="s">
        <v>138</v>
      </c>
      <c r="T11" t="s">
        <v>296</v>
      </c>
      <c r="U11" t="s">
        <v>297</v>
      </c>
      <c r="V11" t="s">
        <v>1452</v>
      </c>
      <c r="W11">
        <v>8.3899999999999999E-3</v>
      </c>
    </row>
    <row r="12" spans="1:23" x14ac:dyDescent="0.35">
      <c r="A12" t="s">
        <v>8</v>
      </c>
      <c r="B12" t="s">
        <v>9</v>
      </c>
      <c r="C12" t="s">
        <v>172</v>
      </c>
      <c r="D12" t="s">
        <v>173</v>
      </c>
      <c r="E12" t="s">
        <v>174</v>
      </c>
      <c r="F12" t="s">
        <v>175</v>
      </c>
      <c r="G12">
        <v>0.13907</v>
      </c>
      <c r="I12" t="s">
        <v>24</v>
      </c>
      <c r="J12" t="s">
        <v>25</v>
      </c>
      <c r="K12" t="s">
        <v>26</v>
      </c>
      <c r="L12" t="s">
        <v>27</v>
      </c>
      <c r="M12" t="s">
        <v>28</v>
      </c>
      <c r="N12" t="s">
        <v>1444</v>
      </c>
      <c r="O12">
        <v>2.4499999999999999E-3</v>
      </c>
      <c r="Q12" t="s">
        <v>24</v>
      </c>
      <c r="R12" t="s">
        <v>25</v>
      </c>
      <c r="S12" t="s">
        <v>26</v>
      </c>
      <c r="T12" t="s">
        <v>27</v>
      </c>
      <c r="U12" t="s">
        <v>28</v>
      </c>
      <c r="V12" t="s">
        <v>1444</v>
      </c>
      <c r="W12">
        <v>8.2100000000000003E-3</v>
      </c>
    </row>
    <row r="13" spans="1:23" x14ac:dyDescent="0.35">
      <c r="A13" t="s">
        <v>24</v>
      </c>
      <c r="B13" t="s">
        <v>25</v>
      </c>
      <c r="C13" t="s">
        <v>26</v>
      </c>
      <c r="D13" t="s">
        <v>27</v>
      </c>
      <c r="E13" t="s">
        <v>28</v>
      </c>
      <c r="F13" t="s">
        <v>29</v>
      </c>
      <c r="G13">
        <v>7.62E-3</v>
      </c>
      <c r="Q13" t="s">
        <v>8</v>
      </c>
      <c r="R13" t="s">
        <v>258</v>
      </c>
      <c r="S13" t="s">
        <v>258</v>
      </c>
      <c r="T13" t="s">
        <v>640</v>
      </c>
      <c r="U13" t="s">
        <v>1464</v>
      </c>
      <c r="V13" t="s">
        <v>1448</v>
      </c>
      <c r="W13">
        <v>7.11E-3</v>
      </c>
    </row>
    <row r="14" spans="1:23" x14ac:dyDescent="0.35">
      <c r="A14" t="s">
        <v>8</v>
      </c>
      <c r="B14" t="s">
        <v>46</v>
      </c>
      <c r="C14" t="s">
        <v>47</v>
      </c>
      <c r="D14" t="s">
        <v>61</v>
      </c>
      <c r="E14" t="s">
        <v>94</v>
      </c>
      <c r="F14" t="s">
        <v>95</v>
      </c>
      <c r="G14">
        <v>6.7499999999999999E-3</v>
      </c>
      <c r="Q14" t="s">
        <v>24</v>
      </c>
      <c r="R14" t="s">
        <v>25</v>
      </c>
      <c r="S14" t="s">
        <v>40</v>
      </c>
      <c r="T14" t="s">
        <v>41</v>
      </c>
      <c r="U14" t="s">
        <v>52</v>
      </c>
      <c r="V14" t="s">
        <v>835</v>
      </c>
      <c r="W14">
        <v>3.0899999999999999E-3</v>
      </c>
    </row>
    <row r="15" spans="1:23" x14ac:dyDescent="0.35">
      <c r="A15" t="s">
        <v>24</v>
      </c>
      <c r="B15" t="s">
        <v>25</v>
      </c>
      <c r="C15" t="s">
        <v>40</v>
      </c>
      <c r="D15" t="s">
        <v>56</v>
      </c>
      <c r="E15" t="s">
        <v>523</v>
      </c>
      <c r="F15" t="s">
        <v>524</v>
      </c>
      <c r="G15">
        <v>1.2899999999999999E-3</v>
      </c>
      <c r="Q15" t="s">
        <v>8</v>
      </c>
      <c r="R15" t="s">
        <v>46</v>
      </c>
      <c r="S15" t="s">
        <v>47</v>
      </c>
      <c r="T15" t="s">
        <v>61</v>
      </c>
      <c r="U15" t="s">
        <v>1466</v>
      </c>
      <c r="V15" t="s">
        <v>1450</v>
      </c>
      <c r="W15">
        <v>2.7399999999999998E-3</v>
      </c>
    </row>
    <row r="16" spans="1:23" x14ac:dyDescent="0.35">
      <c r="Q16" t="s">
        <v>24</v>
      </c>
      <c r="R16" t="s">
        <v>25</v>
      </c>
      <c r="S16" t="s">
        <v>40</v>
      </c>
      <c r="T16" t="s">
        <v>56</v>
      </c>
      <c r="U16" t="s">
        <v>466</v>
      </c>
      <c r="V16" t="s">
        <v>1446</v>
      </c>
      <c r="W16">
        <v>2.2100000000000002E-3</v>
      </c>
    </row>
    <row r="17" spans="9:23" x14ac:dyDescent="0.35">
      <c r="Q17" t="s">
        <v>8</v>
      </c>
      <c r="R17" t="s">
        <v>100</v>
      </c>
      <c r="S17" t="s">
        <v>101</v>
      </c>
      <c r="T17" t="s">
        <v>102</v>
      </c>
      <c r="U17" t="s">
        <v>103</v>
      </c>
      <c r="V17" t="s">
        <v>104</v>
      </c>
      <c r="W17">
        <v>3.5E-4</v>
      </c>
    </row>
    <row r="18" spans="9:23" x14ac:dyDescent="0.35">
      <c r="Q18" t="s">
        <v>8</v>
      </c>
      <c r="R18" t="s">
        <v>46</v>
      </c>
      <c r="S18" t="s">
        <v>47</v>
      </c>
      <c r="T18" t="s">
        <v>61</v>
      </c>
      <c r="U18" t="s">
        <v>94</v>
      </c>
      <c r="V18" t="s">
        <v>95</v>
      </c>
      <c r="W18">
        <v>1.8000000000000001E-4</v>
      </c>
    </row>
    <row r="21" spans="9:23" x14ac:dyDescent="0.35">
      <c r="I21" t="s">
        <v>1321</v>
      </c>
      <c r="J21" t="s">
        <v>1322</v>
      </c>
      <c r="K21" t="s">
        <v>1323</v>
      </c>
      <c r="L21" t="s">
        <v>1324</v>
      </c>
      <c r="M21" t="s">
        <v>1325</v>
      </c>
      <c r="N21" t="s">
        <v>1326</v>
      </c>
      <c r="O21" t="s">
        <v>1963</v>
      </c>
      <c r="P21" t="s">
        <v>1964</v>
      </c>
      <c r="Q21" t="s">
        <v>1965</v>
      </c>
    </row>
    <row r="22" spans="9:23" x14ac:dyDescent="0.35">
      <c r="I22" t="s">
        <v>24</v>
      </c>
      <c r="J22" t="s">
        <v>25</v>
      </c>
      <c r="K22" t="s">
        <v>26</v>
      </c>
      <c r="L22" t="s">
        <v>27</v>
      </c>
      <c r="M22" t="s">
        <v>28</v>
      </c>
      <c r="N22" t="s">
        <v>29</v>
      </c>
      <c r="O22" s="37">
        <f>IFERROR(VLOOKUP(N22,$F$3:$G$15,2,FALSE),"")</f>
        <v>7.62E-3</v>
      </c>
      <c r="P22" s="37">
        <f>IFERROR(VLOOKUP(N22,$N$3:$O$12,2,FALSE),"")</f>
        <v>6.1599999999999997E-3</v>
      </c>
      <c r="Q22" s="37">
        <f>IFERROR(VLOOKUP(N22,$V$3:$W$18,2,FALSE),"")</f>
        <v>45.550820000000002</v>
      </c>
    </row>
    <row r="23" spans="9:23" x14ac:dyDescent="0.35">
      <c r="I23" t="s">
        <v>24</v>
      </c>
      <c r="J23" t="s">
        <v>25</v>
      </c>
      <c r="K23" t="s">
        <v>26</v>
      </c>
      <c r="L23" t="s">
        <v>27</v>
      </c>
      <c r="M23" t="s">
        <v>28</v>
      </c>
      <c r="N23" t="s">
        <v>1444</v>
      </c>
      <c r="O23" s="37" t="str">
        <f t="shared" ref="O23:O45" si="0">IFERROR(VLOOKUP(N23,$F$3:$G$15,2,FALSE),"")</f>
        <v/>
      </c>
      <c r="P23" s="37">
        <f t="shared" ref="P23:P45" si="1">IFERROR(VLOOKUP(N23,$N$3:$O$12,2,FALSE),"")</f>
        <v>2.4499999999999999E-3</v>
      </c>
      <c r="Q23" s="37">
        <f t="shared" ref="Q23:Q45" si="2">IFERROR(VLOOKUP(N23,$V$3:$W$18,2,FALSE),"")</f>
        <v>8.2100000000000003E-3</v>
      </c>
    </row>
    <row r="24" spans="9:23" x14ac:dyDescent="0.35">
      <c r="I24" t="s">
        <v>24</v>
      </c>
      <c r="J24" t="s">
        <v>25</v>
      </c>
      <c r="K24" t="s">
        <v>26</v>
      </c>
      <c r="L24" t="s">
        <v>27</v>
      </c>
      <c r="M24" t="s">
        <v>28</v>
      </c>
      <c r="N24" t="s">
        <v>75</v>
      </c>
      <c r="O24" s="37" t="str">
        <f t="shared" si="0"/>
        <v/>
      </c>
      <c r="P24" s="37">
        <f t="shared" si="1"/>
        <v>30.60811</v>
      </c>
      <c r="Q24" s="37" t="str">
        <f t="shared" si="2"/>
        <v/>
      </c>
    </row>
    <row r="25" spans="9:23" x14ac:dyDescent="0.35">
      <c r="I25" t="s">
        <v>24</v>
      </c>
      <c r="J25" t="s">
        <v>25</v>
      </c>
      <c r="K25" t="s">
        <v>40</v>
      </c>
      <c r="L25" t="s">
        <v>56</v>
      </c>
      <c r="M25" t="s">
        <v>523</v>
      </c>
      <c r="N25" t="s">
        <v>524</v>
      </c>
      <c r="O25" s="37">
        <f t="shared" si="0"/>
        <v>1.2899999999999999E-3</v>
      </c>
      <c r="P25" s="37" t="str">
        <f t="shared" si="1"/>
        <v/>
      </c>
      <c r="Q25" s="37" t="str">
        <f t="shared" si="2"/>
        <v/>
      </c>
    </row>
    <row r="26" spans="9:23" x14ac:dyDescent="0.35">
      <c r="I26" t="s">
        <v>24</v>
      </c>
      <c r="J26" t="s">
        <v>25</v>
      </c>
      <c r="K26" t="s">
        <v>40</v>
      </c>
      <c r="L26" t="s">
        <v>56</v>
      </c>
      <c r="M26" t="s">
        <v>523</v>
      </c>
      <c r="N26" t="s">
        <v>1445</v>
      </c>
      <c r="O26" s="37">
        <f t="shared" si="0"/>
        <v>1.23506</v>
      </c>
      <c r="P26" s="37" t="str">
        <f t="shared" si="1"/>
        <v/>
      </c>
      <c r="Q26" s="37" t="str">
        <f t="shared" si="2"/>
        <v/>
      </c>
    </row>
    <row r="27" spans="9:23" x14ac:dyDescent="0.35">
      <c r="I27" t="s">
        <v>24</v>
      </c>
      <c r="J27" t="s">
        <v>25</v>
      </c>
      <c r="K27" t="s">
        <v>40</v>
      </c>
      <c r="L27" t="s">
        <v>56</v>
      </c>
      <c r="M27" t="s">
        <v>466</v>
      </c>
      <c r="N27" t="s">
        <v>1446</v>
      </c>
      <c r="O27" s="37">
        <f t="shared" si="0"/>
        <v>0.38768999999999998</v>
      </c>
      <c r="P27" s="37" t="str">
        <f t="shared" si="1"/>
        <v/>
      </c>
      <c r="Q27" s="37">
        <f t="shared" si="2"/>
        <v>2.2100000000000002E-3</v>
      </c>
    </row>
    <row r="28" spans="9:23" x14ac:dyDescent="0.35">
      <c r="I28" t="s">
        <v>24</v>
      </c>
      <c r="J28" t="s">
        <v>25</v>
      </c>
      <c r="K28" t="s">
        <v>40</v>
      </c>
      <c r="L28" t="s">
        <v>41</v>
      </c>
      <c r="M28" t="s">
        <v>1463</v>
      </c>
      <c r="N28" t="s">
        <v>1447</v>
      </c>
      <c r="O28" s="37">
        <f t="shared" si="0"/>
        <v>7.1995300000000002</v>
      </c>
      <c r="P28" s="37">
        <f t="shared" si="1"/>
        <v>1.6289999999999999E-2</v>
      </c>
      <c r="Q28" s="37">
        <f t="shared" si="2"/>
        <v>26.458359999999999</v>
      </c>
    </row>
    <row r="29" spans="9:23" x14ac:dyDescent="0.35">
      <c r="I29" t="s">
        <v>24</v>
      </c>
      <c r="J29" t="s">
        <v>25</v>
      </c>
      <c r="K29" t="s">
        <v>40</v>
      </c>
      <c r="L29" t="s">
        <v>41</v>
      </c>
      <c r="M29" t="s">
        <v>52</v>
      </c>
      <c r="N29" t="s">
        <v>835</v>
      </c>
      <c r="O29" s="37">
        <f t="shared" si="0"/>
        <v>0.22009999999999999</v>
      </c>
      <c r="P29" s="37" t="str">
        <f t="shared" si="1"/>
        <v/>
      </c>
      <c r="Q29" s="37">
        <f t="shared" si="2"/>
        <v>3.0899999999999999E-3</v>
      </c>
    </row>
    <row r="30" spans="9:23" x14ac:dyDescent="0.35">
      <c r="I30" t="s">
        <v>24</v>
      </c>
      <c r="J30" t="s">
        <v>25</v>
      </c>
      <c r="K30" t="s">
        <v>40</v>
      </c>
      <c r="L30" t="s">
        <v>41</v>
      </c>
      <c r="M30" t="s">
        <v>52</v>
      </c>
      <c r="N30" t="s">
        <v>53</v>
      </c>
      <c r="O30" s="37">
        <f t="shared" si="0"/>
        <v>84.633099999999999</v>
      </c>
      <c r="P30" s="37">
        <f t="shared" si="1"/>
        <v>3.4199999999999999E-3</v>
      </c>
      <c r="Q30" s="37">
        <f t="shared" si="2"/>
        <v>2.8342000000000001</v>
      </c>
    </row>
    <row r="31" spans="9:23" x14ac:dyDescent="0.35">
      <c r="I31" t="s">
        <v>8</v>
      </c>
      <c r="J31" t="s">
        <v>258</v>
      </c>
      <c r="K31" t="s">
        <v>258</v>
      </c>
      <c r="L31" t="s">
        <v>640</v>
      </c>
      <c r="M31" t="s">
        <v>1464</v>
      </c>
      <c r="N31" t="s">
        <v>1448</v>
      </c>
      <c r="O31" s="37" t="str">
        <f t="shared" si="0"/>
        <v/>
      </c>
      <c r="P31" s="37" t="str">
        <f t="shared" si="1"/>
        <v/>
      </c>
      <c r="Q31" s="37">
        <f t="shared" si="2"/>
        <v>7.11E-3</v>
      </c>
    </row>
    <row r="32" spans="9:23" x14ac:dyDescent="0.35">
      <c r="I32" t="s">
        <v>8</v>
      </c>
      <c r="J32" t="s">
        <v>32</v>
      </c>
      <c r="K32" t="s">
        <v>35</v>
      </c>
      <c r="L32" t="s">
        <v>36</v>
      </c>
      <c r="M32" t="s">
        <v>37</v>
      </c>
      <c r="N32" t="s">
        <v>304</v>
      </c>
      <c r="O32" s="37">
        <f t="shared" si="0"/>
        <v>0.46745999999999999</v>
      </c>
      <c r="P32" s="37" t="str">
        <f t="shared" si="1"/>
        <v/>
      </c>
      <c r="Q32" s="37" t="str">
        <f t="shared" si="2"/>
        <v/>
      </c>
    </row>
    <row r="33" spans="9:17" x14ac:dyDescent="0.35">
      <c r="I33" t="s">
        <v>8</v>
      </c>
      <c r="J33" t="s">
        <v>46</v>
      </c>
      <c r="K33" t="s">
        <v>364</v>
      </c>
      <c r="L33" t="s">
        <v>416</v>
      </c>
      <c r="M33" t="s">
        <v>1465</v>
      </c>
      <c r="N33" t="s">
        <v>679</v>
      </c>
      <c r="O33" s="37" t="str">
        <f t="shared" si="0"/>
        <v/>
      </c>
      <c r="P33" s="37">
        <f t="shared" si="1"/>
        <v>1.8620000000000001E-2</v>
      </c>
      <c r="Q33" s="37" t="str">
        <f t="shared" si="2"/>
        <v/>
      </c>
    </row>
    <row r="34" spans="9:17" x14ac:dyDescent="0.35">
      <c r="I34" t="s">
        <v>8</v>
      </c>
      <c r="J34" t="s">
        <v>46</v>
      </c>
      <c r="K34" t="s">
        <v>364</v>
      </c>
      <c r="L34" t="s">
        <v>365</v>
      </c>
      <c r="M34" t="s">
        <v>366</v>
      </c>
      <c r="N34" t="s">
        <v>1449</v>
      </c>
      <c r="O34" s="37" t="str">
        <f t="shared" si="0"/>
        <v/>
      </c>
      <c r="P34" s="37">
        <f t="shared" si="1"/>
        <v>4.8500000000000001E-3</v>
      </c>
      <c r="Q34" s="37" t="str">
        <f t="shared" si="2"/>
        <v/>
      </c>
    </row>
    <row r="35" spans="9:17" x14ac:dyDescent="0.35">
      <c r="I35" t="s">
        <v>8</v>
      </c>
      <c r="J35" t="s">
        <v>46</v>
      </c>
      <c r="K35" t="s">
        <v>47</v>
      </c>
      <c r="L35" t="s">
        <v>61</v>
      </c>
      <c r="M35" t="s">
        <v>94</v>
      </c>
      <c r="N35" t="s">
        <v>95</v>
      </c>
      <c r="O35" s="37">
        <f t="shared" si="0"/>
        <v>6.7499999999999999E-3</v>
      </c>
      <c r="P35" s="37" t="str">
        <f t="shared" si="1"/>
        <v/>
      </c>
      <c r="Q35" s="37">
        <f t="shared" si="2"/>
        <v>1.8000000000000001E-4</v>
      </c>
    </row>
    <row r="36" spans="9:17" x14ac:dyDescent="0.35">
      <c r="I36" t="s">
        <v>8</v>
      </c>
      <c r="J36" t="s">
        <v>46</v>
      </c>
      <c r="K36" t="s">
        <v>47</v>
      </c>
      <c r="L36" t="s">
        <v>61</v>
      </c>
      <c r="M36" t="s">
        <v>1466</v>
      </c>
      <c r="N36" t="s">
        <v>1450</v>
      </c>
      <c r="O36" s="37" t="str">
        <f t="shared" si="0"/>
        <v/>
      </c>
      <c r="P36" s="37">
        <f t="shared" si="1"/>
        <v>5.0814899999999996</v>
      </c>
      <c r="Q36" s="37">
        <f t="shared" si="2"/>
        <v>2.7399999999999998E-3</v>
      </c>
    </row>
    <row r="37" spans="9:17" x14ac:dyDescent="0.35">
      <c r="I37" t="s">
        <v>8</v>
      </c>
      <c r="J37" t="s">
        <v>100</v>
      </c>
      <c r="K37" t="s">
        <v>101</v>
      </c>
      <c r="L37" t="s">
        <v>102</v>
      </c>
      <c r="M37" t="s">
        <v>103</v>
      </c>
      <c r="N37" t="s">
        <v>104</v>
      </c>
      <c r="O37" s="37" t="str">
        <f t="shared" si="0"/>
        <v/>
      </c>
      <c r="P37" s="37">
        <f t="shared" si="1"/>
        <v>41.850239999999999</v>
      </c>
      <c r="Q37" s="37">
        <f t="shared" si="2"/>
        <v>3.5E-4</v>
      </c>
    </row>
    <row r="38" spans="9:17" x14ac:dyDescent="0.35">
      <c r="I38" t="s">
        <v>8</v>
      </c>
      <c r="J38" t="s">
        <v>114</v>
      </c>
      <c r="K38" t="s">
        <v>115</v>
      </c>
      <c r="L38" t="s">
        <v>116</v>
      </c>
      <c r="M38" t="s">
        <v>117</v>
      </c>
      <c r="N38" t="s">
        <v>118</v>
      </c>
      <c r="O38" s="37" t="str">
        <f t="shared" si="0"/>
        <v/>
      </c>
      <c r="P38" s="37">
        <f t="shared" si="1"/>
        <v>22.408349999999999</v>
      </c>
      <c r="Q38" s="37" t="str">
        <f t="shared" si="2"/>
        <v/>
      </c>
    </row>
    <row r="39" spans="9:17" x14ac:dyDescent="0.35">
      <c r="I39" t="s">
        <v>8</v>
      </c>
      <c r="J39" t="s">
        <v>9</v>
      </c>
      <c r="K39" t="s">
        <v>138</v>
      </c>
      <c r="L39" t="s">
        <v>410</v>
      </c>
      <c r="M39" t="s">
        <v>411</v>
      </c>
      <c r="N39" t="s">
        <v>1451</v>
      </c>
      <c r="O39" s="37" t="str">
        <f t="shared" si="0"/>
        <v/>
      </c>
      <c r="P39" s="37" t="str">
        <f t="shared" si="1"/>
        <v/>
      </c>
      <c r="Q39" s="37">
        <f t="shared" si="2"/>
        <v>1.227E-2</v>
      </c>
    </row>
    <row r="40" spans="9:17" x14ac:dyDescent="0.35">
      <c r="I40" t="s">
        <v>8</v>
      </c>
      <c r="J40" t="s">
        <v>9</v>
      </c>
      <c r="K40" t="s">
        <v>138</v>
      </c>
      <c r="L40" t="s">
        <v>296</v>
      </c>
      <c r="M40" t="s">
        <v>297</v>
      </c>
      <c r="N40" t="s">
        <v>1452</v>
      </c>
      <c r="O40" s="37" t="str">
        <f t="shared" si="0"/>
        <v/>
      </c>
      <c r="P40" s="37" t="str">
        <f t="shared" si="1"/>
        <v/>
      </c>
      <c r="Q40" s="37">
        <f t="shared" si="2"/>
        <v>8.3899999999999999E-3</v>
      </c>
    </row>
    <row r="41" spans="9:17" x14ac:dyDescent="0.35">
      <c r="I41" t="s">
        <v>8</v>
      </c>
      <c r="J41" t="s">
        <v>9</v>
      </c>
      <c r="K41" t="s">
        <v>243</v>
      </c>
      <c r="L41" t="s">
        <v>244</v>
      </c>
      <c r="M41" t="s">
        <v>245</v>
      </c>
      <c r="N41" t="s">
        <v>246</v>
      </c>
      <c r="O41" s="37">
        <f t="shared" si="0"/>
        <v>1.1403300000000001</v>
      </c>
      <c r="P41" s="37" t="str">
        <f t="shared" si="1"/>
        <v/>
      </c>
      <c r="Q41" s="37">
        <f t="shared" si="2"/>
        <v>1.8280000000000001E-2</v>
      </c>
    </row>
    <row r="42" spans="9:17" x14ac:dyDescent="0.35">
      <c r="I42" t="s">
        <v>8</v>
      </c>
      <c r="J42" t="s">
        <v>9</v>
      </c>
      <c r="K42" t="s">
        <v>10</v>
      </c>
      <c r="L42" t="s">
        <v>107</v>
      </c>
      <c r="M42" t="s">
        <v>108</v>
      </c>
      <c r="N42" t="s">
        <v>109</v>
      </c>
      <c r="O42" s="37">
        <f t="shared" si="0"/>
        <v>4.1868600000000002</v>
      </c>
      <c r="P42" s="37" t="str">
        <f t="shared" si="1"/>
        <v/>
      </c>
      <c r="Q42" s="37">
        <f t="shared" si="2"/>
        <v>19.103850000000001</v>
      </c>
    </row>
    <row r="43" spans="9:17" x14ac:dyDescent="0.35">
      <c r="I43" t="s">
        <v>8</v>
      </c>
      <c r="J43" t="s">
        <v>9</v>
      </c>
      <c r="K43" t="s">
        <v>172</v>
      </c>
      <c r="L43" t="s">
        <v>173</v>
      </c>
      <c r="M43" t="s">
        <v>590</v>
      </c>
      <c r="N43" t="s">
        <v>591</v>
      </c>
      <c r="O43" s="37" t="str">
        <f t="shared" si="0"/>
        <v/>
      </c>
      <c r="P43" s="37" t="str">
        <f t="shared" si="1"/>
        <v/>
      </c>
      <c r="Q43" s="37">
        <f t="shared" si="2"/>
        <v>2.494E-2</v>
      </c>
    </row>
    <row r="44" spans="9:17" x14ac:dyDescent="0.35">
      <c r="I44" t="s">
        <v>8</v>
      </c>
      <c r="J44" t="s">
        <v>9</v>
      </c>
      <c r="K44" t="s">
        <v>172</v>
      </c>
      <c r="L44" t="s">
        <v>173</v>
      </c>
      <c r="M44" t="s">
        <v>174</v>
      </c>
      <c r="N44" t="s">
        <v>175</v>
      </c>
      <c r="O44" s="37">
        <f t="shared" si="0"/>
        <v>0.13907</v>
      </c>
      <c r="P44" s="37" t="str">
        <f t="shared" si="1"/>
        <v/>
      </c>
      <c r="Q44" s="37">
        <f t="shared" si="2"/>
        <v>5.9649900000000002</v>
      </c>
    </row>
    <row r="45" spans="9:17" x14ac:dyDescent="0.35">
      <c r="I45" t="s">
        <v>8</v>
      </c>
      <c r="J45" t="s">
        <v>18</v>
      </c>
      <c r="K45" t="s">
        <v>19</v>
      </c>
      <c r="L45" t="s">
        <v>20</v>
      </c>
      <c r="M45" t="s">
        <v>21</v>
      </c>
      <c r="N45" t="s">
        <v>357</v>
      </c>
      <c r="O45" s="37">
        <f t="shared" si="0"/>
        <v>0.37515999999999999</v>
      </c>
      <c r="P45" s="37" t="str">
        <f t="shared" si="1"/>
        <v/>
      </c>
      <c r="Q45" s="37" t="str">
        <f t="shared" si="2"/>
        <v/>
      </c>
    </row>
  </sheetData>
  <sortState ref="I22:N45">
    <sortCondition ref="I22:I45"/>
    <sortCondition ref="J22:J45"/>
    <sortCondition ref="K22:K45"/>
    <sortCondition ref="L22:L45"/>
    <sortCondition ref="M22:M45"/>
    <sortCondition ref="N22:N45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1"/>
  <sheetViews>
    <sheetView topLeftCell="G1" workbookViewId="0">
      <selection activeCell="F1" sqref="F1"/>
    </sheetView>
  </sheetViews>
  <sheetFormatPr defaultRowHeight="14.5" x14ac:dyDescent="0.35"/>
  <cols>
    <col min="6" max="6" width="13.1796875" customWidth="1"/>
    <col min="7" max="7" width="20" customWidth="1"/>
    <col min="22" max="22" width="25.1796875" customWidth="1"/>
    <col min="26" max="26" width="9.81640625" bestFit="1" customWidth="1"/>
  </cols>
  <sheetData>
    <row r="3" spans="1:28" s="1" customFormat="1" ht="58" x14ac:dyDescent="0.35">
      <c r="A3" s="1" t="s">
        <v>1329</v>
      </c>
      <c r="B3" s="1" t="s">
        <v>1330</v>
      </c>
      <c r="C3" s="1" t="s">
        <v>1331</v>
      </c>
      <c r="D3" s="1" t="s">
        <v>1332</v>
      </c>
      <c r="E3" s="1" t="s">
        <v>1333</v>
      </c>
      <c r="F3" s="1" t="s">
        <v>1334</v>
      </c>
      <c r="G3" s="1" t="s">
        <v>1335</v>
      </c>
      <c r="H3" s="1" t="s">
        <v>1336</v>
      </c>
      <c r="I3" s="21" t="s">
        <v>2087</v>
      </c>
      <c r="J3" s="22" t="s">
        <v>2117</v>
      </c>
      <c r="K3" s="22" t="s">
        <v>2118</v>
      </c>
      <c r="L3" s="23" t="s">
        <v>2119</v>
      </c>
      <c r="M3" s="21" t="s">
        <v>2089</v>
      </c>
      <c r="N3" s="22" t="s">
        <v>2127</v>
      </c>
      <c r="O3" s="22" t="s">
        <v>2128</v>
      </c>
      <c r="P3" s="23" t="s">
        <v>2129</v>
      </c>
      <c r="Q3" s="21" t="s">
        <v>2091</v>
      </c>
      <c r="R3" s="22" t="s">
        <v>2137</v>
      </c>
      <c r="S3" s="22" t="s">
        <v>2138</v>
      </c>
      <c r="T3" s="23" t="s">
        <v>2139</v>
      </c>
      <c r="V3" t="s">
        <v>2155</v>
      </c>
      <c r="W3" t="s">
        <v>1963</v>
      </c>
      <c r="X3" t="s">
        <v>1964</v>
      </c>
      <c r="Y3" t="s">
        <v>1965</v>
      </c>
    </row>
    <row r="4" spans="1:28" x14ac:dyDescent="0.35">
      <c r="A4" t="s">
        <v>24</v>
      </c>
      <c r="B4" t="s">
        <v>25</v>
      </c>
      <c r="C4" t="s">
        <v>1337</v>
      </c>
      <c r="D4" t="s">
        <v>26</v>
      </c>
      <c r="E4" t="s">
        <v>27</v>
      </c>
      <c r="F4" t="s">
        <v>28</v>
      </c>
      <c r="G4" t="s">
        <v>29</v>
      </c>
      <c r="H4">
        <v>0.97</v>
      </c>
      <c r="I4">
        <v>20</v>
      </c>
      <c r="J4">
        <v>0</v>
      </c>
      <c r="K4">
        <v>0</v>
      </c>
      <c r="L4">
        <v>0</v>
      </c>
      <c r="M4">
        <v>4320</v>
      </c>
      <c r="N4">
        <v>370</v>
      </c>
      <c r="O4">
        <v>253</v>
      </c>
      <c r="P4">
        <v>263</v>
      </c>
      <c r="Q4">
        <v>8364</v>
      </c>
      <c r="R4">
        <v>2467</v>
      </c>
      <c r="S4">
        <v>1396</v>
      </c>
      <c r="T4">
        <v>1009</v>
      </c>
      <c r="V4" t="s">
        <v>29</v>
      </c>
      <c r="W4" s="11">
        <v>7.6199999999999995E-5</v>
      </c>
      <c r="X4" s="11">
        <v>6.1599999999999993E-5</v>
      </c>
      <c r="Y4" s="11">
        <v>0.45550820000000003</v>
      </c>
      <c r="Z4" s="11"/>
      <c r="AA4" s="11"/>
      <c r="AB4" s="11"/>
    </row>
    <row r="5" spans="1:28" x14ac:dyDescent="0.35">
      <c r="A5" t="s">
        <v>24</v>
      </c>
      <c r="B5" t="s">
        <v>25</v>
      </c>
      <c r="C5" t="s">
        <v>1337</v>
      </c>
      <c r="D5" t="s">
        <v>26</v>
      </c>
      <c r="E5" t="s">
        <v>27</v>
      </c>
      <c r="F5" t="s">
        <v>28</v>
      </c>
      <c r="G5" t="s">
        <v>75</v>
      </c>
      <c r="H5">
        <v>1</v>
      </c>
      <c r="I5">
        <v>1</v>
      </c>
      <c r="J5">
        <v>0</v>
      </c>
      <c r="K5">
        <v>0</v>
      </c>
      <c r="L5">
        <v>0</v>
      </c>
      <c r="M5">
        <v>2685</v>
      </c>
      <c r="N5">
        <v>250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V5" t="s">
        <v>1444</v>
      </c>
      <c r="W5" s="11" t="s">
        <v>1328</v>
      </c>
      <c r="X5" s="11">
        <v>2.4499999999999999E-5</v>
      </c>
      <c r="Y5" s="11">
        <v>8.2100000000000003E-5</v>
      </c>
      <c r="Z5" s="11"/>
      <c r="AA5" s="11"/>
      <c r="AB5" s="11"/>
    </row>
    <row r="6" spans="1:28" x14ac:dyDescent="0.35">
      <c r="A6" t="s">
        <v>24</v>
      </c>
      <c r="B6" t="s">
        <v>25</v>
      </c>
      <c r="C6" t="s">
        <v>1337</v>
      </c>
      <c r="D6" t="s">
        <v>26</v>
      </c>
      <c r="E6" t="s">
        <v>27</v>
      </c>
      <c r="F6" t="s">
        <v>1338</v>
      </c>
      <c r="G6" t="s">
        <v>1339</v>
      </c>
      <c r="H6">
        <v>0.53</v>
      </c>
      <c r="I6">
        <v>23</v>
      </c>
      <c r="J6">
        <v>0</v>
      </c>
      <c r="K6">
        <v>4</v>
      </c>
      <c r="L6">
        <v>0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V6" t="s">
        <v>75</v>
      </c>
      <c r="W6" s="11" t="s">
        <v>1328</v>
      </c>
      <c r="X6" s="11">
        <v>0.30608109999999999</v>
      </c>
      <c r="Y6" s="11" t="s">
        <v>1328</v>
      </c>
      <c r="Z6" s="11"/>
      <c r="AA6" s="11"/>
      <c r="AB6" s="11"/>
    </row>
    <row r="7" spans="1:28" x14ac:dyDescent="0.35">
      <c r="A7" t="s">
        <v>24</v>
      </c>
      <c r="B7" t="s">
        <v>25</v>
      </c>
      <c r="C7" t="s">
        <v>1337</v>
      </c>
      <c r="D7" t="s">
        <v>40</v>
      </c>
      <c r="E7" t="s">
        <v>56</v>
      </c>
      <c r="F7" t="s">
        <v>523</v>
      </c>
      <c r="G7" t="s">
        <v>524</v>
      </c>
      <c r="H7">
        <v>1</v>
      </c>
      <c r="I7">
        <v>3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V7" t="s">
        <v>524</v>
      </c>
      <c r="W7" s="11">
        <v>1.2899999999999998E-5</v>
      </c>
      <c r="X7" s="11" t="s">
        <v>1328</v>
      </c>
      <c r="Y7" s="11" t="s">
        <v>1328</v>
      </c>
      <c r="Z7" s="11"/>
      <c r="AA7" s="11"/>
      <c r="AB7" s="11"/>
    </row>
    <row r="8" spans="1:28" x14ac:dyDescent="0.35">
      <c r="A8" t="s">
        <v>24</v>
      </c>
      <c r="B8" t="s">
        <v>25</v>
      </c>
      <c r="C8" t="s">
        <v>1337</v>
      </c>
      <c r="D8" t="s">
        <v>40</v>
      </c>
      <c r="E8" t="s">
        <v>56</v>
      </c>
      <c r="F8" t="s">
        <v>57</v>
      </c>
      <c r="G8" t="s">
        <v>58</v>
      </c>
      <c r="H8">
        <v>1</v>
      </c>
      <c r="I8">
        <v>3312</v>
      </c>
      <c r="J8">
        <v>413</v>
      </c>
      <c r="K8">
        <v>0</v>
      </c>
      <c r="L8">
        <v>318</v>
      </c>
      <c r="M8">
        <v>30</v>
      </c>
      <c r="N8">
        <v>0</v>
      </c>
      <c r="O8">
        <v>0</v>
      </c>
      <c r="P8">
        <v>0</v>
      </c>
      <c r="Q8">
        <v>29</v>
      </c>
      <c r="R8">
        <v>0</v>
      </c>
      <c r="S8">
        <v>0</v>
      </c>
      <c r="T8">
        <v>0</v>
      </c>
      <c r="V8" t="s">
        <v>1445</v>
      </c>
      <c r="W8" s="11">
        <v>1.23506E-2</v>
      </c>
      <c r="X8" s="11" t="s">
        <v>1328</v>
      </c>
      <c r="Y8" s="11" t="s">
        <v>1328</v>
      </c>
      <c r="Z8" s="11"/>
      <c r="AA8" s="11"/>
      <c r="AB8" s="11"/>
    </row>
    <row r="9" spans="1:28" x14ac:dyDescent="0.35">
      <c r="A9" t="s">
        <v>24</v>
      </c>
      <c r="B9" t="s">
        <v>25</v>
      </c>
      <c r="C9" t="s">
        <v>1337</v>
      </c>
      <c r="D9" t="s">
        <v>40</v>
      </c>
      <c r="E9" t="s">
        <v>56</v>
      </c>
      <c r="F9" t="s">
        <v>466</v>
      </c>
      <c r="G9" t="s">
        <v>467</v>
      </c>
      <c r="H9">
        <v>0.91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6</v>
      </c>
      <c r="R9">
        <v>13</v>
      </c>
      <c r="S9">
        <v>11</v>
      </c>
      <c r="T9">
        <v>0</v>
      </c>
      <c r="V9" t="s">
        <v>1446</v>
      </c>
      <c r="W9" s="11">
        <v>3.8769E-3</v>
      </c>
      <c r="X9" s="11" t="s">
        <v>1328</v>
      </c>
      <c r="Y9" s="11">
        <v>2.2100000000000002E-5</v>
      </c>
      <c r="Z9" s="11"/>
      <c r="AA9" s="11"/>
      <c r="AB9" s="11"/>
    </row>
    <row r="10" spans="1:28" x14ac:dyDescent="0.35">
      <c r="A10" t="s">
        <v>24</v>
      </c>
      <c r="B10" t="s">
        <v>25</v>
      </c>
      <c r="C10" t="s">
        <v>1337</v>
      </c>
      <c r="D10" t="s">
        <v>40</v>
      </c>
      <c r="E10" t="s">
        <v>56</v>
      </c>
      <c r="F10" t="s">
        <v>466</v>
      </c>
      <c r="G10" t="s">
        <v>550</v>
      </c>
      <c r="H10">
        <v>1</v>
      </c>
      <c r="I10">
        <v>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 t="s">
        <v>1447</v>
      </c>
      <c r="W10" s="11">
        <v>7.1995299999999998E-2</v>
      </c>
      <c r="X10" s="11">
        <v>1.629E-4</v>
      </c>
      <c r="Y10" s="11">
        <v>0.26458359999999997</v>
      </c>
      <c r="Z10" s="11"/>
      <c r="AA10" s="11"/>
      <c r="AB10" s="11"/>
    </row>
    <row r="11" spans="1:28" x14ac:dyDescent="0.35">
      <c r="A11" t="s">
        <v>24</v>
      </c>
      <c r="B11" t="s">
        <v>25</v>
      </c>
      <c r="C11" t="s">
        <v>1337</v>
      </c>
      <c r="D11" t="s">
        <v>40</v>
      </c>
      <c r="E11" t="s">
        <v>56</v>
      </c>
      <c r="F11" t="s">
        <v>204</v>
      </c>
      <c r="G11" t="s">
        <v>205</v>
      </c>
      <c r="H11">
        <v>1</v>
      </c>
      <c r="I11">
        <v>67</v>
      </c>
      <c r="J11">
        <v>118</v>
      </c>
      <c r="K11">
        <v>0</v>
      </c>
      <c r="L11">
        <v>206</v>
      </c>
      <c r="M11">
        <v>0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  <c r="V11" t="s">
        <v>835</v>
      </c>
      <c r="W11" s="11">
        <v>2.2009999999999998E-3</v>
      </c>
      <c r="X11" s="11" t="s">
        <v>1328</v>
      </c>
      <c r="Y11" s="11">
        <v>3.0899999999999999E-5</v>
      </c>
      <c r="Z11" s="11"/>
      <c r="AA11" s="11"/>
      <c r="AB11" s="11"/>
    </row>
    <row r="12" spans="1:28" x14ac:dyDescent="0.35">
      <c r="A12" t="s">
        <v>24</v>
      </c>
      <c r="B12" t="s">
        <v>25</v>
      </c>
      <c r="C12" t="s">
        <v>1337</v>
      </c>
      <c r="D12" t="s">
        <v>40</v>
      </c>
      <c r="E12" t="s">
        <v>41</v>
      </c>
      <c r="F12" t="s">
        <v>52</v>
      </c>
      <c r="G12" t="s">
        <v>835</v>
      </c>
      <c r="H12">
        <v>0.97</v>
      </c>
      <c r="I12">
        <v>2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V12" t="s">
        <v>53</v>
      </c>
      <c r="W12" s="11">
        <v>0.84633099999999994</v>
      </c>
      <c r="X12" s="11">
        <v>3.4199999999999998E-5</v>
      </c>
      <c r="Y12" s="11">
        <v>2.8341999999999999E-2</v>
      </c>
      <c r="Z12" s="11"/>
      <c r="AA12" s="11"/>
      <c r="AB12" s="11"/>
    </row>
    <row r="13" spans="1:28" x14ac:dyDescent="0.35">
      <c r="A13" t="s">
        <v>24</v>
      </c>
      <c r="B13" t="s">
        <v>25</v>
      </c>
      <c r="C13" t="s">
        <v>1337</v>
      </c>
      <c r="D13" t="s">
        <v>40</v>
      </c>
      <c r="E13" t="s">
        <v>41</v>
      </c>
      <c r="F13" t="s">
        <v>52</v>
      </c>
      <c r="G13" t="s">
        <v>53</v>
      </c>
      <c r="H13">
        <v>1</v>
      </c>
      <c r="I13">
        <v>1238</v>
      </c>
      <c r="J13">
        <v>2476</v>
      </c>
      <c r="K13">
        <v>1738</v>
      </c>
      <c r="L13">
        <v>2109</v>
      </c>
      <c r="M13">
        <v>11</v>
      </c>
      <c r="N13">
        <v>0</v>
      </c>
      <c r="O13">
        <v>0</v>
      </c>
      <c r="P13">
        <v>0</v>
      </c>
      <c r="Q13">
        <v>54</v>
      </c>
      <c r="R13">
        <v>221</v>
      </c>
      <c r="S13">
        <v>0</v>
      </c>
      <c r="T13">
        <v>0</v>
      </c>
      <c r="V13" t="s">
        <v>1448</v>
      </c>
      <c r="W13" s="11" t="s">
        <v>1328</v>
      </c>
      <c r="X13" s="11" t="s">
        <v>1328</v>
      </c>
      <c r="Y13" s="11">
        <v>7.1099999999999994E-5</v>
      </c>
      <c r="Z13" s="11"/>
      <c r="AA13" s="11"/>
      <c r="AB13" s="11"/>
    </row>
    <row r="14" spans="1:28" x14ac:dyDescent="0.35">
      <c r="A14" t="s">
        <v>24</v>
      </c>
      <c r="B14" t="s">
        <v>25</v>
      </c>
      <c r="C14" t="s">
        <v>1337</v>
      </c>
      <c r="D14" t="s">
        <v>40</v>
      </c>
      <c r="E14" t="s">
        <v>41</v>
      </c>
      <c r="F14" t="s">
        <v>42</v>
      </c>
      <c r="G14" t="s">
        <v>43</v>
      </c>
      <c r="H14">
        <v>1</v>
      </c>
      <c r="I14">
        <v>1032</v>
      </c>
      <c r="J14">
        <v>173</v>
      </c>
      <c r="K14">
        <v>0</v>
      </c>
      <c r="L14">
        <v>0</v>
      </c>
      <c r="M14">
        <v>16</v>
      </c>
      <c r="N14">
        <v>0</v>
      </c>
      <c r="O14">
        <v>0</v>
      </c>
      <c r="P14">
        <v>0</v>
      </c>
      <c r="Q14">
        <v>3332</v>
      </c>
      <c r="R14">
        <v>1757</v>
      </c>
      <c r="S14">
        <v>1044</v>
      </c>
      <c r="T14">
        <v>912</v>
      </c>
      <c r="V14" t="s">
        <v>304</v>
      </c>
      <c r="W14" s="11">
        <v>4.6746000000000001E-3</v>
      </c>
      <c r="X14" s="11" t="s">
        <v>1328</v>
      </c>
      <c r="Y14" s="11" t="s">
        <v>1328</v>
      </c>
      <c r="Z14" s="11"/>
      <c r="AA14" s="11"/>
      <c r="AB14" s="11"/>
    </row>
    <row r="15" spans="1:28" x14ac:dyDescent="0.35">
      <c r="A15" t="s">
        <v>8</v>
      </c>
      <c r="B15" t="s">
        <v>290</v>
      </c>
      <c r="C15" t="s">
        <v>1340</v>
      </c>
      <c r="D15" t="s">
        <v>556</v>
      </c>
      <c r="E15" t="s">
        <v>1341</v>
      </c>
      <c r="F15" t="s">
        <v>1342</v>
      </c>
      <c r="G15" t="s">
        <v>556</v>
      </c>
      <c r="H15">
        <v>0.65</v>
      </c>
      <c r="I15">
        <v>3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V15" t="s">
        <v>679</v>
      </c>
      <c r="W15" s="11" t="s">
        <v>1328</v>
      </c>
      <c r="X15" s="11">
        <v>1.862E-4</v>
      </c>
      <c r="Y15" s="11" t="s">
        <v>1328</v>
      </c>
      <c r="Z15" s="11"/>
      <c r="AA15" s="11"/>
      <c r="AB15" s="11"/>
    </row>
    <row r="16" spans="1:28" x14ac:dyDescent="0.35">
      <c r="A16" t="s">
        <v>8</v>
      </c>
      <c r="B16" t="s">
        <v>290</v>
      </c>
      <c r="C16" t="s">
        <v>1340</v>
      </c>
      <c r="D16" t="s">
        <v>556</v>
      </c>
      <c r="E16" t="s">
        <v>1341</v>
      </c>
      <c r="F16" t="s">
        <v>1342</v>
      </c>
      <c r="G16" t="s">
        <v>566</v>
      </c>
      <c r="H16">
        <v>0.56000000000000005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V16" t="s">
        <v>1449</v>
      </c>
      <c r="W16" s="11" t="s">
        <v>1328</v>
      </c>
      <c r="X16" s="11">
        <v>4.85E-5</v>
      </c>
      <c r="Y16" s="11" t="s">
        <v>1328</v>
      </c>
      <c r="Z16" s="11"/>
      <c r="AA16" s="11"/>
      <c r="AB16" s="11"/>
    </row>
    <row r="17" spans="1:28" x14ac:dyDescent="0.35">
      <c r="A17" t="s">
        <v>8</v>
      </c>
      <c r="B17" t="s">
        <v>290</v>
      </c>
      <c r="C17" t="s">
        <v>1340</v>
      </c>
      <c r="D17" t="s">
        <v>291</v>
      </c>
      <c r="E17" t="s">
        <v>1343</v>
      </c>
      <c r="F17" t="s">
        <v>1344</v>
      </c>
      <c r="G17" t="s">
        <v>291</v>
      </c>
      <c r="H17">
        <v>0.69</v>
      </c>
      <c r="I17">
        <v>0</v>
      </c>
      <c r="J17">
        <v>0</v>
      </c>
      <c r="K17">
        <v>0</v>
      </c>
      <c r="L17">
        <v>0</v>
      </c>
      <c r="M17">
        <v>31</v>
      </c>
      <c r="N17">
        <v>16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V17" t="s">
        <v>95</v>
      </c>
      <c r="W17" s="11">
        <v>6.7500000000000001E-5</v>
      </c>
      <c r="X17" s="11" t="s">
        <v>1328</v>
      </c>
      <c r="Y17" s="11">
        <v>1.8000000000000001E-6</v>
      </c>
      <c r="Z17" s="11"/>
      <c r="AA17" s="11"/>
      <c r="AB17" s="11"/>
    </row>
    <row r="18" spans="1:28" x14ac:dyDescent="0.35">
      <c r="A18" t="s">
        <v>8</v>
      </c>
      <c r="B18" t="s">
        <v>258</v>
      </c>
      <c r="C18" t="s">
        <v>1345</v>
      </c>
      <c r="D18" t="s">
        <v>1346</v>
      </c>
      <c r="E18" t="s">
        <v>260</v>
      </c>
      <c r="F18" t="s">
        <v>262</v>
      </c>
      <c r="G18" t="s">
        <v>1347</v>
      </c>
      <c r="H18">
        <v>0.59</v>
      </c>
      <c r="I18">
        <v>51</v>
      </c>
      <c r="J18">
        <v>0</v>
      </c>
      <c r="K18">
        <v>0</v>
      </c>
      <c r="L18">
        <v>0</v>
      </c>
      <c r="M18">
        <v>14</v>
      </c>
      <c r="N18">
        <v>0</v>
      </c>
      <c r="O18">
        <v>0</v>
      </c>
      <c r="P18">
        <v>0</v>
      </c>
      <c r="Q18">
        <v>14</v>
      </c>
      <c r="R18">
        <v>0</v>
      </c>
      <c r="S18">
        <v>0</v>
      </c>
      <c r="T18">
        <v>0</v>
      </c>
      <c r="V18" t="s">
        <v>1450</v>
      </c>
      <c r="W18" s="11" t="s">
        <v>1328</v>
      </c>
      <c r="X18" s="11">
        <v>5.0814899999999996E-2</v>
      </c>
      <c r="Y18" s="11">
        <v>2.7399999999999999E-5</v>
      </c>
      <c r="Z18" s="11"/>
      <c r="AA18" s="11"/>
      <c r="AB18" s="11"/>
    </row>
    <row r="19" spans="1:28" x14ac:dyDescent="0.35">
      <c r="A19" t="s">
        <v>8</v>
      </c>
      <c r="B19" t="s">
        <v>258</v>
      </c>
      <c r="C19" t="s">
        <v>1345</v>
      </c>
      <c r="D19" t="s">
        <v>1346</v>
      </c>
      <c r="E19" t="s">
        <v>1348</v>
      </c>
      <c r="F19" t="s">
        <v>1349</v>
      </c>
      <c r="G19" t="s">
        <v>1350</v>
      </c>
      <c r="H19">
        <v>0.56000000000000005</v>
      </c>
      <c r="I19">
        <v>11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8</v>
      </c>
      <c r="R19">
        <v>3</v>
      </c>
      <c r="S19">
        <v>0</v>
      </c>
      <c r="T19">
        <v>0</v>
      </c>
      <c r="V19" t="s">
        <v>104</v>
      </c>
      <c r="W19" s="11" t="s">
        <v>1328</v>
      </c>
      <c r="X19" s="11">
        <v>0.4185024</v>
      </c>
      <c r="Y19" s="11">
        <v>3.4999999999999999E-6</v>
      </c>
      <c r="Z19" s="11"/>
      <c r="AA19" s="11"/>
      <c r="AB19" s="11"/>
    </row>
    <row r="20" spans="1:28" x14ac:dyDescent="0.35">
      <c r="A20" t="s">
        <v>8</v>
      </c>
      <c r="B20" t="s">
        <v>1351</v>
      </c>
      <c r="C20" t="s">
        <v>1352</v>
      </c>
      <c r="D20" t="s">
        <v>1353</v>
      </c>
      <c r="E20" t="s">
        <v>1354</v>
      </c>
      <c r="F20" t="s">
        <v>1355</v>
      </c>
      <c r="G20" t="s">
        <v>1454</v>
      </c>
      <c r="H20">
        <v>0.95</v>
      </c>
      <c r="I20">
        <v>166</v>
      </c>
      <c r="J20">
        <v>62</v>
      </c>
      <c r="K20">
        <v>1</v>
      </c>
      <c r="L20">
        <v>0</v>
      </c>
      <c r="M20">
        <v>1219</v>
      </c>
      <c r="N20">
        <v>782</v>
      </c>
      <c r="O20">
        <v>483</v>
      </c>
      <c r="P20">
        <v>292</v>
      </c>
      <c r="Q20">
        <v>15</v>
      </c>
      <c r="R20">
        <v>23</v>
      </c>
      <c r="S20">
        <v>24</v>
      </c>
      <c r="T20">
        <v>18</v>
      </c>
      <c r="V20" t="s">
        <v>118</v>
      </c>
      <c r="W20" s="11" t="s">
        <v>1328</v>
      </c>
      <c r="X20" s="11">
        <v>0.22408349999999999</v>
      </c>
      <c r="Y20" s="11" t="s">
        <v>1328</v>
      </c>
      <c r="Z20" s="11"/>
      <c r="AA20" s="11"/>
      <c r="AB20" s="11"/>
    </row>
    <row r="21" spans="1:28" x14ac:dyDescent="0.35">
      <c r="A21" t="s">
        <v>8</v>
      </c>
      <c r="B21" t="s">
        <v>1351</v>
      </c>
      <c r="C21" t="s">
        <v>1352</v>
      </c>
      <c r="D21" t="s">
        <v>1353</v>
      </c>
      <c r="E21" t="s">
        <v>1354</v>
      </c>
      <c r="F21" t="s">
        <v>1355</v>
      </c>
      <c r="G21" t="s">
        <v>1356</v>
      </c>
      <c r="H21">
        <v>0.99</v>
      </c>
      <c r="I21">
        <v>4</v>
      </c>
      <c r="J21">
        <v>0</v>
      </c>
      <c r="K21">
        <v>0</v>
      </c>
      <c r="L21">
        <v>0</v>
      </c>
      <c r="M21">
        <v>2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V21" t="s">
        <v>1451</v>
      </c>
      <c r="W21" s="11" t="s">
        <v>1328</v>
      </c>
      <c r="X21" s="11" t="s">
        <v>1328</v>
      </c>
      <c r="Y21" s="11">
        <v>1.227E-4</v>
      </c>
      <c r="Z21" s="11"/>
      <c r="AA21" s="11"/>
      <c r="AB21" s="11"/>
    </row>
    <row r="22" spans="1:28" x14ac:dyDescent="0.35">
      <c r="A22" t="s">
        <v>8</v>
      </c>
      <c r="B22" t="s">
        <v>1351</v>
      </c>
      <c r="C22" t="s">
        <v>1352</v>
      </c>
      <c r="D22" t="s">
        <v>1353</v>
      </c>
      <c r="E22" t="s">
        <v>1354</v>
      </c>
      <c r="F22" t="s">
        <v>1355</v>
      </c>
      <c r="G22" t="s">
        <v>1357</v>
      </c>
      <c r="H22">
        <v>1</v>
      </c>
      <c r="I22">
        <v>3</v>
      </c>
      <c r="J22">
        <v>0</v>
      </c>
      <c r="K22">
        <v>0</v>
      </c>
      <c r="L22">
        <v>0</v>
      </c>
      <c r="M22">
        <v>4057</v>
      </c>
      <c r="N22">
        <v>780</v>
      </c>
      <c r="O22">
        <v>424</v>
      </c>
      <c r="P22">
        <v>358</v>
      </c>
      <c r="Q22">
        <v>6</v>
      </c>
      <c r="R22">
        <v>0</v>
      </c>
      <c r="S22">
        <v>0</v>
      </c>
      <c r="T22">
        <v>0</v>
      </c>
      <c r="V22" t="s">
        <v>1452</v>
      </c>
      <c r="W22" s="11" t="s">
        <v>1328</v>
      </c>
      <c r="X22" s="11" t="s">
        <v>1328</v>
      </c>
      <c r="Y22" s="11">
        <v>8.3899999999999993E-5</v>
      </c>
      <c r="Z22" s="11"/>
      <c r="AA22" s="11"/>
      <c r="AB22" s="11"/>
    </row>
    <row r="23" spans="1:28" x14ac:dyDescent="0.35">
      <c r="A23" t="s">
        <v>8</v>
      </c>
      <c r="B23" t="s">
        <v>1351</v>
      </c>
      <c r="C23" t="s">
        <v>1352</v>
      </c>
      <c r="D23" t="s">
        <v>1353</v>
      </c>
      <c r="E23" t="s">
        <v>1354</v>
      </c>
      <c r="F23" t="s">
        <v>1355</v>
      </c>
      <c r="G23" t="s">
        <v>1358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11</v>
      </c>
      <c r="R23">
        <v>0</v>
      </c>
      <c r="S23">
        <v>0</v>
      </c>
      <c r="T23">
        <v>0</v>
      </c>
      <c r="V23" t="s">
        <v>246</v>
      </c>
      <c r="W23" s="11">
        <v>1.14033E-2</v>
      </c>
      <c r="X23" s="11" t="s">
        <v>1328</v>
      </c>
      <c r="Y23" s="11">
        <v>1.828E-4</v>
      </c>
      <c r="Z23" s="11"/>
      <c r="AA23" s="11"/>
      <c r="AB23" s="11"/>
    </row>
    <row r="24" spans="1:28" x14ac:dyDescent="0.35">
      <c r="A24" t="s">
        <v>8</v>
      </c>
      <c r="B24" t="s">
        <v>1351</v>
      </c>
      <c r="C24" t="s">
        <v>1352</v>
      </c>
      <c r="D24" t="s">
        <v>1353</v>
      </c>
      <c r="E24" t="s">
        <v>1354</v>
      </c>
      <c r="F24" t="s">
        <v>1355</v>
      </c>
      <c r="G24" t="s">
        <v>1453</v>
      </c>
      <c r="H24">
        <v>1</v>
      </c>
      <c r="I24">
        <v>0</v>
      </c>
      <c r="J24">
        <v>0</v>
      </c>
      <c r="K24">
        <v>0</v>
      </c>
      <c r="L24">
        <v>0</v>
      </c>
      <c r="M24">
        <v>19</v>
      </c>
      <c r="N24">
        <v>9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V24" t="s">
        <v>109</v>
      </c>
      <c r="W24" s="11">
        <v>4.1868600000000006E-2</v>
      </c>
      <c r="X24" s="11" t="s">
        <v>1328</v>
      </c>
      <c r="Y24" s="11">
        <v>0.1910385</v>
      </c>
      <c r="Z24" s="11"/>
      <c r="AA24" s="11"/>
      <c r="AB24" s="11"/>
    </row>
    <row r="25" spans="1:28" x14ac:dyDescent="0.35">
      <c r="A25" t="s">
        <v>8</v>
      </c>
      <c r="B25" t="s">
        <v>1351</v>
      </c>
      <c r="C25" t="s">
        <v>1352</v>
      </c>
      <c r="D25" t="s">
        <v>1353</v>
      </c>
      <c r="E25" t="s">
        <v>1354</v>
      </c>
      <c r="F25" t="s">
        <v>1355</v>
      </c>
      <c r="G25" t="s">
        <v>1350</v>
      </c>
      <c r="H25">
        <v>1</v>
      </c>
      <c r="I25">
        <v>0</v>
      </c>
      <c r="J25">
        <v>0</v>
      </c>
      <c r="K25">
        <v>0</v>
      </c>
      <c r="L25">
        <v>0</v>
      </c>
      <c r="M25">
        <v>5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V25" t="s">
        <v>591</v>
      </c>
      <c r="W25" s="11" t="s">
        <v>1328</v>
      </c>
      <c r="X25" s="11" t="s">
        <v>1328</v>
      </c>
      <c r="Y25" s="11">
        <v>2.4939999999999999E-4</v>
      </c>
      <c r="Z25" s="11"/>
      <c r="AA25" s="11"/>
      <c r="AB25" s="11"/>
    </row>
    <row r="26" spans="1:28" x14ac:dyDescent="0.35">
      <c r="A26" t="s">
        <v>8</v>
      </c>
      <c r="B26" t="s">
        <v>1351</v>
      </c>
      <c r="C26" t="s">
        <v>1352</v>
      </c>
      <c r="D26" t="s">
        <v>1353</v>
      </c>
      <c r="E26" t="s">
        <v>1354</v>
      </c>
      <c r="F26" t="s">
        <v>1355</v>
      </c>
      <c r="G26" t="s">
        <v>1359</v>
      </c>
      <c r="H26">
        <v>1</v>
      </c>
      <c r="I26">
        <v>0</v>
      </c>
      <c r="J26">
        <v>0</v>
      </c>
      <c r="K26">
        <v>0</v>
      </c>
      <c r="L26">
        <v>0</v>
      </c>
      <c r="M26">
        <v>9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V26" t="s">
        <v>175</v>
      </c>
      <c r="W26" s="11">
        <v>1.3906999999999999E-3</v>
      </c>
      <c r="X26" s="11" t="s">
        <v>1328</v>
      </c>
      <c r="Y26" s="11">
        <v>5.9649900000000006E-2</v>
      </c>
      <c r="Z26" s="11"/>
      <c r="AA26" s="11"/>
      <c r="AB26" s="11"/>
    </row>
    <row r="27" spans="1:28" x14ac:dyDescent="0.35">
      <c r="A27" t="s">
        <v>8</v>
      </c>
      <c r="B27" t="s">
        <v>1351</v>
      </c>
      <c r="C27" t="s">
        <v>1352</v>
      </c>
      <c r="D27" t="s">
        <v>1353</v>
      </c>
      <c r="E27" t="s">
        <v>1354</v>
      </c>
      <c r="F27" t="s">
        <v>1355</v>
      </c>
      <c r="G27" t="s">
        <v>1360</v>
      </c>
      <c r="H27">
        <v>0.99</v>
      </c>
      <c r="I27">
        <v>24</v>
      </c>
      <c r="J27">
        <v>0</v>
      </c>
      <c r="K27">
        <v>0</v>
      </c>
      <c r="L27">
        <v>0</v>
      </c>
      <c r="M27">
        <v>17120</v>
      </c>
      <c r="N27">
        <v>7892</v>
      </c>
      <c r="O27">
        <v>0</v>
      </c>
      <c r="P27">
        <v>0</v>
      </c>
      <c r="Q27">
        <v>10</v>
      </c>
      <c r="R27">
        <v>0</v>
      </c>
      <c r="S27">
        <v>0</v>
      </c>
      <c r="T27">
        <v>0</v>
      </c>
      <c r="V27" t="s">
        <v>357</v>
      </c>
      <c r="W27" s="11">
        <v>3.7515999999999999E-3</v>
      </c>
      <c r="X27" s="11" t="s">
        <v>1328</v>
      </c>
      <c r="Y27" s="11" t="s">
        <v>1328</v>
      </c>
      <c r="Z27" s="11"/>
      <c r="AA27" s="11"/>
      <c r="AB27" s="11"/>
    </row>
    <row r="28" spans="1:28" x14ac:dyDescent="0.35">
      <c r="A28" t="s">
        <v>8</v>
      </c>
      <c r="B28" t="s">
        <v>1351</v>
      </c>
      <c r="C28" t="s">
        <v>1352</v>
      </c>
      <c r="D28" t="s">
        <v>1353</v>
      </c>
      <c r="E28" t="s">
        <v>1354</v>
      </c>
      <c r="F28" t="s">
        <v>1355</v>
      </c>
      <c r="G28" t="s">
        <v>1455</v>
      </c>
      <c r="H28">
        <v>1</v>
      </c>
      <c r="I28">
        <v>4</v>
      </c>
      <c r="J28">
        <v>0</v>
      </c>
      <c r="K28">
        <v>0</v>
      </c>
      <c r="L28">
        <v>0</v>
      </c>
      <c r="M28">
        <v>44</v>
      </c>
      <c r="N28">
        <v>30</v>
      </c>
      <c r="O28">
        <v>23</v>
      </c>
      <c r="P28">
        <v>221</v>
      </c>
      <c r="Q28">
        <v>0</v>
      </c>
      <c r="R28">
        <v>0</v>
      </c>
      <c r="S28">
        <v>0</v>
      </c>
      <c r="T28">
        <v>0</v>
      </c>
    </row>
    <row r="29" spans="1:28" x14ac:dyDescent="0.35">
      <c r="A29" t="s">
        <v>8</v>
      </c>
      <c r="B29" t="s">
        <v>32</v>
      </c>
      <c r="C29" t="s">
        <v>1361</v>
      </c>
      <c r="D29" t="s">
        <v>1362</v>
      </c>
      <c r="E29" t="s">
        <v>1363</v>
      </c>
      <c r="F29" t="s">
        <v>1364</v>
      </c>
      <c r="G29" t="s">
        <v>1365</v>
      </c>
      <c r="H29">
        <v>0.99</v>
      </c>
      <c r="I29">
        <v>30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8" x14ac:dyDescent="0.35">
      <c r="A30" t="s">
        <v>8</v>
      </c>
      <c r="B30" t="s">
        <v>32</v>
      </c>
      <c r="C30" t="s">
        <v>1361</v>
      </c>
      <c r="D30" t="s">
        <v>1362</v>
      </c>
      <c r="E30" t="s">
        <v>1363</v>
      </c>
      <c r="F30" t="s">
        <v>1364</v>
      </c>
      <c r="G30" t="s">
        <v>1366</v>
      </c>
      <c r="H30">
        <v>0.96</v>
      </c>
      <c r="I30">
        <v>38</v>
      </c>
      <c r="J30">
        <v>18</v>
      </c>
      <c r="K30">
        <v>6</v>
      </c>
      <c r="L30">
        <v>28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8" x14ac:dyDescent="0.35">
      <c r="A31" t="s">
        <v>8</v>
      </c>
      <c r="B31" t="s">
        <v>32</v>
      </c>
      <c r="C31" t="s">
        <v>1361</v>
      </c>
      <c r="D31" t="s">
        <v>1362</v>
      </c>
      <c r="E31" t="s">
        <v>1363</v>
      </c>
      <c r="F31" t="s">
        <v>1364</v>
      </c>
      <c r="G31" t="s">
        <v>1367</v>
      </c>
      <c r="H31">
        <v>0.99</v>
      </c>
      <c r="I31">
        <v>15</v>
      </c>
      <c r="J31">
        <v>0</v>
      </c>
      <c r="K31">
        <v>0</v>
      </c>
      <c r="L31">
        <v>0</v>
      </c>
      <c r="M31">
        <v>5853</v>
      </c>
      <c r="N31">
        <v>1228</v>
      </c>
      <c r="O31">
        <v>766</v>
      </c>
      <c r="P31">
        <v>542</v>
      </c>
      <c r="Q31">
        <v>14</v>
      </c>
      <c r="R31">
        <v>0</v>
      </c>
      <c r="S31">
        <v>0</v>
      </c>
      <c r="T31">
        <v>0</v>
      </c>
    </row>
    <row r="32" spans="1:28" x14ac:dyDescent="0.35">
      <c r="A32" t="s">
        <v>8</v>
      </c>
      <c r="B32" t="s">
        <v>32</v>
      </c>
      <c r="C32" t="s">
        <v>1361</v>
      </c>
      <c r="D32" t="s">
        <v>1362</v>
      </c>
      <c r="E32" t="s">
        <v>1363</v>
      </c>
      <c r="F32" t="s">
        <v>1364</v>
      </c>
      <c r="G32" t="s">
        <v>1368</v>
      </c>
      <c r="H32">
        <v>0.98</v>
      </c>
      <c r="I32">
        <v>15</v>
      </c>
      <c r="J32">
        <v>0</v>
      </c>
      <c r="K32">
        <v>0</v>
      </c>
      <c r="L32">
        <v>0</v>
      </c>
      <c r="M32">
        <v>5</v>
      </c>
      <c r="N32">
        <v>0</v>
      </c>
      <c r="O32">
        <v>0</v>
      </c>
      <c r="P32">
        <v>0</v>
      </c>
      <c r="Q32">
        <v>5</v>
      </c>
      <c r="R32">
        <v>0</v>
      </c>
      <c r="S32">
        <v>0</v>
      </c>
      <c r="T32">
        <v>0</v>
      </c>
    </row>
    <row r="33" spans="1:20" x14ac:dyDescent="0.35">
      <c r="A33" t="s">
        <v>8</v>
      </c>
      <c r="B33" t="s">
        <v>32</v>
      </c>
      <c r="C33" t="s">
        <v>1361</v>
      </c>
      <c r="D33" t="s">
        <v>1362</v>
      </c>
      <c r="E33" t="s">
        <v>1363</v>
      </c>
      <c r="F33" t="s">
        <v>1364</v>
      </c>
      <c r="G33" t="s">
        <v>1369</v>
      </c>
      <c r="H33">
        <v>1</v>
      </c>
      <c r="I33">
        <v>125</v>
      </c>
      <c r="J33">
        <v>21</v>
      </c>
      <c r="K33">
        <v>9</v>
      </c>
      <c r="L33">
        <v>41</v>
      </c>
      <c r="M33">
        <v>8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</row>
    <row r="34" spans="1:20" x14ac:dyDescent="0.35">
      <c r="A34" t="s">
        <v>8</v>
      </c>
      <c r="B34" t="s">
        <v>32</v>
      </c>
      <c r="C34" t="s">
        <v>1361</v>
      </c>
      <c r="D34" t="s">
        <v>1362</v>
      </c>
      <c r="E34" t="s">
        <v>1363</v>
      </c>
      <c r="F34" t="s">
        <v>1364</v>
      </c>
      <c r="G34" t="s">
        <v>1370</v>
      </c>
      <c r="H34">
        <v>0.98</v>
      </c>
      <c r="I34">
        <v>3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0</v>
      </c>
      <c r="Q34">
        <v>5</v>
      </c>
      <c r="R34">
        <v>0</v>
      </c>
      <c r="S34">
        <v>0</v>
      </c>
      <c r="T34">
        <v>0</v>
      </c>
    </row>
    <row r="35" spans="1:20" x14ac:dyDescent="0.35">
      <c r="A35" t="s">
        <v>8</v>
      </c>
      <c r="B35" t="s">
        <v>32</v>
      </c>
      <c r="C35" t="s">
        <v>1361</v>
      </c>
      <c r="D35" t="s">
        <v>1362</v>
      </c>
      <c r="E35" t="s">
        <v>1363</v>
      </c>
      <c r="F35" t="s">
        <v>1364</v>
      </c>
      <c r="G35" t="s">
        <v>1371</v>
      </c>
      <c r="H35">
        <v>0.99</v>
      </c>
      <c r="I35">
        <v>13</v>
      </c>
      <c r="J35">
        <v>0</v>
      </c>
      <c r="K35">
        <v>0</v>
      </c>
      <c r="L35">
        <v>0</v>
      </c>
      <c r="M35">
        <v>18</v>
      </c>
      <c r="N35">
        <v>0</v>
      </c>
      <c r="O35">
        <v>0</v>
      </c>
      <c r="P35">
        <v>0</v>
      </c>
      <c r="Q35">
        <v>4</v>
      </c>
      <c r="R35">
        <v>0</v>
      </c>
      <c r="S35">
        <v>0</v>
      </c>
      <c r="T35">
        <v>0</v>
      </c>
    </row>
    <row r="36" spans="1:20" x14ac:dyDescent="0.35">
      <c r="A36" t="s">
        <v>8</v>
      </c>
      <c r="B36" t="s">
        <v>32</v>
      </c>
      <c r="C36" t="s">
        <v>1361</v>
      </c>
      <c r="D36" t="s">
        <v>1362</v>
      </c>
      <c r="E36" t="s">
        <v>1363</v>
      </c>
      <c r="F36" t="s">
        <v>1364</v>
      </c>
      <c r="G36" t="s">
        <v>1372</v>
      </c>
      <c r="H36">
        <v>1</v>
      </c>
      <c r="I36">
        <v>5</v>
      </c>
      <c r="J36">
        <v>0</v>
      </c>
      <c r="K36">
        <v>0</v>
      </c>
      <c r="L36">
        <v>0</v>
      </c>
      <c r="M36">
        <v>6</v>
      </c>
      <c r="N36">
        <v>0</v>
      </c>
      <c r="O36">
        <v>0</v>
      </c>
      <c r="P36">
        <v>0</v>
      </c>
      <c r="Q36">
        <v>4</v>
      </c>
      <c r="R36">
        <v>0</v>
      </c>
      <c r="S36">
        <v>0</v>
      </c>
      <c r="T36">
        <v>0</v>
      </c>
    </row>
    <row r="37" spans="1:20" x14ac:dyDescent="0.35">
      <c r="A37" t="s">
        <v>8</v>
      </c>
      <c r="B37" t="s">
        <v>32</v>
      </c>
      <c r="C37" t="s">
        <v>1361</v>
      </c>
      <c r="D37" t="s">
        <v>35</v>
      </c>
      <c r="E37" t="s">
        <v>36</v>
      </c>
      <c r="F37" t="s">
        <v>194</v>
      </c>
      <c r="G37" t="s">
        <v>195</v>
      </c>
      <c r="H37">
        <v>0.6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32</v>
      </c>
      <c r="R37">
        <v>164</v>
      </c>
      <c r="S37">
        <v>466</v>
      </c>
      <c r="T37">
        <v>329</v>
      </c>
    </row>
    <row r="38" spans="1:20" x14ac:dyDescent="0.35">
      <c r="A38" t="s">
        <v>8</v>
      </c>
      <c r="B38" t="s">
        <v>32</v>
      </c>
      <c r="C38" t="s">
        <v>1361</v>
      </c>
      <c r="D38" t="s">
        <v>35</v>
      </c>
      <c r="E38" t="s">
        <v>36</v>
      </c>
      <c r="F38" t="s">
        <v>194</v>
      </c>
      <c r="G38" t="s">
        <v>600</v>
      </c>
      <c r="H38">
        <v>1</v>
      </c>
      <c r="I38">
        <v>1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35">
      <c r="A39" t="s">
        <v>8</v>
      </c>
      <c r="B39" t="s">
        <v>32</v>
      </c>
      <c r="C39" t="s">
        <v>1361</v>
      </c>
      <c r="D39" t="s">
        <v>35</v>
      </c>
      <c r="E39" t="s">
        <v>36</v>
      </c>
      <c r="F39" t="s">
        <v>1373</v>
      </c>
      <c r="G39" t="s">
        <v>1374</v>
      </c>
      <c r="H39">
        <v>0.57999999999999996</v>
      </c>
      <c r="I39">
        <v>1</v>
      </c>
      <c r="J39">
        <v>0</v>
      </c>
      <c r="K39">
        <v>0</v>
      </c>
      <c r="L39">
        <v>0</v>
      </c>
      <c r="M39">
        <v>269</v>
      </c>
      <c r="N39">
        <v>102</v>
      </c>
      <c r="O39">
        <v>26</v>
      </c>
      <c r="P39">
        <v>65</v>
      </c>
      <c r="Q39">
        <v>0</v>
      </c>
      <c r="R39">
        <v>0</v>
      </c>
      <c r="S39">
        <v>0</v>
      </c>
      <c r="T39">
        <v>0</v>
      </c>
    </row>
    <row r="40" spans="1:20" x14ac:dyDescent="0.35">
      <c r="A40" t="s">
        <v>8</v>
      </c>
      <c r="B40" t="s">
        <v>32</v>
      </c>
      <c r="C40" t="s">
        <v>1361</v>
      </c>
      <c r="D40" t="s">
        <v>35</v>
      </c>
      <c r="E40" t="s">
        <v>36</v>
      </c>
      <c r="F40" t="s">
        <v>1373</v>
      </c>
      <c r="G40" t="s">
        <v>1375</v>
      </c>
      <c r="H40">
        <v>0.67</v>
      </c>
      <c r="I40">
        <v>1064</v>
      </c>
      <c r="J40">
        <v>160</v>
      </c>
      <c r="K40">
        <v>45</v>
      </c>
      <c r="L40">
        <v>61</v>
      </c>
      <c r="M40">
        <v>29</v>
      </c>
      <c r="N40">
        <v>0</v>
      </c>
      <c r="O40">
        <v>0</v>
      </c>
      <c r="P40">
        <v>0</v>
      </c>
      <c r="Q40">
        <v>394</v>
      </c>
      <c r="R40">
        <v>130</v>
      </c>
      <c r="S40">
        <v>71</v>
      </c>
      <c r="T40">
        <v>63</v>
      </c>
    </row>
    <row r="41" spans="1:20" x14ac:dyDescent="0.35">
      <c r="A41" t="s">
        <v>8</v>
      </c>
      <c r="B41" t="s">
        <v>32</v>
      </c>
      <c r="C41" t="s">
        <v>1361</v>
      </c>
      <c r="D41" t="s">
        <v>35</v>
      </c>
      <c r="E41" t="s">
        <v>36</v>
      </c>
      <c r="F41" t="s">
        <v>37</v>
      </c>
      <c r="G41" t="s">
        <v>201</v>
      </c>
      <c r="H41">
        <v>0.54</v>
      </c>
      <c r="I41">
        <v>175</v>
      </c>
      <c r="J41">
        <v>11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4</v>
      </c>
      <c r="R41">
        <v>0</v>
      </c>
      <c r="S41">
        <v>0</v>
      </c>
      <c r="T41">
        <v>0</v>
      </c>
    </row>
    <row r="42" spans="1:20" x14ac:dyDescent="0.35">
      <c r="A42" t="s">
        <v>8</v>
      </c>
      <c r="B42" t="s">
        <v>32</v>
      </c>
      <c r="C42" t="s">
        <v>1361</v>
      </c>
      <c r="D42" t="s">
        <v>35</v>
      </c>
      <c r="E42" t="s">
        <v>36</v>
      </c>
      <c r="F42" t="s">
        <v>37</v>
      </c>
      <c r="G42" t="s">
        <v>480</v>
      </c>
      <c r="H42">
        <v>0.51</v>
      </c>
      <c r="I42">
        <v>0</v>
      </c>
      <c r="J42">
        <v>0</v>
      </c>
      <c r="K42">
        <v>0</v>
      </c>
      <c r="L42">
        <v>0</v>
      </c>
      <c r="M42">
        <v>6</v>
      </c>
      <c r="N42">
        <v>0</v>
      </c>
      <c r="O42">
        <v>0</v>
      </c>
      <c r="P42">
        <v>0</v>
      </c>
      <c r="Q42">
        <v>5</v>
      </c>
      <c r="R42">
        <v>0</v>
      </c>
      <c r="S42">
        <v>0</v>
      </c>
      <c r="T42">
        <v>0</v>
      </c>
    </row>
    <row r="43" spans="1:20" x14ac:dyDescent="0.35">
      <c r="A43" t="s">
        <v>8</v>
      </c>
      <c r="B43" t="s">
        <v>32</v>
      </c>
      <c r="C43" t="s">
        <v>1361</v>
      </c>
      <c r="D43" t="s">
        <v>35</v>
      </c>
      <c r="E43" t="s">
        <v>36</v>
      </c>
      <c r="F43" t="s">
        <v>37</v>
      </c>
      <c r="G43" t="s">
        <v>425</v>
      </c>
      <c r="H43">
        <v>0.99</v>
      </c>
      <c r="I43">
        <v>0</v>
      </c>
      <c r="J43">
        <v>0</v>
      </c>
      <c r="K43">
        <v>0</v>
      </c>
      <c r="L43">
        <v>0</v>
      </c>
      <c r="M43">
        <v>9</v>
      </c>
      <c r="N43">
        <v>0</v>
      </c>
      <c r="O43">
        <v>0</v>
      </c>
      <c r="P43">
        <v>0</v>
      </c>
      <c r="Q43">
        <v>2</v>
      </c>
      <c r="R43">
        <v>0</v>
      </c>
      <c r="S43">
        <v>0</v>
      </c>
      <c r="T43">
        <v>0</v>
      </c>
    </row>
    <row r="44" spans="1:20" x14ac:dyDescent="0.35">
      <c r="A44" t="s">
        <v>8</v>
      </c>
      <c r="B44" t="s">
        <v>32</v>
      </c>
      <c r="C44" t="s">
        <v>1361</v>
      </c>
      <c r="D44" t="s">
        <v>35</v>
      </c>
      <c r="E44" t="s">
        <v>36</v>
      </c>
      <c r="F44" t="s">
        <v>37</v>
      </c>
      <c r="G44" t="s">
        <v>231</v>
      </c>
      <c r="H44">
        <v>0.94</v>
      </c>
      <c r="I44">
        <v>140</v>
      </c>
      <c r="J44">
        <v>15</v>
      </c>
      <c r="K44">
        <v>16</v>
      </c>
      <c r="L44">
        <v>65</v>
      </c>
      <c r="M44">
        <v>2</v>
      </c>
      <c r="N44">
        <v>0</v>
      </c>
      <c r="O44">
        <v>0</v>
      </c>
      <c r="P44">
        <v>0</v>
      </c>
      <c r="Q44">
        <v>5</v>
      </c>
      <c r="R44">
        <v>0</v>
      </c>
      <c r="S44">
        <v>0</v>
      </c>
      <c r="T44">
        <v>0</v>
      </c>
    </row>
    <row r="45" spans="1:20" x14ac:dyDescent="0.35">
      <c r="A45" t="s">
        <v>8</v>
      </c>
      <c r="B45" t="s">
        <v>32</v>
      </c>
      <c r="C45" t="s">
        <v>1361</v>
      </c>
      <c r="D45" t="s">
        <v>35</v>
      </c>
      <c r="E45" t="s">
        <v>36</v>
      </c>
      <c r="F45" t="s">
        <v>37</v>
      </c>
      <c r="G45" t="s">
        <v>1376</v>
      </c>
      <c r="H45">
        <v>0.86</v>
      </c>
      <c r="I45">
        <v>1293</v>
      </c>
      <c r="J45">
        <v>226</v>
      </c>
      <c r="K45">
        <v>193</v>
      </c>
      <c r="L45">
        <v>140</v>
      </c>
      <c r="M45">
        <v>28</v>
      </c>
      <c r="N45">
        <v>0</v>
      </c>
      <c r="O45">
        <v>0</v>
      </c>
      <c r="P45">
        <v>0</v>
      </c>
      <c r="Q45">
        <v>4068</v>
      </c>
      <c r="R45">
        <v>2630</v>
      </c>
      <c r="S45">
        <v>1207</v>
      </c>
      <c r="T45">
        <v>1068</v>
      </c>
    </row>
    <row r="46" spans="1:20" x14ac:dyDescent="0.35">
      <c r="A46" t="s">
        <v>8</v>
      </c>
      <c r="B46" t="s">
        <v>32</v>
      </c>
      <c r="C46" t="s">
        <v>1361</v>
      </c>
      <c r="D46" t="s">
        <v>35</v>
      </c>
      <c r="E46" t="s">
        <v>36</v>
      </c>
      <c r="F46" t="s">
        <v>37</v>
      </c>
      <c r="G46" t="s">
        <v>304</v>
      </c>
      <c r="H46">
        <v>0.88</v>
      </c>
      <c r="I46">
        <v>27</v>
      </c>
      <c r="J46">
        <v>0</v>
      </c>
      <c r="K46">
        <v>0</v>
      </c>
      <c r="L46">
        <v>0</v>
      </c>
      <c r="M46">
        <v>4</v>
      </c>
      <c r="N46">
        <v>0</v>
      </c>
      <c r="O46">
        <v>0</v>
      </c>
      <c r="P46">
        <v>0</v>
      </c>
      <c r="Q46">
        <v>7</v>
      </c>
      <c r="R46">
        <v>0</v>
      </c>
      <c r="S46">
        <v>0</v>
      </c>
      <c r="T46">
        <v>0</v>
      </c>
    </row>
    <row r="47" spans="1:20" x14ac:dyDescent="0.35">
      <c r="A47" t="s">
        <v>8</v>
      </c>
      <c r="B47" t="s">
        <v>32</v>
      </c>
      <c r="C47" t="s">
        <v>1361</v>
      </c>
      <c r="D47" t="s">
        <v>35</v>
      </c>
      <c r="E47" t="s">
        <v>36</v>
      </c>
      <c r="F47" t="s">
        <v>143</v>
      </c>
      <c r="G47" t="s">
        <v>1377</v>
      </c>
      <c r="H47">
        <v>0.77</v>
      </c>
      <c r="I47">
        <v>69</v>
      </c>
      <c r="J47">
        <v>16</v>
      </c>
      <c r="K47">
        <v>15</v>
      </c>
      <c r="L47">
        <v>53</v>
      </c>
      <c r="M47">
        <v>112</v>
      </c>
      <c r="N47">
        <v>85</v>
      </c>
      <c r="O47">
        <v>53</v>
      </c>
      <c r="P47">
        <v>62</v>
      </c>
      <c r="Q47">
        <v>120</v>
      </c>
      <c r="R47">
        <v>190</v>
      </c>
      <c r="S47">
        <v>0</v>
      </c>
      <c r="T47">
        <v>0</v>
      </c>
    </row>
    <row r="48" spans="1:20" x14ac:dyDescent="0.35">
      <c r="A48" t="s">
        <v>8</v>
      </c>
      <c r="B48" t="s">
        <v>32</v>
      </c>
      <c r="C48" t="s">
        <v>1361</v>
      </c>
      <c r="D48" t="s">
        <v>445</v>
      </c>
      <c r="E48" t="s">
        <v>446</v>
      </c>
      <c r="F48" t="s">
        <v>1378</v>
      </c>
      <c r="G48" t="s">
        <v>1367</v>
      </c>
      <c r="H48">
        <v>0.5</v>
      </c>
      <c r="I48">
        <v>0</v>
      </c>
      <c r="J48">
        <v>0</v>
      </c>
      <c r="K48">
        <v>0</v>
      </c>
      <c r="L48">
        <v>0</v>
      </c>
      <c r="M48">
        <v>5</v>
      </c>
      <c r="N48">
        <v>0</v>
      </c>
      <c r="O48">
        <v>0</v>
      </c>
      <c r="P48">
        <v>0</v>
      </c>
      <c r="Q48">
        <v>4</v>
      </c>
      <c r="R48">
        <v>0</v>
      </c>
      <c r="S48">
        <v>0</v>
      </c>
      <c r="T48">
        <v>0</v>
      </c>
    </row>
    <row r="49" spans="1:20" x14ac:dyDescent="0.35">
      <c r="A49" t="s">
        <v>8</v>
      </c>
      <c r="B49" t="s">
        <v>120</v>
      </c>
      <c r="C49" t="s">
        <v>1379</v>
      </c>
      <c r="D49" t="s">
        <v>121</v>
      </c>
      <c r="E49" t="s">
        <v>122</v>
      </c>
      <c r="F49" t="s">
        <v>123</v>
      </c>
      <c r="G49" t="s">
        <v>1380</v>
      </c>
      <c r="H49">
        <v>0.84</v>
      </c>
      <c r="I49">
        <v>5</v>
      </c>
      <c r="J49">
        <v>0</v>
      </c>
      <c r="K49">
        <v>0</v>
      </c>
      <c r="L49">
        <v>0</v>
      </c>
      <c r="M49">
        <v>113</v>
      </c>
      <c r="N49">
        <v>115</v>
      </c>
      <c r="O49">
        <v>18</v>
      </c>
      <c r="P49">
        <v>44</v>
      </c>
      <c r="Q49">
        <v>30</v>
      </c>
      <c r="R49">
        <v>8</v>
      </c>
      <c r="S49">
        <v>6</v>
      </c>
      <c r="T49">
        <v>7</v>
      </c>
    </row>
    <row r="50" spans="1:20" x14ac:dyDescent="0.35">
      <c r="A50" t="s">
        <v>8</v>
      </c>
      <c r="B50" t="s">
        <v>120</v>
      </c>
      <c r="C50" t="s">
        <v>1379</v>
      </c>
      <c r="D50" t="s">
        <v>121</v>
      </c>
      <c r="E50" t="s">
        <v>122</v>
      </c>
      <c r="F50" t="s">
        <v>123</v>
      </c>
      <c r="G50" t="s">
        <v>219</v>
      </c>
      <c r="H50">
        <v>0.79</v>
      </c>
      <c r="I50">
        <v>3</v>
      </c>
      <c r="J50">
        <v>0</v>
      </c>
      <c r="K50">
        <v>0</v>
      </c>
      <c r="L50">
        <v>0</v>
      </c>
      <c r="M50">
        <v>93</v>
      </c>
      <c r="N50">
        <v>50</v>
      </c>
      <c r="O50">
        <v>0</v>
      </c>
      <c r="P50">
        <v>20</v>
      </c>
      <c r="Q50">
        <v>58</v>
      </c>
      <c r="R50">
        <v>66</v>
      </c>
      <c r="S50">
        <v>23</v>
      </c>
      <c r="T50">
        <v>28</v>
      </c>
    </row>
    <row r="51" spans="1:20" x14ac:dyDescent="0.35">
      <c r="A51" t="s">
        <v>8</v>
      </c>
      <c r="B51" t="s">
        <v>120</v>
      </c>
      <c r="C51" t="s">
        <v>1379</v>
      </c>
      <c r="D51" t="s">
        <v>121</v>
      </c>
      <c r="E51" t="s">
        <v>122</v>
      </c>
      <c r="F51" t="s">
        <v>123</v>
      </c>
      <c r="G51" t="s">
        <v>124</v>
      </c>
      <c r="H51">
        <v>0.83</v>
      </c>
      <c r="I51">
        <v>908</v>
      </c>
      <c r="J51">
        <v>288</v>
      </c>
      <c r="K51">
        <v>154</v>
      </c>
      <c r="L51">
        <v>113</v>
      </c>
      <c r="M51">
        <v>10</v>
      </c>
      <c r="N51">
        <v>0</v>
      </c>
      <c r="O51">
        <v>0</v>
      </c>
      <c r="P51">
        <v>0</v>
      </c>
      <c r="Q51">
        <v>21</v>
      </c>
      <c r="R51">
        <v>10</v>
      </c>
      <c r="S51">
        <v>0</v>
      </c>
      <c r="T51">
        <v>0</v>
      </c>
    </row>
    <row r="52" spans="1:20" x14ac:dyDescent="0.35">
      <c r="A52" t="s">
        <v>8</v>
      </c>
      <c r="B52" t="s">
        <v>583</v>
      </c>
      <c r="C52" t="s">
        <v>1381</v>
      </c>
      <c r="D52" t="s">
        <v>1382</v>
      </c>
      <c r="E52" t="s">
        <v>1383</v>
      </c>
      <c r="F52" t="s">
        <v>1384</v>
      </c>
      <c r="G52" t="s">
        <v>584</v>
      </c>
      <c r="H52">
        <v>0.99</v>
      </c>
      <c r="I52">
        <v>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35">
      <c r="A53" t="s">
        <v>8</v>
      </c>
      <c r="B53" t="s">
        <v>451</v>
      </c>
      <c r="C53" t="s">
        <v>1385</v>
      </c>
      <c r="D53" t="s">
        <v>451</v>
      </c>
      <c r="E53" t="s">
        <v>452</v>
      </c>
      <c r="F53" t="s">
        <v>453</v>
      </c>
      <c r="G53" t="s">
        <v>454</v>
      </c>
      <c r="H53">
        <v>1</v>
      </c>
      <c r="I53">
        <v>3</v>
      </c>
      <c r="J53">
        <v>0</v>
      </c>
      <c r="K53">
        <v>0</v>
      </c>
      <c r="L53">
        <v>0</v>
      </c>
      <c r="M53">
        <v>5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</row>
    <row r="54" spans="1:20" x14ac:dyDescent="0.35">
      <c r="A54" t="s">
        <v>8</v>
      </c>
      <c r="B54" t="s">
        <v>46</v>
      </c>
      <c r="C54" t="s">
        <v>1386</v>
      </c>
      <c r="D54" t="s">
        <v>364</v>
      </c>
      <c r="E54" t="s">
        <v>416</v>
      </c>
      <c r="F54" t="s">
        <v>417</v>
      </c>
      <c r="G54" t="s">
        <v>418</v>
      </c>
      <c r="H54">
        <v>1</v>
      </c>
      <c r="I54">
        <v>1</v>
      </c>
      <c r="J54">
        <v>0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  <c r="Q54">
        <v>10</v>
      </c>
      <c r="R54">
        <v>0</v>
      </c>
      <c r="S54">
        <v>0</v>
      </c>
      <c r="T54">
        <v>0</v>
      </c>
    </row>
    <row r="55" spans="1:20" x14ac:dyDescent="0.35">
      <c r="A55" t="s">
        <v>8</v>
      </c>
      <c r="B55" t="s">
        <v>46</v>
      </c>
      <c r="C55" t="s">
        <v>1386</v>
      </c>
      <c r="D55" t="s">
        <v>364</v>
      </c>
      <c r="E55" t="s">
        <v>365</v>
      </c>
      <c r="F55" t="s">
        <v>366</v>
      </c>
      <c r="G55" t="s">
        <v>367</v>
      </c>
      <c r="H55">
        <v>0.99</v>
      </c>
      <c r="I55">
        <v>0</v>
      </c>
      <c r="J55">
        <v>0</v>
      </c>
      <c r="K55">
        <v>0</v>
      </c>
      <c r="L55">
        <v>0</v>
      </c>
      <c r="M55">
        <v>20</v>
      </c>
      <c r="N55">
        <v>0</v>
      </c>
      <c r="O55">
        <v>0</v>
      </c>
      <c r="P55">
        <v>0</v>
      </c>
      <c r="Q55">
        <v>12</v>
      </c>
      <c r="R55">
        <v>0</v>
      </c>
      <c r="S55">
        <v>0</v>
      </c>
      <c r="T55">
        <v>0</v>
      </c>
    </row>
    <row r="56" spans="1:20" x14ac:dyDescent="0.35">
      <c r="A56" t="s">
        <v>8</v>
      </c>
      <c r="B56" t="s">
        <v>46</v>
      </c>
      <c r="C56" t="s">
        <v>1386</v>
      </c>
      <c r="D56" t="s">
        <v>47</v>
      </c>
      <c r="E56" t="s">
        <v>1387</v>
      </c>
      <c r="F56" t="s">
        <v>1388</v>
      </c>
      <c r="G56" t="s">
        <v>1389</v>
      </c>
      <c r="H56">
        <v>0.61</v>
      </c>
      <c r="I56">
        <v>0</v>
      </c>
      <c r="J56">
        <v>0</v>
      </c>
      <c r="K56">
        <v>0</v>
      </c>
      <c r="L56">
        <v>0</v>
      </c>
      <c r="M56">
        <v>9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</row>
    <row r="57" spans="1:20" x14ac:dyDescent="0.35">
      <c r="A57" t="s">
        <v>8</v>
      </c>
      <c r="B57" t="s">
        <v>46</v>
      </c>
      <c r="C57" t="s">
        <v>1386</v>
      </c>
      <c r="D57" t="s">
        <v>47</v>
      </c>
      <c r="E57" t="s">
        <v>1387</v>
      </c>
      <c r="F57" t="s">
        <v>1388</v>
      </c>
      <c r="G57" t="s">
        <v>1390</v>
      </c>
      <c r="H57">
        <v>0.67</v>
      </c>
      <c r="I57">
        <v>0</v>
      </c>
      <c r="J57">
        <v>0</v>
      </c>
      <c r="K57">
        <v>0</v>
      </c>
      <c r="L57">
        <v>0</v>
      </c>
      <c r="M57">
        <v>50</v>
      </c>
      <c r="N57">
        <v>35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</row>
    <row r="58" spans="1:20" x14ac:dyDescent="0.35">
      <c r="A58" t="s">
        <v>8</v>
      </c>
      <c r="B58" t="s">
        <v>46</v>
      </c>
      <c r="C58" t="s">
        <v>1386</v>
      </c>
      <c r="D58" t="s">
        <v>47</v>
      </c>
      <c r="E58" t="s">
        <v>1387</v>
      </c>
      <c r="F58" t="s">
        <v>1388</v>
      </c>
      <c r="G58" t="s">
        <v>1391</v>
      </c>
      <c r="H58">
        <v>0.88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35">
      <c r="A59" t="s">
        <v>8</v>
      </c>
      <c r="B59" t="s">
        <v>46</v>
      </c>
      <c r="C59" t="s">
        <v>1386</v>
      </c>
      <c r="D59" t="s">
        <v>47</v>
      </c>
      <c r="E59" t="s">
        <v>1387</v>
      </c>
      <c r="F59" t="s">
        <v>1388</v>
      </c>
      <c r="G59" t="s">
        <v>1392</v>
      </c>
      <c r="H59">
        <v>0.75</v>
      </c>
      <c r="I59">
        <v>0</v>
      </c>
      <c r="J59">
        <v>0</v>
      </c>
      <c r="K59">
        <v>0</v>
      </c>
      <c r="L59">
        <v>0</v>
      </c>
      <c r="M59">
        <v>62</v>
      </c>
      <c r="N59">
        <v>11</v>
      </c>
      <c r="O59">
        <v>0</v>
      </c>
      <c r="P59">
        <v>0</v>
      </c>
      <c r="Q59">
        <v>25</v>
      </c>
      <c r="R59">
        <v>19</v>
      </c>
      <c r="S59">
        <v>0</v>
      </c>
      <c r="T59">
        <v>1249</v>
      </c>
    </row>
    <row r="60" spans="1:20" x14ac:dyDescent="0.35">
      <c r="A60" t="s">
        <v>8</v>
      </c>
      <c r="B60" t="s">
        <v>46</v>
      </c>
      <c r="C60" t="s">
        <v>1386</v>
      </c>
      <c r="D60" t="s">
        <v>47</v>
      </c>
      <c r="E60" t="s">
        <v>1387</v>
      </c>
      <c r="F60" t="s">
        <v>1388</v>
      </c>
      <c r="G60" t="s">
        <v>1393</v>
      </c>
      <c r="H60">
        <v>0.84</v>
      </c>
      <c r="I60">
        <v>1</v>
      </c>
      <c r="J60">
        <v>0</v>
      </c>
      <c r="K60">
        <v>0</v>
      </c>
      <c r="L60">
        <v>0</v>
      </c>
      <c r="M60">
        <v>129</v>
      </c>
      <c r="N60">
        <v>851</v>
      </c>
      <c r="O60">
        <v>559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35">
      <c r="A61" t="s">
        <v>8</v>
      </c>
      <c r="B61" t="s">
        <v>46</v>
      </c>
      <c r="C61" t="s">
        <v>1386</v>
      </c>
      <c r="D61" t="s">
        <v>47</v>
      </c>
      <c r="E61" t="s">
        <v>1387</v>
      </c>
      <c r="F61" t="s">
        <v>1388</v>
      </c>
      <c r="G61" t="s">
        <v>1394</v>
      </c>
      <c r="H61">
        <v>0.57999999999999996</v>
      </c>
      <c r="I61">
        <v>5</v>
      </c>
      <c r="J61">
        <v>0</v>
      </c>
      <c r="K61">
        <v>0</v>
      </c>
      <c r="L61">
        <v>0</v>
      </c>
      <c r="M61">
        <v>14</v>
      </c>
      <c r="N61">
        <v>0</v>
      </c>
      <c r="O61">
        <v>0</v>
      </c>
      <c r="P61">
        <v>0</v>
      </c>
      <c r="Q61">
        <v>3285</v>
      </c>
      <c r="R61">
        <v>1720</v>
      </c>
      <c r="S61">
        <v>0</v>
      </c>
      <c r="T61">
        <v>0</v>
      </c>
    </row>
    <row r="62" spans="1:20" x14ac:dyDescent="0.35">
      <c r="A62" t="s">
        <v>8</v>
      </c>
      <c r="B62" t="s">
        <v>46</v>
      </c>
      <c r="C62" t="s">
        <v>1386</v>
      </c>
      <c r="D62" t="s">
        <v>47</v>
      </c>
      <c r="E62" t="s">
        <v>61</v>
      </c>
      <c r="F62" t="s">
        <v>238</v>
      </c>
      <c r="G62" t="s">
        <v>239</v>
      </c>
      <c r="H62">
        <v>1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70</v>
      </c>
      <c r="R62">
        <v>84</v>
      </c>
      <c r="S62">
        <v>60</v>
      </c>
      <c r="T62">
        <v>100</v>
      </c>
    </row>
    <row r="63" spans="1:20" x14ac:dyDescent="0.35">
      <c r="A63" t="s">
        <v>8</v>
      </c>
      <c r="B63" t="s">
        <v>46</v>
      </c>
      <c r="C63" t="s">
        <v>1386</v>
      </c>
      <c r="D63" t="s">
        <v>47</v>
      </c>
      <c r="E63" t="s">
        <v>61</v>
      </c>
      <c r="F63" t="s">
        <v>84</v>
      </c>
      <c r="G63" t="s">
        <v>475</v>
      </c>
      <c r="H63">
        <v>0.94</v>
      </c>
      <c r="I63">
        <v>9</v>
      </c>
      <c r="J63">
        <v>0</v>
      </c>
      <c r="K63">
        <v>0</v>
      </c>
      <c r="L63">
        <v>0</v>
      </c>
      <c r="M63">
        <v>2</v>
      </c>
      <c r="N63">
        <v>0</v>
      </c>
      <c r="O63">
        <v>0</v>
      </c>
      <c r="P63">
        <v>0</v>
      </c>
      <c r="Q63">
        <v>2</v>
      </c>
      <c r="R63">
        <v>0</v>
      </c>
      <c r="S63">
        <v>0</v>
      </c>
      <c r="T63">
        <v>0</v>
      </c>
    </row>
    <row r="64" spans="1:20" x14ac:dyDescent="0.35">
      <c r="A64" t="s">
        <v>8</v>
      </c>
      <c r="B64" t="s">
        <v>46</v>
      </c>
      <c r="C64" t="s">
        <v>1386</v>
      </c>
      <c r="D64" t="s">
        <v>47</v>
      </c>
      <c r="E64" t="s">
        <v>61</v>
      </c>
      <c r="F64" t="s">
        <v>84</v>
      </c>
      <c r="G64" t="s">
        <v>463</v>
      </c>
      <c r="H64">
        <v>0.57999999999999996</v>
      </c>
      <c r="I64">
        <v>7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0</v>
      </c>
    </row>
    <row r="65" spans="1:20" x14ac:dyDescent="0.35">
      <c r="A65" t="s">
        <v>8</v>
      </c>
      <c r="B65" t="s">
        <v>46</v>
      </c>
      <c r="C65" t="s">
        <v>1386</v>
      </c>
      <c r="D65" t="s">
        <v>47</v>
      </c>
      <c r="E65" t="s">
        <v>61</v>
      </c>
      <c r="F65" t="s">
        <v>84</v>
      </c>
      <c r="G65" t="s">
        <v>85</v>
      </c>
      <c r="H65">
        <v>0.87</v>
      </c>
      <c r="I65">
        <v>12</v>
      </c>
      <c r="J65">
        <v>0</v>
      </c>
      <c r="K65">
        <v>0</v>
      </c>
      <c r="L65">
        <v>0</v>
      </c>
      <c r="M65">
        <v>8</v>
      </c>
      <c r="N65">
        <v>0</v>
      </c>
      <c r="O65">
        <v>0</v>
      </c>
      <c r="P65">
        <v>0</v>
      </c>
      <c r="Q65">
        <v>1293</v>
      </c>
      <c r="R65">
        <v>761</v>
      </c>
      <c r="S65">
        <v>0</v>
      </c>
      <c r="T65">
        <v>473</v>
      </c>
    </row>
    <row r="66" spans="1:20" x14ac:dyDescent="0.35">
      <c r="A66" t="s">
        <v>8</v>
      </c>
      <c r="B66" t="s">
        <v>46</v>
      </c>
      <c r="C66" t="s">
        <v>1386</v>
      </c>
      <c r="D66" t="s">
        <v>47</v>
      </c>
      <c r="E66" t="s">
        <v>61</v>
      </c>
      <c r="F66" t="s">
        <v>1395</v>
      </c>
      <c r="G66" t="s">
        <v>1456</v>
      </c>
      <c r="H66">
        <v>0.73</v>
      </c>
      <c r="I66">
        <v>43</v>
      </c>
      <c r="J66">
        <v>35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35">
      <c r="A67" t="s">
        <v>8</v>
      </c>
      <c r="B67" t="s">
        <v>46</v>
      </c>
      <c r="C67" t="s">
        <v>1386</v>
      </c>
      <c r="D67" t="s">
        <v>47</v>
      </c>
      <c r="E67" t="s">
        <v>61</v>
      </c>
      <c r="F67" t="s">
        <v>1395</v>
      </c>
      <c r="G67" t="s">
        <v>1396</v>
      </c>
      <c r="H67">
        <v>0.76</v>
      </c>
      <c r="I67">
        <v>17</v>
      </c>
      <c r="J67">
        <v>0</v>
      </c>
      <c r="K67">
        <v>0</v>
      </c>
      <c r="L67">
        <v>0</v>
      </c>
      <c r="M67">
        <v>139</v>
      </c>
      <c r="N67">
        <v>54</v>
      </c>
      <c r="O67">
        <v>0</v>
      </c>
      <c r="P67">
        <v>0</v>
      </c>
      <c r="Q67">
        <v>477</v>
      </c>
      <c r="R67">
        <v>331</v>
      </c>
      <c r="S67">
        <v>946</v>
      </c>
      <c r="T67">
        <v>455</v>
      </c>
    </row>
    <row r="68" spans="1:20" x14ac:dyDescent="0.35">
      <c r="A68" t="s">
        <v>8</v>
      </c>
      <c r="B68" t="s">
        <v>46</v>
      </c>
      <c r="C68" t="s">
        <v>1386</v>
      </c>
      <c r="D68" t="s">
        <v>47</v>
      </c>
      <c r="E68" t="s">
        <v>61</v>
      </c>
      <c r="F68" t="s">
        <v>1395</v>
      </c>
      <c r="G68" t="s">
        <v>1397</v>
      </c>
      <c r="H68">
        <v>0.99</v>
      </c>
      <c r="I68">
        <v>8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</row>
    <row r="69" spans="1:20" x14ac:dyDescent="0.35">
      <c r="A69" t="s">
        <v>8</v>
      </c>
      <c r="B69" t="s">
        <v>46</v>
      </c>
      <c r="C69" t="s">
        <v>1386</v>
      </c>
      <c r="D69" t="s">
        <v>47</v>
      </c>
      <c r="E69" t="s">
        <v>61</v>
      </c>
      <c r="F69" t="s">
        <v>1395</v>
      </c>
      <c r="G69" t="s">
        <v>1398</v>
      </c>
      <c r="H69">
        <v>0.92</v>
      </c>
      <c r="I69">
        <v>53</v>
      </c>
      <c r="J69">
        <v>10</v>
      </c>
      <c r="K69">
        <v>0</v>
      </c>
      <c r="L69">
        <v>0</v>
      </c>
      <c r="M69">
        <v>9</v>
      </c>
      <c r="N69">
        <v>0</v>
      </c>
      <c r="O69">
        <v>0</v>
      </c>
      <c r="P69">
        <v>0</v>
      </c>
      <c r="Q69">
        <v>1126</v>
      </c>
      <c r="R69">
        <v>682</v>
      </c>
      <c r="S69">
        <v>0</v>
      </c>
      <c r="T69">
        <v>0</v>
      </c>
    </row>
    <row r="70" spans="1:20" x14ac:dyDescent="0.35">
      <c r="A70" t="s">
        <v>8</v>
      </c>
      <c r="B70" t="s">
        <v>46</v>
      </c>
      <c r="C70" t="s">
        <v>1386</v>
      </c>
      <c r="D70" t="s">
        <v>47</v>
      </c>
      <c r="E70" t="s">
        <v>61</v>
      </c>
      <c r="F70" t="s">
        <v>1395</v>
      </c>
      <c r="G70" t="s">
        <v>1399</v>
      </c>
      <c r="H70">
        <v>0.99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4</v>
      </c>
      <c r="R70">
        <v>0</v>
      </c>
      <c r="S70">
        <v>0</v>
      </c>
      <c r="T70">
        <v>0</v>
      </c>
    </row>
    <row r="71" spans="1:20" x14ac:dyDescent="0.35">
      <c r="A71" t="s">
        <v>8</v>
      </c>
      <c r="B71" t="s">
        <v>46</v>
      </c>
      <c r="C71" t="s">
        <v>1386</v>
      </c>
      <c r="D71" t="s">
        <v>47</v>
      </c>
      <c r="E71" t="s">
        <v>61</v>
      </c>
      <c r="F71" t="s">
        <v>1395</v>
      </c>
      <c r="G71" t="s">
        <v>1400</v>
      </c>
      <c r="H71">
        <v>0.55000000000000004</v>
      </c>
      <c r="I71">
        <v>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7</v>
      </c>
      <c r="R71">
        <v>0</v>
      </c>
      <c r="S71">
        <v>0</v>
      </c>
      <c r="T71">
        <v>0</v>
      </c>
    </row>
    <row r="72" spans="1:20" x14ac:dyDescent="0.35">
      <c r="A72" t="s">
        <v>8</v>
      </c>
      <c r="B72" t="s">
        <v>46</v>
      </c>
      <c r="C72" t="s">
        <v>1386</v>
      </c>
      <c r="D72" t="s">
        <v>47</v>
      </c>
      <c r="E72" t="s">
        <v>61</v>
      </c>
      <c r="F72" t="s">
        <v>1395</v>
      </c>
      <c r="G72" t="s">
        <v>1390</v>
      </c>
      <c r="H72">
        <v>0.73</v>
      </c>
      <c r="I72">
        <v>9</v>
      </c>
      <c r="J72">
        <v>0</v>
      </c>
      <c r="K72">
        <v>0</v>
      </c>
      <c r="L72">
        <v>0</v>
      </c>
      <c r="M72">
        <v>2465</v>
      </c>
      <c r="N72">
        <v>1186</v>
      </c>
      <c r="O72">
        <v>0</v>
      </c>
      <c r="P72">
        <v>0</v>
      </c>
      <c r="Q72">
        <v>46</v>
      </c>
      <c r="R72">
        <v>12</v>
      </c>
      <c r="S72">
        <v>11</v>
      </c>
      <c r="T72">
        <v>0</v>
      </c>
    </row>
    <row r="73" spans="1:20" x14ac:dyDescent="0.35">
      <c r="A73" t="s">
        <v>8</v>
      </c>
      <c r="B73" t="s">
        <v>46</v>
      </c>
      <c r="C73" t="s">
        <v>1386</v>
      </c>
      <c r="D73" t="s">
        <v>47</v>
      </c>
      <c r="E73" t="s">
        <v>61</v>
      </c>
      <c r="F73" t="s">
        <v>1395</v>
      </c>
      <c r="G73" t="s">
        <v>1401</v>
      </c>
      <c r="H73">
        <v>0.68</v>
      </c>
      <c r="I73">
        <v>0</v>
      </c>
      <c r="J73">
        <v>0</v>
      </c>
      <c r="K73">
        <v>0</v>
      </c>
      <c r="L73">
        <v>0</v>
      </c>
      <c r="M73">
        <v>4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35">
      <c r="A74" t="s">
        <v>8</v>
      </c>
      <c r="B74" t="s">
        <v>46</v>
      </c>
      <c r="C74" t="s">
        <v>1386</v>
      </c>
      <c r="D74" t="s">
        <v>47</v>
      </c>
      <c r="E74" t="s">
        <v>61</v>
      </c>
      <c r="F74" t="s">
        <v>1395</v>
      </c>
      <c r="G74" t="s">
        <v>1402</v>
      </c>
      <c r="H74">
        <v>0.78</v>
      </c>
      <c r="I74">
        <v>18</v>
      </c>
      <c r="J74">
        <v>0</v>
      </c>
      <c r="K74">
        <v>0</v>
      </c>
      <c r="L74">
        <v>0</v>
      </c>
      <c r="M74">
        <v>2</v>
      </c>
      <c r="N74">
        <v>0</v>
      </c>
      <c r="O74">
        <v>0</v>
      </c>
      <c r="P74">
        <v>0</v>
      </c>
      <c r="Q74">
        <v>15</v>
      </c>
      <c r="R74">
        <v>6</v>
      </c>
      <c r="S74">
        <v>0</v>
      </c>
      <c r="T74">
        <v>0</v>
      </c>
    </row>
    <row r="75" spans="1:20" x14ac:dyDescent="0.35">
      <c r="A75" t="s">
        <v>8</v>
      </c>
      <c r="B75" t="s">
        <v>46</v>
      </c>
      <c r="C75" t="s">
        <v>1386</v>
      </c>
      <c r="D75" t="s">
        <v>47</v>
      </c>
      <c r="E75" t="s">
        <v>61</v>
      </c>
      <c r="F75" t="s">
        <v>1395</v>
      </c>
      <c r="G75" t="s">
        <v>1403</v>
      </c>
      <c r="H75">
        <v>0.55000000000000004</v>
      </c>
      <c r="I75">
        <v>3</v>
      </c>
      <c r="J75">
        <v>0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35">
      <c r="A76" t="s">
        <v>8</v>
      </c>
      <c r="B76" t="s">
        <v>46</v>
      </c>
      <c r="C76" t="s">
        <v>1386</v>
      </c>
      <c r="D76" t="s">
        <v>47</v>
      </c>
      <c r="E76" t="s">
        <v>61</v>
      </c>
      <c r="F76" t="s">
        <v>1395</v>
      </c>
      <c r="G76" t="s">
        <v>1393</v>
      </c>
      <c r="H76">
        <v>0.69</v>
      </c>
      <c r="I76">
        <v>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</row>
    <row r="77" spans="1:20" x14ac:dyDescent="0.35">
      <c r="A77" t="s">
        <v>8</v>
      </c>
      <c r="B77" t="s">
        <v>46</v>
      </c>
      <c r="C77" t="s">
        <v>1386</v>
      </c>
      <c r="D77" t="s">
        <v>47</v>
      </c>
      <c r="E77" t="s">
        <v>61</v>
      </c>
      <c r="F77" t="s">
        <v>1395</v>
      </c>
      <c r="G77" t="s">
        <v>1404</v>
      </c>
      <c r="H77">
        <v>1</v>
      </c>
      <c r="I77">
        <v>5</v>
      </c>
      <c r="J77">
        <v>0</v>
      </c>
      <c r="K77">
        <v>0</v>
      </c>
      <c r="L77">
        <v>0</v>
      </c>
      <c r="M77">
        <v>6</v>
      </c>
      <c r="N77">
        <v>0</v>
      </c>
      <c r="O77">
        <v>0</v>
      </c>
      <c r="P77">
        <v>0</v>
      </c>
      <c r="Q77">
        <v>5</v>
      </c>
      <c r="R77">
        <v>0</v>
      </c>
      <c r="S77">
        <v>0</v>
      </c>
      <c r="T77">
        <v>0</v>
      </c>
    </row>
    <row r="78" spans="1:20" x14ac:dyDescent="0.35">
      <c r="A78" t="s">
        <v>8</v>
      </c>
      <c r="B78" t="s">
        <v>46</v>
      </c>
      <c r="C78" t="s">
        <v>1386</v>
      </c>
      <c r="D78" t="s">
        <v>47</v>
      </c>
      <c r="E78" t="s">
        <v>61</v>
      </c>
      <c r="F78" t="s">
        <v>1395</v>
      </c>
      <c r="G78" t="s">
        <v>1405</v>
      </c>
      <c r="H78">
        <v>0.69</v>
      </c>
      <c r="I78">
        <v>0</v>
      </c>
      <c r="J78">
        <v>0</v>
      </c>
      <c r="K78">
        <v>0</v>
      </c>
      <c r="L78">
        <v>129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35">
      <c r="A79" t="s">
        <v>8</v>
      </c>
      <c r="B79" t="s">
        <v>46</v>
      </c>
      <c r="C79" t="s">
        <v>1386</v>
      </c>
      <c r="D79" t="s">
        <v>47</v>
      </c>
      <c r="E79" t="s">
        <v>61</v>
      </c>
      <c r="F79" t="s">
        <v>1395</v>
      </c>
      <c r="G79" t="s">
        <v>1406</v>
      </c>
      <c r="H79">
        <v>0.85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16</v>
      </c>
      <c r="R79">
        <v>8</v>
      </c>
      <c r="S79">
        <v>0</v>
      </c>
      <c r="T79">
        <v>0</v>
      </c>
    </row>
    <row r="80" spans="1:20" x14ac:dyDescent="0.35">
      <c r="A80" t="s">
        <v>8</v>
      </c>
      <c r="B80" t="s">
        <v>46</v>
      </c>
      <c r="C80" t="s">
        <v>1386</v>
      </c>
      <c r="D80" t="s">
        <v>47</v>
      </c>
      <c r="E80" t="s">
        <v>61</v>
      </c>
      <c r="F80" t="s">
        <v>1395</v>
      </c>
      <c r="G80" t="s">
        <v>1407</v>
      </c>
      <c r="H80">
        <v>0.85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10</v>
      </c>
      <c r="R80">
        <v>9</v>
      </c>
      <c r="S80">
        <v>0</v>
      </c>
      <c r="T80">
        <v>0</v>
      </c>
    </row>
    <row r="81" spans="1:20" x14ac:dyDescent="0.35">
      <c r="A81" t="s">
        <v>8</v>
      </c>
      <c r="B81" t="s">
        <v>46</v>
      </c>
      <c r="C81" t="s">
        <v>1386</v>
      </c>
      <c r="D81" t="s">
        <v>47</v>
      </c>
      <c r="E81" t="s">
        <v>61</v>
      </c>
      <c r="F81" t="s">
        <v>1395</v>
      </c>
      <c r="G81" t="s">
        <v>334</v>
      </c>
      <c r="H81">
        <v>0.66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17</v>
      </c>
      <c r="R81">
        <v>5</v>
      </c>
      <c r="S81">
        <v>0</v>
      </c>
      <c r="T81">
        <v>0</v>
      </c>
    </row>
    <row r="82" spans="1:20" x14ac:dyDescent="0.35">
      <c r="A82" t="s">
        <v>8</v>
      </c>
      <c r="B82" t="s">
        <v>46</v>
      </c>
      <c r="C82" t="s">
        <v>1386</v>
      </c>
      <c r="D82" t="s">
        <v>47</v>
      </c>
      <c r="E82" t="s">
        <v>61</v>
      </c>
      <c r="F82" t="s">
        <v>268</v>
      </c>
      <c r="G82" t="s">
        <v>269</v>
      </c>
      <c r="H82">
        <v>0.99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32</v>
      </c>
      <c r="R82">
        <v>39</v>
      </c>
      <c r="S82">
        <v>62</v>
      </c>
      <c r="T82">
        <v>0</v>
      </c>
    </row>
    <row r="83" spans="1:20" x14ac:dyDescent="0.35">
      <c r="A83" t="s">
        <v>8</v>
      </c>
      <c r="B83" t="s">
        <v>46</v>
      </c>
      <c r="C83" t="s">
        <v>1386</v>
      </c>
      <c r="D83" t="s">
        <v>47</v>
      </c>
      <c r="E83" t="s">
        <v>61</v>
      </c>
      <c r="F83" t="s">
        <v>157</v>
      </c>
      <c r="G83" t="s">
        <v>1408</v>
      </c>
      <c r="H83">
        <v>0.77</v>
      </c>
      <c r="I83">
        <v>230</v>
      </c>
      <c r="J83">
        <v>81</v>
      </c>
      <c r="K83">
        <v>0</v>
      </c>
      <c r="L83">
        <v>49</v>
      </c>
      <c r="M83">
        <v>0</v>
      </c>
      <c r="N83">
        <v>0</v>
      </c>
      <c r="O83">
        <v>0</v>
      </c>
      <c r="P83">
        <v>0</v>
      </c>
      <c r="Q83">
        <v>3</v>
      </c>
      <c r="R83">
        <v>0</v>
      </c>
      <c r="S83">
        <v>0</v>
      </c>
      <c r="T83">
        <v>0</v>
      </c>
    </row>
    <row r="84" spans="1:20" x14ac:dyDescent="0.35">
      <c r="A84" t="s">
        <v>8</v>
      </c>
      <c r="B84" t="s">
        <v>46</v>
      </c>
      <c r="C84" t="s">
        <v>1386</v>
      </c>
      <c r="D84" t="s">
        <v>47</v>
      </c>
      <c r="E84" t="s">
        <v>61</v>
      </c>
      <c r="F84" t="s">
        <v>157</v>
      </c>
      <c r="G84" t="s">
        <v>502</v>
      </c>
      <c r="H84">
        <v>1</v>
      </c>
      <c r="I84">
        <v>1</v>
      </c>
      <c r="J84">
        <v>0</v>
      </c>
      <c r="K84">
        <v>0</v>
      </c>
      <c r="L84">
        <v>0</v>
      </c>
      <c r="M84">
        <v>3</v>
      </c>
      <c r="N84">
        <v>0</v>
      </c>
      <c r="O84">
        <v>0</v>
      </c>
      <c r="P84">
        <v>0</v>
      </c>
      <c r="Q84">
        <v>2</v>
      </c>
      <c r="R84">
        <v>0</v>
      </c>
      <c r="S84">
        <v>0</v>
      </c>
      <c r="T84">
        <v>0</v>
      </c>
    </row>
    <row r="85" spans="1:20" x14ac:dyDescent="0.35">
      <c r="A85" t="s">
        <v>8</v>
      </c>
      <c r="B85" t="s">
        <v>46</v>
      </c>
      <c r="C85" t="s">
        <v>1386</v>
      </c>
      <c r="D85" t="s">
        <v>47</v>
      </c>
      <c r="E85" t="s">
        <v>61</v>
      </c>
      <c r="F85" t="s">
        <v>157</v>
      </c>
      <c r="G85" t="s">
        <v>440</v>
      </c>
      <c r="H85">
        <v>0.61</v>
      </c>
      <c r="I85">
        <v>4</v>
      </c>
      <c r="J85">
        <v>0</v>
      </c>
      <c r="K85">
        <v>0</v>
      </c>
      <c r="L85">
        <v>0</v>
      </c>
      <c r="M85">
        <v>2</v>
      </c>
      <c r="N85">
        <v>0</v>
      </c>
      <c r="O85">
        <v>0</v>
      </c>
      <c r="P85">
        <v>0</v>
      </c>
      <c r="Q85">
        <v>4</v>
      </c>
      <c r="R85">
        <v>0</v>
      </c>
      <c r="S85">
        <v>0</v>
      </c>
      <c r="T85">
        <v>0</v>
      </c>
    </row>
    <row r="86" spans="1:20" x14ac:dyDescent="0.35">
      <c r="A86" t="s">
        <v>8</v>
      </c>
      <c r="B86" t="s">
        <v>46</v>
      </c>
      <c r="C86" t="s">
        <v>1386</v>
      </c>
      <c r="D86" t="s">
        <v>47</v>
      </c>
      <c r="E86" t="s">
        <v>61</v>
      </c>
      <c r="F86" t="s">
        <v>527</v>
      </c>
      <c r="G86" t="s">
        <v>528</v>
      </c>
      <c r="H86">
        <v>1</v>
      </c>
      <c r="I86">
        <v>1</v>
      </c>
      <c r="J86">
        <v>0</v>
      </c>
      <c r="K86">
        <v>0</v>
      </c>
      <c r="L86">
        <v>0</v>
      </c>
      <c r="M86">
        <v>3</v>
      </c>
      <c r="N86">
        <v>0</v>
      </c>
      <c r="O86">
        <v>0</v>
      </c>
      <c r="P86">
        <v>0</v>
      </c>
      <c r="Q86">
        <v>1</v>
      </c>
      <c r="R86">
        <v>0</v>
      </c>
      <c r="S86">
        <v>0</v>
      </c>
      <c r="T86">
        <v>0</v>
      </c>
    </row>
    <row r="87" spans="1:20" x14ac:dyDescent="0.35">
      <c r="A87" t="s">
        <v>8</v>
      </c>
      <c r="B87" t="s">
        <v>46</v>
      </c>
      <c r="C87" t="s">
        <v>1386</v>
      </c>
      <c r="D87" t="s">
        <v>47</v>
      </c>
      <c r="E87" t="s">
        <v>61</v>
      </c>
      <c r="F87" t="s">
        <v>94</v>
      </c>
      <c r="G87" t="s">
        <v>95</v>
      </c>
      <c r="H87">
        <v>1</v>
      </c>
      <c r="I87">
        <v>929</v>
      </c>
      <c r="J87">
        <v>309</v>
      </c>
      <c r="K87">
        <v>37</v>
      </c>
      <c r="L87">
        <v>161</v>
      </c>
      <c r="M87">
        <v>16</v>
      </c>
      <c r="N87">
        <v>0</v>
      </c>
      <c r="O87">
        <v>0</v>
      </c>
      <c r="P87">
        <v>0</v>
      </c>
      <c r="Q87">
        <v>153</v>
      </c>
      <c r="R87">
        <v>122</v>
      </c>
      <c r="S87">
        <v>67</v>
      </c>
      <c r="T87">
        <v>0</v>
      </c>
    </row>
    <row r="88" spans="1:20" x14ac:dyDescent="0.35">
      <c r="A88" t="s">
        <v>8</v>
      </c>
      <c r="B88" t="s">
        <v>46</v>
      </c>
      <c r="C88" t="s">
        <v>1386</v>
      </c>
      <c r="D88" t="s">
        <v>47</v>
      </c>
      <c r="E88" t="s">
        <v>61</v>
      </c>
      <c r="F88" t="s">
        <v>94</v>
      </c>
      <c r="G88" t="s">
        <v>316</v>
      </c>
      <c r="H88">
        <v>1</v>
      </c>
      <c r="I88">
        <v>18</v>
      </c>
      <c r="J88">
        <v>0</v>
      </c>
      <c r="K88">
        <v>0</v>
      </c>
      <c r="L88">
        <v>0</v>
      </c>
      <c r="M88">
        <v>9</v>
      </c>
      <c r="N88">
        <v>0</v>
      </c>
      <c r="O88">
        <v>0</v>
      </c>
      <c r="P88">
        <v>0</v>
      </c>
      <c r="Q88">
        <v>6</v>
      </c>
      <c r="R88">
        <v>0</v>
      </c>
      <c r="S88">
        <v>0</v>
      </c>
      <c r="T88">
        <v>0</v>
      </c>
    </row>
    <row r="89" spans="1:20" x14ac:dyDescent="0.35">
      <c r="A89" t="s">
        <v>8</v>
      </c>
      <c r="B89" t="s">
        <v>46</v>
      </c>
      <c r="C89" t="s">
        <v>1386</v>
      </c>
      <c r="D89" t="s">
        <v>47</v>
      </c>
      <c r="E89" t="s">
        <v>61</v>
      </c>
      <c r="F89" t="s">
        <v>403</v>
      </c>
      <c r="G89" t="s">
        <v>1409</v>
      </c>
      <c r="H89">
        <v>0.5</v>
      </c>
      <c r="I89">
        <v>1</v>
      </c>
      <c r="J89">
        <v>0</v>
      </c>
      <c r="K89">
        <v>0</v>
      </c>
      <c r="L89">
        <v>0</v>
      </c>
      <c r="M89">
        <v>3</v>
      </c>
      <c r="N89">
        <v>0</v>
      </c>
      <c r="O89">
        <v>0</v>
      </c>
      <c r="P89">
        <v>0</v>
      </c>
      <c r="Q89">
        <v>9</v>
      </c>
      <c r="R89">
        <v>0</v>
      </c>
      <c r="S89">
        <v>0</v>
      </c>
      <c r="T89">
        <v>0</v>
      </c>
    </row>
    <row r="90" spans="1:20" x14ac:dyDescent="0.35">
      <c r="A90" t="s">
        <v>8</v>
      </c>
      <c r="B90" t="s">
        <v>46</v>
      </c>
      <c r="C90" t="s">
        <v>1386</v>
      </c>
      <c r="D90" t="s">
        <v>47</v>
      </c>
      <c r="E90" t="s">
        <v>61</v>
      </c>
      <c r="F90" t="s">
        <v>561</v>
      </c>
      <c r="G90" t="s">
        <v>562</v>
      </c>
      <c r="H90">
        <v>1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3</v>
      </c>
      <c r="R90">
        <v>0</v>
      </c>
      <c r="S90">
        <v>0</v>
      </c>
      <c r="T90">
        <v>0</v>
      </c>
    </row>
    <row r="91" spans="1:20" x14ac:dyDescent="0.35">
      <c r="A91" t="s">
        <v>8</v>
      </c>
      <c r="B91" t="s">
        <v>46</v>
      </c>
      <c r="C91" t="s">
        <v>1386</v>
      </c>
      <c r="D91" t="s">
        <v>47</v>
      </c>
      <c r="E91" t="s">
        <v>61</v>
      </c>
      <c r="F91" t="s">
        <v>561</v>
      </c>
      <c r="G91" t="s">
        <v>1410</v>
      </c>
      <c r="H91">
        <v>0.98</v>
      </c>
      <c r="I91">
        <v>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 x14ac:dyDescent="0.35">
      <c r="A92" t="s">
        <v>8</v>
      </c>
      <c r="B92" t="s">
        <v>46</v>
      </c>
      <c r="C92" t="s">
        <v>1386</v>
      </c>
      <c r="D92" t="s">
        <v>47</v>
      </c>
      <c r="E92" t="s">
        <v>61</v>
      </c>
      <c r="F92" t="s">
        <v>178</v>
      </c>
      <c r="G92" t="s">
        <v>186</v>
      </c>
      <c r="H92">
        <v>0.81</v>
      </c>
      <c r="I92">
        <v>0</v>
      </c>
      <c r="J92">
        <v>0</v>
      </c>
      <c r="K92">
        <v>0</v>
      </c>
      <c r="L92">
        <v>0</v>
      </c>
      <c r="M92">
        <v>3</v>
      </c>
      <c r="N92">
        <v>0</v>
      </c>
      <c r="O92">
        <v>0</v>
      </c>
      <c r="P92">
        <v>0</v>
      </c>
      <c r="Q92">
        <v>194</v>
      </c>
      <c r="R92">
        <v>59</v>
      </c>
      <c r="S92">
        <v>241</v>
      </c>
      <c r="T92">
        <v>649</v>
      </c>
    </row>
    <row r="93" spans="1:20" x14ac:dyDescent="0.35">
      <c r="A93" t="s">
        <v>8</v>
      </c>
      <c r="B93" t="s">
        <v>46</v>
      </c>
      <c r="C93" t="s">
        <v>1386</v>
      </c>
      <c r="D93" t="s">
        <v>47</v>
      </c>
      <c r="E93" t="s">
        <v>61</v>
      </c>
      <c r="F93" t="s">
        <v>178</v>
      </c>
      <c r="G93" t="s">
        <v>179</v>
      </c>
      <c r="H93">
        <v>0.9</v>
      </c>
      <c r="I93">
        <v>0</v>
      </c>
      <c r="J93">
        <v>0</v>
      </c>
      <c r="K93">
        <v>0</v>
      </c>
      <c r="L93">
        <v>0</v>
      </c>
      <c r="M93">
        <v>1</v>
      </c>
      <c r="N93">
        <v>0</v>
      </c>
      <c r="O93">
        <v>0</v>
      </c>
      <c r="P93">
        <v>0</v>
      </c>
      <c r="Q93">
        <v>146</v>
      </c>
      <c r="R93">
        <v>120</v>
      </c>
      <c r="S93">
        <v>0</v>
      </c>
      <c r="T93">
        <v>0</v>
      </c>
    </row>
    <row r="94" spans="1:20" x14ac:dyDescent="0.35">
      <c r="A94" t="s">
        <v>8</v>
      </c>
      <c r="B94" t="s">
        <v>46</v>
      </c>
      <c r="C94" t="s">
        <v>1386</v>
      </c>
      <c r="D94" t="s">
        <v>47</v>
      </c>
      <c r="E94" t="s">
        <v>61</v>
      </c>
      <c r="F94" t="s">
        <v>178</v>
      </c>
      <c r="G94" t="s">
        <v>1411</v>
      </c>
      <c r="H94">
        <v>0.94</v>
      </c>
      <c r="I94">
        <v>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 x14ac:dyDescent="0.35">
      <c r="A95" t="s">
        <v>8</v>
      </c>
      <c r="B95" t="s">
        <v>46</v>
      </c>
      <c r="C95" t="s">
        <v>1386</v>
      </c>
      <c r="D95" t="s">
        <v>47</v>
      </c>
      <c r="E95" t="s">
        <v>61</v>
      </c>
      <c r="F95" t="s">
        <v>182</v>
      </c>
      <c r="G95" t="s">
        <v>183</v>
      </c>
      <c r="H95">
        <v>0.95</v>
      </c>
      <c r="I95">
        <v>4</v>
      </c>
      <c r="J95">
        <v>0</v>
      </c>
      <c r="K95">
        <v>0</v>
      </c>
      <c r="L95">
        <v>0</v>
      </c>
      <c r="M95">
        <v>188</v>
      </c>
      <c r="N95">
        <v>53</v>
      </c>
      <c r="O95">
        <v>43</v>
      </c>
      <c r="P95">
        <v>564</v>
      </c>
      <c r="Q95">
        <v>0</v>
      </c>
      <c r="R95">
        <v>0</v>
      </c>
      <c r="S95">
        <v>0</v>
      </c>
      <c r="T95">
        <v>0</v>
      </c>
    </row>
    <row r="96" spans="1:20" x14ac:dyDescent="0.35">
      <c r="A96" t="s">
        <v>8</v>
      </c>
      <c r="B96" t="s">
        <v>46</v>
      </c>
      <c r="C96" t="s">
        <v>1386</v>
      </c>
      <c r="D96" t="s">
        <v>47</v>
      </c>
      <c r="E96" t="s">
        <v>61</v>
      </c>
      <c r="F96" t="s">
        <v>190</v>
      </c>
      <c r="G96" t="s">
        <v>484</v>
      </c>
      <c r="H96">
        <v>0.64</v>
      </c>
      <c r="I96">
        <v>2</v>
      </c>
      <c r="J96">
        <v>0</v>
      </c>
      <c r="K96">
        <v>0</v>
      </c>
      <c r="L96">
        <v>0</v>
      </c>
      <c r="M96">
        <v>1</v>
      </c>
      <c r="N96">
        <v>0</v>
      </c>
      <c r="O96">
        <v>0</v>
      </c>
      <c r="P96">
        <v>0</v>
      </c>
      <c r="Q96">
        <v>4</v>
      </c>
      <c r="R96">
        <v>0</v>
      </c>
      <c r="S96">
        <v>0</v>
      </c>
      <c r="T96">
        <v>0</v>
      </c>
    </row>
    <row r="97" spans="1:20" x14ac:dyDescent="0.35">
      <c r="A97" t="s">
        <v>8</v>
      </c>
      <c r="B97" t="s">
        <v>46</v>
      </c>
      <c r="C97" t="s">
        <v>1386</v>
      </c>
      <c r="D97" t="s">
        <v>47</v>
      </c>
      <c r="E97" t="s">
        <v>61</v>
      </c>
      <c r="F97" t="s">
        <v>190</v>
      </c>
      <c r="G97" t="s">
        <v>273</v>
      </c>
      <c r="H97">
        <v>0.78</v>
      </c>
      <c r="I97">
        <v>46</v>
      </c>
      <c r="J97">
        <v>19</v>
      </c>
      <c r="K97">
        <v>0</v>
      </c>
      <c r="L97">
        <v>997</v>
      </c>
      <c r="M97">
        <v>0</v>
      </c>
      <c r="N97">
        <v>0</v>
      </c>
      <c r="O97">
        <v>0</v>
      </c>
      <c r="P97">
        <v>0</v>
      </c>
      <c r="Q97">
        <v>42</v>
      </c>
      <c r="R97">
        <v>18</v>
      </c>
      <c r="S97">
        <v>0</v>
      </c>
      <c r="T97">
        <v>0</v>
      </c>
    </row>
    <row r="98" spans="1:20" x14ac:dyDescent="0.35">
      <c r="A98" t="s">
        <v>8</v>
      </c>
      <c r="B98" t="s">
        <v>46</v>
      </c>
      <c r="C98" t="s">
        <v>1386</v>
      </c>
      <c r="D98" t="s">
        <v>47</v>
      </c>
      <c r="E98" t="s">
        <v>61</v>
      </c>
      <c r="F98" t="s">
        <v>190</v>
      </c>
      <c r="G98" t="s">
        <v>191</v>
      </c>
      <c r="H98">
        <v>0.82</v>
      </c>
      <c r="I98">
        <v>173</v>
      </c>
      <c r="J98">
        <v>49</v>
      </c>
      <c r="K98">
        <v>31</v>
      </c>
      <c r="L98">
        <v>25</v>
      </c>
      <c r="M98">
        <v>4</v>
      </c>
      <c r="N98">
        <v>0</v>
      </c>
      <c r="O98">
        <v>0</v>
      </c>
      <c r="P98">
        <v>0</v>
      </c>
      <c r="Q98">
        <v>48</v>
      </c>
      <c r="R98">
        <v>24</v>
      </c>
      <c r="S98">
        <v>0</v>
      </c>
      <c r="T98">
        <v>0</v>
      </c>
    </row>
    <row r="99" spans="1:20" x14ac:dyDescent="0.35">
      <c r="A99" t="s">
        <v>8</v>
      </c>
      <c r="B99" t="s">
        <v>46</v>
      </c>
      <c r="C99" t="s">
        <v>1386</v>
      </c>
      <c r="D99" t="s">
        <v>47</v>
      </c>
      <c r="E99" t="s">
        <v>61</v>
      </c>
      <c r="F99" t="s">
        <v>190</v>
      </c>
      <c r="G99" t="s">
        <v>1412</v>
      </c>
      <c r="H99">
        <v>0.5</v>
      </c>
      <c r="I99">
        <v>9</v>
      </c>
      <c r="J99">
        <v>0</v>
      </c>
      <c r="K99">
        <v>0</v>
      </c>
      <c r="L99">
        <v>0</v>
      </c>
      <c r="M99">
        <v>10</v>
      </c>
      <c r="N99">
        <v>0</v>
      </c>
      <c r="O99">
        <v>0</v>
      </c>
      <c r="P99">
        <v>0</v>
      </c>
      <c r="Q99">
        <v>14</v>
      </c>
      <c r="R99">
        <v>0</v>
      </c>
      <c r="S99">
        <v>0</v>
      </c>
      <c r="T99">
        <v>0</v>
      </c>
    </row>
    <row r="100" spans="1:20" x14ac:dyDescent="0.35">
      <c r="A100" t="s">
        <v>8</v>
      </c>
      <c r="B100" t="s">
        <v>46</v>
      </c>
      <c r="C100" t="s">
        <v>1386</v>
      </c>
      <c r="D100" t="s">
        <v>47</v>
      </c>
      <c r="E100" t="s">
        <v>61</v>
      </c>
      <c r="F100" t="s">
        <v>190</v>
      </c>
      <c r="G100" t="s">
        <v>587</v>
      </c>
      <c r="H100">
        <v>0.94</v>
      </c>
      <c r="I100">
        <v>2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</row>
    <row r="101" spans="1:20" x14ac:dyDescent="0.35">
      <c r="A101" t="s">
        <v>8</v>
      </c>
      <c r="B101" t="s">
        <v>46</v>
      </c>
      <c r="C101" t="s">
        <v>1386</v>
      </c>
      <c r="D101" t="s">
        <v>47</v>
      </c>
      <c r="E101" t="s">
        <v>61</v>
      </c>
      <c r="F101" t="s">
        <v>210</v>
      </c>
      <c r="G101" t="s">
        <v>211</v>
      </c>
      <c r="H101">
        <v>0.89</v>
      </c>
      <c r="I101">
        <v>70</v>
      </c>
      <c r="J101">
        <v>21</v>
      </c>
      <c r="K101">
        <v>0</v>
      </c>
      <c r="L101">
        <v>12</v>
      </c>
      <c r="M101">
        <v>16</v>
      </c>
      <c r="N101">
        <v>0</v>
      </c>
      <c r="O101">
        <v>0</v>
      </c>
      <c r="P101">
        <v>0</v>
      </c>
      <c r="Q101">
        <v>75</v>
      </c>
      <c r="R101">
        <v>61</v>
      </c>
      <c r="S101">
        <v>0</v>
      </c>
      <c r="T101">
        <v>205</v>
      </c>
    </row>
    <row r="102" spans="1:20" x14ac:dyDescent="0.35">
      <c r="A102" t="s">
        <v>8</v>
      </c>
      <c r="B102" t="s">
        <v>46</v>
      </c>
      <c r="C102" t="s">
        <v>1386</v>
      </c>
      <c r="D102" t="s">
        <v>47</v>
      </c>
      <c r="E102" t="s">
        <v>160</v>
      </c>
      <c r="F102" t="s">
        <v>161</v>
      </c>
      <c r="G102" t="s">
        <v>162</v>
      </c>
      <c r="H102">
        <v>0.83</v>
      </c>
      <c r="I102">
        <v>20</v>
      </c>
      <c r="J102">
        <v>0</v>
      </c>
      <c r="K102">
        <v>0</v>
      </c>
      <c r="L102">
        <v>0</v>
      </c>
      <c r="M102">
        <v>123</v>
      </c>
      <c r="N102">
        <v>114</v>
      </c>
      <c r="O102">
        <v>18</v>
      </c>
      <c r="P102">
        <v>147</v>
      </c>
      <c r="Q102">
        <v>147</v>
      </c>
      <c r="R102">
        <v>39</v>
      </c>
      <c r="S102">
        <v>16</v>
      </c>
      <c r="T102">
        <v>247</v>
      </c>
    </row>
    <row r="103" spans="1:20" x14ac:dyDescent="0.35">
      <c r="A103" t="s">
        <v>8</v>
      </c>
      <c r="B103" t="s">
        <v>46</v>
      </c>
      <c r="C103" t="s">
        <v>1386</v>
      </c>
      <c r="D103" t="s">
        <v>47</v>
      </c>
      <c r="E103" t="s">
        <v>69</v>
      </c>
      <c r="F103" t="s">
        <v>70</v>
      </c>
      <c r="G103" t="s">
        <v>459</v>
      </c>
      <c r="H103">
        <v>0.98</v>
      </c>
      <c r="I103">
        <v>0</v>
      </c>
      <c r="J103">
        <v>0</v>
      </c>
      <c r="K103">
        <v>0</v>
      </c>
      <c r="L103">
        <v>0</v>
      </c>
      <c r="M103">
        <v>3</v>
      </c>
      <c r="N103">
        <v>0</v>
      </c>
      <c r="O103">
        <v>0</v>
      </c>
      <c r="P103">
        <v>0</v>
      </c>
      <c r="Q103">
        <v>6</v>
      </c>
      <c r="R103">
        <v>0</v>
      </c>
      <c r="S103">
        <v>0</v>
      </c>
      <c r="T103">
        <v>0</v>
      </c>
    </row>
    <row r="104" spans="1:20" x14ac:dyDescent="0.35">
      <c r="A104" t="s">
        <v>8</v>
      </c>
      <c r="B104" t="s">
        <v>46</v>
      </c>
      <c r="C104" t="s">
        <v>1386</v>
      </c>
      <c r="D104" t="s">
        <v>47</v>
      </c>
      <c r="E104" t="s">
        <v>69</v>
      </c>
      <c r="F104" t="s">
        <v>70</v>
      </c>
      <c r="G104" t="s">
        <v>1413</v>
      </c>
      <c r="H104">
        <v>0.65</v>
      </c>
      <c r="I104">
        <v>12</v>
      </c>
      <c r="J104">
        <v>0</v>
      </c>
      <c r="K104">
        <v>0</v>
      </c>
      <c r="L104">
        <v>0</v>
      </c>
      <c r="M104">
        <v>2873</v>
      </c>
      <c r="N104">
        <v>509</v>
      </c>
      <c r="O104">
        <v>400</v>
      </c>
      <c r="P104">
        <v>433</v>
      </c>
      <c r="Q104">
        <v>7</v>
      </c>
      <c r="R104">
        <v>0</v>
      </c>
      <c r="S104">
        <v>0</v>
      </c>
      <c r="T104">
        <v>0</v>
      </c>
    </row>
    <row r="105" spans="1:20" x14ac:dyDescent="0.35">
      <c r="A105" t="s">
        <v>8</v>
      </c>
      <c r="B105" t="s">
        <v>46</v>
      </c>
      <c r="C105" t="s">
        <v>1386</v>
      </c>
      <c r="D105" t="s">
        <v>1414</v>
      </c>
      <c r="E105" t="s">
        <v>1415</v>
      </c>
      <c r="F105" t="s">
        <v>1416</v>
      </c>
      <c r="G105" t="s">
        <v>1457</v>
      </c>
      <c r="H105">
        <v>0.59</v>
      </c>
      <c r="I105">
        <v>3</v>
      </c>
      <c r="J105">
        <v>0</v>
      </c>
      <c r="K105">
        <v>0</v>
      </c>
      <c r="L105">
        <v>0</v>
      </c>
      <c r="M105">
        <v>3</v>
      </c>
      <c r="N105">
        <v>0</v>
      </c>
      <c r="O105">
        <v>0</v>
      </c>
      <c r="P105">
        <v>0</v>
      </c>
      <c r="Q105">
        <v>2</v>
      </c>
      <c r="R105">
        <v>0</v>
      </c>
      <c r="S105">
        <v>0</v>
      </c>
      <c r="T105">
        <v>0</v>
      </c>
    </row>
    <row r="106" spans="1:20" x14ac:dyDescent="0.35">
      <c r="A106" t="s">
        <v>8</v>
      </c>
      <c r="B106" t="s">
        <v>46</v>
      </c>
      <c r="C106" t="s">
        <v>1386</v>
      </c>
      <c r="D106" t="s">
        <v>1414</v>
      </c>
      <c r="E106" t="s">
        <v>1415</v>
      </c>
      <c r="F106" t="s">
        <v>1416</v>
      </c>
      <c r="G106" t="s">
        <v>1417</v>
      </c>
      <c r="H106">
        <v>0.55000000000000004</v>
      </c>
      <c r="I106">
        <v>11</v>
      </c>
      <c r="J106">
        <v>0</v>
      </c>
      <c r="K106">
        <v>0</v>
      </c>
      <c r="L106">
        <v>0</v>
      </c>
      <c r="M106">
        <v>9</v>
      </c>
      <c r="N106">
        <v>0</v>
      </c>
      <c r="O106">
        <v>0</v>
      </c>
      <c r="P106">
        <v>0</v>
      </c>
      <c r="Q106">
        <v>4</v>
      </c>
      <c r="R106">
        <v>0</v>
      </c>
      <c r="S106">
        <v>0</v>
      </c>
      <c r="T106">
        <v>0</v>
      </c>
    </row>
    <row r="107" spans="1:20" x14ac:dyDescent="0.35">
      <c r="A107" t="s">
        <v>8</v>
      </c>
      <c r="B107" t="s">
        <v>46</v>
      </c>
      <c r="C107" t="s">
        <v>1386</v>
      </c>
      <c r="D107" t="s">
        <v>1414</v>
      </c>
      <c r="E107" t="s">
        <v>1415</v>
      </c>
      <c r="F107" t="s">
        <v>1416</v>
      </c>
      <c r="G107" t="s">
        <v>1418</v>
      </c>
      <c r="H107">
        <v>0.96</v>
      </c>
      <c r="I107">
        <v>10</v>
      </c>
      <c r="J107">
        <v>0</v>
      </c>
      <c r="K107">
        <v>0</v>
      </c>
      <c r="L107">
        <v>0</v>
      </c>
      <c r="M107">
        <v>10</v>
      </c>
      <c r="N107">
        <v>0</v>
      </c>
      <c r="O107">
        <v>0</v>
      </c>
      <c r="P107">
        <v>0</v>
      </c>
      <c r="Q107">
        <v>7</v>
      </c>
      <c r="R107">
        <v>0</v>
      </c>
      <c r="S107">
        <v>0</v>
      </c>
      <c r="T107">
        <v>0</v>
      </c>
    </row>
    <row r="108" spans="1:20" x14ac:dyDescent="0.35">
      <c r="A108" t="s">
        <v>8</v>
      </c>
      <c r="B108" t="s">
        <v>46</v>
      </c>
      <c r="C108" t="s">
        <v>1386</v>
      </c>
      <c r="D108" t="s">
        <v>1414</v>
      </c>
      <c r="E108" t="s">
        <v>1415</v>
      </c>
      <c r="F108" t="s">
        <v>1416</v>
      </c>
      <c r="G108" t="s">
        <v>1419</v>
      </c>
      <c r="H108">
        <v>0.51</v>
      </c>
      <c r="I108">
        <v>3</v>
      </c>
      <c r="J108">
        <v>0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2</v>
      </c>
      <c r="R108">
        <v>0</v>
      </c>
      <c r="S108">
        <v>0</v>
      </c>
      <c r="T108">
        <v>0</v>
      </c>
    </row>
    <row r="109" spans="1:20" x14ac:dyDescent="0.35">
      <c r="A109" t="s">
        <v>8</v>
      </c>
      <c r="B109" t="s">
        <v>46</v>
      </c>
      <c r="C109" t="s">
        <v>1386</v>
      </c>
      <c r="D109" t="s">
        <v>1414</v>
      </c>
      <c r="E109" t="s">
        <v>1415</v>
      </c>
      <c r="F109" t="s">
        <v>1416</v>
      </c>
      <c r="G109" t="s">
        <v>1398</v>
      </c>
      <c r="H109">
        <v>0.96</v>
      </c>
      <c r="I109">
        <v>0</v>
      </c>
      <c r="J109">
        <v>0</v>
      </c>
      <c r="K109">
        <v>0</v>
      </c>
      <c r="L109">
        <v>0</v>
      </c>
      <c r="M109">
        <v>2</v>
      </c>
      <c r="N109">
        <v>0</v>
      </c>
      <c r="O109">
        <v>0</v>
      </c>
      <c r="P109">
        <v>0</v>
      </c>
      <c r="Q109">
        <v>106</v>
      </c>
      <c r="R109">
        <v>44</v>
      </c>
      <c r="S109">
        <v>0</v>
      </c>
      <c r="T109">
        <v>0</v>
      </c>
    </row>
    <row r="110" spans="1:20" x14ac:dyDescent="0.35">
      <c r="A110" t="s">
        <v>8</v>
      </c>
      <c r="B110" t="s">
        <v>46</v>
      </c>
      <c r="C110" t="s">
        <v>1386</v>
      </c>
      <c r="D110" t="s">
        <v>1414</v>
      </c>
      <c r="E110" t="s">
        <v>1415</v>
      </c>
      <c r="F110" t="s">
        <v>1416</v>
      </c>
      <c r="G110" t="s">
        <v>1401</v>
      </c>
      <c r="H110">
        <v>0.72</v>
      </c>
      <c r="I110">
        <v>8</v>
      </c>
      <c r="J110">
        <v>0</v>
      </c>
      <c r="K110">
        <v>0</v>
      </c>
      <c r="L110">
        <v>0</v>
      </c>
      <c r="M110">
        <v>4</v>
      </c>
      <c r="N110">
        <v>0</v>
      </c>
      <c r="O110">
        <v>0</v>
      </c>
      <c r="P110">
        <v>0</v>
      </c>
      <c r="Q110">
        <v>10</v>
      </c>
      <c r="R110">
        <v>0</v>
      </c>
      <c r="S110">
        <v>0</v>
      </c>
      <c r="T110">
        <v>0</v>
      </c>
    </row>
    <row r="111" spans="1:20" x14ac:dyDescent="0.35">
      <c r="A111" t="s">
        <v>8</v>
      </c>
      <c r="B111" t="s">
        <v>46</v>
      </c>
      <c r="C111" t="s">
        <v>1386</v>
      </c>
      <c r="D111" t="s">
        <v>64</v>
      </c>
      <c r="E111" t="s">
        <v>65</v>
      </c>
      <c r="F111" t="s">
        <v>66</v>
      </c>
      <c r="G111" t="s">
        <v>146</v>
      </c>
      <c r="H111">
        <v>0.96</v>
      </c>
      <c r="I111">
        <v>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306</v>
      </c>
      <c r="R111">
        <v>208</v>
      </c>
      <c r="S111">
        <v>805</v>
      </c>
      <c r="T111">
        <v>570</v>
      </c>
    </row>
    <row r="112" spans="1:20" x14ac:dyDescent="0.35">
      <c r="A112" t="s">
        <v>8</v>
      </c>
      <c r="B112" t="s">
        <v>46</v>
      </c>
      <c r="C112" t="s">
        <v>1386</v>
      </c>
      <c r="D112" t="s">
        <v>64</v>
      </c>
      <c r="E112" t="s">
        <v>65</v>
      </c>
      <c r="F112" t="s">
        <v>66</v>
      </c>
      <c r="G112" t="s">
        <v>1420</v>
      </c>
      <c r="H112">
        <v>0.68</v>
      </c>
      <c r="I112">
        <v>8</v>
      </c>
      <c r="J112">
        <v>0</v>
      </c>
      <c r="K112">
        <v>0</v>
      </c>
      <c r="L112">
        <v>0</v>
      </c>
      <c r="M112">
        <v>7</v>
      </c>
      <c r="N112">
        <v>0</v>
      </c>
      <c r="O112">
        <v>0</v>
      </c>
      <c r="P112">
        <v>0</v>
      </c>
      <c r="Q112">
        <v>561</v>
      </c>
      <c r="R112">
        <v>3131</v>
      </c>
      <c r="S112">
        <v>0</v>
      </c>
      <c r="T112">
        <v>1387</v>
      </c>
    </row>
    <row r="113" spans="1:20" x14ac:dyDescent="0.35">
      <c r="A113" t="s">
        <v>8</v>
      </c>
      <c r="B113" t="s">
        <v>100</v>
      </c>
      <c r="C113" t="s">
        <v>1421</v>
      </c>
      <c r="D113" t="s">
        <v>101</v>
      </c>
      <c r="E113" t="s">
        <v>102</v>
      </c>
      <c r="F113" t="s">
        <v>103</v>
      </c>
      <c r="G113" t="s">
        <v>104</v>
      </c>
      <c r="H113">
        <v>1</v>
      </c>
      <c r="I113">
        <v>1</v>
      </c>
      <c r="J113">
        <v>0</v>
      </c>
      <c r="K113">
        <v>0</v>
      </c>
      <c r="L113">
        <v>0</v>
      </c>
      <c r="M113">
        <v>1089</v>
      </c>
      <c r="N113">
        <v>416</v>
      </c>
      <c r="O113">
        <v>236</v>
      </c>
      <c r="P113">
        <v>262</v>
      </c>
      <c r="Q113">
        <v>9</v>
      </c>
      <c r="R113">
        <v>0</v>
      </c>
      <c r="S113">
        <v>0</v>
      </c>
      <c r="T113">
        <v>0</v>
      </c>
    </row>
    <row r="114" spans="1:20" x14ac:dyDescent="0.35">
      <c r="A114" t="s">
        <v>8</v>
      </c>
      <c r="B114" t="s">
        <v>100</v>
      </c>
      <c r="C114" t="s">
        <v>1421</v>
      </c>
      <c r="D114" t="s">
        <v>101</v>
      </c>
      <c r="E114" t="s">
        <v>102</v>
      </c>
      <c r="F114" t="s">
        <v>103</v>
      </c>
      <c r="G114" t="s">
        <v>383</v>
      </c>
      <c r="H114">
        <v>0.81</v>
      </c>
      <c r="I114">
        <v>6</v>
      </c>
      <c r="J114">
        <v>0</v>
      </c>
      <c r="K114">
        <v>0</v>
      </c>
      <c r="L114">
        <v>0</v>
      </c>
      <c r="M114">
        <v>5</v>
      </c>
      <c r="N114">
        <v>0</v>
      </c>
      <c r="O114">
        <v>0</v>
      </c>
      <c r="P114">
        <v>0</v>
      </c>
      <c r="Q114">
        <v>4</v>
      </c>
      <c r="R114">
        <v>0</v>
      </c>
      <c r="S114">
        <v>0</v>
      </c>
      <c r="T114">
        <v>0</v>
      </c>
    </row>
    <row r="115" spans="1:20" x14ac:dyDescent="0.35">
      <c r="A115" t="s">
        <v>8</v>
      </c>
      <c r="B115" t="s">
        <v>114</v>
      </c>
      <c r="C115" t="s">
        <v>1422</v>
      </c>
      <c r="D115" t="s">
        <v>115</v>
      </c>
      <c r="E115" t="s">
        <v>116</v>
      </c>
      <c r="F115" t="s">
        <v>117</v>
      </c>
      <c r="G115" t="s">
        <v>118</v>
      </c>
      <c r="H115">
        <v>1</v>
      </c>
      <c r="I115">
        <v>2</v>
      </c>
      <c r="J115">
        <v>0</v>
      </c>
      <c r="K115">
        <v>0</v>
      </c>
      <c r="L115">
        <v>0</v>
      </c>
      <c r="M115">
        <v>829</v>
      </c>
      <c r="N115">
        <v>521</v>
      </c>
      <c r="O115">
        <v>59</v>
      </c>
      <c r="P115">
        <v>0</v>
      </c>
      <c r="Q115">
        <v>1</v>
      </c>
      <c r="R115">
        <v>0</v>
      </c>
      <c r="S115">
        <v>0</v>
      </c>
      <c r="T115">
        <v>0</v>
      </c>
    </row>
    <row r="116" spans="1:20" x14ac:dyDescent="0.35">
      <c r="A116" t="s">
        <v>8</v>
      </c>
      <c r="B116" t="s">
        <v>9</v>
      </c>
      <c r="C116" t="s">
        <v>1423</v>
      </c>
      <c r="D116" t="s">
        <v>138</v>
      </c>
      <c r="E116" t="s">
        <v>345</v>
      </c>
      <c r="F116" t="s">
        <v>538</v>
      </c>
      <c r="G116" t="s">
        <v>539</v>
      </c>
      <c r="H116">
        <v>0.99</v>
      </c>
      <c r="I116">
        <v>1</v>
      </c>
      <c r="J116">
        <v>0</v>
      </c>
      <c r="K116">
        <v>0</v>
      </c>
      <c r="L116">
        <v>0</v>
      </c>
      <c r="M116">
        <v>3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 x14ac:dyDescent="0.35">
      <c r="A117" t="s">
        <v>8</v>
      </c>
      <c r="B117" t="s">
        <v>9</v>
      </c>
      <c r="C117" t="s">
        <v>1423</v>
      </c>
      <c r="D117" t="s">
        <v>138</v>
      </c>
      <c r="E117" t="s">
        <v>345</v>
      </c>
      <c r="F117" t="s">
        <v>547</v>
      </c>
      <c r="G117" t="s">
        <v>1424</v>
      </c>
      <c r="H117">
        <v>0.93</v>
      </c>
      <c r="I117">
        <v>2</v>
      </c>
      <c r="J117">
        <v>0</v>
      </c>
      <c r="K117">
        <v>0</v>
      </c>
      <c r="L117">
        <v>0</v>
      </c>
      <c r="M117">
        <v>2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</row>
    <row r="118" spans="1:20" x14ac:dyDescent="0.35">
      <c r="A118" t="s">
        <v>8</v>
      </c>
      <c r="B118" t="s">
        <v>9</v>
      </c>
      <c r="C118" t="s">
        <v>1423</v>
      </c>
      <c r="D118" t="s">
        <v>138</v>
      </c>
      <c r="E118" t="s">
        <v>345</v>
      </c>
      <c r="F118" t="s">
        <v>1425</v>
      </c>
      <c r="G118" t="s">
        <v>1426</v>
      </c>
      <c r="H118">
        <v>0.6</v>
      </c>
      <c r="I118">
        <v>21</v>
      </c>
      <c r="J118">
        <v>0</v>
      </c>
      <c r="K118">
        <v>0</v>
      </c>
      <c r="L118">
        <v>14</v>
      </c>
      <c r="M118">
        <v>1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</v>
      </c>
    </row>
    <row r="119" spans="1:20" x14ac:dyDescent="0.35">
      <c r="A119" t="s">
        <v>8</v>
      </c>
      <c r="B119" t="s">
        <v>9</v>
      </c>
      <c r="C119" t="s">
        <v>1423</v>
      </c>
      <c r="D119" t="s">
        <v>138</v>
      </c>
      <c r="E119" t="s">
        <v>345</v>
      </c>
      <c r="F119" t="s">
        <v>377</v>
      </c>
      <c r="G119" t="s">
        <v>378</v>
      </c>
      <c r="H119">
        <v>1</v>
      </c>
      <c r="I119">
        <v>5</v>
      </c>
      <c r="J119">
        <v>0</v>
      </c>
      <c r="K119">
        <v>0</v>
      </c>
      <c r="L119">
        <v>0</v>
      </c>
      <c r="M119">
        <v>7</v>
      </c>
      <c r="N119">
        <v>0</v>
      </c>
      <c r="O119">
        <v>0</v>
      </c>
      <c r="P119">
        <v>0</v>
      </c>
      <c r="Q119">
        <v>4</v>
      </c>
      <c r="R119">
        <v>0</v>
      </c>
      <c r="S119">
        <v>0</v>
      </c>
      <c r="T119">
        <v>0</v>
      </c>
    </row>
    <row r="120" spans="1:20" x14ac:dyDescent="0.35">
      <c r="A120" t="s">
        <v>8</v>
      </c>
      <c r="B120" t="s">
        <v>9</v>
      </c>
      <c r="C120" t="s">
        <v>1423</v>
      </c>
      <c r="D120" t="s">
        <v>138</v>
      </c>
      <c r="E120" t="s">
        <v>410</v>
      </c>
      <c r="F120" t="s">
        <v>411</v>
      </c>
      <c r="G120" t="s">
        <v>1427</v>
      </c>
      <c r="H120">
        <v>1</v>
      </c>
      <c r="I120">
        <v>5</v>
      </c>
      <c r="J120">
        <v>0</v>
      </c>
      <c r="K120">
        <v>0</v>
      </c>
      <c r="L120">
        <v>0</v>
      </c>
      <c r="M120">
        <v>4</v>
      </c>
      <c r="N120">
        <v>0</v>
      </c>
      <c r="O120">
        <v>0</v>
      </c>
      <c r="P120">
        <v>0</v>
      </c>
      <c r="Q120">
        <v>3</v>
      </c>
      <c r="R120">
        <v>0</v>
      </c>
      <c r="S120">
        <v>0</v>
      </c>
      <c r="T120">
        <v>0</v>
      </c>
    </row>
    <row r="121" spans="1:20" x14ac:dyDescent="0.35">
      <c r="A121" t="s">
        <v>8</v>
      </c>
      <c r="B121" t="s">
        <v>9</v>
      </c>
      <c r="C121" t="s">
        <v>1423</v>
      </c>
      <c r="D121" t="s">
        <v>138</v>
      </c>
      <c r="E121" t="s">
        <v>139</v>
      </c>
      <c r="F121" t="s">
        <v>140</v>
      </c>
      <c r="G121" t="s">
        <v>1428</v>
      </c>
      <c r="H121">
        <v>0.67</v>
      </c>
      <c r="I121">
        <v>6</v>
      </c>
      <c r="J121">
        <v>0</v>
      </c>
      <c r="K121">
        <v>0</v>
      </c>
      <c r="L121">
        <v>8</v>
      </c>
      <c r="M121">
        <v>5</v>
      </c>
      <c r="N121">
        <v>0</v>
      </c>
      <c r="O121">
        <v>0</v>
      </c>
      <c r="P121">
        <v>0</v>
      </c>
      <c r="Q121">
        <v>290</v>
      </c>
      <c r="R121">
        <v>301</v>
      </c>
      <c r="S121">
        <v>202</v>
      </c>
      <c r="T121">
        <v>148</v>
      </c>
    </row>
    <row r="122" spans="1:20" x14ac:dyDescent="0.35">
      <c r="A122" t="s">
        <v>8</v>
      </c>
      <c r="B122" t="s">
        <v>9</v>
      </c>
      <c r="C122" t="s">
        <v>1423</v>
      </c>
      <c r="D122" t="s">
        <v>138</v>
      </c>
      <c r="E122" t="s">
        <v>296</v>
      </c>
      <c r="F122" t="s">
        <v>297</v>
      </c>
      <c r="G122" t="s">
        <v>298</v>
      </c>
      <c r="H122">
        <v>1</v>
      </c>
      <c r="I122">
        <v>0</v>
      </c>
      <c r="J122">
        <v>11</v>
      </c>
      <c r="K122">
        <v>0</v>
      </c>
      <c r="L122">
        <v>8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33</v>
      </c>
      <c r="S122">
        <v>0</v>
      </c>
      <c r="T122">
        <v>0</v>
      </c>
    </row>
    <row r="123" spans="1:20" x14ac:dyDescent="0.35">
      <c r="A123" t="s">
        <v>8</v>
      </c>
      <c r="B123" t="s">
        <v>9</v>
      </c>
      <c r="C123" t="s">
        <v>1423</v>
      </c>
      <c r="D123" t="s">
        <v>243</v>
      </c>
      <c r="E123" t="s">
        <v>594</v>
      </c>
      <c r="F123" t="s">
        <v>595</v>
      </c>
      <c r="G123" t="s">
        <v>596</v>
      </c>
      <c r="H123">
        <v>0.51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2</v>
      </c>
      <c r="R123">
        <v>0</v>
      </c>
      <c r="S123">
        <v>0</v>
      </c>
      <c r="T123">
        <v>0</v>
      </c>
    </row>
    <row r="124" spans="1:20" x14ac:dyDescent="0.35">
      <c r="A124" t="s">
        <v>8</v>
      </c>
      <c r="B124" t="s">
        <v>9</v>
      </c>
      <c r="C124" t="s">
        <v>1423</v>
      </c>
      <c r="D124" t="s">
        <v>243</v>
      </c>
      <c r="E124" t="s">
        <v>568</v>
      </c>
      <c r="F124" t="s">
        <v>569</v>
      </c>
      <c r="G124" t="s">
        <v>1458</v>
      </c>
      <c r="H124">
        <v>1</v>
      </c>
      <c r="I124">
        <v>2</v>
      </c>
      <c r="J124">
        <v>0</v>
      </c>
      <c r="K124">
        <v>0</v>
      </c>
      <c r="L124">
        <v>0</v>
      </c>
      <c r="M124">
        <v>1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35">
      <c r="A125" t="s">
        <v>8</v>
      </c>
      <c r="B125" t="s">
        <v>9</v>
      </c>
      <c r="C125" t="s">
        <v>1423</v>
      </c>
      <c r="D125" t="s">
        <v>243</v>
      </c>
      <c r="E125" t="s">
        <v>244</v>
      </c>
      <c r="F125" t="s">
        <v>245</v>
      </c>
      <c r="G125" t="s">
        <v>246</v>
      </c>
      <c r="H125">
        <v>0.98</v>
      </c>
      <c r="I125">
        <v>71</v>
      </c>
      <c r="J125">
        <v>18</v>
      </c>
      <c r="K125">
        <v>15</v>
      </c>
      <c r="L125">
        <v>0</v>
      </c>
      <c r="M125">
        <v>10</v>
      </c>
      <c r="N125">
        <v>0</v>
      </c>
      <c r="O125">
        <v>0</v>
      </c>
      <c r="P125">
        <v>0</v>
      </c>
      <c r="Q125">
        <v>13</v>
      </c>
      <c r="R125">
        <v>0</v>
      </c>
      <c r="S125">
        <v>0</v>
      </c>
      <c r="T125">
        <v>0</v>
      </c>
    </row>
    <row r="126" spans="1:20" x14ac:dyDescent="0.35">
      <c r="A126" t="s">
        <v>8</v>
      </c>
      <c r="B126" t="s">
        <v>9</v>
      </c>
      <c r="C126" t="s">
        <v>1423</v>
      </c>
      <c r="D126" t="s">
        <v>10</v>
      </c>
      <c r="E126" t="s">
        <v>1429</v>
      </c>
      <c r="F126" t="s">
        <v>1430</v>
      </c>
      <c r="G126" t="s">
        <v>1431</v>
      </c>
      <c r="H126">
        <v>0.5</v>
      </c>
      <c r="I126">
        <v>304</v>
      </c>
      <c r="J126">
        <v>94</v>
      </c>
      <c r="K126">
        <v>50</v>
      </c>
      <c r="L126">
        <v>894</v>
      </c>
      <c r="M126">
        <v>0</v>
      </c>
      <c r="N126">
        <v>0</v>
      </c>
      <c r="O126">
        <v>0</v>
      </c>
      <c r="P126">
        <v>0</v>
      </c>
      <c r="Q126">
        <v>5</v>
      </c>
      <c r="R126">
        <v>0</v>
      </c>
      <c r="S126">
        <v>0</v>
      </c>
      <c r="T126">
        <v>0</v>
      </c>
    </row>
    <row r="127" spans="1:20" x14ac:dyDescent="0.35">
      <c r="A127" t="s">
        <v>8</v>
      </c>
      <c r="B127" t="s">
        <v>9</v>
      </c>
      <c r="C127" t="s">
        <v>1423</v>
      </c>
      <c r="D127" t="s">
        <v>10</v>
      </c>
      <c r="E127" t="s">
        <v>1429</v>
      </c>
      <c r="F127" t="s">
        <v>227</v>
      </c>
      <c r="G127" t="s">
        <v>228</v>
      </c>
      <c r="H127">
        <v>1</v>
      </c>
      <c r="I127">
        <v>30</v>
      </c>
      <c r="J127">
        <v>2</v>
      </c>
      <c r="K127">
        <v>0</v>
      </c>
      <c r="L127">
        <v>0</v>
      </c>
      <c r="M127">
        <v>54</v>
      </c>
      <c r="N127">
        <v>15</v>
      </c>
      <c r="O127">
        <v>0</v>
      </c>
      <c r="P127">
        <v>0</v>
      </c>
      <c r="Q127">
        <v>106</v>
      </c>
      <c r="R127">
        <v>49</v>
      </c>
      <c r="S127">
        <v>0</v>
      </c>
      <c r="T127">
        <v>0</v>
      </c>
    </row>
    <row r="128" spans="1:20" x14ac:dyDescent="0.35">
      <c r="A128" t="s">
        <v>8</v>
      </c>
      <c r="B128" t="s">
        <v>9</v>
      </c>
      <c r="C128" t="s">
        <v>1423</v>
      </c>
      <c r="D128" t="s">
        <v>10</v>
      </c>
      <c r="E128" t="s">
        <v>107</v>
      </c>
      <c r="F128" t="s">
        <v>308</v>
      </c>
      <c r="G128" t="s">
        <v>309</v>
      </c>
      <c r="H128">
        <v>1</v>
      </c>
      <c r="I128">
        <v>25</v>
      </c>
      <c r="J128">
        <v>1</v>
      </c>
      <c r="K128">
        <v>0</v>
      </c>
      <c r="L128">
        <v>193</v>
      </c>
      <c r="M128">
        <v>0</v>
      </c>
      <c r="N128">
        <v>0</v>
      </c>
      <c r="O128">
        <v>0</v>
      </c>
      <c r="P128">
        <v>0</v>
      </c>
      <c r="Q128">
        <v>4</v>
      </c>
      <c r="R128">
        <v>0</v>
      </c>
      <c r="S128">
        <v>0</v>
      </c>
      <c r="T128">
        <v>0</v>
      </c>
    </row>
    <row r="129" spans="1:20" x14ac:dyDescent="0.35">
      <c r="A129" t="s">
        <v>8</v>
      </c>
      <c r="B129" t="s">
        <v>9</v>
      </c>
      <c r="C129" t="s">
        <v>1423</v>
      </c>
      <c r="D129" t="s">
        <v>10</v>
      </c>
      <c r="E129" t="s">
        <v>107</v>
      </c>
      <c r="F129" t="s">
        <v>108</v>
      </c>
      <c r="G129" t="s">
        <v>109</v>
      </c>
      <c r="H129">
        <v>1</v>
      </c>
      <c r="I129">
        <v>134</v>
      </c>
      <c r="J129">
        <v>29</v>
      </c>
      <c r="K129">
        <v>8</v>
      </c>
      <c r="L129">
        <v>129</v>
      </c>
      <c r="M129">
        <v>7</v>
      </c>
      <c r="N129">
        <v>0</v>
      </c>
      <c r="O129">
        <v>0</v>
      </c>
      <c r="P129">
        <v>0</v>
      </c>
      <c r="Q129">
        <v>1290</v>
      </c>
      <c r="R129">
        <v>779</v>
      </c>
      <c r="S129">
        <v>561</v>
      </c>
      <c r="T129">
        <v>114</v>
      </c>
    </row>
    <row r="130" spans="1:20" x14ac:dyDescent="0.35">
      <c r="A130" t="s">
        <v>8</v>
      </c>
      <c r="B130" t="s">
        <v>9</v>
      </c>
      <c r="C130" t="s">
        <v>1423</v>
      </c>
      <c r="D130" t="s">
        <v>10</v>
      </c>
      <c r="E130" t="s">
        <v>11</v>
      </c>
      <c r="F130" t="s">
        <v>12</v>
      </c>
      <c r="G130" t="s">
        <v>13</v>
      </c>
      <c r="H130">
        <v>0.93</v>
      </c>
      <c r="I130">
        <v>27338</v>
      </c>
      <c r="J130">
        <v>12338</v>
      </c>
      <c r="K130">
        <v>5292</v>
      </c>
      <c r="L130">
        <v>8544</v>
      </c>
      <c r="M130">
        <v>133</v>
      </c>
      <c r="N130">
        <v>0</v>
      </c>
      <c r="O130">
        <v>0</v>
      </c>
      <c r="P130">
        <v>0</v>
      </c>
      <c r="Q130">
        <v>1554</v>
      </c>
      <c r="R130">
        <v>939</v>
      </c>
      <c r="S130">
        <v>195</v>
      </c>
      <c r="T130">
        <v>550</v>
      </c>
    </row>
    <row r="131" spans="1:20" x14ac:dyDescent="0.35">
      <c r="A131" t="s">
        <v>8</v>
      </c>
      <c r="B131" t="s">
        <v>9</v>
      </c>
      <c r="C131" t="s">
        <v>1423</v>
      </c>
      <c r="D131" t="s">
        <v>10</v>
      </c>
      <c r="E131" t="s">
        <v>11</v>
      </c>
      <c r="F131" t="s">
        <v>249</v>
      </c>
      <c r="G131" t="s">
        <v>250</v>
      </c>
      <c r="H131">
        <v>0.94</v>
      </c>
      <c r="I131">
        <v>4</v>
      </c>
      <c r="J131">
        <v>0</v>
      </c>
      <c r="K131">
        <v>0</v>
      </c>
      <c r="L131">
        <v>0</v>
      </c>
      <c r="M131">
        <v>2</v>
      </c>
      <c r="N131">
        <v>0</v>
      </c>
      <c r="O131">
        <v>0</v>
      </c>
      <c r="P131">
        <v>0</v>
      </c>
      <c r="Q131">
        <v>61</v>
      </c>
      <c r="R131">
        <v>22</v>
      </c>
      <c r="S131">
        <v>0</v>
      </c>
      <c r="T131">
        <v>0</v>
      </c>
    </row>
    <row r="132" spans="1:20" x14ac:dyDescent="0.35">
      <c r="A132" t="s">
        <v>8</v>
      </c>
      <c r="B132" t="s">
        <v>9</v>
      </c>
      <c r="C132" t="s">
        <v>1423</v>
      </c>
      <c r="D132" t="s">
        <v>10</v>
      </c>
      <c r="E132" t="s">
        <v>131</v>
      </c>
      <c r="F132" t="s">
        <v>150</v>
      </c>
      <c r="G132" t="s">
        <v>151</v>
      </c>
      <c r="H132">
        <v>0.77</v>
      </c>
      <c r="I132">
        <v>159</v>
      </c>
      <c r="J132">
        <v>56</v>
      </c>
      <c r="K132">
        <v>0</v>
      </c>
      <c r="L132">
        <v>269</v>
      </c>
      <c r="M132">
        <v>225</v>
      </c>
      <c r="N132">
        <v>64</v>
      </c>
      <c r="O132">
        <v>0</v>
      </c>
      <c r="P132">
        <v>0</v>
      </c>
      <c r="Q132">
        <v>113</v>
      </c>
      <c r="R132">
        <v>41</v>
      </c>
      <c r="S132">
        <v>77</v>
      </c>
      <c r="T132">
        <v>90</v>
      </c>
    </row>
    <row r="133" spans="1:20" x14ac:dyDescent="0.35">
      <c r="A133" t="s">
        <v>8</v>
      </c>
      <c r="B133" t="s">
        <v>9</v>
      </c>
      <c r="C133" t="s">
        <v>1423</v>
      </c>
      <c r="D133" t="s">
        <v>10</v>
      </c>
      <c r="E133" t="s">
        <v>131</v>
      </c>
      <c r="F133" t="s">
        <v>150</v>
      </c>
      <c r="G133" t="s">
        <v>1432</v>
      </c>
      <c r="H133">
        <v>0.97</v>
      </c>
      <c r="I133">
        <v>9</v>
      </c>
      <c r="J133">
        <v>2</v>
      </c>
      <c r="K133">
        <v>0</v>
      </c>
      <c r="L133">
        <v>0</v>
      </c>
      <c r="M133">
        <v>1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</row>
    <row r="134" spans="1:20" x14ac:dyDescent="0.35">
      <c r="A134" t="s">
        <v>8</v>
      </c>
      <c r="B134" t="s">
        <v>9</v>
      </c>
      <c r="C134" t="s">
        <v>1423</v>
      </c>
      <c r="D134" t="s">
        <v>10</v>
      </c>
      <c r="E134" t="s">
        <v>131</v>
      </c>
      <c r="F134" t="s">
        <v>150</v>
      </c>
      <c r="G134" t="s">
        <v>278</v>
      </c>
      <c r="H134">
        <v>0.75</v>
      </c>
      <c r="I134">
        <v>54</v>
      </c>
      <c r="J134">
        <v>6</v>
      </c>
      <c r="K134">
        <v>0</v>
      </c>
      <c r="L134">
        <v>0</v>
      </c>
      <c r="M134">
        <v>3</v>
      </c>
      <c r="N134">
        <v>0</v>
      </c>
      <c r="O134">
        <v>0</v>
      </c>
      <c r="P134">
        <v>0</v>
      </c>
      <c r="Q134">
        <v>2</v>
      </c>
      <c r="R134">
        <v>0</v>
      </c>
      <c r="S134">
        <v>0</v>
      </c>
      <c r="T134">
        <v>0</v>
      </c>
    </row>
    <row r="135" spans="1:20" x14ac:dyDescent="0.35">
      <c r="A135" t="s">
        <v>8</v>
      </c>
      <c r="B135" t="s">
        <v>9</v>
      </c>
      <c r="C135" t="s">
        <v>1423</v>
      </c>
      <c r="D135" t="s">
        <v>10</v>
      </c>
      <c r="E135" t="s">
        <v>131</v>
      </c>
      <c r="F135" t="s">
        <v>132</v>
      </c>
      <c r="G135" t="s">
        <v>133</v>
      </c>
      <c r="H135">
        <v>1</v>
      </c>
      <c r="I135">
        <v>219</v>
      </c>
      <c r="J135">
        <v>57</v>
      </c>
      <c r="K135">
        <v>0</v>
      </c>
      <c r="L135">
        <v>190</v>
      </c>
      <c r="M135">
        <v>17</v>
      </c>
      <c r="N135">
        <v>0</v>
      </c>
      <c r="O135">
        <v>0</v>
      </c>
      <c r="P135">
        <v>0</v>
      </c>
      <c r="Q135">
        <v>254</v>
      </c>
      <c r="R135">
        <v>139</v>
      </c>
      <c r="S135">
        <v>186</v>
      </c>
      <c r="T135">
        <v>174</v>
      </c>
    </row>
    <row r="136" spans="1:20" x14ac:dyDescent="0.35">
      <c r="A136" t="s">
        <v>8</v>
      </c>
      <c r="B136" t="s">
        <v>9</v>
      </c>
      <c r="C136" t="s">
        <v>1423</v>
      </c>
      <c r="D136" t="s">
        <v>78</v>
      </c>
      <c r="E136" t="s">
        <v>79</v>
      </c>
      <c r="F136" t="s">
        <v>80</v>
      </c>
      <c r="G136" t="s">
        <v>81</v>
      </c>
      <c r="H136">
        <v>0.62</v>
      </c>
      <c r="I136">
        <v>2340</v>
      </c>
      <c r="J136">
        <v>497</v>
      </c>
      <c r="K136">
        <v>0</v>
      </c>
      <c r="L136">
        <v>1475</v>
      </c>
      <c r="M136">
        <v>41</v>
      </c>
      <c r="N136">
        <v>0</v>
      </c>
      <c r="O136">
        <v>0</v>
      </c>
      <c r="P136">
        <v>0</v>
      </c>
      <c r="Q136">
        <v>31</v>
      </c>
      <c r="R136">
        <v>0</v>
      </c>
      <c r="S136">
        <v>0</v>
      </c>
      <c r="T136">
        <v>0</v>
      </c>
    </row>
    <row r="137" spans="1:20" x14ac:dyDescent="0.35">
      <c r="A137" t="s">
        <v>8</v>
      </c>
      <c r="B137" t="s">
        <v>9</v>
      </c>
      <c r="C137" t="s">
        <v>1423</v>
      </c>
      <c r="D137" t="s">
        <v>172</v>
      </c>
      <c r="E137" t="s">
        <v>347</v>
      </c>
      <c r="F137" t="s">
        <v>1433</v>
      </c>
      <c r="G137" t="s">
        <v>1434</v>
      </c>
      <c r="H137">
        <v>0.56000000000000005</v>
      </c>
      <c r="I137">
        <v>14</v>
      </c>
      <c r="J137">
        <v>0</v>
      </c>
      <c r="K137">
        <v>0</v>
      </c>
      <c r="L137">
        <v>0</v>
      </c>
      <c r="M137">
        <v>5</v>
      </c>
      <c r="N137">
        <v>0</v>
      </c>
      <c r="O137">
        <v>0</v>
      </c>
      <c r="P137">
        <v>0</v>
      </c>
      <c r="Q137">
        <v>4</v>
      </c>
      <c r="R137">
        <v>0</v>
      </c>
      <c r="S137">
        <v>0</v>
      </c>
      <c r="T137">
        <v>0</v>
      </c>
    </row>
    <row r="138" spans="1:20" x14ac:dyDescent="0.35">
      <c r="A138" t="s">
        <v>8</v>
      </c>
      <c r="B138" t="s">
        <v>9</v>
      </c>
      <c r="C138" t="s">
        <v>1423</v>
      </c>
      <c r="D138" t="s">
        <v>172</v>
      </c>
      <c r="E138" t="s">
        <v>491</v>
      </c>
      <c r="F138" t="s">
        <v>492</v>
      </c>
      <c r="G138" t="s">
        <v>493</v>
      </c>
      <c r="H138">
        <v>0.59</v>
      </c>
      <c r="I138">
        <v>4</v>
      </c>
      <c r="J138">
        <v>0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>
        <v>1</v>
      </c>
      <c r="R138">
        <v>0</v>
      </c>
      <c r="S138">
        <v>0</v>
      </c>
      <c r="T138">
        <v>0</v>
      </c>
    </row>
    <row r="139" spans="1:20" x14ac:dyDescent="0.35">
      <c r="A139" t="s">
        <v>8</v>
      </c>
      <c r="B139" t="s">
        <v>9</v>
      </c>
      <c r="C139" t="s">
        <v>1423</v>
      </c>
      <c r="D139" t="s">
        <v>172</v>
      </c>
      <c r="E139" t="s">
        <v>173</v>
      </c>
      <c r="F139" t="s">
        <v>590</v>
      </c>
      <c r="G139" t="s">
        <v>591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2</v>
      </c>
      <c r="R139">
        <v>0</v>
      </c>
      <c r="S139">
        <v>0</v>
      </c>
      <c r="T139">
        <v>0</v>
      </c>
    </row>
    <row r="140" spans="1:20" x14ac:dyDescent="0.35">
      <c r="A140" t="s">
        <v>8</v>
      </c>
      <c r="B140" t="s">
        <v>9</v>
      </c>
      <c r="C140" t="s">
        <v>1423</v>
      </c>
      <c r="D140" t="s">
        <v>172</v>
      </c>
      <c r="E140" t="s">
        <v>173</v>
      </c>
      <c r="F140" t="s">
        <v>174</v>
      </c>
      <c r="G140" t="s">
        <v>175</v>
      </c>
      <c r="H140">
        <v>0.94</v>
      </c>
      <c r="I140">
        <v>24</v>
      </c>
      <c r="J140">
        <v>0</v>
      </c>
      <c r="K140">
        <v>0</v>
      </c>
      <c r="L140">
        <v>0</v>
      </c>
      <c r="M140">
        <v>5</v>
      </c>
      <c r="N140">
        <v>0</v>
      </c>
      <c r="O140">
        <v>0</v>
      </c>
      <c r="P140">
        <v>0</v>
      </c>
      <c r="Q140">
        <v>143</v>
      </c>
      <c r="R140">
        <v>127</v>
      </c>
      <c r="S140">
        <v>102</v>
      </c>
      <c r="T140">
        <v>74</v>
      </c>
    </row>
    <row r="141" spans="1:20" x14ac:dyDescent="0.35">
      <c r="A141" t="s">
        <v>8</v>
      </c>
      <c r="B141" t="s">
        <v>9</v>
      </c>
      <c r="C141" t="s">
        <v>1423</v>
      </c>
      <c r="D141" t="s">
        <v>1435</v>
      </c>
      <c r="E141" t="s">
        <v>1436</v>
      </c>
      <c r="F141" t="s">
        <v>1437</v>
      </c>
      <c r="G141" t="s">
        <v>1459</v>
      </c>
      <c r="H141">
        <v>0.53</v>
      </c>
      <c r="I141">
        <v>1</v>
      </c>
      <c r="J141">
        <v>0</v>
      </c>
      <c r="K141">
        <v>0</v>
      </c>
      <c r="L141">
        <v>0</v>
      </c>
      <c r="M141">
        <v>5</v>
      </c>
      <c r="N141">
        <v>0</v>
      </c>
      <c r="O141">
        <v>0</v>
      </c>
      <c r="P141">
        <v>0</v>
      </c>
      <c r="Q141">
        <v>1</v>
      </c>
      <c r="R141">
        <v>0</v>
      </c>
      <c r="S141">
        <v>0</v>
      </c>
      <c r="T141">
        <v>0</v>
      </c>
    </row>
    <row r="142" spans="1:20" x14ac:dyDescent="0.35">
      <c r="A142" t="s">
        <v>8</v>
      </c>
      <c r="B142" t="s">
        <v>18</v>
      </c>
      <c r="C142" t="s">
        <v>1438</v>
      </c>
      <c r="D142" t="s">
        <v>19</v>
      </c>
      <c r="E142" t="s">
        <v>20</v>
      </c>
      <c r="F142" t="s">
        <v>21</v>
      </c>
      <c r="G142" t="s">
        <v>357</v>
      </c>
      <c r="H142">
        <v>1</v>
      </c>
      <c r="I142">
        <v>0</v>
      </c>
      <c r="J142">
        <v>20</v>
      </c>
      <c r="K142">
        <v>8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35">
      <c r="A143" t="s">
        <v>8</v>
      </c>
      <c r="B143" t="s">
        <v>18</v>
      </c>
      <c r="C143" t="s">
        <v>1438</v>
      </c>
      <c r="D143" t="s">
        <v>19</v>
      </c>
      <c r="E143" t="s">
        <v>20</v>
      </c>
      <c r="F143" t="s">
        <v>21</v>
      </c>
      <c r="G143" t="s">
        <v>235</v>
      </c>
      <c r="H143">
        <v>0.51</v>
      </c>
      <c r="I143">
        <v>4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61</v>
      </c>
      <c r="R143">
        <v>37</v>
      </c>
      <c r="S143">
        <v>29</v>
      </c>
      <c r="T143">
        <v>31</v>
      </c>
    </row>
    <row r="144" spans="1:20" x14ac:dyDescent="0.35">
      <c r="A144" t="s">
        <v>8</v>
      </c>
      <c r="B144" t="s">
        <v>18</v>
      </c>
      <c r="C144" t="s">
        <v>1438</v>
      </c>
      <c r="D144" t="s">
        <v>19</v>
      </c>
      <c r="E144" t="s">
        <v>20</v>
      </c>
      <c r="F144" t="s">
        <v>21</v>
      </c>
      <c r="G144" t="s">
        <v>1439</v>
      </c>
      <c r="H144">
        <v>0.56999999999999995</v>
      </c>
      <c r="I144">
        <v>13</v>
      </c>
      <c r="J144">
        <v>0</v>
      </c>
      <c r="K144">
        <v>0</v>
      </c>
      <c r="L144">
        <v>0</v>
      </c>
      <c r="M144">
        <v>1171</v>
      </c>
      <c r="N144">
        <v>310</v>
      </c>
      <c r="O144">
        <v>122</v>
      </c>
      <c r="P144">
        <v>229</v>
      </c>
      <c r="Q144">
        <v>5956</v>
      </c>
      <c r="R144">
        <v>3096</v>
      </c>
      <c r="S144">
        <v>1889</v>
      </c>
      <c r="T144">
        <v>1482</v>
      </c>
    </row>
    <row r="145" spans="1:20" x14ac:dyDescent="0.35">
      <c r="A145" t="s">
        <v>8</v>
      </c>
      <c r="B145" t="s">
        <v>18</v>
      </c>
      <c r="C145" t="s">
        <v>1438</v>
      </c>
      <c r="D145" t="s">
        <v>19</v>
      </c>
      <c r="E145" t="s">
        <v>20</v>
      </c>
      <c r="F145" t="s">
        <v>21</v>
      </c>
      <c r="G145" t="s">
        <v>429</v>
      </c>
      <c r="H145">
        <v>1</v>
      </c>
      <c r="I145">
        <v>8</v>
      </c>
      <c r="J145">
        <v>0</v>
      </c>
      <c r="K145">
        <v>3</v>
      </c>
      <c r="L145">
        <v>2</v>
      </c>
      <c r="M145">
        <v>0</v>
      </c>
      <c r="N145">
        <v>0</v>
      </c>
      <c r="O145">
        <v>0</v>
      </c>
      <c r="P145">
        <v>0</v>
      </c>
      <c r="Q145">
        <v>1</v>
      </c>
      <c r="R145">
        <v>0</v>
      </c>
      <c r="S145">
        <v>0</v>
      </c>
      <c r="T145">
        <v>0</v>
      </c>
    </row>
    <row r="146" spans="1:20" x14ac:dyDescent="0.35">
      <c r="A146" t="s">
        <v>8</v>
      </c>
      <c r="B146" t="s">
        <v>165</v>
      </c>
      <c r="C146" t="s">
        <v>1440</v>
      </c>
      <c r="D146" t="s">
        <v>166</v>
      </c>
      <c r="E146" t="s">
        <v>167</v>
      </c>
      <c r="F146" t="s">
        <v>168</v>
      </c>
      <c r="G146" t="s">
        <v>169</v>
      </c>
      <c r="H146">
        <v>1</v>
      </c>
      <c r="I146">
        <v>205</v>
      </c>
      <c r="J146">
        <v>77</v>
      </c>
      <c r="K146">
        <v>53</v>
      </c>
      <c r="L146">
        <v>259</v>
      </c>
      <c r="M146">
        <v>2</v>
      </c>
      <c r="N146">
        <v>0</v>
      </c>
      <c r="O146">
        <v>0</v>
      </c>
      <c r="P146">
        <v>0</v>
      </c>
      <c r="Q146">
        <v>3</v>
      </c>
      <c r="R146">
        <v>0</v>
      </c>
      <c r="S146">
        <v>1178</v>
      </c>
      <c r="T146">
        <v>0</v>
      </c>
    </row>
    <row r="147" spans="1:20" x14ac:dyDescent="0.35">
      <c r="A147" t="s">
        <v>8</v>
      </c>
      <c r="B147" t="s">
        <v>165</v>
      </c>
      <c r="C147" t="s">
        <v>1440</v>
      </c>
      <c r="D147" t="s">
        <v>166</v>
      </c>
      <c r="E147" t="s">
        <v>167</v>
      </c>
      <c r="F147" t="s">
        <v>168</v>
      </c>
      <c r="G147" t="s">
        <v>198</v>
      </c>
      <c r="H147">
        <v>0.76</v>
      </c>
      <c r="I147">
        <v>188</v>
      </c>
      <c r="J147">
        <v>66</v>
      </c>
      <c r="K147">
        <v>6</v>
      </c>
      <c r="L147">
        <v>403</v>
      </c>
      <c r="M147">
        <v>2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</row>
    <row r="148" spans="1:20" x14ac:dyDescent="0.35">
      <c r="A148" t="s">
        <v>8</v>
      </c>
      <c r="B148" t="s">
        <v>165</v>
      </c>
      <c r="C148" t="s">
        <v>1440</v>
      </c>
      <c r="D148" t="s">
        <v>166</v>
      </c>
      <c r="E148" t="s">
        <v>167</v>
      </c>
      <c r="F148" t="s">
        <v>168</v>
      </c>
      <c r="G148" t="s">
        <v>405</v>
      </c>
      <c r="H148">
        <v>0.88</v>
      </c>
      <c r="I148">
        <v>1</v>
      </c>
      <c r="J148">
        <v>0</v>
      </c>
      <c r="K148">
        <v>0</v>
      </c>
      <c r="L148">
        <v>0</v>
      </c>
      <c r="M148">
        <v>7</v>
      </c>
      <c r="N148">
        <v>0</v>
      </c>
      <c r="O148">
        <v>0</v>
      </c>
      <c r="P148">
        <v>0</v>
      </c>
      <c r="Q148">
        <v>5</v>
      </c>
      <c r="R148">
        <v>0</v>
      </c>
      <c r="S148">
        <v>0</v>
      </c>
      <c r="T148">
        <v>0</v>
      </c>
    </row>
    <row r="149" spans="1:20" x14ac:dyDescent="0.35">
      <c r="A149" t="s">
        <v>8</v>
      </c>
      <c r="B149" t="s">
        <v>394</v>
      </c>
      <c r="C149" t="s">
        <v>1441</v>
      </c>
      <c r="D149" t="s">
        <v>395</v>
      </c>
      <c r="E149" t="s">
        <v>396</v>
      </c>
      <c r="F149" t="s">
        <v>397</v>
      </c>
      <c r="G149" t="s">
        <v>398</v>
      </c>
      <c r="H149">
        <v>0.95</v>
      </c>
      <c r="I149">
        <v>7</v>
      </c>
      <c r="J149">
        <v>0</v>
      </c>
      <c r="K149">
        <v>0</v>
      </c>
      <c r="L149">
        <v>0</v>
      </c>
      <c r="M149">
        <v>5</v>
      </c>
      <c r="N149">
        <v>0</v>
      </c>
      <c r="O149">
        <v>0</v>
      </c>
      <c r="P149">
        <v>0</v>
      </c>
      <c r="Q149">
        <v>12</v>
      </c>
      <c r="R149">
        <v>0</v>
      </c>
      <c r="S149">
        <v>0</v>
      </c>
      <c r="T149">
        <v>0</v>
      </c>
    </row>
    <row r="150" spans="1:20" x14ac:dyDescent="0.35">
      <c r="A150" t="s">
        <v>8</v>
      </c>
      <c r="B150" t="s">
        <v>496</v>
      </c>
      <c r="C150" t="s">
        <v>1442</v>
      </c>
      <c r="D150" t="s">
        <v>496</v>
      </c>
      <c r="E150" t="s">
        <v>497</v>
      </c>
      <c r="F150" t="s">
        <v>498</v>
      </c>
      <c r="G150" t="s">
        <v>499</v>
      </c>
      <c r="H150">
        <v>1</v>
      </c>
      <c r="I150">
        <v>3</v>
      </c>
      <c r="J150">
        <v>0</v>
      </c>
      <c r="K150">
        <v>0</v>
      </c>
      <c r="L150">
        <v>0</v>
      </c>
      <c r="M150">
        <v>3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</row>
    <row r="151" spans="1:20" x14ac:dyDescent="0.35">
      <c r="A151" t="s">
        <v>8</v>
      </c>
      <c r="B151" t="s">
        <v>387</v>
      </c>
      <c r="C151" t="s">
        <v>1443</v>
      </c>
      <c r="D151" t="s">
        <v>388</v>
      </c>
      <c r="E151" t="s">
        <v>389</v>
      </c>
      <c r="F151" t="s">
        <v>390</v>
      </c>
      <c r="G151" t="s">
        <v>391</v>
      </c>
      <c r="H151">
        <v>1</v>
      </c>
      <c r="I151">
        <v>14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topLeftCell="G1" workbookViewId="0">
      <selection activeCell="F1" sqref="F1"/>
    </sheetView>
  </sheetViews>
  <sheetFormatPr defaultRowHeight="14.5" x14ac:dyDescent="0.35"/>
  <cols>
    <col min="7" max="7" width="22.1796875" customWidth="1"/>
    <col min="12" max="13" width="10.1796875" customWidth="1"/>
    <col min="14" max="14" width="8.54296875" customWidth="1"/>
    <col min="15" max="15" width="26.1796875" customWidth="1"/>
    <col min="20" max="20" width="10.54296875" customWidth="1"/>
    <col min="21" max="21" width="18" customWidth="1"/>
  </cols>
  <sheetData>
    <row r="2" spans="1:17" ht="58" x14ac:dyDescent="0.35">
      <c r="A2" s="1" t="s">
        <v>1329</v>
      </c>
      <c r="B2" s="1" t="s">
        <v>1330</v>
      </c>
      <c r="C2" s="1" t="s">
        <v>1331</v>
      </c>
      <c r="D2" s="1" t="s">
        <v>1332</v>
      </c>
      <c r="E2" s="1" t="s">
        <v>1333</v>
      </c>
      <c r="F2" s="1" t="s">
        <v>1334</v>
      </c>
      <c r="G2" s="1" t="s">
        <v>1335</v>
      </c>
      <c r="H2" s="21" t="s">
        <v>2087</v>
      </c>
      <c r="I2" s="22" t="s">
        <v>2117</v>
      </c>
      <c r="J2" s="22" t="s">
        <v>2118</v>
      </c>
      <c r="K2" s="22" t="s">
        <v>2119</v>
      </c>
      <c r="L2" s="39" t="s">
        <v>2126</v>
      </c>
      <c r="M2" s="38" t="s">
        <v>1468</v>
      </c>
      <c r="O2" s="1" t="s">
        <v>1335</v>
      </c>
      <c r="P2" t="s">
        <v>1461</v>
      </c>
      <c r="Q2" s="38" t="s">
        <v>1462</v>
      </c>
    </row>
    <row r="3" spans="1:17" x14ac:dyDescent="0.35">
      <c r="A3" t="s">
        <v>8</v>
      </c>
      <c r="B3" t="s">
        <v>9</v>
      </c>
      <c r="C3" t="s">
        <v>1423</v>
      </c>
      <c r="D3" t="s">
        <v>10</v>
      </c>
      <c r="E3" t="s">
        <v>11</v>
      </c>
      <c r="F3" t="s">
        <v>12</v>
      </c>
      <c r="G3" t="s">
        <v>13</v>
      </c>
      <c r="H3" s="11">
        <v>0.63726427189444979</v>
      </c>
      <c r="I3" s="11">
        <v>0.69318501039384239</v>
      </c>
      <c r="J3" s="11">
        <v>0.68870380010411247</v>
      </c>
      <c r="K3" s="11">
        <v>0.50571174903817695</v>
      </c>
      <c r="L3" s="11" t="str">
        <f t="shared" ref="L3:L50" si="0">IFERROR(VLOOKUP(G3,$O$3:$P$15,2,FALSE),"")</f>
        <v/>
      </c>
      <c r="M3" s="11">
        <f t="shared" ref="M3:M50" si="1">AVERAGE(H3:L3)</f>
        <v>0.63121620785764543</v>
      </c>
      <c r="O3" s="11" t="s">
        <v>53</v>
      </c>
      <c r="P3" s="11">
        <v>0.84633099999999994</v>
      </c>
      <c r="Q3" s="11">
        <f>IFERROR(VLOOKUP(O3,$G$3:$H$50,2,FALSE),"")</f>
        <v>2.8858481549686472E-2</v>
      </c>
    </row>
    <row r="4" spans="1:17" x14ac:dyDescent="0.35">
      <c r="A4" t="s">
        <v>24</v>
      </c>
      <c r="B4" t="s">
        <v>25</v>
      </c>
      <c r="C4" t="s">
        <v>1337</v>
      </c>
      <c r="D4" t="s">
        <v>40</v>
      </c>
      <c r="E4" t="s">
        <v>41</v>
      </c>
      <c r="F4" t="s">
        <v>52</v>
      </c>
      <c r="G4" t="s">
        <v>53</v>
      </c>
      <c r="H4" s="11">
        <v>2.8858481549686472E-2</v>
      </c>
      <c r="I4" s="11">
        <v>0.13910893870442159</v>
      </c>
      <c r="J4" s="11">
        <v>0.22618427902134305</v>
      </c>
      <c r="K4" s="11">
        <v>0.12482983131103877</v>
      </c>
      <c r="L4" s="11">
        <f t="shared" si="0"/>
        <v>0.84633099999999994</v>
      </c>
      <c r="M4" s="11">
        <f t="shared" si="1"/>
        <v>0.27306250611729793</v>
      </c>
      <c r="O4" s="11" t="s">
        <v>1447</v>
      </c>
      <c r="P4" s="11">
        <v>7.1995299999999998E-2</v>
      </c>
      <c r="Q4" s="11">
        <f t="shared" ref="Q4:Q15" si="2">IFERROR(VLOOKUP(O4,$G$3:$H$50,2,FALSE),"")</f>
        <v>0</v>
      </c>
    </row>
    <row r="5" spans="1:17" x14ac:dyDescent="0.35">
      <c r="A5" t="s">
        <v>8</v>
      </c>
      <c r="B5" t="s">
        <v>9</v>
      </c>
      <c r="C5" t="s">
        <v>1423</v>
      </c>
      <c r="D5" t="s">
        <v>78</v>
      </c>
      <c r="E5" t="s">
        <v>79</v>
      </c>
      <c r="F5" t="s">
        <v>80</v>
      </c>
      <c r="G5" t="s">
        <v>81</v>
      </c>
      <c r="H5" s="11">
        <v>5.4546726030909813E-2</v>
      </c>
      <c r="I5" s="11">
        <v>2.7922917017809988E-2</v>
      </c>
      <c r="J5" s="11">
        <v>0</v>
      </c>
      <c r="K5" s="11">
        <v>8.7303936075762062E-2</v>
      </c>
      <c r="L5" s="11" t="str">
        <f t="shared" si="0"/>
        <v/>
      </c>
      <c r="M5" s="11">
        <f t="shared" si="1"/>
        <v>4.2443394781120469E-2</v>
      </c>
      <c r="O5" s="11" t="s">
        <v>109</v>
      </c>
      <c r="P5" s="11">
        <v>4.1868600000000006E-2</v>
      </c>
      <c r="Q5" s="11">
        <f t="shared" si="2"/>
        <v>3.1236159351033825E-3</v>
      </c>
    </row>
    <row r="6" spans="1:17" x14ac:dyDescent="0.35">
      <c r="A6" t="s">
        <v>24</v>
      </c>
      <c r="B6" t="s">
        <v>25</v>
      </c>
      <c r="C6" t="s">
        <v>1337</v>
      </c>
      <c r="D6" t="s">
        <v>40</v>
      </c>
      <c r="E6" t="s">
        <v>56</v>
      </c>
      <c r="F6" t="s">
        <v>57</v>
      </c>
      <c r="G6" t="s">
        <v>58</v>
      </c>
      <c r="H6" s="11">
        <v>7.7204596843749265E-2</v>
      </c>
      <c r="I6" s="11">
        <v>2.3203550761278724E-2</v>
      </c>
      <c r="J6" s="11">
        <v>0</v>
      </c>
      <c r="K6" s="11">
        <v>1.882213672684226E-2</v>
      </c>
      <c r="L6" s="11" t="str">
        <f t="shared" si="0"/>
        <v/>
      </c>
      <c r="M6" s="11">
        <f t="shared" si="1"/>
        <v>2.9807571082967561E-2</v>
      </c>
      <c r="O6" s="11" t="s">
        <v>1445</v>
      </c>
      <c r="P6" s="11">
        <v>1.23506E-2</v>
      </c>
      <c r="Q6" s="11">
        <f t="shared" si="2"/>
        <v>0</v>
      </c>
    </row>
    <row r="7" spans="1:17" x14ac:dyDescent="0.35">
      <c r="A7" t="s">
        <v>8</v>
      </c>
      <c r="B7" t="s">
        <v>32</v>
      </c>
      <c r="C7" t="s">
        <v>1361</v>
      </c>
      <c r="D7" t="s">
        <v>35</v>
      </c>
      <c r="E7" t="s">
        <v>36</v>
      </c>
      <c r="F7" t="s">
        <v>37</v>
      </c>
      <c r="G7" t="s">
        <v>1376</v>
      </c>
      <c r="H7" s="11">
        <v>3.0140562717079652E-2</v>
      </c>
      <c r="I7" s="11">
        <v>1.2697342547334119E-2</v>
      </c>
      <c r="J7" s="11">
        <v>2.5117126496616345E-2</v>
      </c>
      <c r="K7" s="11">
        <v>8.2864752885469066E-3</v>
      </c>
      <c r="L7" s="11" t="str">
        <f t="shared" si="0"/>
        <v/>
      </c>
      <c r="M7" s="11">
        <f t="shared" si="1"/>
        <v>1.9060376762394256E-2</v>
      </c>
      <c r="O7" s="11" t="s">
        <v>246</v>
      </c>
      <c r="P7" s="11">
        <v>1.14033E-2</v>
      </c>
      <c r="Q7" s="11">
        <f t="shared" si="2"/>
        <v>1.655050234271195E-3</v>
      </c>
    </row>
    <row r="8" spans="1:17" x14ac:dyDescent="0.35">
      <c r="A8" t="s">
        <v>8</v>
      </c>
      <c r="B8" t="s">
        <v>9</v>
      </c>
      <c r="C8" t="s">
        <v>1423</v>
      </c>
      <c r="D8" t="s">
        <v>10</v>
      </c>
      <c r="E8" t="s">
        <v>1429</v>
      </c>
      <c r="F8" t="s">
        <v>1430</v>
      </c>
      <c r="G8" t="s">
        <v>1431</v>
      </c>
      <c r="H8" s="11">
        <v>7.0864122706823006E-3</v>
      </c>
      <c r="I8" s="11">
        <v>5.2811955727849877E-3</v>
      </c>
      <c r="J8" s="11">
        <v>6.5070275897969806E-3</v>
      </c>
      <c r="K8" s="11">
        <v>5.2915063628292396E-2</v>
      </c>
      <c r="L8" s="11" t="str">
        <f t="shared" si="0"/>
        <v/>
      </c>
      <c r="M8" s="11">
        <f t="shared" si="1"/>
        <v>1.7947424765389165E-2</v>
      </c>
      <c r="O8" s="11" t="s">
        <v>304</v>
      </c>
      <c r="P8" s="11">
        <v>4.6746000000000001E-3</v>
      </c>
      <c r="Q8" s="11">
        <f t="shared" si="2"/>
        <v>6.2938530035665165E-4</v>
      </c>
    </row>
    <row r="9" spans="1:17" x14ac:dyDescent="0.35">
      <c r="A9" t="s">
        <v>8</v>
      </c>
      <c r="B9" t="s">
        <v>120</v>
      </c>
      <c r="C9" t="s">
        <v>1379</v>
      </c>
      <c r="D9" t="s">
        <v>121</v>
      </c>
      <c r="E9" t="s">
        <v>122</v>
      </c>
      <c r="F9" t="s">
        <v>123</v>
      </c>
      <c r="G9" t="s">
        <v>124</v>
      </c>
      <c r="H9" s="11">
        <v>2.1165994545327398E-2</v>
      </c>
      <c r="I9" s="11">
        <v>1.6180684308107197E-2</v>
      </c>
      <c r="J9" s="11">
        <v>2.00416449765747E-2</v>
      </c>
      <c r="K9" s="11">
        <v>6.6883693400414321E-3</v>
      </c>
      <c r="L9" s="11" t="str">
        <f t="shared" si="0"/>
        <v/>
      </c>
      <c r="M9" s="11">
        <f t="shared" si="1"/>
        <v>1.6019173292512682E-2</v>
      </c>
      <c r="O9" s="11" t="s">
        <v>1446</v>
      </c>
      <c r="P9" s="11">
        <v>3.8769E-3</v>
      </c>
      <c r="Q9" s="11">
        <f t="shared" si="2"/>
        <v>0</v>
      </c>
    </row>
    <row r="10" spans="1:17" x14ac:dyDescent="0.35">
      <c r="A10" t="s">
        <v>8</v>
      </c>
      <c r="B10" t="s">
        <v>46</v>
      </c>
      <c r="C10" t="s">
        <v>1386</v>
      </c>
      <c r="D10" t="s">
        <v>47</v>
      </c>
      <c r="E10" t="s">
        <v>61</v>
      </c>
      <c r="F10" t="s">
        <v>190</v>
      </c>
      <c r="G10" t="s">
        <v>273</v>
      </c>
      <c r="H10" s="11">
        <v>1.0722860672742955E-3</v>
      </c>
      <c r="I10" s="11">
        <v>1.067475700882072E-3</v>
      </c>
      <c r="J10" s="11">
        <v>0</v>
      </c>
      <c r="K10" s="11">
        <v>5.901154187629476E-2</v>
      </c>
      <c r="L10" s="11" t="str">
        <f t="shared" si="0"/>
        <v/>
      </c>
      <c r="M10" s="11">
        <f t="shared" si="1"/>
        <v>1.5287825911112782E-2</v>
      </c>
      <c r="O10" s="11" t="s">
        <v>357</v>
      </c>
      <c r="P10" s="11">
        <v>3.7515999999999999E-3</v>
      </c>
      <c r="Q10" s="11">
        <f t="shared" si="2"/>
        <v>0</v>
      </c>
    </row>
    <row r="11" spans="1:17" x14ac:dyDescent="0.35">
      <c r="A11" t="s">
        <v>24</v>
      </c>
      <c r="B11" t="s">
        <v>25</v>
      </c>
      <c r="D11" t="s">
        <v>40</v>
      </c>
      <c r="E11" t="s">
        <v>41</v>
      </c>
      <c r="F11" t="s">
        <v>1463</v>
      </c>
      <c r="G11" s="11" t="s">
        <v>1447</v>
      </c>
      <c r="H11" s="11">
        <v>0</v>
      </c>
      <c r="I11" s="11">
        <v>0</v>
      </c>
      <c r="J11" s="11">
        <v>0</v>
      </c>
      <c r="K11" s="11">
        <v>0</v>
      </c>
      <c r="L11" s="11">
        <f t="shared" si="0"/>
        <v>7.1995299999999998E-2</v>
      </c>
      <c r="M11" s="11">
        <f t="shared" si="1"/>
        <v>1.439906E-2</v>
      </c>
      <c r="O11" s="11" t="s">
        <v>835</v>
      </c>
      <c r="P11" s="11">
        <v>2.2009999999999998E-3</v>
      </c>
      <c r="Q11" s="11">
        <f t="shared" si="2"/>
        <v>0</v>
      </c>
    </row>
    <row r="12" spans="1:17" x14ac:dyDescent="0.35">
      <c r="A12" t="s">
        <v>8</v>
      </c>
      <c r="B12" t="s">
        <v>9</v>
      </c>
      <c r="C12" t="s">
        <v>1423</v>
      </c>
      <c r="D12" t="s">
        <v>10</v>
      </c>
      <c r="E12" t="s">
        <v>107</v>
      </c>
      <c r="F12" t="s">
        <v>108</v>
      </c>
      <c r="G12" t="s">
        <v>109</v>
      </c>
      <c r="H12" s="11">
        <v>3.1236159351033825E-3</v>
      </c>
      <c r="I12" s="11">
        <v>1.6293050171357942E-3</v>
      </c>
      <c r="J12" s="11">
        <v>1.0411244143675169E-3</v>
      </c>
      <c r="K12" s="11">
        <v>7.6353950873039363E-3</v>
      </c>
      <c r="L12" s="11">
        <f t="shared" si="0"/>
        <v>4.1868600000000006E-2</v>
      </c>
      <c r="M12" s="11">
        <f t="shared" si="1"/>
        <v>1.1059608090782127E-2</v>
      </c>
      <c r="O12" s="11" t="s">
        <v>175</v>
      </c>
      <c r="P12" s="11">
        <v>1.3906999999999999E-3</v>
      </c>
      <c r="Q12" s="11">
        <f t="shared" si="2"/>
        <v>5.5945360031702375E-4</v>
      </c>
    </row>
    <row r="13" spans="1:17" x14ac:dyDescent="0.35">
      <c r="A13" t="s">
        <v>8</v>
      </c>
      <c r="B13" t="s">
        <v>32</v>
      </c>
      <c r="C13" t="s">
        <v>1361</v>
      </c>
      <c r="D13" t="s">
        <v>35</v>
      </c>
      <c r="E13" t="s">
        <v>36</v>
      </c>
      <c r="F13" t="s">
        <v>1373</v>
      </c>
      <c r="G13" t="s">
        <v>1375</v>
      </c>
      <c r="H13" s="11">
        <v>2.4802442947388051E-2</v>
      </c>
      <c r="I13" s="11">
        <v>8.9892690600595539E-3</v>
      </c>
      <c r="J13" s="11">
        <v>5.8563248308172826E-3</v>
      </c>
      <c r="K13" s="11">
        <v>3.6105356614382954E-3</v>
      </c>
      <c r="L13" s="11" t="str">
        <f t="shared" si="0"/>
        <v/>
      </c>
      <c r="M13" s="11">
        <f t="shared" si="1"/>
        <v>1.0814643124925796E-2</v>
      </c>
      <c r="O13" s="11" t="s">
        <v>29</v>
      </c>
      <c r="P13" s="11">
        <v>7.6199999999999995E-5</v>
      </c>
      <c r="Q13" s="11">
        <f t="shared" si="2"/>
        <v>0</v>
      </c>
    </row>
    <row r="14" spans="1:17" x14ac:dyDescent="0.35">
      <c r="A14" t="s">
        <v>8</v>
      </c>
      <c r="B14" t="s">
        <v>46</v>
      </c>
      <c r="C14" t="s">
        <v>1386</v>
      </c>
      <c r="D14" t="s">
        <v>47</v>
      </c>
      <c r="E14" t="s">
        <v>61</v>
      </c>
      <c r="F14" t="s">
        <v>94</v>
      </c>
      <c r="G14" t="s">
        <v>95</v>
      </c>
      <c r="H14" s="11">
        <v>2.1655516445604792E-2</v>
      </c>
      <c r="I14" s="11">
        <v>1.7360525872240015E-2</v>
      </c>
      <c r="J14" s="11">
        <v>4.8152004164497657E-3</v>
      </c>
      <c r="K14" s="11">
        <v>9.5294465818289431E-3</v>
      </c>
      <c r="L14" s="11">
        <f t="shared" si="0"/>
        <v>6.7500000000000001E-5</v>
      </c>
      <c r="M14" s="11">
        <f t="shared" si="1"/>
        <v>1.0685637863224703E-2</v>
      </c>
      <c r="O14" s="11" t="s">
        <v>95</v>
      </c>
      <c r="P14" s="11">
        <v>6.7500000000000001E-5</v>
      </c>
      <c r="Q14" s="11">
        <f t="shared" si="2"/>
        <v>2.1655516445604792E-2</v>
      </c>
    </row>
    <row r="15" spans="1:17" x14ac:dyDescent="0.35">
      <c r="A15" t="s">
        <v>24</v>
      </c>
      <c r="B15" t="s">
        <v>25</v>
      </c>
      <c r="C15" t="s">
        <v>1337</v>
      </c>
      <c r="D15" t="s">
        <v>40</v>
      </c>
      <c r="E15" t="s">
        <v>41</v>
      </c>
      <c r="F15" t="s">
        <v>42</v>
      </c>
      <c r="G15" t="s">
        <v>43</v>
      </c>
      <c r="H15" s="11">
        <v>2.4056504813632019E-2</v>
      </c>
      <c r="I15" s="11">
        <v>9.7196471711893922E-3</v>
      </c>
      <c r="J15" s="11">
        <v>0</v>
      </c>
      <c r="K15" s="11">
        <v>0</v>
      </c>
      <c r="L15" s="11" t="str">
        <f t="shared" si="0"/>
        <v/>
      </c>
      <c r="M15" s="11">
        <f t="shared" si="1"/>
        <v>8.4440379962053523E-3</v>
      </c>
      <c r="O15" s="11" t="s">
        <v>524</v>
      </c>
      <c r="P15" s="11">
        <v>1.2899999999999998E-5</v>
      </c>
      <c r="Q15" s="11">
        <f t="shared" si="2"/>
        <v>0</v>
      </c>
    </row>
    <row r="16" spans="1:17" x14ac:dyDescent="0.35">
      <c r="A16" t="s">
        <v>8</v>
      </c>
      <c r="B16" t="s">
        <v>165</v>
      </c>
      <c r="C16" t="s">
        <v>1440</v>
      </c>
      <c r="D16" t="s">
        <v>166</v>
      </c>
      <c r="E16" t="s">
        <v>167</v>
      </c>
      <c r="F16" t="s">
        <v>168</v>
      </c>
      <c r="G16" t="s">
        <v>198</v>
      </c>
      <c r="H16" s="11">
        <v>4.3823865358166856E-3</v>
      </c>
      <c r="I16" s="11">
        <v>3.7080734872745658E-3</v>
      </c>
      <c r="J16" s="11">
        <v>7.8084331077563768E-4</v>
      </c>
      <c r="K16" s="11">
        <v>2.3853211009174313E-2</v>
      </c>
      <c r="L16" s="11" t="str">
        <f t="shared" si="0"/>
        <v/>
      </c>
      <c r="M16" s="11">
        <f t="shared" si="1"/>
        <v>8.1811285857603007E-3</v>
      </c>
      <c r="O16" s="11"/>
      <c r="P16" s="11"/>
    </row>
    <row r="17" spans="1:22" x14ac:dyDescent="0.35">
      <c r="A17" t="s">
        <v>8</v>
      </c>
      <c r="B17" t="s">
        <v>165</v>
      </c>
      <c r="C17" t="s">
        <v>1440</v>
      </c>
      <c r="D17" t="s">
        <v>166</v>
      </c>
      <c r="E17" t="s">
        <v>167</v>
      </c>
      <c r="F17" t="s">
        <v>168</v>
      </c>
      <c r="G17" t="s">
        <v>169</v>
      </c>
      <c r="H17" s="11">
        <v>4.7786661693745777E-3</v>
      </c>
      <c r="I17" s="11">
        <v>4.3260857351536605E-3</v>
      </c>
      <c r="J17" s="11">
        <v>6.8974492451847995E-3</v>
      </c>
      <c r="K17" s="11">
        <v>1.5329979283811778E-2</v>
      </c>
      <c r="L17" s="11" t="str">
        <f t="shared" si="0"/>
        <v/>
      </c>
      <c r="M17" s="11">
        <f t="shared" si="1"/>
        <v>7.8330451083812036E-3</v>
      </c>
    </row>
    <row r="18" spans="1:22" x14ac:dyDescent="0.35">
      <c r="A18" t="s">
        <v>8</v>
      </c>
      <c r="B18" t="s">
        <v>9</v>
      </c>
      <c r="C18" t="s">
        <v>1423</v>
      </c>
      <c r="D18" t="s">
        <v>10</v>
      </c>
      <c r="E18" t="s">
        <v>131</v>
      </c>
      <c r="F18" t="s">
        <v>150</v>
      </c>
      <c r="G18" t="s">
        <v>151</v>
      </c>
      <c r="H18" s="11">
        <v>3.7063801021002822E-3</v>
      </c>
      <c r="I18" s="11">
        <v>3.1462441710208441E-3</v>
      </c>
      <c r="J18" s="11">
        <v>0</v>
      </c>
      <c r="K18" s="11">
        <v>1.5921870375850845E-2</v>
      </c>
      <c r="L18" s="11" t="str">
        <f t="shared" si="0"/>
        <v/>
      </c>
      <c r="M18" s="11">
        <f t="shared" si="1"/>
        <v>5.6936236622429932E-3</v>
      </c>
      <c r="V18" s="37"/>
    </row>
    <row r="19" spans="1:22" x14ac:dyDescent="0.35">
      <c r="A19" t="s">
        <v>24</v>
      </c>
      <c r="B19" t="s">
        <v>25</v>
      </c>
      <c r="C19" t="s">
        <v>1337</v>
      </c>
      <c r="D19" t="s">
        <v>40</v>
      </c>
      <c r="E19" t="s">
        <v>56</v>
      </c>
      <c r="F19" t="s">
        <v>204</v>
      </c>
      <c r="G19" t="s">
        <v>205</v>
      </c>
      <c r="H19" s="11">
        <v>1.5618079675516912E-3</v>
      </c>
      <c r="I19" s="11">
        <v>6.629585931793921E-3</v>
      </c>
      <c r="J19" s="11">
        <v>0</v>
      </c>
      <c r="K19" s="11">
        <v>1.2192956496004735E-2</v>
      </c>
      <c r="L19" s="11" t="str">
        <f t="shared" si="0"/>
        <v/>
      </c>
      <c r="M19" s="11">
        <f t="shared" si="1"/>
        <v>5.0960875988375863E-3</v>
      </c>
      <c r="V19" s="37"/>
    </row>
    <row r="20" spans="1:22" x14ac:dyDescent="0.35">
      <c r="A20" t="s">
        <v>8</v>
      </c>
      <c r="B20" t="s">
        <v>9</v>
      </c>
      <c r="C20" t="s">
        <v>1423</v>
      </c>
      <c r="D20" t="s">
        <v>10</v>
      </c>
      <c r="E20" t="s">
        <v>131</v>
      </c>
      <c r="F20" t="s">
        <v>132</v>
      </c>
      <c r="G20" t="s">
        <v>133</v>
      </c>
      <c r="H20" s="11">
        <v>5.1050141028928415E-3</v>
      </c>
      <c r="I20" s="11">
        <v>3.2024271026462161E-3</v>
      </c>
      <c r="J20" s="11">
        <v>0</v>
      </c>
      <c r="K20" s="11">
        <v>1.1245930748742231E-2</v>
      </c>
      <c r="L20" s="11" t="str">
        <f t="shared" si="0"/>
        <v/>
      </c>
      <c r="M20" s="11">
        <f t="shared" si="1"/>
        <v>4.8883429885703215E-3</v>
      </c>
      <c r="V20" s="37"/>
    </row>
    <row r="21" spans="1:22" x14ac:dyDescent="0.35">
      <c r="A21" t="s">
        <v>8</v>
      </c>
      <c r="B21" t="s">
        <v>9</v>
      </c>
      <c r="C21" t="s">
        <v>1423</v>
      </c>
      <c r="D21" t="s">
        <v>243</v>
      </c>
      <c r="E21" t="s">
        <v>244</v>
      </c>
      <c r="F21" t="s">
        <v>245</v>
      </c>
      <c r="G21" t="s">
        <v>246</v>
      </c>
      <c r="H21" s="11">
        <v>1.655050234271195E-3</v>
      </c>
      <c r="I21" s="11">
        <v>1.0112927692566998E-3</v>
      </c>
      <c r="J21" s="11">
        <v>1.9521082769390942E-3</v>
      </c>
      <c r="K21" s="11">
        <v>0</v>
      </c>
      <c r="L21" s="11">
        <f t="shared" si="0"/>
        <v>1.14033E-2</v>
      </c>
      <c r="M21" s="11">
        <f t="shared" si="1"/>
        <v>3.2043502560933981E-3</v>
      </c>
      <c r="V21" s="37"/>
    </row>
    <row r="22" spans="1:22" x14ac:dyDescent="0.35">
      <c r="A22" t="s">
        <v>8</v>
      </c>
      <c r="B22" t="s">
        <v>46</v>
      </c>
      <c r="C22" t="s">
        <v>1386</v>
      </c>
      <c r="D22" t="s">
        <v>47</v>
      </c>
      <c r="E22" t="s">
        <v>61</v>
      </c>
      <c r="F22" t="s">
        <v>157</v>
      </c>
      <c r="G22" t="s">
        <v>1460</v>
      </c>
      <c r="H22" s="11">
        <v>5.361430336371477E-3</v>
      </c>
      <c r="I22" s="11">
        <v>4.5508174616551494E-3</v>
      </c>
      <c r="J22" s="11">
        <v>0</v>
      </c>
      <c r="K22" s="11">
        <v>2.9002663509914177E-3</v>
      </c>
      <c r="L22" s="11" t="str">
        <f t="shared" si="0"/>
        <v/>
      </c>
      <c r="M22" s="11">
        <f t="shared" si="1"/>
        <v>3.2031285372545112E-3</v>
      </c>
      <c r="V22" s="37"/>
    </row>
    <row r="23" spans="1:22" x14ac:dyDescent="0.35">
      <c r="A23" t="s">
        <v>8</v>
      </c>
      <c r="B23" t="s">
        <v>46</v>
      </c>
      <c r="C23" t="s">
        <v>1386</v>
      </c>
      <c r="D23" t="s">
        <v>47</v>
      </c>
      <c r="E23" t="s">
        <v>61</v>
      </c>
      <c r="F23" t="s">
        <v>190</v>
      </c>
      <c r="G23" t="s">
        <v>191</v>
      </c>
      <c r="H23" s="11">
        <v>4.0327280356185456E-3</v>
      </c>
      <c r="I23" s="11">
        <v>2.7529636496432383E-3</v>
      </c>
      <c r="J23" s="11">
        <v>4.034357105674128E-3</v>
      </c>
      <c r="K23" s="11">
        <v>1.4797277300976619E-3</v>
      </c>
      <c r="L23" s="11" t="str">
        <f t="shared" si="0"/>
        <v/>
      </c>
      <c r="M23" s="11">
        <f t="shared" si="1"/>
        <v>3.0749441302583935E-3</v>
      </c>
      <c r="V23" s="37"/>
    </row>
    <row r="24" spans="1:22" x14ac:dyDescent="0.35">
      <c r="A24" t="s">
        <v>8</v>
      </c>
      <c r="B24" t="s">
        <v>9</v>
      </c>
      <c r="C24" t="s">
        <v>1423</v>
      </c>
      <c r="D24" t="s">
        <v>10</v>
      </c>
      <c r="E24" t="s">
        <v>107</v>
      </c>
      <c r="F24" t="s">
        <v>308</v>
      </c>
      <c r="G24" t="s">
        <v>309</v>
      </c>
      <c r="H24" s="11">
        <v>5.8276416699689965E-4</v>
      </c>
      <c r="I24" s="11">
        <v>5.6182931625372209E-5</v>
      </c>
      <c r="J24" s="11">
        <v>0</v>
      </c>
      <c r="K24" s="11">
        <v>1.1423498076353952E-2</v>
      </c>
      <c r="L24" s="11" t="str">
        <f t="shared" si="0"/>
        <v/>
      </c>
      <c r="M24" s="11">
        <f t="shared" si="1"/>
        <v>3.0156112937440561E-3</v>
      </c>
      <c r="V24" s="37"/>
    </row>
    <row r="25" spans="1:22" x14ac:dyDescent="0.35">
      <c r="A25" t="s">
        <v>8</v>
      </c>
      <c r="B25" t="s">
        <v>32</v>
      </c>
      <c r="C25" t="s">
        <v>1361</v>
      </c>
      <c r="D25" t="s">
        <v>35</v>
      </c>
      <c r="E25" t="s">
        <v>36</v>
      </c>
      <c r="F25" t="s">
        <v>37</v>
      </c>
      <c r="G25" t="s">
        <v>231</v>
      </c>
      <c r="H25" s="11">
        <v>3.2634793351826383E-3</v>
      </c>
      <c r="I25" s="11">
        <v>8.4274397438058313E-4</v>
      </c>
      <c r="J25" s="11">
        <v>2.0822488287350338E-3</v>
      </c>
      <c r="K25" s="11">
        <v>3.8472920982539215E-3</v>
      </c>
      <c r="L25" s="11" t="str">
        <f t="shared" si="0"/>
        <v/>
      </c>
      <c r="M25" s="11">
        <f t="shared" si="1"/>
        <v>2.5089410591380441E-3</v>
      </c>
      <c r="V25" s="37"/>
    </row>
    <row r="26" spans="1:22" x14ac:dyDescent="0.35">
      <c r="A26" t="s">
        <v>24</v>
      </c>
      <c r="B26" t="s">
        <v>25</v>
      </c>
      <c r="D26" t="s">
        <v>40</v>
      </c>
      <c r="E26" t="s">
        <v>56</v>
      </c>
      <c r="F26" t="s">
        <v>523</v>
      </c>
      <c r="G26" s="11" t="s">
        <v>1445</v>
      </c>
      <c r="H26" s="11">
        <v>0</v>
      </c>
      <c r="I26" s="11">
        <v>0</v>
      </c>
      <c r="J26" s="11">
        <v>0</v>
      </c>
      <c r="K26" s="11">
        <v>0</v>
      </c>
      <c r="L26" s="11">
        <f t="shared" si="0"/>
        <v>1.23506E-2</v>
      </c>
      <c r="M26" s="11">
        <f t="shared" si="1"/>
        <v>2.4701200000000001E-3</v>
      </c>
      <c r="V26" s="37"/>
    </row>
    <row r="27" spans="1:22" x14ac:dyDescent="0.35">
      <c r="A27" t="s">
        <v>8</v>
      </c>
      <c r="B27" t="s">
        <v>32</v>
      </c>
      <c r="C27" t="s">
        <v>1361</v>
      </c>
      <c r="D27" t="s">
        <v>1362</v>
      </c>
      <c r="E27" t="s">
        <v>1363</v>
      </c>
      <c r="F27" t="s">
        <v>1364</v>
      </c>
      <c r="G27" t="s">
        <v>1369</v>
      </c>
      <c r="H27" s="11">
        <v>2.9138208349844983E-3</v>
      </c>
      <c r="I27" s="11">
        <v>1.1798415641328165E-3</v>
      </c>
      <c r="J27" s="11">
        <v>1.1712649661634565E-3</v>
      </c>
      <c r="K27" s="11">
        <v>2.4267534773601655E-3</v>
      </c>
      <c r="L27" s="11" t="str">
        <f t="shared" si="0"/>
        <v/>
      </c>
      <c r="M27" s="11">
        <f t="shared" si="1"/>
        <v>1.9229202106602343E-3</v>
      </c>
      <c r="N27" s="11"/>
      <c r="V27" s="37"/>
    </row>
    <row r="28" spans="1:22" x14ac:dyDescent="0.35">
      <c r="A28" t="s">
        <v>8</v>
      </c>
      <c r="B28" t="s">
        <v>46</v>
      </c>
      <c r="C28" t="s">
        <v>1386</v>
      </c>
      <c r="D28" t="s">
        <v>47</v>
      </c>
      <c r="E28" t="s">
        <v>61</v>
      </c>
      <c r="F28" t="s">
        <v>1395</v>
      </c>
      <c r="G28" t="s">
        <v>1405</v>
      </c>
      <c r="H28" s="11">
        <v>0</v>
      </c>
      <c r="I28" s="11">
        <v>0</v>
      </c>
      <c r="J28" s="11">
        <v>0</v>
      </c>
      <c r="K28" s="11">
        <v>7.6353950873039363E-3</v>
      </c>
      <c r="L28" s="11" t="str">
        <f t="shared" si="0"/>
        <v/>
      </c>
      <c r="M28" s="11">
        <f t="shared" si="1"/>
        <v>1.9088487718259841E-3</v>
      </c>
      <c r="N28" s="11"/>
      <c r="V28" s="37"/>
    </row>
    <row r="29" spans="1:22" x14ac:dyDescent="0.35">
      <c r="A29" t="s">
        <v>8</v>
      </c>
      <c r="B29" t="s">
        <v>32</v>
      </c>
      <c r="C29" t="s">
        <v>1361</v>
      </c>
      <c r="D29" t="s">
        <v>35</v>
      </c>
      <c r="E29" t="s">
        <v>36</v>
      </c>
      <c r="F29" t="s">
        <v>143</v>
      </c>
      <c r="G29" t="s">
        <v>1377</v>
      </c>
      <c r="H29" s="11">
        <v>1.6084291009114432E-3</v>
      </c>
      <c r="I29" s="11">
        <v>8.9892690600595535E-4</v>
      </c>
      <c r="J29" s="11">
        <v>1.9521082769390942E-3</v>
      </c>
      <c r="K29" s="11">
        <v>3.1370227878070437E-3</v>
      </c>
      <c r="L29" s="11" t="str">
        <f t="shared" si="0"/>
        <v/>
      </c>
      <c r="M29" s="11">
        <f t="shared" si="1"/>
        <v>1.8991217679158842E-3</v>
      </c>
      <c r="N29" s="11"/>
      <c r="V29" s="37"/>
    </row>
    <row r="30" spans="1:22" x14ac:dyDescent="0.35">
      <c r="A30" t="s">
        <v>8</v>
      </c>
      <c r="B30" t="s">
        <v>1351</v>
      </c>
      <c r="C30" t="s">
        <v>1352</v>
      </c>
      <c r="D30" t="s">
        <v>1353</v>
      </c>
      <c r="E30" t="s">
        <v>1354</v>
      </c>
      <c r="F30" t="s">
        <v>1355</v>
      </c>
      <c r="G30" t="s">
        <v>1454</v>
      </c>
      <c r="H30" s="11">
        <v>3.8695540688594141E-3</v>
      </c>
      <c r="I30" s="11">
        <v>3.483341760773077E-3</v>
      </c>
      <c r="J30" s="11">
        <v>1.3014055179593961E-4</v>
      </c>
      <c r="K30" s="11">
        <v>0</v>
      </c>
      <c r="L30" s="11" t="str">
        <f t="shared" si="0"/>
        <v/>
      </c>
      <c r="M30" s="11">
        <f t="shared" si="1"/>
        <v>1.8707590953571077E-3</v>
      </c>
      <c r="N30" s="11"/>
      <c r="V30" s="37"/>
    </row>
    <row r="31" spans="1:22" x14ac:dyDescent="0.35">
      <c r="A31" t="s">
        <v>8</v>
      </c>
      <c r="B31" t="s">
        <v>18</v>
      </c>
      <c r="C31" t="s">
        <v>1438</v>
      </c>
      <c r="D31" t="s">
        <v>19</v>
      </c>
      <c r="E31" t="s">
        <v>20</v>
      </c>
      <c r="F31" t="s">
        <v>21</v>
      </c>
      <c r="G31" t="s">
        <v>357</v>
      </c>
      <c r="H31" s="11">
        <v>0</v>
      </c>
      <c r="I31" s="11">
        <v>1.1236586325074442E-3</v>
      </c>
      <c r="J31" s="11">
        <v>1.0411244143675169E-3</v>
      </c>
      <c r="K31" s="11">
        <v>0</v>
      </c>
      <c r="L31" s="11">
        <f t="shared" si="0"/>
        <v>3.7515999999999999E-3</v>
      </c>
      <c r="M31" s="11">
        <f t="shared" si="1"/>
        <v>1.1832766093749923E-3</v>
      </c>
      <c r="N31" s="11"/>
      <c r="V31" s="37"/>
    </row>
    <row r="32" spans="1:22" x14ac:dyDescent="0.35">
      <c r="A32" t="s">
        <v>8</v>
      </c>
      <c r="B32" t="s">
        <v>32</v>
      </c>
      <c r="C32" t="s">
        <v>1361</v>
      </c>
      <c r="D32" t="s">
        <v>35</v>
      </c>
      <c r="E32" t="s">
        <v>36</v>
      </c>
      <c r="F32" t="s">
        <v>37</v>
      </c>
      <c r="G32" t="s">
        <v>201</v>
      </c>
      <c r="H32" s="11">
        <v>4.0793491689782978E-3</v>
      </c>
      <c r="I32" s="11">
        <v>6.1801224787909434E-4</v>
      </c>
      <c r="J32" s="11">
        <v>0</v>
      </c>
      <c r="K32" s="11">
        <v>0</v>
      </c>
      <c r="L32" s="11" t="str">
        <f t="shared" si="0"/>
        <v/>
      </c>
      <c r="M32" s="11">
        <f t="shared" si="1"/>
        <v>1.174340354214348E-3</v>
      </c>
      <c r="N32" s="11"/>
      <c r="V32" s="37"/>
    </row>
    <row r="33" spans="1:22" x14ac:dyDescent="0.35">
      <c r="A33" t="s">
        <v>8</v>
      </c>
      <c r="B33" t="s">
        <v>32</v>
      </c>
      <c r="C33" t="s">
        <v>1361</v>
      </c>
      <c r="D33" t="s">
        <v>1362</v>
      </c>
      <c r="E33" t="s">
        <v>1363</v>
      </c>
      <c r="F33" t="s">
        <v>1364</v>
      </c>
      <c r="G33" t="s">
        <v>1366</v>
      </c>
      <c r="H33" s="11">
        <v>8.8580153383528758E-4</v>
      </c>
      <c r="I33" s="11">
        <v>1.0112927692566998E-3</v>
      </c>
      <c r="J33" s="11">
        <v>7.8084331077563768E-4</v>
      </c>
      <c r="K33" s="11">
        <v>1.6572950577093816E-3</v>
      </c>
      <c r="L33" s="11" t="str">
        <f t="shared" si="0"/>
        <v/>
      </c>
      <c r="M33" s="11">
        <f t="shared" si="1"/>
        <v>1.0838081678942518E-3</v>
      </c>
      <c r="N33" s="11"/>
      <c r="V33" s="37"/>
    </row>
    <row r="34" spans="1:22" x14ac:dyDescent="0.35">
      <c r="A34" t="s">
        <v>8</v>
      </c>
      <c r="B34" t="s">
        <v>32</v>
      </c>
      <c r="C34" t="s">
        <v>1361</v>
      </c>
      <c r="D34" t="s">
        <v>35</v>
      </c>
      <c r="E34" t="s">
        <v>36</v>
      </c>
      <c r="F34" t="s">
        <v>37</v>
      </c>
      <c r="G34" t="s">
        <v>304</v>
      </c>
      <c r="H34" s="11">
        <v>6.2938530035665165E-4</v>
      </c>
      <c r="I34" s="11">
        <v>0</v>
      </c>
      <c r="J34" s="11">
        <v>0</v>
      </c>
      <c r="K34" s="11">
        <v>0</v>
      </c>
      <c r="L34" s="11">
        <f t="shared" si="0"/>
        <v>4.6746000000000001E-3</v>
      </c>
      <c r="M34" s="11">
        <f t="shared" si="1"/>
        <v>1.0607970600713303E-3</v>
      </c>
      <c r="N34" s="11"/>
      <c r="V34" s="37"/>
    </row>
    <row r="35" spans="1:22" x14ac:dyDescent="0.35">
      <c r="A35" t="s">
        <v>8</v>
      </c>
      <c r="B35" t="s">
        <v>46</v>
      </c>
      <c r="C35" t="s">
        <v>1386</v>
      </c>
      <c r="D35" t="s">
        <v>47</v>
      </c>
      <c r="E35" t="s">
        <v>61</v>
      </c>
      <c r="F35" t="s">
        <v>210</v>
      </c>
      <c r="G35" t="s">
        <v>211</v>
      </c>
      <c r="H35" s="11">
        <v>1.6317396675913191E-3</v>
      </c>
      <c r="I35" s="11">
        <v>1.1798415641328165E-3</v>
      </c>
      <c r="J35" s="11">
        <v>0</v>
      </c>
      <c r="K35" s="11">
        <v>7.1026931044687776E-4</v>
      </c>
      <c r="L35" s="11" t="str">
        <f t="shared" si="0"/>
        <v/>
      </c>
      <c r="M35" s="11">
        <f t="shared" si="1"/>
        <v>8.8046263554275334E-4</v>
      </c>
      <c r="N35" s="11"/>
      <c r="V35" s="37"/>
    </row>
    <row r="36" spans="1:22" x14ac:dyDescent="0.35">
      <c r="A36" t="s">
        <v>24</v>
      </c>
      <c r="B36" t="s">
        <v>25</v>
      </c>
      <c r="D36" t="s">
        <v>40</v>
      </c>
      <c r="E36" t="s">
        <v>56</v>
      </c>
      <c r="F36" t="s">
        <v>466</v>
      </c>
      <c r="G36" s="11" t="s">
        <v>1446</v>
      </c>
      <c r="H36" s="11">
        <v>0</v>
      </c>
      <c r="I36" s="11">
        <v>0</v>
      </c>
      <c r="J36" s="11">
        <v>0</v>
      </c>
      <c r="K36" s="11">
        <v>0</v>
      </c>
      <c r="L36" s="11">
        <f t="shared" si="0"/>
        <v>3.8769E-3</v>
      </c>
      <c r="M36" s="11">
        <f t="shared" si="1"/>
        <v>7.7537999999999999E-4</v>
      </c>
      <c r="N36" s="11"/>
      <c r="V36" s="37"/>
    </row>
    <row r="37" spans="1:22" x14ac:dyDescent="0.35">
      <c r="A37" t="s">
        <v>8</v>
      </c>
      <c r="B37" t="s">
        <v>46</v>
      </c>
      <c r="C37" t="s">
        <v>1386</v>
      </c>
      <c r="D37" t="s">
        <v>47</v>
      </c>
      <c r="E37" t="s">
        <v>61</v>
      </c>
      <c r="F37" t="s">
        <v>1395</v>
      </c>
      <c r="G37" t="s">
        <v>1456</v>
      </c>
      <c r="H37" s="11">
        <v>1.0023543672346674E-3</v>
      </c>
      <c r="I37" s="11">
        <v>1.9664026068880276E-3</v>
      </c>
      <c r="J37" s="11">
        <v>0</v>
      </c>
      <c r="K37" s="11">
        <v>0</v>
      </c>
      <c r="L37" s="11" t="str">
        <f t="shared" si="0"/>
        <v/>
      </c>
      <c r="M37" s="11">
        <f t="shared" si="1"/>
        <v>7.421892435306738E-4</v>
      </c>
      <c r="N37" s="11"/>
      <c r="V37" s="37"/>
    </row>
    <row r="38" spans="1:22" x14ac:dyDescent="0.35">
      <c r="A38" t="s">
        <v>8</v>
      </c>
      <c r="B38" t="s">
        <v>46</v>
      </c>
      <c r="C38" t="s">
        <v>1386</v>
      </c>
      <c r="D38" t="s">
        <v>47</v>
      </c>
      <c r="E38" t="s">
        <v>61</v>
      </c>
      <c r="F38" t="s">
        <v>1395</v>
      </c>
      <c r="G38" t="s">
        <v>1398</v>
      </c>
      <c r="H38" s="11">
        <v>1.2354600340334274E-3</v>
      </c>
      <c r="I38" s="11">
        <v>5.6182931625372212E-4</v>
      </c>
      <c r="J38" s="11">
        <v>0</v>
      </c>
      <c r="K38" s="11">
        <v>0</v>
      </c>
      <c r="L38" s="11" t="str">
        <f t="shared" si="0"/>
        <v/>
      </c>
      <c r="M38" s="11">
        <f t="shared" si="1"/>
        <v>4.4932233757178741E-4</v>
      </c>
      <c r="N38" s="11"/>
      <c r="V38" s="37"/>
    </row>
    <row r="39" spans="1:22" x14ac:dyDescent="0.35">
      <c r="A39" t="s">
        <v>24</v>
      </c>
      <c r="B39" t="s">
        <v>25</v>
      </c>
      <c r="D39" t="s">
        <v>40</v>
      </c>
      <c r="E39" t="s">
        <v>41</v>
      </c>
      <c r="F39" t="s">
        <v>52</v>
      </c>
      <c r="G39" s="11" t="s">
        <v>835</v>
      </c>
      <c r="H39" s="11">
        <v>0</v>
      </c>
      <c r="I39" s="11">
        <v>0</v>
      </c>
      <c r="J39" s="11">
        <v>0</v>
      </c>
      <c r="K39" s="11">
        <v>0</v>
      </c>
      <c r="L39" s="11">
        <f t="shared" si="0"/>
        <v>2.2009999999999998E-3</v>
      </c>
      <c r="M39" s="11">
        <f t="shared" si="1"/>
        <v>4.4019999999999997E-4</v>
      </c>
      <c r="N39" s="11"/>
      <c r="V39" s="37"/>
    </row>
    <row r="40" spans="1:22" x14ac:dyDescent="0.35">
      <c r="A40" t="s">
        <v>8</v>
      </c>
      <c r="B40" t="s">
        <v>9</v>
      </c>
      <c r="C40" t="s">
        <v>1423</v>
      </c>
      <c r="D40" t="s">
        <v>10</v>
      </c>
      <c r="E40" t="s">
        <v>131</v>
      </c>
      <c r="F40" t="s">
        <v>150</v>
      </c>
      <c r="G40" t="s">
        <v>278</v>
      </c>
      <c r="H40" s="11">
        <v>1.2587706007133033E-3</v>
      </c>
      <c r="I40" s="11">
        <v>3.3709758975223328E-4</v>
      </c>
      <c r="J40" s="11">
        <v>0</v>
      </c>
      <c r="K40" s="11">
        <v>0</v>
      </c>
      <c r="L40" s="11" t="str">
        <f t="shared" si="0"/>
        <v/>
      </c>
      <c r="M40" s="11">
        <f t="shared" si="1"/>
        <v>3.9896704761638416E-4</v>
      </c>
      <c r="N40" s="11"/>
      <c r="V40" s="37"/>
    </row>
    <row r="41" spans="1:22" x14ac:dyDescent="0.35">
      <c r="A41" t="s">
        <v>8</v>
      </c>
      <c r="B41" t="s">
        <v>9</v>
      </c>
      <c r="C41" t="s">
        <v>1423</v>
      </c>
      <c r="D41" t="s">
        <v>172</v>
      </c>
      <c r="E41" t="s">
        <v>173</v>
      </c>
      <c r="F41" t="s">
        <v>174</v>
      </c>
      <c r="G41" t="s">
        <v>175</v>
      </c>
      <c r="H41" s="11">
        <v>5.5945360031702375E-4</v>
      </c>
      <c r="I41" s="11">
        <v>0</v>
      </c>
      <c r="J41" s="11">
        <v>0</v>
      </c>
      <c r="K41" s="11">
        <v>0</v>
      </c>
      <c r="L41" s="11">
        <f t="shared" si="0"/>
        <v>1.3906999999999999E-3</v>
      </c>
      <c r="M41" s="11">
        <f t="shared" si="1"/>
        <v>3.9003072006340471E-4</v>
      </c>
      <c r="N41" s="11"/>
      <c r="V41" s="37"/>
    </row>
    <row r="42" spans="1:22" x14ac:dyDescent="0.35">
      <c r="A42" t="s">
        <v>8</v>
      </c>
      <c r="B42" t="s">
        <v>9</v>
      </c>
      <c r="C42" t="s">
        <v>1423</v>
      </c>
      <c r="D42" t="s">
        <v>138</v>
      </c>
      <c r="E42" t="s">
        <v>345</v>
      </c>
      <c r="F42" t="s">
        <v>1425</v>
      </c>
      <c r="G42" t="s">
        <v>1426</v>
      </c>
      <c r="H42" s="11">
        <v>4.8952190027739574E-4</v>
      </c>
      <c r="I42" s="11">
        <v>0</v>
      </c>
      <c r="J42" s="11">
        <v>0</v>
      </c>
      <c r="K42" s="11">
        <v>8.2864752885469079E-4</v>
      </c>
      <c r="L42" s="11" t="str">
        <f t="shared" si="0"/>
        <v/>
      </c>
      <c r="M42" s="11">
        <f t="shared" si="1"/>
        <v>3.2954235728302163E-4</v>
      </c>
      <c r="N42" s="11"/>
      <c r="O42" s="11"/>
      <c r="P42" s="11"/>
    </row>
    <row r="43" spans="1:22" x14ac:dyDescent="0.35">
      <c r="A43" t="s">
        <v>8</v>
      </c>
      <c r="B43" t="s">
        <v>258</v>
      </c>
      <c r="C43" t="s">
        <v>1345</v>
      </c>
      <c r="D43" t="s">
        <v>1346</v>
      </c>
      <c r="E43" t="s">
        <v>260</v>
      </c>
      <c r="F43" t="s">
        <v>262</v>
      </c>
      <c r="G43" t="s">
        <v>1347</v>
      </c>
      <c r="H43" s="11">
        <v>1.1888389006736754E-3</v>
      </c>
      <c r="I43" s="11">
        <v>0</v>
      </c>
      <c r="J43" s="11">
        <v>0</v>
      </c>
      <c r="K43" s="11">
        <v>0</v>
      </c>
      <c r="L43" s="11" t="str">
        <f t="shared" si="0"/>
        <v/>
      </c>
      <c r="M43" s="11">
        <f t="shared" si="1"/>
        <v>2.9720972516841885E-4</v>
      </c>
      <c r="N43" s="11"/>
      <c r="O43" s="11"/>
      <c r="P43" s="11"/>
    </row>
    <row r="44" spans="1:22" x14ac:dyDescent="0.35">
      <c r="A44" t="s">
        <v>8</v>
      </c>
      <c r="B44" t="s">
        <v>9</v>
      </c>
      <c r="C44" t="s">
        <v>1423</v>
      </c>
      <c r="D44" t="s">
        <v>138</v>
      </c>
      <c r="E44" t="s">
        <v>296</v>
      </c>
      <c r="F44" t="s">
        <v>297</v>
      </c>
      <c r="G44" t="s">
        <v>298</v>
      </c>
      <c r="H44" s="11">
        <v>0</v>
      </c>
      <c r="I44" s="11">
        <v>6.1801224787909434E-4</v>
      </c>
      <c r="J44" s="11">
        <v>0</v>
      </c>
      <c r="K44" s="11">
        <v>4.7351287363125186E-4</v>
      </c>
      <c r="L44" s="11" t="str">
        <f t="shared" si="0"/>
        <v/>
      </c>
      <c r="M44" s="11">
        <f t="shared" si="1"/>
        <v>2.7288128037758654E-4</v>
      </c>
      <c r="N44" s="11"/>
      <c r="O44" s="11"/>
      <c r="P44" s="11"/>
    </row>
    <row r="45" spans="1:22" x14ac:dyDescent="0.35">
      <c r="A45" t="s">
        <v>24</v>
      </c>
      <c r="B45" t="s">
        <v>25</v>
      </c>
      <c r="C45" t="s">
        <v>1337</v>
      </c>
      <c r="D45" t="s">
        <v>26</v>
      </c>
      <c r="E45" t="s">
        <v>27</v>
      </c>
      <c r="F45" t="s">
        <v>1338</v>
      </c>
      <c r="G45" t="s">
        <v>1339</v>
      </c>
      <c r="H45" s="11">
        <v>5.3614303363714775E-4</v>
      </c>
      <c r="I45" s="11">
        <v>0</v>
      </c>
      <c r="J45" s="11">
        <v>5.2056220718375845E-4</v>
      </c>
      <c r="K45" s="11">
        <v>0</v>
      </c>
      <c r="L45" s="11" t="str">
        <f t="shared" si="0"/>
        <v/>
      </c>
      <c r="M45" s="11">
        <f t="shared" si="1"/>
        <v>2.6417631020522655E-4</v>
      </c>
    </row>
    <row r="46" spans="1:22" x14ac:dyDescent="0.35">
      <c r="A46" t="s">
        <v>8</v>
      </c>
      <c r="B46" t="s">
        <v>9</v>
      </c>
      <c r="C46" t="s">
        <v>1423</v>
      </c>
      <c r="D46" t="s">
        <v>10</v>
      </c>
      <c r="E46" t="s">
        <v>1429</v>
      </c>
      <c r="F46" t="s">
        <v>227</v>
      </c>
      <c r="G46" t="s">
        <v>228</v>
      </c>
      <c r="H46" s="11">
        <v>6.9931700039627966E-4</v>
      </c>
      <c r="I46" s="11">
        <v>1.1236586325074442E-4</v>
      </c>
      <c r="J46" s="11">
        <v>0</v>
      </c>
      <c r="K46" s="11">
        <v>0</v>
      </c>
      <c r="L46" s="11" t="str">
        <f t="shared" si="0"/>
        <v/>
      </c>
      <c r="M46" s="11">
        <f t="shared" si="1"/>
        <v>2.0292071591175603E-4</v>
      </c>
    </row>
    <row r="47" spans="1:22" x14ac:dyDescent="0.35">
      <c r="A47" t="s">
        <v>8</v>
      </c>
      <c r="B47" t="s">
        <v>32</v>
      </c>
      <c r="C47" t="s">
        <v>1361</v>
      </c>
      <c r="D47" t="s">
        <v>1362</v>
      </c>
      <c r="E47" t="s">
        <v>1363</v>
      </c>
      <c r="F47" t="s">
        <v>1364</v>
      </c>
      <c r="G47" t="s">
        <v>1365</v>
      </c>
      <c r="H47" s="11">
        <v>6.9931700039627966E-4</v>
      </c>
      <c r="I47" s="11">
        <v>0</v>
      </c>
      <c r="J47" s="11">
        <v>0</v>
      </c>
      <c r="K47" s="11">
        <v>0</v>
      </c>
      <c r="L47" s="11" t="str">
        <f t="shared" si="0"/>
        <v/>
      </c>
      <c r="M47" s="11">
        <f t="shared" si="1"/>
        <v>1.7482925009906992E-4</v>
      </c>
    </row>
    <row r="48" spans="1:22" x14ac:dyDescent="0.35">
      <c r="A48" t="s">
        <v>8</v>
      </c>
      <c r="B48" t="s">
        <v>1351</v>
      </c>
      <c r="C48" t="s">
        <v>1352</v>
      </c>
      <c r="D48" t="s">
        <v>1353</v>
      </c>
      <c r="E48" t="s">
        <v>1354</v>
      </c>
      <c r="F48" t="s">
        <v>1355</v>
      </c>
      <c r="G48" t="s">
        <v>1360</v>
      </c>
      <c r="H48" s="11">
        <v>5.5945360031702375E-4</v>
      </c>
      <c r="I48" s="11">
        <v>0</v>
      </c>
      <c r="J48" s="11">
        <v>0</v>
      </c>
      <c r="K48" s="11">
        <v>0</v>
      </c>
      <c r="L48" s="11" t="str">
        <f t="shared" si="0"/>
        <v/>
      </c>
      <c r="M48" s="11">
        <f t="shared" si="1"/>
        <v>1.3986340007925594E-4</v>
      </c>
    </row>
    <row r="49" spans="1:13" x14ac:dyDescent="0.35">
      <c r="A49" t="s">
        <v>24</v>
      </c>
      <c r="B49" t="s">
        <v>25</v>
      </c>
      <c r="D49" t="s">
        <v>26</v>
      </c>
      <c r="E49" t="s">
        <v>27</v>
      </c>
      <c r="F49" t="s">
        <v>28</v>
      </c>
      <c r="G49" t="s">
        <v>29</v>
      </c>
      <c r="H49" s="11">
        <v>0</v>
      </c>
      <c r="I49" s="11">
        <v>0</v>
      </c>
      <c r="J49" s="11">
        <v>0</v>
      </c>
      <c r="K49" s="11">
        <v>0</v>
      </c>
      <c r="L49" s="11">
        <f t="shared" si="0"/>
        <v>7.6199999999999995E-5</v>
      </c>
      <c r="M49" s="11">
        <f t="shared" si="1"/>
        <v>1.524E-5</v>
      </c>
    </row>
    <row r="50" spans="1:13" x14ac:dyDescent="0.35">
      <c r="A50" t="s">
        <v>24</v>
      </c>
      <c r="B50" t="s">
        <v>25</v>
      </c>
      <c r="D50" t="s">
        <v>40</v>
      </c>
      <c r="E50" t="s">
        <v>56</v>
      </c>
      <c r="F50" t="s">
        <v>523</v>
      </c>
      <c r="G50" s="11" t="s">
        <v>524</v>
      </c>
      <c r="H50" s="11">
        <v>0</v>
      </c>
      <c r="I50" s="11">
        <v>0</v>
      </c>
      <c r="J50" s="11">
        <v>0</v>
      </c>
      <c r="K50" s="11">
        <v>0</v>
      </c>
      <c r="L50" s="11">
        <f t="shared" si="0"/>
        <v>1.2899999999999998E-5</v>
      </c>
      <c r="M50" s="11">
        <f t="shared" si="1"/>
        <v>2.5799999999999999E-6</v>
      </c>
    </row>
  </sheetData>
  <sortState ref="A3:M50">
    <sortCondition descending="1" ref="M3:M50"/>
  </sortState>
  <conditionalFormatting sqref="H3:K50">
    <cfRule type="cellIs" dxfId="2" priority="2" operator="lessThan">
      <formula>0.0005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topLeftCell="G1" workbookViewId="0">
      <selection activeCell="F1" sqref="F1"/>
    </sheetView>
  </sheetViews>
  <sheetFormatPr defaultRowHeight="14.5" x14ac:dyDescent="0.35"/>
  <cols>
    <col min="12" max="12" width="10.1796875" customWidth="1"/>
  </cols>
  <sheetData>
    <row r="2" spans="1:23" ht="58" x14ac:dyDescent="0.35">
      <c r="A2" s="1" t="s">
        <v>1329</v>
      </c>
      <c r="B2" s="1" t="s">
        <v>1330</v>
      </c>
      <c r="C2" s="1" t="s">
        <v>1331</v>
      </c>
      <c r="D2" s="1" t="s">
        <v>1332</v>
      </c>
      <c r="E2" s="1" t="s">
        <v>1333</v>
      </c>
      <c r="F2" s="1" t="s">
        <v>1334</v>
      </c>
      <c r="G2" s="1" t="s">
        <v>1335</v>
      </c>
      <c r="H2" s="21" t="s">
        <v>2089</v>
      </c>
      <c r="I2" s="22" t="s">
        <v>2127</v>
      </c>
      <c r="J2" s="22" t="s">
        <v>2128</v>
      </c>
      <c r="K2" s="22" t="s">
        <v>2129</v>
      </c>
      <c r="L2" s="23" t="s">
        <v>2136</v>
      </c>
      <c r="M2" s="38" t="s">
        <v>1467</v>
      </c>
      <c r="O2" t="s">
        <v>1321</v>
      </c>
      <c r="P2" t="s">
        <v>1322</v>
      </c>
      <c r="R2" t="s">
        <v>1323</v>
      </c>
      <c r="S2" t="s">
        <v>1324</v>
      </c>
      <c r="T2" t="s">
        <v>1325</v>
      </c>
      <c r="U2" t="s">
        <v>1326</v>
      </c>
      <c r="V2" t="s">
        <v>1964</v>
      </c>
      <c r="W2" s="38" t="s">
        <v>1462</v>
      </c>
    </row>
    <row r="3" spans="1:23" x14ac:dyDescent="0.35">
      <c r="A3" t="s">
        <v>8</v>
      </c>
      <c r="B3" t="s">
        <v>1351</v>
      </c>
      <c r="C3" t="s">
        <v>1352</v>
      </c>
      <c r="D3" t="s">
        <v>1353</v>
      </c>
      <c r="E3" t="s">
        <v>1354</v>
      </c>
      <c r="F3" t="s">
        <v>1355</v>
      </c>
      <c r="G3" t="s">
        <v>1360</v>
      </c>
      <c r="H3" s="11">
        <v>0.37194751021117578</v>
      </c>
      <c r="I3" s="11">
        <v>0.49798081776880365</v>
      </c>
      <c r="J3" s="11">
        <v>0</v>
      </c>
      <c r="K3" s="11">
        <v>0</v>
      </c>
      <c r="L3" s="11" t="str">
        <f t="shared" ref="L3:L34" si="0">IFERROR(VLOOKUP(G3,$U$3:$V$12,2,FALSE),"")</f>
        <v/>
      </c>
      <c r="M3" s="12">
        <f t="shared" ref="M3:M34" si="1">MAX(H3:L3)</f>
        <v>0.49798081776880365</v>
      </c>
      <c r="O3" t="s">
        <v>8</v>
      </c>
      <c r="P3" t="s">
        <v>100</v>
      </c>
      <c r="R3" t="s">
        <v>101</v>
      </c>
      <c r="S3" t="s">
        <v>102</v>
      </c>
      <c r="T3" t="s">
        <v>103</v>
      </c>
      <c r="U3" t="s">
        <v>104</v>
      </c>
      <c r="V3" s="12">
        <v>0.4185024</v>
      </c>
      <c r="W3" s="11">
        <f t="shared" ref="W3:W12" si="2">IFERROR(VLOOKUP(U3,$G$3:$H$34,2,FALSE),"")</f>
        <v>2.3659511601633789E-2</v>
      </c>
    </row>
    <row r="4" spans="1:23" x14ac:dyDescent="0.35">
      <c r="A4" t="s">
        <v>8</v>
      </c>
      <c r="B4" t="s">
        <v>100</v>
      </c>
      <c r="C4" t="s">
        <v>1421</v>
      </c>
      <c r="D4" t="s">
        <v>101</v>
      </c>
      <c r="E4" t="s">
        <v>102</v>
      </c>
      <c r="F4" t="s">
        <v>103</v>
      </c>
      <c r="G4" t="s">
        <v>104</v>
      </c>
      <c r="H4" s="11">
        <v>2.3659511601633789E-2</v>
      </c>
      <c r="I4" s="11">
        <v>2.6249369005552751E-2</v>
      </c>
      <c r="J4" s="11">
        <v>6.7757680160780931E-2</v>
      </c>
      <c r="K4" s="11">
        <v>7.4814391776127934E-2</v>
      </c>
      <c r="L4" s="11">
        <f t="shared" si="0"/>
        <v>0.4185024</v>
      </c>
      <c r="M4" s="12">
        <f t="shared" si="1"/>
        <v>0.4185024</v>
      </c>
      <c r="O4" t="s">
        <v>24</v>
      </c>
      <c r="P4" t="s">
        <v>25</v>
      </c>
      <c r="R4" t="s">
        <v>26</v>
      </c>
      <c r="S4" t="s">
        <v>27</v>
      </c>
      <c r="T4" t="s">
        <v>28</v>
      </c>
      <c r="U4" t="s">
        <v>75</v>
      </c>
      <c r="V4" s="12">
        <v>0.30608109999999999</v>
      </c>
      <c r="W4" s="11">
        <f t="shared" si="2"/>
        <v>5.8334057530199011E-2</v>
      </c>
    </row>
    <row r="5" spans="1:23" x14ac:dyDescent="0.35">
      <c r="A5" t="s">
        <v>24</v>
      </c>
      <c r="B5" t="s">
        <v>25</v>
      </c>
      <c r="C5" t="s">
        <v>1337</v>
      </c>
      <c r="D5" t="s">
        <v>26</v>
      </c>
      <c r="E5" t="s">
        <v>27</v>
      </c>
      <c r="F5" t="s">
        <v>28</v>
      </c>
      <c r="G5" t="s">
        <v>75</v>
      </c>
      <c r="H5" s="11">
        <v>5.8334057530199011E-2</v>
      </c>
      <c r="I5" s="11">
        <v>1.5774861181221605E-2</v>
      </c>
      <c r="J5" s="11">
        <v>0</v>
      </c>
      <c r="K5" s="11">
        <v>0</v>
      </c>
      <c r="L5" s="11">
        <f t="shared" si="0"/>
        <v>0.30608109999999999</v>
      </c>
      <c r="M5" s="12">
        <f t="shared" si="1"/>
        <v>0.30608109999999999</v>
      </c>
      <c r="O5" t="s">
        <v>8</v>
      </c>
      <c r="P5" t="s">
        <v>114</v>
      </c>
      <c r="R5" t="s">
        <v>115</v>
      </c>
      <c r="S5" t="s">
        <v>116</v>
      </c>
      <c r="T5" t="s">
        <v>117</v>
      </c>
      <c r="U5" t="s">
        <v>118</v>
      </c>
      <c r="V5" s="12">
        <v>0.22408349999999999</v>
      </c>
      <c r="W5" s="11">
        <f t="shared" si="2"/>
        <v>1.8010776049361257E-2</v>
      </c>
    </row>
    <row r="6" spans="1:23" x14ac:dyDescent="0.35">
      <c r="A6" t="s">
        <v>8</v>
      </c>
      <c r="B6" t="s">
        <v>114</v>
      </c>
      <c r="C6" t="s">
        <v>1422</v>
      </c>
      <c r="D6" t="s">
        <v>115</v>
      </c>
      <c r="E6" t="s">
        <v>116</v>
      </c>
      <c r="F6" t="s">
        <v>117</v>
      </c>
      <c r="G6" t="s">
        <v>118</v>
      </c>
      <c r="H6" s="11">
        <v>1.8010776049361257E-2</v>
      </c>
      <c r="I6" s="11">
        <v>3.2874810701665827E-2</v>
      </c>
      <c r="J6" s="11">
        <v>1.6939420040195233E-2</v>
      </c>
      <c r="K6" s="11">
        <v>0</v>
      </c>
      <c r="L6" s="11">
        <f t="shared" si="0"/>
        <v>0.22408349999999999</v>
      </c>
      <c r="M6" s="12">
        <f t="shared" si="1"/>
        <v>0.22408349999999999</v>
      </c>
      <c r="O6" t="s">
        <v>8</v>
      </c>
      <c r="P6" t="s">
        <v>46</v>
      </c>
      <c r="R6" t="s">
        <v>47</v>
      </c>
      <c r="S6" t="s">
        <v>61</v>
      </c>
      <c r="T6" t="s">
        <v>1466</v>
      </c>
      <c r="U6" t="s">
        <v>1450</v>
      </c>
      <c r="V6" s="12">
        <v>5.0814899999999996E-2</v>
      </c>
      <c r="W6" s="11">
        <f t="shared" si="2"/>
        <v>0</v>
      </c>
    </row>
    <row r="7" spans="1:23" x14ac:dyDescent="0.35">
      <c r="A7" t="s">
        <v>8</v>
      </c>
      <c r="B7" t="s">
        <v>32</v>
      </c>
      <c r="C7" t="s">
        <v>1361</v>
      </c>
      <c r="D7" t="s">
        <v>1362</v>
      </c>
      <c r="E7" t="s">
        <v>1363</v>
      </c>
      <c r="F7" t="s">
        <v>1364</v>
      </c>
      <c r="G7" t="s">
        <v>1367</v>
      </c>
      <c r="H7" s="11">
        <v>0.12716172764404277</v>
      </c>
      <c r="I7" s="11">
        <v>7.7486118122160524E-2</v>
      </c>
      <c r="J7" s="11">
        <v>0.21992535170829744</v>
      </c>
      <c r="K7" s="11">
        <v>0.15476870359794404</v>
      </c>
      <c r="L7" s="11" t="str">
        <f t="shared" si="0"/>
        <v/>
      </c>
      <c r="M7" s="12">
        <f t="shared" si="1"/>
        <v>0.21992535170829744</v>
      </c>
      <c r="O7" t="s">
        <v>8</v>
      </c>
      <c r="P7" t="s">
        <v>46</v>
      </c>
      <c r="R7" t="s">
        <v>364</v>
      </c>
      <c r="S7" t="s">
        <v>416</v>
      </c>
      <c r="T7" t="s">
        <v>1465</v>
      </c>
      <c r="U7" t="s">
        <v>679</v>
      </c>
      <c r="V7" s="12">
        <v>1.862E-4</v>
      </c>
      <c r="W7" s="11" t="str">
        <f t="shared" si="2"/>
        <v/>
      </c>
    </row>
    <row r="8" spans="1:23" x14ac:dyDescent="0.35">
      <c r="A8" t="s">
        <v>8</v>
      </c>
      <c r="B8" t="s">
        <v>46</v>
      </c>
      <c r="C8" t="s">
        <v>1386</v>
      </c>
      <c r="D8" t="s">
        <v>47</v>
      </c>
      <c r="E8" t="s">
        <v>61</v>
      </c>
      <c r="F8" t="s">
        <v>182</v>
      </c>
      <c r="G8" t="s">
        <v>183</v>
      </c>
      <c r="H8" s="11">
        <v>4.0844703224124446E-3</v>
      </c>
      <c r="I8" s="11">
        <v>3.3442705704189802E-3</v>
      </c>
      <c r="J8" s="11">
        <v>1.2345679012345678E-2</v>
      </c>
      <c r="K8" s="11">
        <v>0.16105082809822957</v>
      </c>
      <c r="L8" s="11" t="str">
        <f t="shared" si="0"/>
        <v/>
      </c>
      <c r="M8" s="12">
        <f t="shared" si="1"/>
        <v>0.16105082809822957</v>
      </c>
      <c r="O8" t="s">
        <v>24</v>
      </c>
      <c r="P8" t="s">
        <v>25</v>
      </c>
      <c r="R8" t="s">
        <v>40</v>
      </c>
      <c r="S8" t="s">
        <v>41</v>
      </c>
      <c r="T8" t="s">
        <v>1463</v>
      </c>
      <c r="U8" t="s">
        <v>1447</v>
      </c>
      <c r="V8" s="12">
        <v>1.629E-4</v>
      </c>
      <c r="W8" s="11" t="str">
        <f t="shared" si="2"/>
        <v/>
      </c>
    </row>
    <row r="9" spans="1:23" x14ac:dyDescent="0.35">
      <c r="A9" t="s">
        <v>8</v>
      </c>
      <c r="B9" t="s">
        <v>46</v>
      </c>
      <c r="C9" t="s">
        <v>1386</v>
      </c>
      <c r="D9" t="s">
        <v>47</v>
      </c>
      <c r="E9" t="s">
        <v>1387</v>
      </c>
      <c r="F9" t="s">
        <v>1388</v>
      </c>
      <c r="G9" t="s">
        <v>1393</v>
      </c>
      <c r="H9" s="11">
        <v>2.802641870165986E-3</v>
      </c>
      <c r="I9" s="11">
        <v>5.3697627460878347E-2</v>
      </c>
      <c r="J9" s="11">
        <v>0.16049382716049382</v>
      </c>
      <c r="K9" s="11">
        <v>0</v>
      </c>
      <c r="L9" s="11" t="str">
        <f t="shared" si="0"/>
        <v/>
      </c>
      <c r="M9" s="12">
        <f t="shared" si="1"/>
        <v>0.16049382716049382</v>
      </c>
      <c r="O9" t="s">
        <v>24</v>
      </c>
      <c r="P9" t="s">
        <v>25</v>
      </c>
      <c r="R9" t="s">
        <v>26</v>
      </c>
      <c r="S9" t="s">
        <v>27</v>
      </c>
      <c r="T9" t="s">
        <v>28</v>
      </c>
      <c r="U9" t="s">
        <v>29</v>
      </c>
      <c r="V9" s="12">
        <v>6.1599999999999993E-5</v>
      </c>
      <c r="W9" s="11">
        <f t="shared" si="2"/>
        <v>9.3855913791605114E-2</v>
      </c>
    </row>
    <row r="10" spans="1:23" x14ac:dyDescent="0.35">
      <c r="A10" t="s">
        <v>8</v>
      </c>
      <c r="B10" t="s">
        <v>1351</v>
      </c>
      <c r="C10" t="s">
        <v>1352</v>
      </c>
      <c r="D10" t="s">
        <v>1353</v>
      </c>
      <c r="E10" t="s">
        <v>1354</v>
      </c>
      <c r="F10" t="s">
        <v>1355</v>
      </c>
      <c r="G10" t="s">
        <v>1454</v>
      </c>
      <c r="H10" s="11">
        <v>2.6483879377770053E-2</v>
      </c>
      <c r="I10" s="11">
        <v>4.934376577486118E-2</v>
      </c>
      <c r="J10" s="11">
        <v>0.13867355727820843</v>
      </c>
      <c r="K10" s="11">
        <v>8.3380925185608218E-2</v>
      </c>
      <c r="L10" s="11" t="str">
        <f t="shared" si="0"/>
        <v/>
      </c>
      <c r="M10" s="12">
        <f t="shared" si="1"/>
        <v>0.13867355727820843</v>
      </c>
      <c r="O10" t="s">
        <v>8</v>
      </c>
      <c r="P10" t="s">
        <v>46</v>
      </c>
      <c r="R10" t="s">
        <v>364</v>
      </c>
      <c r="S10" t="s">
        <v>365</v>
      </c>
      <c r="T10" t="s">
        <v>366</v>
      </c>
      <c r="U10" t="s">
        <v>1449</v>
      </c>
      <c r="V10" s="12">
        <v>4.85E-5</v>
      </c>
      <c r="W10" s="11" t="str">
        <f t="shared" si="2"/>
        <v/>
      </c>
    </row>
    <row r="11" spans="1:23" x14ac:dyDescent="0.35">
      <c r="A11" t="s">
        <v>8</v>
      </c>
      <c r="B11" t="s">
        <v>46</v>
      </c>
      <c r="C11" t="s">
        <v>1386</v>
      </c>
      <c r="D11" t="s">
        <v>47</v>
      </c>
      <c r="E11" t="s">
        <v>69</v>
      </c>
      <c r="F11" t="s">
        <v>70</v>
      </c>
      <c r="G11" t="s">
        <v>1413</v>
      </c>
      <c r="H11" s="11">
        <v>6.2418527852611455E-2</v>
      </c>
      <c r="I11" s="11">
        <v>3.2117617364967189E-2</v>
      </c>
      <c r="J11" s="11">
        <v>0.11484352569623887</v>
      </c>
      <c r="K11" s="11">
        <v>0.12364363221016562</v>
      </c>
      <c r="L11" s="11" t="str">
        <f t="shared" si="0"/>
        <v/>
      </c>
      <c r="M11" s="12">
        <f t="shared" si="1"/>
        <v>0.12364363221016562</v>
      </c>
      <c r="O11" t="s">
        <v>24</v>
      </c>
      <c r="P11" t="s">
        <v>25</v>
      </c>
      <c r="R11" t="s">
        <v>40</v>
      </c>
      <c r="S11" t="s">
        <v>41</v>
      </c>
      <c r="T11" t="s">
        <v>52</v>
      </c>
      <c r="U11" t="s">
        <v>53</v>
      </c>
      <c r="V11" s="12">
        <v>3.4199999999999998E-5</v>
      </c>
      <c r="W11" s="11" t="str">
        <f t="shared" si="2"/>
        <v/>
      </c>
    </row>
    <row r="12" spans="1:23" x14ac:dyDescent="0.35">
      <c r="A12" t="s">
        <v>8</v>
      </c>
      <c r="B12" t="s">
        <v>1351</v>
      </c>
      <c r="C12" t="s">
        <v>1352</v>
      </c>
      <c r="D12" t="s">
        <v>1353</v>
      </c>
      <c r="E12" t="s">
        <v>1354</v>
      </c>
      <c r="F12" t="s">
        <v>1355</v>
      </c>
      <c r="G12" t="s">
        <v>1357</v>
      </c>
      <c r="H12" s="11">
        <v>8.8142000521421737E-2</v>
      </c>
      <c r="I12" s="11">
        <v>4.9217566885411408E-2</v>
      </c>
      <c r="J12" s="11">
        <v>0.12173413723801321</v>
      </c>
      <c r="K12" s="11">
        <v>0.10222729868646488</v>
      </c>
      <c r="L12" s="11" t="str">
        <f t="shared" si="0"/>
        <v/>
      </c>
      <c r="M12" s="12">
        <f t="shared" si="1"/>
        <v>0.12173413723801321</v>
      </c>
      <c r="O12" t="s">
        <v>24</v>
      </c>
      <c r="P12" t="s">
        <v>25</v>
      </c>
      <c r="R12" t="s">
        <v>26</v>
      </c>
      <c r="S12" t="s">
        <v>27</v>
      </c>
      <c r="T12" t="s">
        <v>28</v>
      </c>
      <c r="U12" t="s">
        <v>1444</v>
      </c>
      <c r="V12" s="12">
        <v>2.4499999999999999E-5</v>
      </c>
      <c r="W12" s="11" t="str">
        <f t="shared" si="2"/>
        <v/>
      </c>
    </row>
    <row r="13" spans="1:23" x14ac:dyDescent="0.35">
      <c r="A13" t="s">
        <v>24</v>
      </c>
      <c r="B13" t="s">
        <v>25</v>
      </c>
      <c r="C13" t="s">
        <v>1337</v>
      </c>
      <c r="D13" t="s">
        <v>26</v>
      </c>
      <c r="E13" t="s">
        <v>27</v>
      </c>
      <c r="F13" t="s">
        <v>28</v>
      </c>
      <c r="G13" t="s">
        <v>29</v>
      </c>
      <c r="H13" s="11">
        <v>9.3855913791605114E-2</v>
      </c>
      <c r="I13" s="11">
        <v>2.3346794548207976E-2</v>
      </c>
      <c r="J13" s="11">
        <v>7.2638530002871085E-2</v>
      </c>
      <c r="K13" s="11">
        <v>7.5099942889777269E-2</v>
      </c>
      <c r="L13" s="11">
        <f t="shared" si="0"/>
        <v>6.1599999999999993E-5</v>
      </c>
      <c r="M13" s="12">
        <f t="shared" si="1"/>
        <v>9.3855913791605114E-2</v>
      </c>
      <c r="V13" s="37"/>
    </row>
    <row r="14" spans="1:23" x14ac:dyDescent="0.35">
      <c r="A14" t="s">
        <v>8</v>
      </c>
      <c r="B14" t="s">
        <v>46</v>
      </c>
      <c r="C14" t="s">
        <v>1386</v>
      </c>
      <c r="D14" t="s">
        <v>47</v>
      </c>
      <c r="E14" t="s">
        <v>61</v>
      </c>
      <c r="F14" t="s">
        <v>1395</v>
      </c>
      <c r="G14" t="s">
        <v>1390</v>
      </c>
      <c r="H14" s="11">
        <v>5.3554358216737638E-2</v>
      </c>
      <c r="I14" s="11">
        <v>7.483594144371529E-2</v>
      </c>
      <c r="J14" s="11">
        <v>0</v>
      </c>
      <c r="K14" s="11">
        <v>0</v>
      </c>
      <c r="L14" s="11" t="str">
        <f t="shared" si="0"/>
        <v/>
      </c>
      <c r="M14" s="12">
        <f t="shared" si="1"/>
        <v>7.483594144371529E-2</v>
      </c>
      <c r="V14" s="37"/>
    </row>
    <row r="15" spans="1:23" x14ac:dyDescent="0.35">
      <c r="A15" t="s">
        <v>8</v>
      </c>
      <c r="B15" t="s">
        <v>18</v>
      </c>
      <c r="C15" t="s">
        <v>1438</v>
      </c>
      <c r="D15" t="s">
        <v>19</v>
      </c>
      <c r="E15" t="s">
        <v>20</v>
      </c>
      <c r="F15" t="s">
        <v>21</v>
      </c>
      <c r="G15" t="s">
        <v>1439</v>
      </c>
      <c r="H15" s="11">
        <v>2.5441035891196662E-2</v>
      </c>
      <c r="I15" s="11">
        <v>1.9560827864714792E-2</v>
      </c>
      <c r="J15" s="11">
        <v>3.5027275337352858E-2</v>
      </c>
      <c r="K15" s="11">
        <v>6.5391205025699603E-2</v>
      </c>
      <c r="L15" s="11" t="str">
        <f t="shared" si="0"/>
        <v/>
      </c>
      <c r="M15" s="12">
        <f t="shared" si="1"/>
        <v>6.5391205025699603E-2</v>
      </c>
      <c r="V15" s="37"/>
    </row>
    <row r="16" spans="1:23" x14ac:dyDescent="0.35">
      <c r="A16" t="s">
        <v>8</v>
      </c>
      <c r="B16" t="s">
        <v>1351</v>
      </c>
      <c r="C16" t="s">
        <v>1352</v>
      </c>
      <c r="D16" t="s">
        <v>1353</v>
      </c>
      <c r="E16" t="s">
        <v>1354</v>
      </c>
      <c r="F16" t="s">
        <v>1355</v>
      </c>
      <c r="G16" t="s">
        <v>1455</v>
      </c>
      <c r="H16" s="11">
        <v>9.5593986269227422E-4</v>
      </c>
      <c r="I16" s="11">
        <v>1.8929833417465926E-3</v>
      </c>
      <c r="J16" s="11">
        <v>6.6035027275337353E-3</v>
      </c>
      <c r="K16" s="11">
        <v>6.3106796116504854E-2</v>
      </c>
      <c r="L16" s="11" t="str">
        <f t="shared" si="0"/>
        <v/>
      </c>
      <c r="M16" s="12">
        <f t="shared" si="1"/>
        <v>6.3106796116504854E-2</v>
      </c>
      <c r="V16" s="37"/>
    </row>
    <row r="17" spans="1:22" x14ac:dyDescent="0.35">
      <c r="A17" t="s">
        <v>8</v>
      </c>
      <c r="B17" t="s">
        <v>46</v>
      </c>
      <c r="D17" t="s">
        <v>47</v>
      </c>
      <c r="E17" t="s">
        <v>61</v>
      </c>
      <c r="F17" t="s">
        <v>1466</v>
      </c>
      <c r="G17" t="s">
        <v>1450</v>
      </c>
      <c r="H17" s="11">
        <v>0</v>
      </c>
      <c r="I17" s="11">
        <v>0</v>
      </c>
      <c r="J17" s="11">
        <v>0</v>
      </c>
      <c r="K17" s="11">
        <v>0</v>
      </c>
      <c r="L17" s="11">
        <f t="shared" si="0"/>
        <v>5.0814899999999996E-2</v>
      </c>
      <c r="M17" s="12">
        <f t="shared" si="1"/>
        <v>5.0814899999999996E-2</v>
      </c>
      <c r="V17" s="37"/>
    </row>
    <row r="18" spans="1:22" x14ac:dyDescent="0.35">
      <c r="A18" t="s">
        <v>8</v>
      </c>
      <c r="B18" t="s">
        <v>46</v>
      </c>
      <c r="C18" t="s">
        <v>1386</v>
      </c>
      <c r="D18" t="s">
        <v>47</v>
      </c>
      <c r="E18" t="s">
        <v>160</v>
      </c>
      <c r="F18" t="s">
        <v>161</v>
      </c>
      <c r="G18" t="s">
        <v>162</v>
      </c>
      <c r="H18" s="11">
        <v>2.6722864343443121E-3</v>
      </c>
      <c r="I18" s="11">
        <v>7.1933366986370517E-3</v>
      </c>
      <c r="J18" s="11">
        <v>5.1679586563307496E-3</v>
      </c>
      <c r="K18" s="11">
        <v>4.1976013706453458E-2</v>
      </c>
      <c r="L18" s="11" t="str">
        <f t="shared" si="0"/>
        <v/>
      </c>
      <c r="M18" s="12">
        <f t="shared" si="1"/>
        <v>4.1976013706453458E-2</v>
      </c>
      <c r="V18" s="37"/>
    </row>
    <row r="19" spans="1:22" x14ac:dyDescent="0.35">
      <c r="A19" t="s">
        <v>8</v>
      </c>
      <c r="B19" t="s">
        <v>32</v>
      </c>
      <c r="C19" t="s">
        <v>1361</v>
      </c>
      <c r="D19" t="s">
        <v>35</v>
      </c>
      <c r="E19" t="s">
        <v>36</v>
      </c>
      <c r="F19" t="s">
        <v>1373</v>
      </c>
      <c r="G19" t="s">
        <v>1374</v>
      </c>
      <c r="H19" s="11">
        <v>5.8442687060050406E-3</v>
      </c>
      <c r="I19" s="11">
        <v>6.4361433619384151E-3</v>
      </c>
      <c r="J19" s="11">
        <v>7.4648291702555268E-3</v>
      </c>
      <c r="K19" s="11">
        <v>1.8560822387207309E-2</v>
      </c>
      <c r="L19" s="11" t="str">
        <f t="shared" si="0"/>
        <v/>
      </c>
      <c r="M19" s="12">
        <f t="shared" si="1"/>
        <v>1.8560822387207309E-2</v>
      </c>
      <c r="V19" s="37"/>
    </row>
    <row r="20" spans="1:22" x14ac:dyDescent="0.35">
      <c r="A20" t="s">
        <v>8</v>
      </c>
      <c r="B20" t="s">
        <v>32</v>
      </c>
      <c r="C20" t="s">
        <v>1361</v>
      </c>
      <c r="D20" t="s">
        <v>35</v>
      </c>
      <c r="E20" t="s">
        <v>36</v>
      </c>
      <c r="F20" t="s">
        <v>143</v>
      </c>
      <c r="G20" t="s">
        <v>1377</v>
      </c>
      <c r="H20" s="11">
        <v>2.4333014686712434E-3</v>
      </c>
      <c r="I20" s="11">
        <v>5.3634528016153456E-3</v>
      </c>
      <c r="J20" s="11">
        <v>1.5216767154751652E-2</v>
      </c>
      <c r="K20" s="11">
        <v>1.770416904625928E-2</v>
      </c>
      <c r="L20" s="11" t="str">
        <f t="shared" si="0"/>
        <v/>
      </c>
      <c r="M20" s="12">
        <f t="shared" si="1"/>
        <v>1.770416904625928E-2</v>
      </c>
      <c r="V20" s="37"/>
    </row>
    <row r="21" spans="1:22" x14ac:dyDescent="0.35">
      <c r="A21" t="s">
        <v>8</v>
      </c>
      <c r="B21" t="s">
        <v>120</v>
      </c>
      <c r="C21" t="s">
        <v>1379</v>
      </c>
      <c r="D21" t="s">
        <v>121</v>
      </c>
      <c r="E21" t="s">
        <v>122</v>
      </c>
      <c r="F21" t="s">
        <v>123</v>
      </c>
      <c r="G21" t="s">
        <v>1380</v>
      </c>
      <c r="H21" s="11">
        <v>2.4550273746415225E-3</v>
      </c>
      <c r="I21" s="11">
        <v>7.2564361433619384E-3</v>
      </c>
      <c r="J21" s="11">
        <v>5.1679586563307496E-3</v>
      </c>
      <c r="K21" s="11">
        <v>1.2564249000571102E-2</v>
      </c>
      <c r="L21" s="11" t="str">
        <f t="shared" si="0"/>
        <v/>
      </c>
      <c r="M21" s="12">
        <f t="shared" si="1"/>
        <v>1.2564249000571102E-2</v>
      </c>
      <c r="V21" s="37"/>
    </row>
    <row r="22" spans="1:22" x14ac:dyDescent="0.35">
      <c r="A22" t="s">
        <v>8</v>
      </c>
      <c r="B22" t="s">
        <v>120</v>
      </c>
      <c r="C22" t="s">
        <v>1379</v>
      </c>
      <c r="D22" t="s">
        <v>121</v>
      </c>
      <c r="E22" t="s">
        <v>122</v>
      </c>
      <c r="F22" t="s">
        <v>123</v>
      </c>
      <c r="G22" t="s">
        <v>219</v>
      </c>
      <c r="H22" s="11">
        <v>2.0205092552359433E-3</v>
      </c>
      <c r="I22" s="11">
        <v>3.1549722362443212E-3</v>
      </c>
      <c r="J22" s="11">
        <v>0</v>
      </c>
      <c r="K22" s="11">
        <v>5.7110222729868645E-3</v>
      </c>
      <c r="L22" s="11" t="str">
        <f t="shared" si="0"/>
        <v/>
      </c>
      <c r="M22" s="12">
        <f t="shared" si="1"/>
        <v>5.7110222729868645E-3</v>
      </c>
      <c r="V22" s="37"/>
    </row>
    <row r="23" spans="1:22" x14ac:dyDescent="0.35">
      <c r="A23" t="s">
        <v>8</v>
      </c>
      <c r="B23" t="s">
        <v>9</v>
      </c>
      <c r="C23" t="s">
        <v>1423</v>
      </c>
      <c r="D23" t="s">
        <v>10</v>
      </c>
      <c r="E23" t="s">
        <v>131</v>
      </c>
      <c r="F23" t="s">
        <v>150</v>
      </c>
      <c r="G23" t="s">
        <v>151</v>
      </c>
      <c r="H23" s="11">
        <v>4.8883288433127659E-3</v>
      </c>
      <c r="I23" s="11">
        <v>4.0383644623927309E-3</v>
      </c>
      <c r="J23" s="11">
        <v>0</v>
      </c>
      <c r="K23" s="11">
        <v>0</v>
      </c>
      <c r="L23" s="11" t="str">
        <f t="shared" si="0"/>
        <v/>
      </c>
      <c r="M23" s="12">
        <f t="shared" si="1"/>
        <v>4.8883288433127659E-3</v>
      </c>
      <c r="V23" s="37"/>
    </row>
    <row r="24" spans="1:22" x14ac:dyDescent="0.35">
      <c r="A24" t="s">
        <v>8</v>
      </c>
      <c r="B24" t="s">
        <v>46</v>
      </c>
      <c r="C24" t="s">
        <v>1386</v>
      </c>
      <c r="D24" t="s">
        <v>47</v>
      </c>
      <c r="E24" t="s">
        <v>61</v>
      </c>
      <c r="F24" t="s">
        <v>1395</v>
      </c>
      <c r="G24" t="s">
        <v>1396</v>
      </c>
      <c r="H24" s="11">
        <v>3.0199009298687756E-3</v>
      </c>
      <c r="I24" s="11">
        <v>3.4073700151438669E-3</v>
      </c>
      <c r="J24" s="11">
        <v>0</v>
      </c>
      <c r="K24" s="11">
        <v>0</v>
      </c>
      <c r="L24" s="11" t="str">
        <f t="shared" si="0"/>
        <v/>
      </c>
      <c r="M24" s="12">
        <f t="shared" si="1"/>
        <v>3.4073700151438669E-3</v>
      </c>
      <c r="V24" s="37"/>
    </row>
    <row r="25" spans="1:22" x14ac:dyDescent="0.35">
      <c r="A25" t="s">
        <v>8</v>
      </c>
      <c r="B25" t="s">
        <v>9</v>
      </c>
      <c r="C25" t="s">
        <v>1423</v>
      </c>
      <c r="D25" t="s">
        <v>10</v>
      </c>
      <c r="E25" t="s">
        <v>11</v>
      </c>
      <c r="F25" t="s">
        <v>12</v>
      </c>
      <c r="G25" t="s">
        <v>13</v>
      </c>
      <c r="H25" s="11">
        <v>2.8895454940471017E-3</v>
      </c>
      <c r="I25" s="11">
        <v>0</v>
      </c>
      <c r="J25" s="11">
        <v>0</v>
      </c>
      <c r="K25" s="11">
        <v>0</v>
      </c>
      <c r="L25" s="11" t="str">
        <f t="shared" si="0"/>
        <v/>
      </c>
      <c r="M25" s="12">
        <f t="shared" si="1"/>
        <v>2.8895454940471017E-3</v>
      </c>
      <c r="V25" s="37"/>
    </row>
    <row r="26" spans="1:22" x14ac:dyDescent="0.35">
      <c r="A26" t="s">
        <v>8</v>
      </c>
      <c r="B26" t="s">
        <v>46</v>
      </c>
      <c r="C26" t="s">
        <v>1386</v>
      </c>
      <c r="D26" t="s">
        <v>47</v>
      </c>
      <c r="E26" t="s">
        <v>1387</v>
      </c>
      <c r="F26" t="s">
        <v>1388</v>
      </c>
      <c r="G26" t="s">
        <v>1390</v>
      </c>
      <c r="H26" s="11">
        <v>1.0862952985139481E-3</v>
      </c>
      <c r="I26" s="11">
        <v>2.2084805653710248E-3</v>
      </c>
      <c r="J26" s="11">
        <v>0</v>
      </c>
      <c r="K26" s="11">
        <v>0</v>
      </c>
      <c r="L26" s="11" t="str">
        <f t="shared" si="0"/>
        <v/>
      </c>
      <c r="M26" s="12">
        <f t="shared" si="1"/>
        <v>2.2084805653710248E-3</v>
      </c>
      <c r="V26" s="37"/>
    </row>
    <row r="27" spans="1:22" x14ac:dyDescent="0.35">
      <c r="A27" t="s">
        <v>8</v>
      </c>
      <c r="B27" t="s">
        <v>46</v>
      </c>
      <c r="C27" t="s">
        <v>1386</v>
      </c>
      <c r="D27" t="s">
        <v>47</v>
      </c>
      <c r="E27" t="s">
        <v>1387</v>
      </c>
      <c r="F27" t="s">
        <v>1388</v>
      </c>
      <c r="G27" t="s">
        <v>1392</v>
      </c>
      <c r="H27" s="11">
        <v>1.3470061701572956E-3</v>
      </c>
      <c r="I27" s="11">
        <v>6.9409389197375062E-4</v>
      </c>
      <c r="J27" s="11">
        <v>0</v>
      </c>
      <c r="K27" s="11">
        <v>0</v>
      </c>
      <c r="L27" s="11" t="str">
        <f t="shared" si="0"/>
        <v/>
      </c>
      <c r="M27" s="12">
        <f t="shared" si="1"/>
        <v>1.3470061701572956E-3</v>
      </c>
    </row>
    <row r="28" spans="1:22" x14ac:dyDescent="0.35">
      <c r="A28" t="s">
        <v>8</v>
      </c>
      <c r="B28" t="s">
        <v>9</v>
      </c>
      <c r="C28" t="s">
        <v>1423</v>
      </c>
      <c r="D28" t="s">
        <v>10</v>
      </c>
      <c r="E28" t="s">
        <v>1429</v>
      </c>
      <c r="F28" t="s">
        <v>227</v>
      </c>
      <c r="G28" t="s">
        <v>228</v>
      </c>
      <c r="H28" s="11">
        <v>1.1731989223950638E-3</v>
      </c>
      <c r="I28" s="11">
        <v>9.464916708732963E-4</v>
      </c>
      <c r="J28" s="11">
        <v>0</v>
      </c>
      <c r="K28" s="11">
        <v>0</v>
      </c>
      <c r="L28" s="11" t="str">
        <f t="shared" si="0"/>
        <v/>
      </c>
      <c r="M28" s="12">
        <f t="shared" si="1"/>
        <v>1.1731989223950638E-3</v>
      </c>
    </row>
    <row r="29" spans="1:22" x14ac:dyDescent="0.35">
      <c r="A29" t="s">
        <v>8</v>
      </c>
      <c r="B29" t="s">
        <v>290</v>
      </c>
      <c r="C29" t="s">
        <v>1340</v>
      </c>
      <c r="D29" t="s">
        <v>291</v>
      </c>
      <c r="E29" t="s">
        <v>1343</v>
      </c>
      <c r="F29" t="s">
        <v>1344</v>
      </c>
      <c r="G29" t="s">
        <v>291</v>
      </c>
      <c r="H29" s="11">
        <v>6.7350308507864779E-4</v>
      </c>
      <c r="I29" s="11">
        <v>1.0095911155981827E-3</v>
      </c>
      <c r="J29" s="11">
        <v>0</v>
      </c>
      <c r="K29" s="11">
        <v>0</v>
      </c>
      <c r="L29" s="11" t="str">
        <f t="shared" si="0"/>
        <v/>
      </c>
      <c r="M29" s="12">
        <f t="shared" si="1"/>
        <v>1.0095911155981827E-3</v>
      </c>
    </row>
    <row r="30" spans="1:22" x14ac:dyDescent="0.35">
      <c r="A30" t="s">
        <v>8</v>
      </c>
      <c r="B30" t="s">
        <v>9</v>
      </c>
      <c r="C30" t="s">
        <v>1423</v>
      </c>
      <c r="D30" t="s">
        <v>78</v>
      </c>
      <c r="E30" t="s">
        <v>79</v>
      </c>
      <c r="F30" t="s">
        <v>80</v>
      </c>
      <c r="G30" t="s">
        <v>81</v>
      </c>
      <c r="H30" s="11">
        <v>8.907621447814374E-4</v>
      </c>
      <c r="I30" s="11">
        <v>0</v>
      </c>
      <c r="J30" s="11">
        <v>0</v>
      </c>
      <c r="K30" s="11">
        <v>0</v>
      </c>
      <c r="L30" s="11" t="str">
        <f t="shared" si="0"/>
        <v/>
      </c>
      <c r="M30" s="12">
        <f t="shared" si="1"/>
        <v>8.907621447814374E-4</v>
      </c>
    </row>
    <row r="31" spans="1:22" x14ac:dyDescent="0.35">
      <c r="A31" t="s">
        <v>24</v>
      </c>
      <c r="B31" t="s">
        <v>25</v>
      </c>
      <c r="C31" t="s">
        <v>1337</v>
      </c>
      <c r="D31" t="s">
        <v>40</v>
      </c>
      <c r="E31" t="s">
        <v>56</v>
      </c>
      <c r="F31" t="s">
        <v>57</v>
      </c>
      <c r="G31" t="s">
        <v>58</v>
      </c>
      <c r="H31" s="11">
        <v>6.5177717910836885E-4</v>
      </c>
      <c r="I31" s="11">
        <v>0</v>
      </c>
      <c r="J31" s="11">
        <v>0</v>
      </c>
      <c r="K31" s="11">
        <v>0</v>
      </c>
      <c r="L31" s="11" t="str">
        <f t="shared" si="0"/>
        <v/>
      </c>
      <c r="M31" s="12">
        <f t="shared" si="1"/>
        <v>6.5177717910836885E-4</v>
      </c>
    </row>
    <row r="32" spans="1:22" x14ac:dyDescent="0.35">
      <c r="A32" t="s">
        <v>8</v>
      </c>
      <c r="B32" t="s">
        <v>32</v>
      </c>
      <c r="C32" t="s">
        <v>1361</v>
      </c>
      <c r="D32" t="s">
        <v>35</v>
      </c>
      <c r="E32" t="s">
        <v>36</v>
      </c>
      <c r="F32" t="s">
        <v>1373</v>
      </c>
      <c r="G32" t="s">
        <v>1375</v>
      </c>
      <c r="H32" s="11">
        <v>6.3005127313808991E-4</v>
      </c>
      <c r="I32" s="11">
        <v>0</v>
      </c>
      <c r="J32" s="11">
        <v>0</v>
      </c>
      <c r="K32" s="11">
        <v>0</v>
      </c>
      <c r="L32" s="11" t="str">
        <f t="shared" si="0"/>
        <v/>
      </c>
      <c r="M32" s="12">
        <f t="shared" si="1"/>
        <v>6.3005127313808991E-4</v>
      </c>
    </row>
    <row r="33" spans="1:13" x14ac:dyDescent="0.35">
      <c r="A33" t="s">
        <v>8</v>
      </c>
      <c r="B33" t="s">
        <v>32</v>
      </c>
      <c r="C33" t="s">
        <v>1361</v>
      </c>
      <c r="D33" t="s">
        <v>35</v>
      </c>
      <c r="E33" t="s">
        <v>36</v>
      </c>
      <c r="F33" t="s">
        <v>37</v>
      </c>
      <c r="G33" t="s">
        <v>1376</v>
      </c>
      <c r="H33" s="11">
        <v>6.0832536716781086E-4</v>
      </c>
      <c r="I33" s="11">
        <v>0</v>
      </c>
      <c r="J33" s="11">
        <v>0</v>
      </c>
      <c r="K33" s="11">
        <v>0</v>
      </c>
      <c r="L33" s="11" t="str">
        <f t="shared" si="0"/>
        <v/>
      </c>
      <c r="M33" s="12">
        <f t="shared" si="1"/>
        <v>6.0832536716781086E-4</v>
      </c>
    </row>
    <row r="34" spans="1:13" x14ac:dyDescent="0.35">
      <c r="A34" t="s">
        <v>8</v>
      </c>
      <c r="B34" t="s">
        <v>1351</v>
      </c>
      <c r="C34" t="s">
        <v>1352</v>
      </c>
      <c r="D34" t="s">
        <v>1353</v>
      </c>
      <c r="E34" t="s">
        <v>1354</v>
      </c>
      <c r="F34" t="s">
        <v>1355</v>
      </c>
      <c r="G34" t="s">
        <v>1453</v>
      </c>
      <c r="H34" s="11">
        <v>4.1279221343530024E-4</v>
      </c>
      <c r="I34" s="11">
        <v>5.6789500252397778E-4</v>
      </c>
      <c r="J34" s="11">
        <v>0</v>
      </c>
      <c r="K34" s="11">
        <v>0</v>
      </c>
      <c r="L34" s="11" t="str">
        <f t="shared" si="0"/>
        <v/>
      </c>
      <c r="M34" s="12">
        <f t="shared" si="1"/>
        <v>5.6789500252397778E-4</v>
      </c>
    </row>
  </sheetData>
  <sortState ref="A3:M155">
    <sortCondition descending="1" ref="M3:M155"/>
  </sortState>
  <conditionalFormatting sqref="H3:K34">
    <cfRule type="cellIs" dxfId="1" priority="1" operator="lessThan">
      <formula>0.0005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7"/>
  <sheetViews>
    <sheetView topLeftCell="A16" workbookViewId="0">
      <selection activeCell="F1" sqref="F1"/>
    </sheetView>
  </sheetViews>
  <sheetFormatPr defaultRowHeight="14.5" x14ac:dyDescent="0.35"/>
  <cols>
    <col min="12" max="12" width="10.453125" customWidth="1"/>
  </cols>
  <sheetData>
    <row r="2" spans="1:23" ht="58" x14ac:dyDescent="0.35">
      <c r="A2" s="1" t="s">
        <v>1329</v>
      </c>
      <c r="B2" s="1" t="s">
        <v>1330</v>
      </c>
      <c r="C2" s="1" t="s">
        <v>1331</v>
      </c>
      <c r="D2" s="1" t="s">
        <v>1332</v>
      </c>
      <c r="E2" s="1" t="s">
        <v>1333</v>
      </c>
      <c r="F2" s="1" t="s">
        <v>1334</v>
      </c>
      <c r="G2" s="1" t="s">
        <v>1335</v>
      </c>
      <c r="H2" s="21" t="s">
        <v>2091</v>
      </c>
      <c r="I2" s="22" t="s">
        <v>2137</v>
      </c>
      <c r="J2" s="22" t="s">
        <v>2138</v>
      </c>
      <c r="K2" s="22" t="s">
        <v>2139</v>
      </c>
      <c r="L2" s="23" t="s">
        <v>2146</v>
      </c>
      <c r="M2" s="38" t="s">
        <v>1467</v>
      </c>
      <c r="O2" t="s">
        <v>1321</v>
      </c>
      <c r="P2" t="s">
        <v>1322</v>
      </c>
      <c r="R2" t="s">
        <v>1323</v>
      </c>
      <c r="S2" t="s">
        <v>1324</v>
      </c>
      <c r="T2" t="s">
        <v>1325</v>
      </c>
      <c r="U2" t="s">
        <v>1326</v>
      </c>
      <c r="V2" t="s">
        <v>1965</v>
      </c>
      <c r="W2" s="38" t="s">
        <v>1462</v>
      </c>
    </row>
    <row r="3" spans="1:23" x14ac:dyDescent="0.35">
      <c r="A3" t="s">
        <v>24</v>
      </c>
      <c r="B3" t="s">
        <v>25</v>
      </c>
      <c r="C3" t="s">
        <v>1337</v>
      </c>
      <c r="D3" t="s">
        <v>26</v>
      </c>
      <c r="E3" t="s">
        <v>27</v>
      </c>
      <c r="F3" t="s">
        <v>28</v>
      </c>
      <c r="G3" t="s">
        <v>29</v>
      </c>
      <c r="H3" s="11">
        <v>0.23971110856356759</v>
      </c>
      <c r="I3" s="11">
        <v>0.11890875789270738</v>
      </c>
      <c r="J3" s="11">
        <v>0.12836781609195402</v>
      </c>
      <c r="K3" s="11">
        <v>8.8261021693491953E-2</v>
      </c>
      <c r="L3" s="11">
        <f t="shared" ref="L3:L47" si="0">IFERROR(VLOOKUP(G3,$U$3:$V$18,2,FALSE),"")</f>
        <v>0.45550820000000003</v>
      </c>
      <c r="M3" s="12">
        <f t="shared" ref="M3:M47" si="1">MAX(H3:L3)</f>
        <v>0.45550820000000003</v>
      </c>
      <c r="O3" t="s">
        <v>24</v>
      </c>
      <c r="P3" t="s">
        <v>25</v>
      </c>
      <c r="R3" t="s">
        <v>26</v>
      </c>
      <c r="S3" t="s">
        <v>27</v>
      </c>
      <c r="T3" t="s">
        <v>28</v>
      </c>
      <c r="U3" t="s">
        <v>29</v>
      </c>
      <c r="V3" s="11">
        <v>0.45550820000000003</v>
      </c>
      <c r="W3" s="11">
        <f t="shared" ref="W3:W18" si="2">IFERROR(VLOOKUP(U3,$G$3:$H$47,2,FALSE),"")</f>
        <v>0.23971110856356759</v>
      </c>
    </row>
    <row r="4" spans="1:23" x14ac:dyDescent="0.35">
      <c r="A4" t="s">
        <v>24</v>
      </c>
      <c r="B4" t="s">
        <v>25</v>
      </c>
      <c r="D4" t="s">
        <v>40</v>
      </c>
      <c r="E4" t="s">
        <v>41</v>
      </c>
      <c r="F4" t="s">
        <v>1463</v>
      </c>
      <c r="G4" t="s">
        <v>1447</v>
      </c>
      <c r="H4" s="11">
        <v>0</v>
      </c>
      <c r="I4" s="11">
        <v>0</v>
      </c>
      <c r="J4" s="11">
        <v>0</v>
      </c>
      <c r="K4" s="11">
        <v>0</v>
      </c>
      <c r="L4" s="11">
        <f t="shared" si="0"/>
        <v>0.26458359999999997</v>
      </c>
      <c r="M4" s="12">
        <f t="shared" si="1"/>
        <v>0.26458359999999997</v>
      </c>
      <c r="O4" t="s">
        <v>24</v>
      </c>
      <c r="P4" t="s">
        <v>25</v>
      </c>
      <c r="R4" t="s">
        <v>40</v>
      </c>
      <c r="S4" t="s">
        <v>41</v>
      </c>
      <c r="T4" t="s">
        <v>1463</v>
      </c>
      <c r="U4" t="s">
        <v>1447</v>
      </c>
      <c r="V4" s="11">
        <v>0.26458359999999997</v>
      </c>
      <c r="W4" s="11">
        <f t="shared" si="2"/>
        <v>0</v>
      </c>
    </row>
    <row r="5" spans="1:23" x14ac:dyDescent="0.35">
      <c r="A5" t="s">
        <v>8</v>
      </c>
      <c r="B5" t="s">
        <v>9</v>
      </c>
      <c r="C5" t="s">
        <v>1423</v>
      </c>
      <c r="D5" t="s">
        <v>10</v>
      </c>
      <c r="E5" t="s">
        <v>107</v>
      </c>
      <c r="F5" t="s">
        <v>108</v>
      </c>
      <c r="G5" t="s">
        <v>109</v>
      </c>
      <c r="H5" s="11">
        <v>3.6971225495815663E-2</v>
      </c>
      <c r="I5" s="11">
        <v>3.7547597242974885E-2</v>
      </c>
      <c r="J5" s="11">
        <v>5.1586206896551724E-2</v>
      </c>
      <c r="K5" s="11">
        <v>9.9720083974807559E-3</v>
      </c>
      <c r="L5" s="11">
        <f t="shared" si="0"/>
        <v>0.1910385</v>
      </c>
      <c r="M5" s="12">
        <f t="shared" si="1"/>
        <v>0.1910385</v>
      </c>
      <c r="O5" t="s">
        <v>8</v>
      </c>
      <c r="P5" t="s">
        <v>9</v>
      </c>
      <c r="R5" t="s">
        <v>10</v>
      </c>
      <c r="S5" t="s">
        <v>107</v>
      </c>
      <c r="T5" t="s">
        <v>108</v>
      </c>
      <c r="U5" t="s">
        <v>109</v>
      </c>
      <c r="V5" s="11">
        <v>0.1910385</v>
      </c>
      <c r="W5" s="11">
        <f t="shared" si="2"/>
        <v>3.6971225495815663E-2</v>
      </c>
    </row>
    <row r="6" spans="1:23" x14ac:dyDescent="0.35">
      <c r="A6" t="s">
        <v>8</v>
      </c>
      <c r="B6" t="s">
        <v>18</v>
      </c>
      <c r="C6" t="s">
        <v>1438</v>
      </c>
      <c r="D6" t="s">
        <v>19</v>
      </c>
      <c r="E6" t="s">
        <v>20</v>
      </c>
      <c r="F6" t="s">
        <v>21</v>
      </c>
      <c r="G6" t="s">
        <v>1439</v>
      </c>
      <c r="H6" s="11">
        <v>0.17069815430471169</v>
      </c>
      <c r="I6" s="11">
        <v>0.14922639417747144</v>
      </c>
      <c r="J6" s="11">
        <v>0.17370114942528736</v>
      </c>
      <c r="K6" s="11">
        <v>0.12963610916724982</v>
      </c>
      <c r="L6" s="11" t="str">
        <f t="shared" si="0"/>
        <v/>
      </c>
      <c r="M6" s="12">
        <f t="shared" si="1"/>
        <v>0.17370114942528736</v>
      </c>
      <c r="O6" t="s">
        <v>8</v>
      </c>
      <c r="P6" t="s">
        <v>9</v>
      </c>
      <c r="R6" t="s">
        <v>172</v>
      </c>
      <c r="S6" t="s">
        <v>173</v>
      </c>
      <c r="T6" t="s">
        <v>174</v>
      </c>
      <c r="U6" t="s">
        <v>175</v>
      </c>
      <c r="V6" s="11">
        <v>5.9649900000000006E-2</v>
      </c>
      <c r="W6" s="11">
        <f t="shared" si="2"/>
        <v>4.0983606557377051E-3</v>
      </c>
    </row>
    <row r="7" spans="1:23" x14ac:dyDescent="0.35">
      <c r="A7" t="s">
        <v>8</v>
      </c>
      <c r="B7" t="s">
        <v>46</v>
      </c>
      <c r="C7" t="s">
        <v>1386</v>
      </c>
      <c r="D7" t="s">
        <v>64</v>
      </c>
      <c r="E7" t="s">
        <v>65</v>
      </c>
      <c r="F7" t="s">
        <v>66</v>
      </c>
      <c r="G7" t="s">
        <v>1420</v>
      </c>
      <c r="H7" s="11">
        <v>1.6078184110970995E-2</v>
      </c>
      <c r="I7" s="11">
        <v>0.15091338506772065</v>
      </c>
      <c r="J7" s="11">
        <v>0</v>
      </c>
      <c r="K7" s="11">
        <v>0.12132610216934919</v>
      </c>
      <c r="L7" s="11" t="str">
        <f t="shared" si="0"/>
        <v/>
      </c>
      <c r="M7" s="12">
        <f t="shared" si="1"/>
        <v>0.15091338506772065</v>
      </c>
      <c r="O7" t="s">
        <v>24</v>
      </c>
      <c r="P7" t="s">
        <v>25</v>
      </c>
      <c r="R7" t="s">
        <v>40</v>
      </c>
      <c r="S7" t="s">
        <v>41</v>
      </c>
      <c r="T7" t="s">
        <v>52</v>
      </c>
      <c r="U7" t="s">
        <v>53</v>
      </c>
      <c r="V7" s="11">
        <v>2.8341999999999999E-2</v>
      </c>
      <c r="W7" s="11">
        <f t="shared" si="2"/>
        <v>1.5476326951736788E-3</v>
      </c>
    </row>
    <row r="8" spans="1:23" x14ac:dyDescent="0.35">
      <c r="A8" t="s">
        <v>8</v>
      </c>
      <c r="B8" t="s">
        <v>32</v>
      </c>
      <c r="C8" t="s">
        <v>1361</v>
      </c>
      <c r="D8" t="s">
        <v>35</v>
      </c>
      <c r="E8" t="s">
        <v>36</v>
      </c>
      <c r="F8" t="s">
        <v>37</v>
      </c>
      <c r="G8" t="s">
        <v>1376</v>
      </c>
      <c r="H8" s="11">
        <v>0.1165883297030838</v>
      </c>
      <c r="I8" s="11">
        <v>0.12676531546729647</v>
      </c>
      <c r="J8" s="11">
        <v>0.11098850574712643</v>
      </c>
      <c r="K8" s="11">
        <v>9.3421973407977602E-2</v>
      </c>
      <c r="L8" s="11" t="str">
        <f t="shared" si="0"/>
        <v/>
      </c>
      <c r="M8" s="12">
        <f t="shared" si="1"/>
        <v>0.12676531546729647</v>
      </c>
      <c r="O8" t="s">
        <v>8</v>
      </c>
      <c r="P8" t="s">
        <v>9</v>
      </c>
      <c r="R8" t="s">
        <v>172</v>
      </c>
      <c r="S8" t="s">
        <v>173</v>
      </c>
      <c r="T8" t="s">
        <v>590</v>
      </c>
      <c r="U8" t="s">
        <v>591</v>
      </c>
      <c r="V8" s="11">
        <v>2.4939999999999999E-4</v>
      </c>
      <c r="W8" s="11" t="str">
        <f t="shared" si="2"/>
        <v/>
      </c>
    </row>
    <row r="9" spans="1:23" x14ac:dyDescent="0.35">
      <c r="A9" t="s">
        <v>8</v>
      </c>
      <c r="B9" t="s">
        <v>46</v>
      </c>
      <c r="C9" t="s">
        <v>1386</v>
      </c>
      <c r="D9" t="s">
        <v>47</v>
      </c>
      <c r="E9" t="s">
        <v>1387</v>
      </c>
      <c r="F9" t="s">
        <v>1388</v>
      </c>
      <c r="G9" t="s">
        <v>1392</v>
      </c>
      <c r="H9" s="11">
        <v>7.164966181359624E-4</v>
      </c>
      <c r="I9" s="11">
        <v>9.1579505470670462E-4</v>
      </c>
      <c r="J9" s="11">
        <v>0</v>
      </c>
      <c r="K9" s="11">
        <v>0.10925472358292512</v>
      </c>
      <c r="L9" s="11" t="str">
        <f t="shared" si="0"/>
        <v/>
      </c>
      <c r="M9" s="12">
        <f t="shared" si="1"/>
        <v>0.10925472358292512</v>
      </c>
      <c r="O9" t="s">
        <v>8</v>
      </c>
      <c r="P9" t="s">
        <v>9</v>
      </c>
      <c r="R9" t="s">
        <v>243</v>
      </c>
      <c r="S9" t="s">
        <v>244</v>
      </c>
      <c r="T9" t="s">
        <v>245</v>
      </c>
      <c r="U9" t="s">
        <v>246</v>
      </c>
      <c r="V9" s="11">
        <v>1.828E-4</v>
      </c>
      <c r="W9" s="11" t="str">
        <f t="shared" si="2"/>
        <v/>
      </c>
    </row>
    <row r="10" spans="1:23" x14ac:dyDescent="0.35">
      <c r="A10" t="s">
        <v>8</v>
      </c>
      <c r="B10" t="s">
        <v>165</v>
      </c>
      <c r="C10" t="s">
        <v>1440</v>
      </c>
      <c r="D10" t="s">
        <v>166</v>
      </c>
      <c r="E10" t="s">
        <v>167</v>
      </c>
      <c r="F10" t="s">
        <v>168</v>
      </c>
      <c r="G10" t="s">
        <v>169</v>
      </c>
      <c r="H10" s="11">
        <v>8.5979594176315488E-5</v>
      </c>
      <c r="I10" s="11">
        <v>0</v>
      </c>
      <c r="J10" s="11">
        <v>0.10832183908045977</v>
      </c>
      <c r="K10" s="11">
        <v>0</v>
      </c>
      <c r="L10" s="11" t="str">
        <f t="shared" si="0"/>
        <v/>
      </c>
      <c r="M10" s="12">
        <f t="shared" si="1"/>
        <v>0.10832183908045977</v>
      </c>
      <c r="O10" t="s">
        <v>8</v>
      </c>
      <c r="P10" t="s">
        <v>9</v>
      </c>
      <c r="R10" t="s">
        <v>138</v>
      </c>
      <c r="S10" t="s">
        <v>410</v>
      </c>
      <c r="T10" t="s">
        <v>411</v>
      </c>
      <c r="U10" t="s">
        <v>1451</v>
      </c>
      <c r="V10" s="11">
        <v>1.227E-4</v>
      </c>
      <c r="W10" s="11" t="str">
        <f t="shared" si="2"/>
        <v/>
      </c>
    </row>
    <row r="11" spans="1:23" x14ac:dyDescent="0.35">
      <c r="A11" t="s">
        <v>24</v>
      </c>
      <c r="B11" t="s">
        <v>25</v>
      </c>
      <c r="C11" t="s">
        <v>1337</v>
      </c>
      <c r="D11" t="s">
        <v>40</v>
      </c>
      <c r="E11" t="s">
        <v>41</v>
      </c>
      <c r="F11" t="s">
        <v>42</v>
      </c>
      <c r="G11" t="s">
        <v>43</v>
      </c>
      <c r="H11" s="11">
        <v>9.5494669265161064E-2</v>
      </c>
      <c r="I11" s="11">
        <v>8.468694269050947E-2</v>
      </c>
      <c r="J11" s="11">
        <v>9.6000000000000002E-2</v>
      </c>
      <c r="K11" s="11">
        <v>7.9776067179846047E-2</v>
      </c>
      <c r="L11" s="11" t="str">
        <f t="shared" si="0"/>
        <v/>
      </c>
      <c r="M11" s="12">
        <f t="shared" si="1"/>
        <v>9.6000000000000002E-2</v>
      </c>
      <c r="O11" t="s">
        <v>8</v>
      </c>
      <c r="P11" t="s">
        <v>9</v>
      </c>
      <c r="R11" t="s">
        <v>138</v>
      </c>
      <c r="S11" t="s">
        <v>296</v>
      </c>
      <c r="T11" t="s">
        <v>297</v>
      </c>
      <c r="U11" t="s">
        <v>1452</v>
      </c>
      <c r="V11" s="11">
        <v>8.3899999999999993E-5</v>
      </c>
      <c r="W11" s="11" t="str">
        <f t="shared" si="2"/>
        <v/>
      </c>
    </row>
    <row r="12" spans="1:23" x14ac:dyDescent="0.35">
      <c r="A12" t="s">
        <v>8</v>
      </c>
      <c r="B12" t="s">
        <v>46</v>
      </c>
      <c r="C12" t="s">
        <v>1386</v>
      </c>
      <c r="D12" t="s">
        <v>47</v>
      </c>
      <c r="E12" t="s">
        <v>1387</v>
      </c>
      <c r="F12" t="s">
        <v>1388</v>
      </c>
      <c r="G12" t="s">
        <v>1394</v>
      </c>
      <c r="H12" s="11">
        <v>9.4147655623065457E-2</v>
      </c>
      <c r="I12" s="11">
        <v>8.2903552320817461E-2</v>
      </c>
      <c r="J12" s="11">
        <v>0</v>
      </c>
      <c r="K12" s="11">
        <v>0</v>
      </c>
      <c r="L12" s="11" t="str">
        <f t="shared" si="0"/>
        <v/>
      </c>
      <c r="M12" s="12">
        <f t="shared" si="1"/>
        <v>9.4147655623065457E-2</v>
      </c>
      <c r="O12" t="s">
        <v>24</v>
      </c>
      <c r="P12" t="s">
        <v>25</v>
      </c>
      <c r="R12" t="s">
        <v>26</v>
      </c>
      <c r="S12" t="s">
        <v>27</v>
      </c>
      <c r="T12" t="s">
        <v>28</v>
      </c>
      <c r="U12" t="s">
        <v>1444</v>
      </c>
      <c r="V12" s="11">
        <v>8.2100000000000003E-5</v>
      </c>
      <c r="W12" s="11" t="str">
        <f t="shared" si="2"/>
        <v/>
      </c>
    </row>
    <row r="13" spans="1:23" x14ac:dyDescent="0.35">
      <c r="A13" t="s">
        <v>8</v>
      </c>
      <c r="B13" t="s">
        <v>46</v>
      </c>
      <c r="C13" t="s">
        <v>1386</v>
      </c>
      <c r="D13" t="s">
        <v>47</v>
      </c>
      <c r="E13" t="s">
        <v>61</v>
      </c>
      <c r="F13" t="s">
        <v>1395</v>
      </c>
      <c r="G13" t="s">
        <v>1396</v>
      </c>
      <c r="H13" s="11">
        <v>1.3670755474034162E-2</v>
      </c>
      <c r="I13" s="11">
        <v>1.5954113847785223E-2</v>
      </c>
      <c r="J13" s="11">
        <v>8.6988505747126438E-2</v>
      </c>
      <c r="K13" s="11">
        <v>3.9800559832050386E-2</v>
      </c>
      <c r="L13" s="11" t="str">
        <f t="shared" si="0"/>
        <v/>
      </c>
      <c r="M13" s="12">
        <f t="shared" si="1"/>
        <v>8.6988505747126438E-2</v>
      </c>
      <c r="O13" t="s">
        <v>8</v>
      </c>
      <c r="P13" t="s">
        <v>258</v>
      </c>
      <c r="R13" t="s">
        <v>258</v>
      </c>
      <c r="S13" t="s">
        <v>640</v>
      </c>
      <c r="T13" t="s">
        <v>1464</v>
      </c>
      <c r="U13" t="s">
        <v>1448</v>
      </c>
      <c r="V13" s="11">
        <v>7.1099999999999994E-5</v>
      </c>
      <c r="W13" s="11" t="str">
        <f t="shared" si="2"/>
        <v/>
      </c>
    </row>
    <row r="14" spans="1:23" x14ac:dyDescent="0.35">
      <c r="A14" t="s">
        <v>8</v>
      </c>
      <c r="B14" t="s">
        <v>46</v>
      </c>
      <c r="C14" t="s">
        <v>1386</v>
      </c>
      <c r="D14" t="s">
        <v>64</v>
      </c>
      <c r="E14" t="s">
        <v>65</v>
      </c>
      <c r="F14" t="s">
        <v>66</v>
      </c>
      <c r="G14" t="s">
        <v>146</v>
      </c>
      <c r="H14" s="11">
        <v>8.7699186059841793E-3</v>
      </c>
      <c r="I14" s="11">
        <v>1.0025545862052345E-2</v>
      </c>
      <c r="J14" s="11">
        <v>7.4022988505747123E-2</v>
      </c>
      <c r="K14" s="11">
        <v>4.9860041987403778E-2</v>
      </c>
      <c r="L14" s="11" t="str">
        <f t="shared" si="0"/>
        <v/>
      </c>
      <c r="M14" s="12">
        <f t="shared" si="1"/>
        <v>7.4022988505747123E-2</v>
      </c>
      <c r="O14" t="s">
        <v>24</v>
      </c>
      <c r="P14" t="s">
        <v>25</v>
      </c>
      <c r="R14" t="s">
        <v>40</v>
      </c>
      <c r="S14" t="s">
        <v>41</v>
      </c>
      <c r="T14" t="s">
        <v>52</v>
      </c>
      <c r="U14" t="s">
        <v>835</v>
      </c>
      <c r="V14" s="11">
        <v>3.0899999999999999E-5</v>
      </c>
      <c r="W14" s="11" t="str">
        <f t="shared" si="2"/>
        <v/>
      </c>
    </row>
    <row r="15" spans="1:23" x14ac:dyDescent="0.35">
      <c r="A15" t="s">
        <v>8</v>
      </c>
      <c r="B15" t="s">
        <v>9</v>
      </c>
      <c r="C15" t="s">
        <v>1423</v>
      </c>
      <c r="D15" t="s">
        <v>172</v>
      </c>
      <c r="E15" t="s">
        <v>173</v>
      </c>
      <c r="F15" t="s">
        <v>174</v>
      </c>
      <c r="G15" t="s">
        <v>175</v>
      </c>
      <c r="H15" s="11">
        <v>4.0983606557377051E-3</v>
      </c>
      <c r="I15" s="11">
        <v>6.1213669446184994E-3</v>
      </c>
      <c r="J15" s="11">
        <v>9.3793103448275867E-3</v>
      </c>
      <c r="K15" s="11">
        <v>6.4730580825752273E-3</v>
      </c>
      <c r="L15" s="11">
        <f t="shared" si="0"/>
        <v>5.9649900000000006E-2</v>
      </c>
      <c r="M15" s="12">
        <f t="shared" si="1"/>
        <v>5.9649900000000006E-2</v>
      </c>
      <c r="O15" t="s">
        <v>8</v>
      </c>
      <c r="P15" t="s">
        <v>46</v>
      </c>
      <c r="R15" t="s">
        <v>47</v>
      </c>
      <c r="S15" t="s">
        <v>61</v>
      </c>
      <c r="T15" t="s">
        <v>1466</v>
      </c>
      <c r="U15" t="s">
        <v>1450</v>
      </c>
      <c r="V15" s="11">
        <v>2.7399999999999999E-5</v>
      </c>
      <c r="W15" s="11" t="str">
        <f t="shared" si="2"/>
        <v/>
      </c>
    </row>
    <row r="16" spans="1:23" x14ac:dyDescent="0.35">
      <c r="A16" t="s">
        <v>8</v>
      </c>
      <c r="B16" t="s">
        <v>46</v>
      </c>
      <c r="C16" t="s">
        <v>1386</v>
      </c>
      <c r="D16" t="s">
        <v>47</v>
      </c>
      <c r="E16" t="s">
        <v>61</v>
      </c>
      <c r="F16" t="s">
        <v>178</v>
      </c>
      <c r="G16" t="s">
        <v>186</v>
      </c>
      <c r="H16" s="11">
        <v>5.5600137567350686E-3</v>
      </c>
      <c r="I16" s="11">
        <v>2.8437846435629245E-3</v>
      </c>
      <c r="J16" s="11">
        <v>2.2160919540229886E-2</v>
      </c>
      <c r="K16" s="11">
        <v>5.6770468859342199E-2</v>
      </c>
      <c r="L16" s="11" t="str">
        <f t="shared" si="0"/>
        <v/>
      </c>
      <c r="M16" s="12">
        <f t="shared" si="1"/>
        <v>5.6770468859342199E-2</v>
      </c>
      <c r="O16" t="s">
        <v>24</v>
      </c>
      <c r="P16" t="s">
        <v>25</v>
      </c>
      <c r="R16" t="s">
        <v>40</v>
      </c>
      <c r="S16" t="s">
        <v>56</v>
      </c>
      <c r="T16" t="s">
        <v>466</v>
      </c>
      <c r="U16" t="s">
        <v>1446</v>
      </c>
      <c r="V16" s="11">
        <v>2.2100000000000002E-5</v>
      </c>
      <c r="W16" s="11" t="str">
        <f t="shared" si="2"/>
        <v/>
      </c>
    </row>
    <row r="17" spans="1:23" x14ac:dyDescent="0.35">
      <c r="A17" t="s">
        <v>8</v>
      </c>
      <c r="B17" t="s">
        <v>9</v>
      </c>
      <c r="C17" t="s">
        <v>1423</v>
      </c>
      <c r="D17" t="s">
        <v>10</v>
      </c>
      <c r="E17" t="s">
        <v>11</v>
      </c>
      <c r="F17" t="s">
        <v>12</v>
      </c>
      <c r="G17" t="s">
        <v>13</v>
      </c>
      <c r="H17" s="11">
        <v>4.4537429783331424E-2</v>
      </c>
      <c r="I17" s="11">
        <v>4.5259555598399767E-2</v>
      </c>
      <c r="J17" s="11">
        <v>1.793103448275862E-2</v>
      </c>
      <c r="K17" s="11">
        <v>4.8110566829951018E-2</v>
      </c>
      <c r="L17" s="11" t="str">
        <f t="shared" si="0"/>
        <v/>
      </c>
      <c r="M17" s="12">
        <f t="shared" si="1"/>
        <v>4.8110566829951018E-2</v>
      </c>
      <c r="O17" t="s">
        <v>8</v>
      </c>
      <c r="P17" t="s">
        <v>100</v>
      </c>
      <c r="R17" t="s">
        <v>101</v>
      </c>
      <c r="S17" t="s">
        <v>102</v>
      </c>
      <c r="T17" t="s">
        <v>103</v>
      </c>
      <c r="U17" t="s">
        <v>104</v>
      </c>
      <c r="V17" s="11">
        <v>3.4999999999999999E-6</v>
      </c>
      <c r="W17" s="11" t="str">
        <f t="shared" si="2"/>
        <v/>
      </c>
    </row>
    <row r="18" spans="1:23" x14ac:dyDescent="0.35">
      <c r="A18" t="s">
        <v>8</v>
      </c>
      <c r="B18" t="s">
        <v>32</v>
      </c>
      <c r="C18" t="s">
        <v>1361</v>
      </c>
      <c r="D18" t="s">
        <v>35</v>
      </c>
      <c r="E18" t="s">
        <v>36</v>
      </c>
      <c r="F18" t="s">
        <v>194</v>
      </c>
      <c r="G18" t="s">
        <v>195</v>
      </c>
      <c r="H18" s="11">
        <v>9.1711567121403187E-4</v>
      </c>
      <c r="I18" s="11">
        <v>7.9047573143105031E-3</v>
      </c>
      <c r="J18" s="11">
        <v>4.2850574712643676E-2</v>
      </c>
      <c r="K18" s="11">
        <v>2.8778866340097971E-2</v>
      </c>
      <c r="L18" s="11" t="str">
        <f t="shared" si="0"/>
        <v/>
      </c>
      <c r="M18" s="12">
        <f t="shared" si="1"/>
        <v>4.2850574712643676E-2</v>
      </c>
      <c r="O18" t="s">
        <v>8</v>
      </c>
      <c r="P18" t="s">
        <v>46</v>
      </c>
      <c r="R18" t="s">
        <v>47</v>
      </c>
      <c r="S18" t="s">
        <v>61</v>
      </c>
      <c r="T18" t="s">
        <v>94</v>
      </c>
      <c r="U18" t="s">
        <v>95</v>
      </c>
      <c r="V18" s="11">
        <v>1.8000000000000001E-6</v>
      </c>
      <c r="W18" s="11">
        <f t="shared" si="2"/>
        <v>4.3849593029920897E-3</v>
      </c>
    </row>
    <row r="19" spans="1:23" x14ac:dyDescent="0.35">
      <c r="A19" t="s">
        <v>8</v>
      </c>
      <c r="B19" t="s">
        <v>46</v>
      </c>
      <c r="C19" t="s">
        <v>1386</v>
      </c>
      <c r="D19" t="s">
        <v>47</v>
      </c>
      <c r="E19" t="s">
        <v>61</v>
      </c>
      <c r="F19" t="s">
        <v>84</v>
      </c>
      <c r="G19" t="s">
        <v>85</v>
      </c>
      <c r="H19" s="11">
        <v>3.7057205089991975E-2</v>
      </c>
      <c r="I19" s="11">
        <v>3.6680001927989592E-2</v>
      </c>
      <c r="J19" s="11">
        <v>0</v>
      </c>
      <c r="K19" s="11">
        <v>4.1375087473757871E-2</v>
      </c>
      <c r="L19" s="11" t="str">
        <f t="shared" si="0"/>
        <v/>
      </c>
      <c r="M19" s="12">
        <f t="shared" si="1"/>
        <v>4.1375087473757871E-2</v>
      </c>
    </row>
    <row r="20" spans="1:23" x14ac:dyDescent="0.35">
      <c r="A20" t="s">
        <v>8</v>
      </c>
      <c r="B20" t="s">
        <v>46</v>
      </c>
      <c r="C20" t="s">
        <v>1386</v>
      </c>
      <c r="D20" t="s">
        <v>47</v>
      </c>
      <c r="E20" t="s">
        <v>61</v>
      </c>
      <c r="F20" t="s">
        <v>1395</v>
      </c>
      <c r="G20" t="s">
        <v>1398</v>
      </c>
      <c r="H20" s="11">
        <v>3.2271007680843747E-2</v>
      </c>
      <c r="I20" s="11">
        <v>3.2872222489998555E-2</v>
      </c>
      <c r="J20" s="11">
        <v>0</v>
      </c>
      <c r="K20" s="11">
        <v>0</v>
      </c>
      <c r="L20" s="11" t="str">
        <f t="shared" si="0"/>
        <v/>
      </c>
      <c r="M20" s="12">
        <f t="shared" si="1"/>
        <v>3.2872222489998555E-2</v>
      </c>
    </row>
    <row r="21" spans="1:23" x14ac:dyDescent="0.35">
      <c r="A21" t="s">
        <v>24</v>
      </c>
      <c r="B21" t="s">
        <v>25</v>
      </c>
      <c r="C21" t="s">
        <v>1337</v>
      </c>
      <c r="D21" t="s">
        <v>40</v>
      </c>
      <c r="E21" t="s">
        <v>41</v>
      </c>
      <c r="F21" t="s">
        <v>52</v>
      </c>
      <c r="G21" t="s">
        <v>53</v>
      </c>
      <c r="H21" s="11">
        <v>1.5476326951736788E-3</v>
      </c>
      <c r="I21" s="11">
        <v>1.0652142478430616E-2</v>
      </c>
      <c r="J21" s="11">
        <v>0</v>
      </c>
      <c r="K21" s="11">
        <v>0</v>
      </c>
      <c r="L21" s="11">
        <f t="shared" si="0"/>
        <v>2.8341999999999999E-2</v>
      </c>
      <c r="M21" s="12">
        <f t="shared" si="1"/>
        <v>2.8341999999999999E-2</v>
      </c>
    </row>
    <row r="22" spans="1:23" x14ac:dyDescent="0.35">
      <c r="A22" t="s">
        <v>8</v>
      </c>
      <c r="B22" t="s">
        <v>46</v>
      </c>
      <c r="C22" t="s">
        <v>1386</v>
      </c>
      <c r="D22" t="s">
        <v>47</v>
      </c>
      <c r="E22" t="s">
        <v>160</v>
      </c>
      <c r="F22" t="s">
        <v>161</v>
      </c>
      <c r="G22" t="s">
        <v>162</v>
      </c>
      <c r="H22" s="11">
        <v>4.2130001146394591E-3</v>
      </c>
      <c r="I22" s="11">
        <v>1.8797898491348147E-3</v>
      </c>
      <c r="J22" s="11">
        <v>1.4712643678160919E-3</v>
      </c>
      <c r="K22" s="11">
        <v>2.1606018194541637E-2</v>
      </c>
      <c r="L22" s="11" t="str">
        <f t="shared" si="0"/>
        <v/>
      </c>
      <c r="M22" s="12">
        <f t="shared" si="1"/>
        <v>2.1606018194541637E-2</v>
      </c>
    </row>
    <row r="23" spans="1:23" x14ac:dyDescent="0.35">
      <c r="A23" t="s">
        <v>8</v>
      </c>
      <c r="B23" t="s">
        <v>9</v>
      </c>
      <c r="C23" t="s">
        <v>1423</v>
      </c>
      <c r="D23" t="s">
        <v>138</v>
      </c>
      <c r="E23" t="s">
        <v>139</v>
      </c>
      <c r="F23" t="s">
        <v>140</v>
      </c>
      <c r="G23" t="s">
        <v>1428</v>
      </c>
      <c r="H23" s="11">
        <v>8.3113607703771634E-3</v>
      </c>
      <c r="I23" s="11">
        <v>1.4508121656143057E-2</v>
      </c>
      <c r="J23" s="11">
        <v>1.857471264367816E-2</v>
      </c>
      <c r="K23" s="11">
        <v>1.2946116165150455E-2</v>
      </c>
      <c r="L23" s="11" t="str">
        <f t="shared" si="0"/>
        <v/>
      </c>
      <c r="M23" s="12">
        <f t="shared" si="1"/>
        <v>1.857471264367816E-2</v>
      </c>
    </row>
    <row r="24" spans="1:23" x14ac:dyDescent="0.35">
      <c r="A24" t="s">
        <v>8</v>
      </c>
      <c r="B24" t="s">
        <v>46</v>
      </c>
      <c r="C24" t="s">
        <v>1386</v>
      </c>
      <c r="D24" t="s">
        <v>47</v>
      </c>
      <c r="E24" t="s">
        <v>61</v>
      </c>
      <c r="F24" t="s">
        <v>210</v>
      </c>
      <c r="G24" t="s">
        <v>211</v>
      </c>
      <c r="H24" s="11">
        <v>2.1494898544078874E-3</v>
      </c>
      <c r="I24" s="11">
        <v>2.9401841230057356E-3</v>
      </c>
      <c r="J24" s="11">
        <v>0</v>
      </c>
      <c r="K24" s="11">
        <v>1.7932120363890833E-2</v>
      </c>
      <c r="L24" s="11" t="str">
        <f t="shared" si="0"/>
        <v/>
      </c>
      <c r="M24" s="12">
        <f t="shared" si="1"/>
        <v>1.7932120363890833E-2</v>
      </c>
    </row>
    <row r="25" spans="1:23" x14ac:dyDescent="0.35">
      <c r="A25" t="s">
        <v>8</v>
      </c>
      <c r="B25" t="s">
        <v>9</v>
      </c>
      <c r="C25" t="s">
        <v>1423</v>
      </c>
      <c r="D25" t="s">
        <v>10</v>
      </c>
      <c r="E25" t="s">
        <v>131</v>
      </c>
      <c r="F25" t="s">
        <v>132</v>
      </c>
      <c r="G25" t="s">
        <v>133</v>
      </c>
      <c r="H25" s="11">
        <v>7.2796056402613784E-3</v>
      </c>
      <c r="I25" s="11">
        <v>6.6997638212753655E-3</v>
      </c>
      <c r="J25" s="11">
        <v>1.710344827586207E-2</v>
      </c>
      <c r="K25" s="11">
        <v>1.5220433869839048E-2</v>
      </c>
      <c r="L25" s="11" t="str">
        <f t="shared" si="0"/>
        <v/>
      </c>
      <c r="M25" s="12">
        <f t="shared" si="1"/>
        <v>1.710344827586207E-2</v>
      </c>
    </row>
    <row r="26" spans="1:23" x14ac:dyDescent="0.35">
      <c r="A26" t="s">
        <v>8</v>
      </c>
      <c r="B26" t="s">
        <v>32</v>
      </c>
      <c r="C26" t="s">
        <v>1361</v>
      </c>
      <c r="D26" t="s">
        <v>35</v>
      </c>
      <c r="E26" t="s">
        <v>36</v>
      </c>
      <c r="F26" t="s">
        <v>1373</v>
      </c>
      <c r="G26" t="s">
        <v>1375</v>
      </c>
      <c r="H26" s="11">
        <v>1.1291986701822767E-2</v>
      </c>
      <c r="I26" s="11">
        <v>6.2659661637827152E-3</v>
      </c>
      <c r="J26" s="11">
        <v>6.5287356321839084E-3</v>
      </c>
      <c r="K26" s="11">
        <v>5.5108467459762068E-3</v>
      </c>
      <c r="L26" s="11" t="str">
        <f t="shared" si="0"/>
        <v/>
      </c>
      <c r="M26" s="12">
        <f t="shared" si="1"/>
        <v>1.1291986701822767E-2</v>
      </c>
    </row>
    <row r="27" spans="1:23" x14ac:dyDescent="0.35">
      <c r="A27" t="s">
        <v>8</v>
      </c>
      <c r="B27" t="s">
        <v>32</v>
      </c>
      <c r="C27" t="s">
        <v>1361</v>
      </c>
      <c r="D27" t="s">
        <v>35</v>
      </c>
      <c r="E27" t="s">
        <v>36</v>
      </c>
      <c r="F27" t="s">
        <v>143</v>
      </c>
      <c r="G27" t="s">
        <v>1377</v>
      </c>
      <c r="H27" s="11">
        <v>3.4391837670526195E-3</v>
      </c>
      <c r="I27" s="11">
        <v>9.1579505470670459E-3</v>
      </c>
      <c r="J27" s="11">
        <v>0</v>
      </c>
      <c r="K27" s="11">
        <v>0</v>
      </c>
      <c r="L27" s="11" t="str">
        <f t="shared" si="0"/>
        <v/>
      </c>
      <c r="M27" s="12">
        <f t="shared" si="1"/>
        <v>9.1579505470670459E-3</v>
      </c>
    </row>
    <row r="28" spans="1:23" x14ac:dyDescent="0.35">
      <c r="A28" t="s">
        <v>8</v>
      </c>
      <c r="B28" t="s">
        <v>46</v>
      </c>
      <c r="C28" t="s">
        <v>1386</v>
      </c>
      <c r="D28" t="s">
        <v>47</v>
      </c>
      <c r="E28" t="s">
        <v>61</v>
      </c>
      <c r="F28" t="s">
        <v>238</v>
      </c>
      <c r="G28" t="s">
        <v>239</v>
      </c>
      <c r="H28" s="11">
        <v>2.0061905307806947E-3</v>
      </c>
      <c r="I28" s="11">
        <v>4.0487781365980621E-3</v>
      </c>
      <c r="J28" s="11">
        <v>5.5172413793103444E-3</v>
      </c>
      <c r="K28" s="11">
        <v>8.74737578726382E-3</v>
      </c>
      <c r="L28" s="11" t="str">
        <f t="shared" si="0"/>
        <v/>
      </c>
      <c r="M28" s="12">
        <f t="shared" si="1"/>
        <v>8.74737578726382E-3</v>
      </c>
    </row>
    <row r="29" spans="1:23" x14ac:dyDescent="0.35">
      <c r="A29" t="s">
        <v>8</v>
      </c>
      <c r="B29" t="s">
        <v>9</v>
      </c>
      <c r="C29" t="s">
        <v>1423</v>
      </c>
      <c r="D29" t="s">
        <v>10</v>
      </c>
      <c r="E29" t="s">
        <v>131</v>
      </c>
      <c r="F29" t="s">
        <v>150</v>
      </c>
      <c r="G29" t="s">
        <v>151</v>
      </c>
      <c r="H29" s="11">
        <v>3.2385647139745503E-3</v>
      </c>
      <c r="I29" s="11">
        <v>1.9761893285776258E-3</v>
      </c>
      <c r="J29" s="11">
        <v>7.0804597701149422E-3</v>
      </c>
      <c r="K29" s="11">
        <v>7.8726382085374386E-3</v>
      </c>
      <c r="L29" s="11" t="str">
        <f t="shared" si="0"/>
        <v/>
      </c>
      <c r="M29" s="12">
        <f t="shared" si="1"/>
        <v>7.8726382085374386E-3</v>
      </c>
    </row>
    <row r="30" spans="1:23" x14ac:dyDescent="0.35">
      <c r="A30" t="s">
        <v>8</v>
      </c>
      <c r="B30" t="s">
        <v>46</v>
      </c>
      <c r="C30" t="s">
        <v>1386</v>
      </c>
      <c r="D30" t="s">
        <v>47</v>
      </c>
      <c r="E30" t="s">
        <v>61</v>
      </c>
      <c r="F30" t="s">
        <v>94</v>
      </c>
      <c r="G30" t="s">
        <v>95</v>
      </c>
      <c r="H30" s="11">
        <v>4.3849593029920897E-3</v>
      </c>
      <c r="I30" s="11">
        <v>5.8803682460114711E-3</v>
      </c>
      <c r="J30" s="11">
        <v>6.1609195402298851E-3</v>
      </c>
      <c r="K30" s="11">
        <v>0</v>
      </c>
      <c r="L30" s="11">
        <f t="shared" si="0"/>
        <v>1.8000000000000001E-6</v>
      </c>
      <c r="M30" s="12">
        <f t="shared" si="1"/>
        <v>6.1609195402298851E-3</v>
      </c>
    </row>
    <row r="31" spans="1:23" x14ac:dyDescent="0.35">
      <c r="A31" t="s">
        <v>8</v>
      </c>
      <c r="B31" t="s">
        <v>46</v>
      </c>
      <c r="C31" t="s">
        <v>1386</v>
      </c>
      <c r="D31" t="s">
        <v>47</v>
      </c>
      <c r="E31" t="s">
        <v>61</v>
      </c>
      <c r="F31" t="s">
        <v>178</v>
      </c>
      <c r="G31" t="s">
        <v>179</v>
      </c>
      <c r="H31" s="11">
        <v>4.1843402499140208E-3</v>
      </c>
      <c r="I31" s="11">
        <v>5.7839687665686606E-3</v>
      </c>
      <c r="J31" s="11">
        <v>0</v>
      </c>
      <c r="K31" s="11">
        <v>0</v>
      </c>
      <c r="L31" s="11" t="str">
        <f t="shared" si="0"/>
        <v/>
      </c>
      <c r="M31" s="12">
        <f t="shared" si="1"/>
        <v>5.7839687665686606E-3</v>
      </c>
    </row>
    <row r="32" spans="1:23" x14ac:dyDescent="0.35">
      <c r="A32" t="s">
        <v>8</v>
      </c>
      <c r="B32" t="s">
        <v>46</v>
      </c>
      <c r="C32" t="s">
        <v>1386</v>
      </c>
      <c r="D32" t="s">
        <v>47</v>
      </c>
      <c r="E32" t="s">
        <v>61</v>
      </c>
      <c r="F32" t="s">
        <v>268</v>
      </c>
      <c r="G32" t="s">
        <v>269</v>
      </c>
      <c r="H32" s="11">
        <v>9.1711567121403187E-4</v>
      </c>
      <c r="I32" s="11">
        <v>1.8797898491348147E-3</v>
      </c>
      <c r="J32" s="11">
        <v>5.7011494252873565E-3</v>
      </c>
      <c r="K32" s="11">
        <v>0</v>
      </c>
      <c r="L32" s="11" t="str">
        <f t="shared" si="0"/>
        <v/>
      </c>
      <c r="M32" s="12">
        <f t="shared" si="1"/>
        <v>5.7011494252873565E-3</v>
      </c>
    </row>
    <row r="33" spans="1:13" x14ac:dyDescent="0.35">
      <c r="A33" t="s">
        <v>8</v>
      </c>
      <c r="B33" t="s">
        <v>120</v>
      </c>
      <c r="C33" t="s">
        <v>1379</v>
      </c>
      <c r="D33" t="s">
        <v>121</v>
      </c>
      <c r="E33" t="s">
        <v>122</v>
      </c>
      <c r="F33" t="s">
        <v>123</v>
      </c>
      <c r="G33" t="s">
        <v>219</v>
      </c>
      <c r="H33" s="11">
        <v>1.6622721540754328E-3</v>
      </c>
      <c r="I33" s="11">
        <v>3.1811828216127633E-3</v>
      </c>
      <c r="J33" s="11">
        <v>2.1149425287356324E-3</v>
      </c>
      <c r="K33" s="11">
        <v>2.4492652204338699E-3</v>
      </c>
      <c r="L33" s="11" t="str">
        <f t="shared" si="0"/>
        <v/>
      </c>
      <c r="M33" s="12">
        <f t="shared" si="1"/>
        <v>3.1811828216127633E-3</v>
      </c>
    </row>
    <row r="34" spans="1:13" x14ac:dyDescent="0.35">
      <c r="A34" t="s">
        <v>8</v>
      </c>
      <c r="B34" t="s">
        <v>46</v>
      </c>
      <c r="C34" t="s">
        <v>1386</v>
      </c>
      <c r="D34" t="s">
        <v>1414</v>
      </c>
      <c r="E34" t="s">
        <v>1415</v>
      </c>
      <c r="F34" t="s">
        <v>1416</v>
      </c>
      <c r="G34" t="s">
        <v>1398</v>
      </c>
      <c r="H34" s="11">
        <v>3.0379456608964806E-3</v>
      </c>
      <c r="I34" s="11">
        <v>2.1207885477418421E-3</v>
      </c>
      <c r="J34" s="11">
        <v>0</v>
      </c>
      <c r="K34" s="11">
        <v>0</v>
      </c>
      <c r="L34" s="11" t="str">
        <f t="shared" si="0"/>
        <v/>
      </c>
      <c r="M34" s="12">
        <f t="shared" si="1"/>
        <v>3.0379456608964806E-3</v>
      </c>
    </row>
    <row r="35" spans="1:13" x14ac:dyDescent="0.35">
      <c r="A35" t="s">
        <v>8</v>
      </c>
      <c r="B35" t="s">
        <v>9</v>
      </c>
      <c r="C35" t="s">
        <v>1423</v>
      </c>
      <c r="D35" t="s">
        <v>10</v>
      </c>
      <c r="E35" t="s">
        <v>1429</v>
      </c>
      <c r="F35" t="s">
        <v>227</v>
      </c>
      <c r="G35" t="s">
        <v>228</v>
      </c>
      <c r="H35" s="11">
        <v>3.0379456608964806E-3</v>
      </c>
      <c r="I35" s="11">
        <v>2.3617872463488699E-3</v>
      </c>
      <c r="J35" s="11">
        <v>0</v>
      </c>
      <c r="K35" s="11">
        <v>0</v>
      </c>
      <c r="L35" s="11" t="str">
        <f t="shared" si="0"/>
        <v/>
      </c>
      <c r="M35" s="12">
        <f t="shared" si="1"/>
        <v>3.0379456608964806E-3</v>
      </c>
    </row>
    <row r="36" spans="1:13" x14ac:dyDescent="0.35">
      <c r="A36" t="s">
        <v>8</v>
      </c>
      <c r="B36" t="s">
        <v>18</v>
      </c>
      <c r="C36" t="s">
        <v>1438</v>
      </c>
      <c r="D36" t="s">
        <v>19</v>
      </c>
      <c r="E36" t="s">
        <v>20</v>
      </c>
      <c r="F36" t="s">
        <v>21</v>
      </c>
      <c r="G36" t="s">
        <v>235</v>
      </c>
      <c r="H36" s="11">
        <v>1.7482517482517483E-3</v>
      </c>
      <c r="I36" s="11">
        <v>1.7833903696920037E-3</v>
      </c>
      <c r="J36" s="11">
        <v>2.6666666666666666E-3</v>
      </c>
      <c r="K36" s="11">
        <v>2.7116864940517843E-3</v>
      </c>
      <c r="L36" s="11" t="str">
        <f t="shared" si="0"/>
        <v/>
      </c>
      <c r="M36" s="12">
        <f t="shared" si="1"/>
        <v>2.7116864940517843E-3</v>
      </c>
    </row>
    <row r="37" spans="1:13" x14ac:dyDescent="0.35">
      <c r="A37" t="s">
        <v>8</v>
      </c>
      <c r="B37" t="s">
        <v>1351</v>
      </c>
      <c r="C37" t="s">
        <v>1352</v>
      </c>
      <c r="D37" t="s">
        <v>1353</v>
      </c>
      <c r="E37" t="s">
        <v>1354</v>
      </c>
      <c r="F37" t="s">
        <v>1355</v>
      </c>
      <c r="G37" t="s">
        <v>1454</v>
      </c>
      <c r="H37" s="11">
        <v>4.2989797088157744E-4</v>
      </c>
      <c r="I37" s="11">
        <v>1.1085940135923266E-3</v>
      </c>
      <c r="J37" s="11">
        <v>2.206896551724138E-3</v>
      </c>
      <c r="K37" s="11">
        <v>1.5745276417074878E-3</v>
      </c>
      <c r="L37" s="11" t="str">
        <f t="shared" si="0"/>
        <v/>
      </c>
      <c r="M37" s="12">
        <f t="shared" si="1"/>
        <v>2.206896551724138E-3</v>
      </c>
    </row>
    <row r="38" spans="1:13" x14ac:dyDescent="0.35">
      <c r="A38" t="s">
        <v>8</v>
      </c>
      <c r="B38" t="s">
        <v>9</v>
      </c>
      <c r="C38" t="s">
        <v>1423</v>
      </c>
      <c r="D38" t="s">
        <v>10</v>
      </c>
      <c r="E38" t="s">
        <v>11</v>
      </c>
      <c r="F38" t="s">
        <v>249</v>
      </c>
      <c r="G38" t="s">
        <v>250</v>
      </c>
      <c r="H38" s="11">
        <v>1.7482517482517483E-3</v>
      </c>
      <c r="I38" s="11">
        <v>1.060394273870921E-3</v>
      </c>
      <c r="J38" s="11">
        <v>0</v>
      </c>
      <c r="K38" s="11">
        <v>0</v>
      </c>
      <c r="L38" s="11" t="str">
        <f t="shared" si="0"/>
        <v/>
      </c>
      <c r="M38" s="12">
        <f t="shared" si="1"/>
        <v>1.7482517482517483E-3</v>
      </c>
    </row>
    <row r="39" spans="1:13" x14ac:dyDescent="0.35">
      <c r="A39" t="s">
        <v>8</v>
      </c>
      <c r="B39" t="s">
        <v>9</v>
      </c>
      <c r="C39" t="s">
        <v>1423</v>
      </c>
      <c r="D39" t="s">
        <v>138</v>
      </c>
      <c r="E39" t="s">
        <v>296</v>
      </c>
      <c r="F39" t="s">
        <v>297</v>
      </c>
      <c r="G39" t="s">
        <v>298</v>
      </c>
      <c r="H39" s="11">
        <v>0</v>
      </c>
      <c r="I39" s="11">
        <v>1.5905914108063817E-3</v>
      </c>
      <c r="J39" s="11">
        <v>0</v>
      </c>
      <c r="K39" s="11">
        <v>0</v>
      </c>
      <c r="L39" s="11" t="str">
        <f t="shared" si="0"/>
        <v/>
      </c>
      <c r="M39" s="12">
        <f t="shared" si="1"/>
        <v>1.5905914108063817E-3</v>
      </c>
    </row>
    <row r="40" spans="1:13" x14ac:dyDescent="0.35">
      <c r="A40" t="s">
        <v>8</v>
      </c>
      <c r="B40" t="s">
        <v>46</v>
      </c>
      <c r="C40" t="s">
        <v>1386</v>
      </c>
      <c r="D40" t="s">
        <v>47</v>
      </c>
      <c r="E40" t="s">
        <v>61</v>
      </c>
      <c r="F40" t="s">
        <v>190</v>
      </c>
      <c r="G40" t="s">
        <v>191</v>
      </c>
      <c r="H40" s="11">
        <v>1.3756735068210478E-3</v>
      </c>
      <c r="I40" s="11">
        <v>1.1567937533137321E-3</v>
      </c>
      <c r="J40" s="11">
        <v>0</v>
      </c>
      <c r="K40" s="11">
        <v>0</v>
      </c>
      <c r="L40" s="11" t="str">
        <f t="shared" si="0"/>
        <v/>
      </c>
      <c r="M40" s="12">
        <f t="shared" si="1"/>
        <v>1.3756735068210478E-3</v>
      </c>
    </row>
    <row r="41" spans="1:13" x14ac:dyDescent="0.35">
      <c r="A41" t="s">
        <v>8</v>
      </c>
      <c r="B41" t="s">
        <v>46</v>
      </c>
      <c r="C41" t="s">
        <v>1386</v>
      </c>
      <c r="D41" t="s">
        <v>47</v>
      </c>
      <c r="E41" t="s">
        <v>61</v>
      </c>
      <c r="F41" t="s">
        <v>1395</v>
      </c>
      <c r="G41" t="s">
        <v>1390</v>
      </c>
      <c r="H41" s="11">
        <v>1.3183537773701708E-3</v>
      </c>
      <c r="I41" s="11">
        <v>5.7839687665686603E-4</v>
      </c>
      <c r="J41" s="11">
        <v>1.0114942528735632E-3</v>
      </c>
      <c r="K41" s="11">
        <v>0</v>
      </c>
      <c r="L41" s="11" t="str">
        <f t="shared" si="0"/>
        <v/>
      </c>
      <c r="M41" s="12">
        <f t="shared" si="1"/>
        <v>1.3183537773701708E-3</v>
      </c>
    </row>
    <row r="42" spans="1:13" x14ac:dyDescent="0.35">
      <c r="A42" t="s">
        <v>8</v>
      </c>
      <c r="B42" t="s">
        <v>46</v>
      </c>
      <c r="C42" t="s">
        <v>1386</v>
      </c>
      <c r="D42" t="s">
        <v>47</v>
      </c>
      <c r="E42" t="s">
        <v>61</v>
      </c>
      <c r="F42" t="s">
        <v>190</v>
      </c>
      <c r="G42" t="s">
        <v>273</v>
      </c>
      <c r="H42" s="11">
        <v>1.2037143184684168E-3</v>
      </c>
      <c r="I42" s="11">
        <v>8.675953149852991E-4</v>
      </c>
      <c r="J42" s="11">
        <v>0</v>
      </c>
      <c r="K42" s="11">
        <v>0</v>
      </c>
      <c r="L42" s="11" t="str">
        <f t="shared" si="0"/>
        <v/>
      </c>
      <c r="M42" s="12">
        <f t="shared" si="1"/>
        <v>1.2037143184684168E-3</v>
      </c>
    </row>
    <row r="43" spans="1:13" x14ac:dyDescent="0.35">
      <c r="A43" t="s">
        <v>24</v>
      </c>
      <c r="B43" t="s">
        <v>25</v>
      </c>
      <c r="C43" t="s">
        <v>1337</v>
      </c>
      <c r="D43" t="s">
        <v>40</v>
      </c>
      <c r="E43" t="s">
        <v>56</v>
      </c>
      <c r="F43" t="s">
        <v>466</v>
      </c>
      <c r="G43" t="s">
        <v>467</v>
      </c>
      <c r="H43" s="11">
        <v>1.7195918835263098E-4</v>
      </c>
      <c r="I43" s="11">
        <v>6.2659661637827155E-4</v>
      </c>
      <c r="J43" s="11">
        <v>1.0114942528735632E-3</v>
      </c>
      <c r="K43" s="11">
        <v>0</v>
      </c>
      <c r="L43" s="11" t="str">
        <f t="shared" si="0"/>
        <v/>
      </c>
      <c r="M43" s="12">
        <f t="shared" si="1"/>
        <v>1.0114942528735632E-3</v>
      </c>
    </row>
    <row r="44" spans="1:13" x14ac:dyDescent="0.35">
      <c r="A44" t="s">
        <v>8</v>
      </c>
      <c r="B44" t="s">
        <v>9</v>
      </c>
      <c r="C44" t="s">
        <v>1423</v>
      </c>
      <c r="D44" t="s">
        <v>78</v>
      </c>
      <c r="E44" t="s">
        <v>79</v>
      </c>
      <c r="F44" t="s">
        <v>80</v>
      </c>
      <c r="G44" t="s">
        <v>81</v>
      </c>
      <c r="H44" s="11">
        <v>8.8845580648859337E-4</v>
      </c>
      <c r="I44" s="11">
        <v>0</v>
      </c>
      <c r="J44" s="11">
        <v>0</v>
      </c>
      <c r="K44" s="11">
        <v>0</v>
      </c>
      <c r="L44" s="11" t="str">
        <f t="shared" si="0"/>
        <v/>
      </c>
      <c r="M44" s="12">
        <f t="shared" si="1"/>
        <v>8.8845580648859337E-4</v>
      </c>
    </row>
    <row r="45" spans="1:13" x14ac:dyDescent="0.35">
      <c r="A45" t="s">
        <v>8</v>
      </c>
      <c r="B45" t="s">
        <v>120</v>
      </c>
      <c r="C45" t="s">
        <v>1379</v>
      </c>
      <c r="D45" t="s">
        <v>121</v>
      </c>
      <c r="E45" t="s">
        <v>122</v>
      </c>
      <c r="F45" t="s">
        <v>123</v>
      </c>
      <c r="G45" t="s">
        <v>1380</v>
      </c>
      <c r="H45" s="11">
        <v>8.5979594176315488E-4</v>
      </c>
      <c r="I45" s="11">
        <v>3.8559791777124404E-4</v>
      </c>
      <c r="J45" s="11">
        <v>5.5172413793103451E-4</v>
      </c>
      <c r="K45" s="11">
        <v>6.1231630510846747E-4</v>
      </c>
      <c r="L45" s="11" t="str">
        <f t="shared" si="0"/>
        <v/>
      </c>
      <c r="M45" s="12">
        <f t="shared" si="1"/>
        <v>8.5979594176315488E-4</v>
      </c>
    </row>
    <row r="46" spans="1:13" x14ac:dyDescent="0.35">
      <c r="A46" t="s">
        <v>24</v>
      </c>
      <c r="B46" t="s">
        <v>25</v>
      </c>
      <c r="C46" t="s">
        <v>1337</v>
      </c>
      <c r="D46" t="s">
        <v>40</v>
      </c>
      <c r="E46" t="s">
        <v>56</v>
      </c>
      <c r="F46" t="s">
        <v>57</v>
      </c>
      <c r="G46" t="s">
        <v>58</v>
      </c>
      <c r="H46" s="11">
        <v>8.3113607703771638E-4</v>
      </c>
      <c r="I46" s="11">
        <v>0</v>
      </c>
      <c r="J46" s="11">
        <v>0</v>
      </c>
      <c r="K46" s="11">
        <v>0</v>
      </c>
      <c r="L46" s="11" t="str">
        <f t="shared" si="0"/>
        <v/>
      </c>
      <c r="M46" s="12">
        <f t="shared" si="1"/>
        <v>8.3113607703771638E-4</v>
      </c>
    </row>
    <row r="47" spans="1:13" x14ac:dyDescent="0.35">
      <c r="A47" t="s">
        <v>8</v>
      </c>
      <c r="B47" t="s">
        <v>120</v>
      </c>
      <c r="C47" t="s">
        <v>1379</v>
      </c>
      <c r="D47" t="s">
        <v>121</v>
      </c>
      <c r="E47" t="s">
        <v>122</v>
      </c>
      <c r="F47" t="s">
        <v>123</v>
      </c>
      <c r="G47" t="s">
        <v>124</v>
      </c>
      <c r="H47" s="11">
        <v>6.0185715923420841E-4</v>
      </c>
      <c r="I47" s="11">
        <v>4.8199739721405506E-4</v>
      </c>
      <c r="J47" s="11">
        <v>0</v>
      </c>
      <c r="K47" s="11">
        <v>0</v>
      </c>
      <c r="L47" s="11" t="str">
        <f t="shared" si="0"/>
        <v/>
      </c>
      <c r="M47" s="12">
        <f t="shared" si="1"/>
        <v>6.0185715923420841E-4</v>
      </c>
    </row>
  </sheetData>
  <sortState ref="A3:M157">
    <sortCondition descending="1" ref="M3:M157"/>
  </sortState>
  <conditionalFormatting sqref="H3:L47">
    <cfRule type="cellIs" dxfId="0" priority="1" operator="lessThan">
      <formula>0.0005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229"/>
  <sheetViews>
    <sheetView zoomScale="80" zoomScaleNormal="80" workbookViewId="0">
      <selection activeCell="G49" sqref="G49"/>
    </sheetView>
  </sheetViews>
  <sheetFormatPr defaultRowHeight="14.5" x14ac:dyDescent="0.35"/>
  <cols>
    <col min="2" max="2" width="8.81640625" customWidth="1"/>
    <col min="3" max="3" width="21" style="14" customWidth="1"/>
    <col min="6" max="17" width="10.1796875" customWidth="1"/>
    <col min="19" max="20" width="11.81640625" customWidth="1"/>
    <col min="21" max="21" width="9.1796875" customWidth="1"/>
    <col min="22" max="24" width="10.1796875" customWidth="1"/>
  </cols>
  <sheetData>
    <row r="1" spans="1:24" x14ac:dyDescent="0.35">
      <c r="A1" t="s">
        <v>2156</v>
      </c>
      <c r="F1">
        <f>SUM(F4:F228)</f>
        <v>42897</v>
      </c>
      <c r="G1">
        <f t="shared" ref="G1:Q1" si="0">SUM(G4:G228)</f>
        <v>19600</v>
      </c>
      <c r="H1">
        <f t="shared" si="0"/>
        <v>7684</v>
      </c>
      <c r="I1">
        <f t="shared" si="0"/>
        <v>16895</v>
      </c>
      <c r="J1">
        <f t="shared" si="0"/>
        <v>46024</v>
      </c>
      <c r="K1">
        <f t="shared" si="0"/>
        <v>15848</v>
      </c>
      <c r="L1">
        <f t="shared" si="0"/>
        <v>3483</v>
      </c>
      <c r="M1">
        <f t="shared" si="0"/>
        <v>3502</v>
      </c>
      <c r="N1">
        <f t="shared" si="0"/>
        <v>34876</v>
      </c>
      <c r="O1">
        <f t="shared" si="0"/>
        <v>23056</v>
      </c>
      <c r="P1">
        <f t="shared" si="0"/>
        <v>10875</v>
      </c>
      <c r="Q1">
        <f t="shared" si="0"/>
        <v>11432</v>
      </c>
    </row>
    <row r="2" spans="1:24" x14ac:dyDescent="0.35">
      <c r="B2">
        <f>SUM(B4:B228)</f>
        <v>236172</v>
      </c>
      <c r="V2" s="1" t="s">
        <v>1080</v>
      </c>
      <c r="W2" s="1" t="s">
        <v>1080</v>
      </c>
      <c r="X2" s="1" t="s">
        <v>1080</v>
      </c>
    </row>
    <row r="3" spans="1:24" s="1" customFormat="1" ht="59.15" customHeight="1" x14ac:dyDescent="0.35">
      <c r="A3" s="1" t="s">
        <v>0</v>
      </c>
      <c r="B3" s="1" t="s">
        <v>1</v>
      </c>
      <c r="C3" s="35" t="s">
        <v>3</v>
      </c>
      <c r="D3" s="1" t="s">
        <v>4</v>
      </c>
      <c r="E3" s="1" t="s">
        <v>5</v>
      </c>
      <c r="F3" s="21" t="s">
        <v>2087</v>
      </c>
      <c r="G3" s="22" t="s">
        <v>2117</v>
      </c>
      <c r="H3" s="22" t="s">
        <v>2118</v>
      </c>
      <c r="I3" s="23" t="s">
        <v>2119</v>
      </c>
      <c r="J3" s="21" t="s">
        <v>2089</v>
      </c>
      <c r="K3" s="22" t="s">
        <v>2127</v>
      </c>
      <c r="L3" s="22" t="s">
        <v>2128</v>
      </c>
      <c r="M3" s="23" t="s">
        <v>2129</v>
      </c>
      <c r="N3" s="21" t="s">
        <v>2091</v>
      </c>
      <c r="O3" s="22" t="s">
        <v>2137</v>
      </c>
      <c r="P3" s="22" t="s">
        <v>2138</v>
      </c>
      <c r="Q3" s="23" t="s">
        <v>2139</v>
      </c>
      <c r="S3" s="1" t="s">
        <v>1077</v>
      </c>
      <c r="T3" s="1" t="s">
        <v>1476</v>
      </c>
      <c r="V3" s="1" t="s">
        <v>2120</v>
      </c>
      <c r="W3" s="1" t="s">
        <v>2130</v>
      </c>
      <c r="X3" s="1" t="s">
        <v>2140</v>
      </c>
    </row>
    <row r="4" spans="1:24" x14ac:dyDescent="0.35">
      <c r="A4" t="s">
        <v>6</v>
      </c>
      <c r="B4">
        <v>58184</v>
      </c>
      <c r="C4" s="14" t="s">
        <v>14</v>
      </c>
      <c r="D4">
        <v>96.8</v>
      </c>
      <c r="E4">
        <v>1</v>
      </c>
      <c r="F4" s="2">
        <v>27333</v>
      </c>
      <c r="G4" s="3">
        <v>13574</v>
      </c>
      <c r="H4" s="3">
        <v>5292</v>
      </c>
      <c r="I4" s="4">
        <v>8544</v>
      </c>
      <c r="J4" s="2">
        <v>132</v>
      </c>
      <c r="K4" s="3">
        <v>0</v>
      </c>
      <c r="L4" s="3">
        <v>0</v>
      </c>
      <c r="M4" s="4">
        <v>0</v>
      </c>
      <c r="N4" s="2">
        <v>1554</v>
      </c>
      <c r="O4" s="3">
        <v>1010</v>
      </c>
      <c r="P4" s="3">
        <v>195</v>
      </c>
      <c r="Q4" s="4">
        <v>550</v>
      </c>
      <c r="S4" s="26">
        <f t="shared" ref="S4:S67" si="1">B4/B$2</f>
        <v>0.24636282031739579</v>
      </c>
      <c r="T4" s="26">
        <f>S4</f>
        <v>0.24636282031739579</v>
      </c>
      <c r="V4">
        <v>100</v>
      </c>
      <c r="W4">
        <v>77</v>
      </c>
      <c r="X4">
        <v>100</v>
      </c>
    </row>
    <row r="5" spans="1:24" x14ac:dyDescent="0.35">
      <c r="A5" t="s">
        <v>15</v>
      </c>
      <c r="B5">
        <v>24970</v>
      </c>
      <c r="C5" s="14" t="s">
        <v>16</v>
      </c>
      <c r="D5">
        <v>87</v>
      </c>
      <c r="E5">
        <v>1</v>
      </c>
      <c r="F5" s="2">
        <v>24</v>
      </c>
      <c r="G5" s="3">
        <v>0</v>
      </c>
      <c r="H5" s="3">
        <v>0</v>
      </c>
      <c r="I5" s="4">
        <v>0</v>
      </c>
      <c r="J5" s="2">
        <v>17120</v>
      </c>
      <c r="K5" s="3">
        <v>7816</v>
      </c>
      <c r="L5" s="3">
        <v>0</v>
      </c>
      <c r="M5" s="4">
        <v>0</v>
      </c>
      <c r="N5" s="2">
        <v>10</v>
      </c>
      <c r="O5" s="3">
        <v>0</v>
      </c>
      <c r="P5" s="3">
        <v>0</v>
      </c>
      <c r="Q5" s="4">
        <v>0</v>
      </c>
      <c r="S5" s="26">
        <f t="shared" si="1"/>
        <v>0.10572802872482767</v>
      </c>
      <c r="T5" s="26">
        <f>T4+S5</f>
        <v>0.35209084904222343</v>
      </c>
      <c r="V5">
        <v>84</v>
      </c>
      <c r="W5">
        <v>100</v>
      </c>
      <c r="X5">
        <v>25</v>
      </c>
    </row>
    <row r="6" spans="1:24" x14ac:dyDescent="0.35">
      <c r="A6" t="s">
        <v>17</v>
      </c>
      <c r="B6">
        <v>14236</v>
      </c>
      <c r="C6" s="14" t="s">
        <v>22</v>
      </c>
      <c r="D6">
        <v>85.8</v>
      </c>
      <c r="E6">
        <v>1</v>
      </c>
      <c r="F6" s="2">
        <v>13</v>
      </c>
      <c r="G6" s="3">
        <v>0</v>
      </c>
      <c r="H6" s="3">
        <v>0</v>
      </c>
      <c r="I6" s="4">
        <v>0</v>
      </c>
      <c r="J6" s="2">
        <v>1171</v>
      </c>
      <c r="K6" s="3">
        <v>305</v>
      </c>
      <c r="L6" s="3">
        <v>122</v>
      </c>
      <c r="M6" s="4">
        <v>229</v>
      </c>
      <c r="N6" s="2">
        <v>5956</v>
      </c>
      <c r="O6" s="3">
        <v>3069</v>
      </c>
      <c r="P6" s="3">
        <v>1889</v>
      </c>
      <c r="Q6" s="4">
        <v>1482</v>
      </c>
      <c r="S6" s="26">
        <f t="shared" si="1"/>
        <v>6.0278102399945799E-2</v>
      </c>
      <c r="T6" s="26">
        <f t="shared" ref="T6:T69" si="2">T5+S6</f>
        <v>0.41236895144216923</v>
      </c>
      <c r="V6">
        <v>0</v>
      </c>
      <c r="W6">
        <v>100</v>
      </c>
      <c r="X6">
        <v>100</v>
      </c>
    </row>
    <row r="7" spans="1:24" x14ac:dyDescent="0.35">
      <c r="A7" t="s">
        <v>23</v>
      </c>
      <c r="B7">
        <v>12568</v>
      </c>
      <c r="C7" s="14" t="s">
        <v>30</v>
      </c>
      <c r="D7">
        <v>100</v>
      </c>
      <c r="E7">
        <v>1</v>
      </c>
      <c r="F7" s="2">
        <v>5</v>
      </c>
      <c r="G7" s="3">
        <v>0</v>
      </c>
      <c r="H7" s="3">
        <v>0</v>
      </c>
      <c r="I7" s="4">
        <v>0</v>
      </c>
      <c r="J7" s="2">
        <v>29</v>
      </c>
      <c r="K7" s="3">
        <v>0</v>
      </c>
      <c r="L7" s="3">
        <v>0</v>
      </c>
      <c r="M7" s="4">
        <v>0</v>
      </c>
      <c r="N7" s="2">
        <v>7736</v>
      </c>
      <c r="O7" s="3">
        <v>2393</v>
      </c>
      <c r="P7" s="3">
        <v>1396</v>
      </c>
      <c r="Q7" s="4">
        <v>1009</v>
      </c>
      <c r="S7" s="26">
        <f t="shared" si="1"/>
        <v>5.3215453144318546E-2</v>
      </c>
      <c r="T7" s="26">
        <f t="shared" si="2"/>
        <v>0.46558440458648775</v>
      </c>
      <c r="V7">
        <v>0</v>
      </c>
      <c r="W7">
        <v>32</v>
      </c>
      <c r="X7">
        <v>100</v>
      </c>
    </row>
    <row r="8" spans="1:24" x14ac:dyDescent="0.35">
      <c r="A8" t="s">
        <v>51</v>
      </c>
      <c r="B8">
        <v>8872</v>
      </c>
      <c r="C8" s="14" t="s">
        <v>38</v>
      </c>
      <c r="D8">
        <v>85.8</v>
      </c>
      <c r="E8">
        <v>1</v>
      </c>
      <c r="F8" s="2">
        <v>1270</v>
      </c>
      <c r="G8" s="3">
        <v>271</v>
      </c>
      <c r="H8" s="3">
        <v>193</v>
      </c>
      <c r="I8" s="4">
        <v>140</v>
      </c>
      <c r="J8" s="2">
        <v>9</v>
      </c>
      <c r="K8" s="3">
        <v>0</v>
      </c>
      <c r="L8" s="3">
        <v>0</v>
      </c>
      <c r="M8" s="4">
        <v>0</v>
      </c>
      <c r="N8" s="2">
        <v>3116</v>
      </c>
      <c r="O8" s="3">
        <v>1598</v>
      </c>
      <c r="P8" s="3">
        <v>1207</v>
      </c>
      <c r="Q8" s="4">
        <v>1068</v>
      </c>
      <c r="S8" s="26">
        <f t="shared" si="1"/>
        <v>3.7565841844079739E-2</v>
      </c>
      <c r="T8" s="26">
        <f t="shared" si="2"/>
        <v>0.50315024643056749</v>
      </c>
      <c r="V8">
        <v>100</v>
      </c>
      <c r="W8">
        <v>0</v>
      </c>
      <c r="X8">
        <v>100</v>
      </c>
    </row>
    <row r="9" spans="1:24" x14ac:dyDescent="0.35">
      <c r="A9" t="s">
        <v>39</v>
      </c>
      <c r="B9">
        <v>8470</v>
      </c>
      <c r="C9" s="14" t="s">
        <v>44</v>
      </c>
      <c r="D9">
        <v>97.2</v>
      </c>
      <c r="E9">
        <v>1</v>
      </c>
      <c r="F9" s="2">
        <v>1032</v>
      </c>
      <c r="G9" s="3">
        <v>192</v>
      </c>
      <c r="H9" s="3">
        <v>0</v>
      </c>
      <c r="I9" s="4">
        <v>0</v>
      </c>
      <c r="J9" s="2">
        <v>16</v>
      </c>
      <c r="K9" s="3">
        <v>0</v>
      </c>
      <c r="L9" s="3">
        <v>0</v>
      </c>
      <c r="M9" s="4">
        <v>0</v>
      </c>
      <c r="N9" s="2">
        <v>3332</v>
      </c>
      <c r="O9" s="3">
        <v>1942</v>
      </c>
      <c r="P9" s="3">
        <v>1044</v>
      </c>
      <c r="Q9" s="4">
        <v>912</v>
      </c>
      <c r="S9" s="26">
        <f t="shared" si="1"/>
        <v>3.5863692563047271E-2</v>
      </c>
      <c r="T9" s="26">
        <f t="shared" si="2"/>
        <v>0.53901393899361472</v>
      </c>
      <c r="V9">
        <v>100</v>
      </c>
      <c r="W9">
        <v>60</v>
      </c>
      <c r="X9">
        <v>100</v>
      </c>
    </row>
    <row r="10" spans="1:24" x14ac:dyDescent="0.35">
      <c r="A10" t="s">
        <v>31</v>
      </c>
      <c r="B10">
        <v>8389</v>
      </c>
      <c r="C10" s="14" t="s">
        <v>33</v>
      </c>
      <c r="D10">
        <v>87.7</v>
      </c>
      <c r="E10">
        <v>1</v>
      </c>
      <c r="F10" s="2">
        <v>9</v>
      </c>
      <c r="G10" s="3">
        <v>0</v>
      </c>
      <c r="H10" s="3">
        <v>0</v>
      </c>
      <c r="I10" s="4">
        <v>0</v>
      </c>
      <c r="J10" s="2">
        <v>5845</v>
      </c>
      <c r="K10" s="3">
        <v>1220</v>
      </c>
      <c r="L10" s="3">
        <v>766</v>
      </c>
      <c r="M10" s="4">
        <v>542</v>
      </c>
      <c r="N10" s="2">
        <v>7</v>
      </c>
      <c r="O10" s="3">
        <v>0</v>
      </c>
      <c r="P10" s="3">
        <v>0</v>
      </c>
      <c r="Q10" s="4">
        <v>0</v>
      </c>
      <c r="S10" s="26">
        <f t="shared" si="1"/>
        <v>3.5520722185525801E-2</v>
      </c>
      <c r="T10" s="26">
        <f t="shared" si="2"/>
        <v>0.57453466117914054</v>
      </c>
      <c r="V10">
        <v>2</v>
      </c>
      <c r="W10">
        <v>100</v>
      </c>
      <c r="X10">
        <v>25</v>
      </c>
    </row>
    <row r="11" spans="1:24" x14ac:dyDescent="0.35">
      <c r="A11" t="s">
        <v>34</v>
      </c>
      <c r="B11">
        <v>8105</v>
      </c>
      <c r="C11" s="14" t="s">
        <v>54</v>
      </c>
      <c r="D11">
        <v>100</v>
      </c>
      <c r="E11">
        <v>7</v>
      </c>
      <c r="F11" s="2">
        <v>1238</v>
      </c>
      <c r="G11" s="3">
        <v>2733</v>
      </c>
      <c r="H11" s="3">
        <v>1738</v>
      </c>
      <c r="I11" s="4">
        <v>2109</v>
      </c>
      <c r="J11" s="2">
        <v>11</v>
      </c>
      <c r="K11" s="3">
        <v>0</v>
      </c>
      <c r="L11" s="3">
        <v>0</v>
      </c>
      <c r="M11" s="4">
        <v>0</v>
      </c>
      <c r="N11" s="2">
        <v>54</v>
      </c>
      <c r="O11" s="3">
        <v>222</v>
      </c>
      <c r="P11" s="3">
        <v>0</v>
      </c>
      <c r="Q11" s="4">
        <v>0</v>
      </c>
      <c r="S11" s="26">
        <f t="shared" si="1"/>
        <v>3.4318208763104853E-2</v>
      </c>
      <c r="T11" s="26">
        <f t="shared" si="2"/>
        <v>0.60885286994224541</v>
      </c>
      <c r="V11">
        <v>100</v>
      </c>
      <c r="W11">
        <v>39</v>
      </c>
      <c r="X11">
        <v>100</v>
      </c>
    </row>
    <row r="12" spans="1:24" x14ac:dyDescent="0.35">
      <c r="A12" t="s">
        <v>45</v>
      </c>
      <c r="B12">
        <v>5998</v>
      </c>
      <c r="C12" s="14" t="s">
        <v>67</v>
      </c>
      <c r="D12">
        <v>88.5</v>
      </c>
      <c r="E12">
        <v>2</v>
      </c>
      <c r="F12" s="2">
        <v>3</v>
      </c>
      <c r="G12" s="3">
        <v>0</v>
      </c>
      <c r="H12" s="3">
        <v>0</v>
      </c>
      <c r="I12" s="4">
        <v>0</v>
      </c>
      <c r="J12" s="2">
        <v>7</v>
      </c>
      <c r="K12" s="3">
        <v>0</v>
      </c>
      <c r="L12" s="3">
        <v>0</v>
      </c>
      <c r="M12" s="4">
        <v>0</v>
      </c>
      <c r="N12" s="2">
        <v>533</v>
      </c>
      <c r="O12" s="3">
        <v>4068</v>
      </c>
      <c r="P12" s="3">
        <v>0</v>
      </c>
      <c r="Q12" s="4">
        <v>1387</v>
      </c>
      <c r="S12" s="26">
        <f t="shared" si="1"/>
        <v>2.5396744745355079E-2</v>
      </c>
      <c r="T12" s="26">
        <f t="shared" si="2"/>
        <v>0.63424961468760044</v>
      </c>
      <c r="V12">
        <v>7</v>
      </c>
      <c r="W12">
        <v>31</v>
      </c>
      <c r="X12">
        <v>100</v>
      </c>
    </row>
    <row r="13" spans="1:24" x14ac:dyDescent="0.35">
      <c r="A13" t="s">
        <v>49</v>
      </c>
      <c r="B13">
        <v>5619</v>
      </c>
      <c r="C13" s="14" t="s">
        <v>50</v>
      </c>
      <c r="D13">
        <v>89.7</v>
      </c>
      <c r="E13">
        <v>1</v>
      </c>
      <c r="F13" s="2">
        <v>3</v>
      </c>
      <c r="G13" s="3">
        <v>0</v>
      </c>
      <c r="H13" s="3">
        <v>0</v>
      </c>
      <c r="I13" s="4">
        <v>0</v>
      </c>
      <c r="J13" s="2">
        <v>4057</v>
      </c>
      <c r="K13" s="3">
        <v>771</v>
      </c>
      <c r="L13" s="3">
        <v>424</v>
      </c>
      <c r="M13" s="4">
        <v>358</v>
      </c>
      <c r="N13" s="2">
        <v>6</v>
      </c>
      <c r="O13" s="3">
        <v>0</v>
      </c>
      <c r="P13" s="3">
        <v>0</v>
      </c>
      <c r="Q13" s="4">
        <v>0</v>
      </c>
      <c r="S13" s="26">
        <f t="shared" si="1"/>
        <v>2.3791982114729944E-2</v>
      </c>
      <c r="T13" s="26">
        <f t="shared" si="2"/>
        <v>0.65804159680233043</v>
      </c>
      <c r="V13">
        <v>6</v>
      </c>
      <c r="W13">
        <v>100</v>
      </c>
      <c r="X13">
        <v>57</v>
      </c>
    </row>
    <row r="14" spans="1:24" x14ac:dyDescent="0.35">
      <c r="A14" t="s">
        <v>63</v>
      </c>
      <c r="B14">
        <v>5520</v>
      </c>
      <c r="C14" s="14" t="s">
        <v>48</v>
      </c>
      <c r="D14">
        <v>87</v>
      </c>
      <c r="E14">
        <v>1</v>
      </c>
      <c r="F14" s="2">
        <v>5</v>
      </c>
      <c r="G14" s="3">
        <v>0</v>
      </c>
      <c r="H14" s="3">
        <v>0</v>
      </c>
      <c r="I14" s="4">
        <v>0</v>
      </c>
      <c r="J14" s="2">
        <v>14</v>
      </c>
      <c r="K14" s="3">
        <v>0</v>
      </c>
      <c r="L14" s="3">
        <v>0</v>
      </c>
      <c r="M14" s="4">
        <v>0</v>
      </c>
      <c r="N14" s="2">
        <v>3285</v>
      </c>
      <c r="O14" s="3">
        <v>2216</v>
      </c>
      <c r="P14" s="3">
        <v>0</v>
      </c>
      <c r="Q14" s="4">
        <v>0</v>
      </c>
      <c r="S14" s="26">
        <f t="shared" si="1"/>
        <v>2.337279609775926E-2</v>
      </c>
      <c r="T14" s="26">
        <f t="shared" si="2"/>
        <v>0.68141439290008965</v>
      </c>
      <c r="V14">
        <v>13</v>
      </c>
      <c r="W14">
        <v>14</v>
      </c>
      <c r="X14">
        <v>100</v>
      </c>
    </row>
    <row r="15" spans="1:24" x14ac:dyDescent="0.35">
      <c r="A15" t="s">
        <v>77</v>
      </c>
      <c r="B15">
        <v>4395</v>
      </c>
      <c r="C15" s="14" t="s">
        <v>82</v>
      </c>
      <c r="D15">
        <v>97.2</v>
      </c>
      <c r="E15">
        <v>1</v>
      </c>
      <c r="F15" s="2">
        <v>2340</v>
      </c>
      <c r="G15" s="3">
        <v>508</v>
      </c>
      <c r="H15" s="3">
        <v>0</v>
      </c>
      <c r="I15" s="4">
        <v>1475</v>
      </c>
      <c r="J15" s="2">
        <v>41</v>
      </c>
      <c r="K15" s="3">
        <v>0</v>
      </c>
      <c r="L15" s="3">
        <v>0</v>
      </c>
      <c r="M15" s="4">
        <v>0</v>
      </c>
      <c r="N15" s="2">
        <v>31</v>
      </c>
      <c r="O15" s="3">
        <v>0</v>
      </c>
      <c r="P15" s="3">
        <v>0</v>
      </c>
      <c r="Q15" s="4">
        <v>0</v>
      </c>
      <c r="S15" s="26">
        <f t="shared" si="1"/>
        <v>1.8609318632183323E-2</v>
      </c>
      <c r="T15" s="26">
        <f t="shared" si="2"/>
        <v>0.70002371153227294</v>
      </c>
      <c r="V15">
        <v>100</v>
      </c>
      <c r="W15">
        <v>2</v>
      </c>
      <c r="X15">
        <v>0</v>
      </c>
    </row>
    <row r="16" spans="1:24" x14ac:dyDescent="0.35">
      <c r="A16" t="s">
        <v>68</v>
      </c>
      <c r="B16">
        <v>4223</v>
      </c>
      <c r="C16" s="14" t="s">
        <v>71</v>
      </c>
      <c r="D16">
        <v>90.5</v>
      </c>
      <c r="E16">
        <v>1</v>
      </c>
      <c r="F16" s="2">
        <v>6</v>
      </c>
      <c r="G16" s="3">
        <v>0</v>
      </c>
      <c r="H16" s="3">
        <v>0</v>
      </c>
      <c r="I16" s="4">
        <v>0</v>
      </c>
      <c r="J16" s="2">
        <v>2871</v>
      </c>
      <c r="K16" s="3">
        <v>506</v>
      </c>
      <c r="L16" s="3">
        <v>400</v>
      </c>
      <c r="M16" s="4">
        <v>433</v>
      </c>
      <c r="N16" s="2">
        <v>7</v>
      </c>
      <c r="O16" s="3">
        <v>0</v>
      </c>
      <c r="P16" s="3">
        <v>0</v>
      </c>
      <c r="Q16" s="4">
        <v>0</v>
      </c>
      <c r="S16" s="26">
        <f t="shared" si="1"/>
        <v>1.7881035855224159E-2</v>
      </c>
      <c r="T16" s="26">
        <f t="shared" si="2"/>
        <v>0.7179047473874971</v>
      </c>
      <c r="V16">
        <v>33</v>
      </c>
      <c r="W16">
        <v>100</v>
      </c>
      <c r="X16">
        <v>7</v>
      </c>
    </row>
    <row r="17" spans="1:24" x14ac:dyDescent="0.35">
      <c r="A17" t="s">
        <v>55</v>
      </c>
      <c r="B17">
        <v>4165</v>
      </c>
      <c r="C17" s="14" t="s">
        <v>59</v>
      </c>
      <c r="D17">
        <v>99.6</v>
      </c>
      <c r="E17">
        <v>1</v>
      </c>
      <c r="F17" s="2">
        <v>3312</v>
      </c>
      <c r="G17" s="3">
        <v>476</v>
      </c>
      <c r="H17" s="3">
        <v>0</v>
      </c>
      <c r="I17" s="4">
        <v>318</v>
      </c>
      <c r="J17" s="2">
        <v>30</v>
      </c>
      <c r="K17" s="3">
        <v>0</v>
      </c>
      <c r="L17" s="3">
        <v>0</v>
      </c>
      <c r="M17" s="4">
        <v>0</v>
      </c>
      <c r="N17" s="2">
        <v>29</v>
      </c>
      <c r="O17" s="3">
        <v>0</v>
      </c>
      <c r="P17" s="3">
        <v>0</v>
      </c>
      <c r="Q17" s="4">
        <v>0</v>
      </c>
      <c r="S17" s="26">
        <f t="shared" si="1"/>
        <v>1.7635452128110022E-2</v>
      </c>
      <c r="T17" s="26">
        <f t="shared" si="2"/>
        <v>0.73554019951560712</v>
      </c>
      <c r="V17">
        <v>100</v>
      </c>
      <c r="W17">
        <v>25</v>
      </c>
      <c r="X17">
        <v>18</v>
      </c>
    </row>
    <row r="18" spans="1:24" x14ac:dyDescent="0.35">
      <c r="A18" t="s">
        <v>72</v>
      </c>
      <c r="B18">
        <v>3899</v>
      </c>
      <c r="C18" s="14" t="s">
        <v>73</v>
      </c>
      <c r="D18">
        <v>99.6</v>
      </c>
      <c r="E18">
        <v>1</v>
      </c>
      <c r="F18" s="2">
        <v>1</v>
      </c>
      <c r="G18" s="3">
        <v>0</v>
      </c>
      <c r="H18" s="3">
        <v>0</v>
      </c>
      <c r="I18" s="4">
        <v>0</v>
      </c>
      <c r="J18" s="2">
        <v>3104</v>
      </c>
      <c r="K18" s="3">
        <v>271</v>
      </c>
      <c r="L18" s="3">
        <v>253</v>
      </c>
      <c r="M18" s="4">
        <v>263</v>
      </c>
      <c r="N18" s="2">
        <v>7</v>
      </c>
      <c r="O18" s="3">
        <v>0</v>
      </c>
      <c r="P18" s="3">
        <v>0</v>
      </c>
      <c r="Q18" s="4">
        <v>0</v>
      </c>
      <c r="S18" s="26">
        <f t="shared" si="1"/>
        <v>1.6509154345138288E-2</v>
      </c>
      <c r="T18" s="26">
        <f t="shared" si="2"/>
        <v>0.75204935386074545</v>
      </c>
      <c r="V18">
        <v>5</v>
      </c>
      <c r="W18">
        <v>100</v>
      </c>
      <c r="X18">
        <v>46</v>
      </c>
    </row>
    <row r="19" spans="1:24" x14ac:dyDescent="0.35">
      <c r="A19" t="s">
        <v>60</v>
      </c>
      <c r="B19">
        <v>3652</v>
      </c>
      <c r="C19" s="14" t="s">
        <v>62</v>
      </c>
      <c r="D19">
        <v>90.9</v>
      </c>
      <c r="E19">
        <v>1</v>
      </c>
      <c r="F19" s="2">
        <v>6</v>
      </c>
      <c r="G19" s="3">
        <v>0</v>
      </c>
      <c r="H19" s="3">
        <v>0</v>
      </c>
      <c r="I19" s="4">
        <v>0</v>
      </c>
      <c r="J19" s="2">
        <v>2463</v>
      </c>
      <c r="K19" s="3">
        <v>1177</v>
      </c>
      <c r="L19" s="3">
        <v>0</v>
      </c>
      <c r="M19" s="4">
        <v>0</v>
      </c>
      <c r="N19" s="2">
        <v>6</v>
      </c>
      <c r="O19" s="3">
        <v>0</v>
      </c>
      <c r="P19" s="3">
        <v>0</v>
      </c>
      <c r="Q19" s="4">
        <v>0</v>
      </c>
      <c r="S19" s="26">
        <f t="shared" si="1"/>
        <v>1.5463306403807395E-2</v>
      </c>
      <c r="T19" s="26">
        <f t="shared" si="2"/>
        <v>0.76751266026455289</v>
      </c>
      <c r="V19">
        <v>17</v>
      </c>
      <c r="W19">
        <v>100</v>
      </c>
      <c r="X19">
        <v>43</v>
      </c>
    </row>
    <row r="20" spans="1:24" x14ac:dyDescent="0.35">
      <c r="A20" t="s">
        <v>135</v>
      </c>
      <c r="B20">
        <v>3012</v>
      </c>
      <c r="C20" s="14" t="s">
        <v>76</v>
      </c>
      <c r="D20">
        <v>100</v>
      </c>
      <c r="E20">
        <v>7</v>
      </c>
      <c r="F20" s="2">
        <v>1</v>
      </c>
      <c r="G20" s="3">
        <v>0</v>
      </c>
      <c r="H20" s="3">
        <v>0</v>
      </c>
      <c r="I20" s="4">
        <v>0</v>
      </c>
      <c r="J20" s="2">
        <v>2685</v>
      </c>
      <c r="K20" s="3">
        <v>326</v>
      </c>
      <c r="L20" s="3">
        <v>0</v>
      </c>
      <c r="M20" s="4">
        <v>0</v>
      </c>
      <c r="N20" s="2">
        <v>0</v>
      </c>
      <c r="O20" s="3">
        <v>0</v>
      </c>
      <c r="P20" s="3">
        <v>0</v>
      </c>
      <c r="Q20" s="4">
        <v>0</v>
      </c>
      <c r="S20" s="26">
        <f t="shared" si="1"/>
        <v>1.2753417001168639E-2</v>
      </c>
      <c r="T20" s="26">
        <f t="shared" si="2"/>
        <v>0.7802660772657215</v>
      </c>
      <c r="V20">
        <v>5</v>
      </c>
      <c r="W20">
        <v>100</v>
      </c>
      <c r="X20">
        <v>10</v>
      </c>
    </row>
    <row r="21" spans="1:24" x14ac:dyDescent="0.35">
      <c r="A21" t="s">
        <v>126</v>
      </c>
      <c r="B21">
        <v>2540</v>
      </c>
      <c r="C21" s="14" t="s">
        <v>86</v>
      </c>
      <c r="D21">
        <v>99.2</v>
      </c>
      <c r="E21">
        <v>1</v>
      </c>
      <c r="F21" s="2">
        <v>12</v>
      </c>
      <c r="G21" s="3">
        <v>0</v>
      </c>
      <c r="H21" s="3">
        <v>0</v>
      </c>
      <c r="I21" s="4">
        <v>0</v>
      </c>
      <c r="J21" s="2">
        <v>8</v>
      </c>
      <c r="K21" s="3">
        <v>0</v>
      </c>
      <c r="L21" s="3">
        <v>0</v>
      </c>
      <c r="M21" s="4">
        <v>0</v>
      </c>
      <c r="N21" s="2">
        <v>1293</v>
      </c>
      <c r="O21" s="3">
        <v>754</v>
      </c>
      <c r="P21" s="3">
        <v>0</v>
      </c>
      <c r="Q21" s="4">
        <v>473</v>
      </c>
      <c r="S21" s="26">
        <f t="shared" si="1"/>
        <v>1.0754873566722558E-2</v>
      </c>
      <c r="T21" s="26">
        <f t="shared" si="2"/>
        <v>0.79102095083244406</v>
      </c>
      <c r="V21">
        <v>64</v>
      </c>
      <c r="W21">
        <v>8</v>
      </c>
      <c r="X21">
        <v>100</v>
      </c>
    </row>
    <row r="22" spans="1:24" x14ac:dyDescent="0.35">
      <c r="A22" t="s">
        <v>74</v>
      </c>
      <c r="B22">
        <v>2287</v>
      </c>
      <c r="C22" s="14" t="s">
        <v>98</v>
      </c>
      <c r="D22">
        <v>0</v>
      </c>
      <c r="E22">
        <v>1</v>
      </c>
      <c r="F22" s="2">
        <v>2</v>
      </c>
      <c r="G22" s="3">
        <v>0</v>
      </c>
      <c r="H22" s="3">
        <v>0</v>
      </c>
      <c r="I22" s="4">
        <v>0</v>
      </c>
      <c r="J22" s="2">
        <v>955</v>
      </c>
      <c r="K22" s="3">
        <v>556</v>
      </c>
      <c r="L22" s="3">
        <v>482</v>
      </c>
      <c r="M22" s="4">
        <v>292</v>
      </c>
      <c r="N22" s="2">
        <v>0</v>
      </c>
      <c r="O22" s="3">
        <v>0</v>
      </c>
      <c r="P22" s="3">
        <v>0</v>
      </c>
      <c r="Q22" s="4">
        <v>0</v>
      </c>
      <c r="S22" s="26">
        <f t="shared" si="1"/>
        <v>9.683620412241925E-3</v>
      </c>
      <c r="T22" s="26">
        <f t="shared" si="2"/>
        <v>0.80070457124468597</v>
      </c>
      <c r="V22">
        <v>0</v>
      </c>
      <c r="W22">
        <v>100</v>
      </c>
      <c r="X22">
        <v>0</v>
      </c>
    </row>
    <row r="23" spans="1:24" x14ac:dyDescent="0.35">
      <c r="A23" t="s">
        <v>97</v>
      </c>
      <c r="B23">
        <v>2245</v>
      </c>
      <c r="C23" s="14" t="s">
        <v>136</v>
      </c>
      <c r="D23">
        <v>91.3</v>
      </c>
      <c r="E23">
        <v>2</v>
      </c>
      <c r="F23" s="2">
        <v>17</v>
      </c>
      <c r="G23" s="3">
        <v>0</v>
      </c>
      <c r="H23" s="3">
        <v>0</v>
      </c>
      <c r="I23" s="4">
        <v>0</v>
      </c>
      <c r="J23" s="2">
        <v>7</v>
      </c>
      <c r="K23" s="3">
        <v>0</v>
      </c>
      <c r="L23" s="3">
        <v>0</v>
      </c>
      <c r="M23" s="4">
        <v>0</v>
      </c>
      <c r="N23" s="2">
        <v>477</v>
      </c>
      <c r="O23" s="3">
        <v>343</v>
      </c>
      <c r="P23" s="3">
        <v>946</v>
      </c>
      <c r="Q23" s="4">
        <v>455</v>
      </c>
      <c r="S23" s="26">
        <f t="shared" si="1"/>
        <v>9.5057839201937566E-3</v>
      </c>
      <c r="T23" s="26">
        <f t="shared" si="2"/>
        <v>0.81021035516487971</v>
      </c>
      <c r="V23">
        <v>97</v>
      </c>
      <c r="W23">
        <v>46</v>
      </c>
      <c r="X23">
        <v>100</v>
      </c>
    </row>
    <row r="24" spans="1:24" x14ac:dyDescent="0.35">
      <c r="A24" t="s">
        <v>294</v>
      </c>
      <c r="B24">
        <v>2114</v>
      </c>
      <c r="C24" s="14" t="s">
        <v>88</v>
      </c>
      <c r="D24">
        <v>100</v>
      </c>
      <c r="E24">
        <v>2</v>
      </c>
      <c r="F24" s="2">
        <v>2</v>
      </c>
      <c r="G24" s="3">
        <v>0</v>
      </c>
      <c r="H24" s="3">
        <v>0</v>
      </c>
      <c r="I24" s="4">
        <v>0</v>
      </c>
      <c r="J24" s="2">
        <v>1161</v>
      </c>
      <c r="K24" s="3">
        <v>100</v>
      </c>
      <c r="L24" s="3">
        <v>0</v>
      </c>
      <c r="M24" s="4">
        <v>0</v>
      </c>
      <c r="N24" s="2">
        <v>586</v>
      </c>
      <c r="O24" s="3">
        <v>265</v>
      </c>
      <c r="P24" s="3">
        <v>0</v>
      </c>
      <c r="Q24" s="4">
        <v>0</v>
      </c>
      <c r="S24" s="26">
        <f t="shared" si="1"/>
        <v>8.9511034330911378E-3</v>
      </c>
      <c r="T24" s="26">
        <f t="shared" si="2"/>
        <v>0.81916145859797085</v>
      </c>
      <c r="V24">
        <v>40</v>
      </c>
      <c r="W24">
        <v>100</v>
      </c>
      <c r="X24">
        <v>100</v>
      </c>
    </row>
    <row r="25" spans="1:24" x14ac:dyDescent="0.35">
      <c r="A25" t="s">
        <v>99</v>
      </c>
      <c r="B25">
        <v>2099</v>
      </c>
      <c r="C25" s="14" t="s">
        <v>90</v>
      </c>
      <c r="D25">
        <v>91.3</v>
      </c>
      <c r="E25">
        <v>1</v>
      </c>
      <c r="F25" s="2">
        <v>5</v>
      </c>
      <c r="G25" s="3">
        <v>0</v>
      </c>
      <c r="H25" s="3">
        <v>0</v>
      </c>
      <c r="I25" s="4">
        <v>0</v>
      </c>
      <c r="J25" s="2">
        <v>5</v>
      </c>
      <c r="K25" s="3">
        <v>0</v>
      </c>
      <c r="L25" s="3">
        <v>0</v>
      </c>
      <c r="M25" s="4">
        <v>0</v>
      </c>
      <c r="N25" s="2">
        <v>1124</v>
      </c>
      <c r="O25" s="3">
        <v>965</v>
      </c>
      <c r="P25" s="3">
        <v>0</v>
      </c>
      <c r="Q25" s="4">
        <v>0</v>
      </c>
      <c r="S25" s="26">
        <f t="shared" si="1"/>
        <v>8.887590400216791E-3</v>
      </c>
      <c r="T25" s="26">
        <f t="shared" si="2"/>
        <v>0.82804904899818765</v>
      </c>
      <c r="V25">
        <v>9</v>
      </c>
      <c r="W25">
        <v>9</v>
      </c>
      <c r="X25">
        <v>100</v>
      </c>
    </row>
    <row r="26" spans="1:24" x14ac:dyDescent="0.35">
      <c r="A26" t="s">
        <v>91</v>
      </c>
      <c r="B26">
        <v>2005</v>
      </c>
      <c r="C26" s="14" t="s">
        <v>105</v>
      </c>
      <c r="D26">
        <v>99.6</v>
      </c>
      <c r="E26">
        <v>1</v>
      </c>
      <c r="F26" s="2">
        <v>1</v>
      </c>
      <c r="G26" s="3">
        <v>0</v>
      </c>
      <c r="H26" s="3">
        <v>0</v>
      </c>
      <c r="I26" s="4">
        <v>0</v>
      </c>
      <c r="J26" s="2">
        <v>1089</v>
      </c>
      <c r="K26" s="3">
        <v>408</v>
      </c>
      <c r="L26" s="3">
        <v>236</v>
      </c>
      <c r="M26" s="4">
        <v>262</v>
      </c>
      <c r="N26" s="2">
        <v>9</v>
      </c>
      <c r="O26" s="3">
        <v>0</v>
      </c>
      <c r="P26" s="3">
        <v>0</v>
      </c>
      <c r="Q26" s="4">
        <v>0</v>
      </c>
      <c r="S26" s="26">
        <f t="shared" si="1"/>
        <v>8.489575394204224E-3</v>
      </c>
      <c r="T26" s="26">
        <f t="shared" si="2"/>
        <v>0.83653862439239191</v>
      </c>
      <c r="V26">
        <v>0</v>
      </c>
      <c r="W26">
        <v>100</v>
      </c>
      <c r="X26">
        <v>0</v>
      </c>
    </row>
    <row r="27" spans="1:24" x14ac:dyDescent="0.35">
      <c r="A27" t="s">
        <v>93</v>
      </c>
      <c r="B27">
        <v>1974</v>
      </c>
      <c r="C27" s="14" t="s">
        <v>92</v>
      </c>
      <c r="D27">
        <v>86.2</v>
      </c>
      <c r="E27">
        <v>2</v>
      </c>
      <c r="F27" s="2">
        <v>1059</v>
      </c>
      <c r="G27" s="3">
        <v>128</v>
      </c>
      <c r="H27" s="3">
        <v>45</v>
      </c>
      <c r="I27" s="4">
        <v>61</v>
      </c>
      <c r="J27" s="2">
        <v>29</v>
      </c>
      <c r="K27" s="3">
        <v>0</v>
      </c>
      <c r="L27" s="3">
        <v>0</v>
      </c>
      <c r="M27" s="4">
        <v>0</v>
      </c>
      <c r="N27" s="2">
        <v>389</v>
      </c>
      <c r="O27" s="3">
        <v>129</v>
      </c>
      <c r="P27" s="3">
        <v>71</v>
      </c>
      <c r="Q27" s="4">
        <v>63</v>
      </c>
      <c r="S27" s="26">
        <f t="shared" si="1"/>
        <v>8.3583151262639089E-3</v>
      </c>
      <c r="T27" s="26">
        <f t="shared" si="2"/>
        <v>0.84489693951865585</v>
      </c>
      <c r="V27">
        <v>100</v>
      </c>
      <c r="W27">
        <v>2</v>
      </c>
      <c r="X27">
        <v>100</v>
      </c>
    </row>
    <row r="28" spans="1:24" x14ac:dyDescent="0.35">
      <c r="A28" t="s">
        <v>106</v>
      </c>
      <c r="B28">
        <v>1955</v>
      </c>
      <c r="C28" s="14" t="s">
        <v>112</v>
      </c>
      <c r="D28">
        <v>85.8</v>
      </c>
      <c r="E28">
        <v>1</v>
      </c>
      <c r="F28" s="2">
        <v>4</v>
      </c>
      <c r="G28" s="3">
        <v>0</v>
      </c>
      <c r="H28" s="3">
        <v>0</v>
      </c>
      <c r="I28" s="4">
        <v>0</v>
      </c>
      <c r="J28" s="2">
        <v>2</v>
      </c>
      <c r="K28" s="3">
        <v>0</v>
      </c>
      <c r="L28" s="3">
        <v>0</v>
      </c>
      <c r="M28" s="4">
        <v>0</v>
      </c>
      <c r="N28" s="2">
        <v>931</v>
      </c>
      <c r="O28" s="3">
        <v>1018</v>
      </c>
      <c r="P28" s="3">
        <v>0</v>
      </c>
      <c r="Q28" s="4">
        <v>0</v>
      </c>
      <c r="S28" s="26">
        <f t="shared" si="1"/>
        <v>8.2778652846230705E-3</v>
      </c>
      <c r="T28" s="26">
        <f t="shared" si="2"/>
        <v>0.8531748048032789</v>
      </c>
      <c r="V28">
        <v>99</v>
      </c>
      <c r="W28">
        <v>18</v>
      </c>
      <c r="X28">
        <v>100</v>
      </c>
    </row>
    <row r="29" spans="1:24" x14ac:dyDescent="0.35">
      <c r="A29" t="s">
        <v>83</v>
      </c>
      <c r="B29">
        <v>1941</v>
      </c>
      <c r="C29" s="14" t="s">
        <v>110</v>
      </c>
      <c r="D29">
        <v>100</v>
      </c>
      <c r="E29">
        <v>1</v>
      </c>
      <c r="F29" s="2">
        <v>19</v>
      </c>
      <c r="G29" s="3">
        <v>10</v>
      </c>
      <c r="H29" s="3">
        <v>0</v>
      </c>
      <c r="I29" s="4">
        <v>0</v>
      </c>
      <c r="J29" s="2">
        <v>2</v>
      </c>
      <c r="K29" s="3">
        <v>0</v>
      </c>
      <c r="L29" s="3">
        <v>0</v>
      </c>
      <c r="M29" s="4">
        <v>0</v>
      </c>
      <c r="N29" s="2">
        <v>860</v>
      </c>
      <c r="O29" s="3">
        <v>624</v>
      </c>
      <c r="P29" s="3">
        <v>426</v>
      </c>
      <c r="Q29" s="4">
        <v>0</v>
      </c>
      <c r="S29" s="26">
        <f t="shared" si="1"/>
        <v>8.2185864539403488E-3</v>
      </c>
      <c r="T29" s="26">
        <f t="shared" si="2"/>
        <v>0.86139339125721925</v>
      </c>
      <c r="V29">
        <v>75</v>
      </c>
      <c r="W29">
        <v>19</v>
      </c>
      <c r="X29">
        <v>100</v>
      </c>
    </row>
    <row r="30" spans="1:24" x14ac:dyDescent="0.35">
      <c r="A30" t="s">
        <v>89</v>
      </c>
      <c r="B30">
        <v>1857</v>
      </c>
      <c r="C30" s="14" t="s">
        <v>147</v>
      </c>
      <c r="D30">
        <v>98</v>
      </c>
      <c r="E30">
        <v>3</v>
      </c>
      <c r="F30" s="2">
        <v>1</v>
      </c>
      <c r="G30" s="3">
        <v>0</v>
      </c>
      <c r="H30" s="3">
        <v>0</v>
      </c>
      <c r="I30" s="4">
        <v>0</v>
      </c>
      <c r="J30" s="2">
        <v>0</v>
      </c>
      <c r="K30" s="3">
        <v>0</v>
      </c>
      <c r="L30" s="3">
        <v>0</v>
      </c>
      <c r="M30" s="4">
        <v>0</v>
      </c>
      <c r="N30" s="2">
        <v>306</v>
      </c>
      <c r="O30" s="3">
        <v>175</v>
      </c>
      <c r="P30" s="3">
        <v>805</v>
      </c>
      <c r="Q30" s="4">
        <v>570</v>
      </c>
      <c r="S30" s="26">
        <f t="shared" si="1"/>
        <v>7.8629134698440118E-3</v>
      </c>
      <c r="T30" s="26">
        <f t="shared" si="2"/>
        <v>0.86925630472706328</v>
      </c>
      <c r="V30">
        <v>9</v>
      </c>
      <c r="W30">
        <v>21</v>
      </c>
      <c r="X30">
        <v>100</v>
      </c>
    </row>
    <row r="31" spans="1:24" x14ac:dyDescent="0.35">
      <c r="A31" t="s">
        <v>87</v>
      </c>
      <c r="B31">
        <v>1822</v>
      </c>
      <c r="C31" s="14" t="s">
        <v>96</v>
      </c>
      <c r="D31">
        <v>100</v>
      </c>
      <c r="E31">
        <v>3</v>
      </c>
      <c r="F31" s="2">
        <v>929</v>
      </c>
      <c r="G31" s="3">
        <v>304</v>
      </c>
      <c r="H31" s="3">
        <v>37</v>
      </c>
      <c r="I31" s="4">
        <v>161</v>
      </c>
      <c r="J31" s="2">
        <v>16</v>
      </c>
      <c r="K31" s="3">
        <v>0</v>
      </c>
      <c r="L31" s="3">
        <v>0</v>
      </c>
      <c r="M31" s="4">
        <v>0</v>
      </c>
      <c r="N31" s="2">
        <v>153</v>
      </c>
      <c r="O31" s="3">
        <v>155</v>
      </c>
      <c r="P31" s="3">
        <v>67</v>
      </c>
      <c r="Q31" s="4">
        <v>0</v>
      </c>
      <c r="S31" s="26">
        <f t="shared" si="1"/>
        <v>7.714716393137205E-3</v>
      </c>
      <c r="T31" s="26">
        <f t="shared" si="2"/>
        <v>0.87697102112020053</v>
      </c>
      <c r="V31">
        <v>100</v>
      </c>
      <c r="W31">
        <v>1</v>
      </c>
      <c r="X31">
        <v>100</v>
      </c>
    </row>
    <row r="32" spans="1:24" x14ac:dyDescent="0.35">
      <c r="A32" t="s">
        <v>145</v>
      </c>
      <c r="B32">
        <v>1536</v>
      </c>
      <c r="C32" s="14" t="s">
        <v>127</v>
      </c>
      <c r="D32">
        <v>88.9</v>
      </c>
      <c r="E32">
        <v>2</v>
      </c>
      <c r="F32" s="2">
        <v>1</v>
      </c>
      <c r="G32" s="3">
        <v>0</v>
      </c>
      <c r="H32" s="3">
        <v>0</v>
      </c>
      <c r="I32" s="4">
        <v>0</v>
      </c>
      <c r="J32" s="2">
        <v>129</v>
      </c>
      <c r="K32" s="3">
        <v>847</v>
      </c>
      <c r="L32" s="3">
        <v>559</v>
      </c>
      <c r="M32" s="4">
        <v>0</v>
      </c>
      <c r="N32" s="2">
        <v>0</v>
      </c>
      <c r="O32" s="3">
        <v>0</v>
      </c>
      <c r="P32" s="3">
        <v>0</v>
      </c>
      <c r="Q32" s="4">
        <v>0</v>
      </c>
      <c r="S32" s="26">
        <f t="shared" si="1"/>
        <v>6.5037345663330115E-3</v>
      </c>
      <c r="T32" s="26">
        <f t="shared" si="2"/>
        <v>0.88347475568653355</v>
      </c>
      <c r="V32">
        <v>15</v>
      </c>
      <c r="W32">
        <v>100</v>
      </c>
      <c r="X32">
        <v>40</v>
      </c>
    </row>
    <row r="33" spans="1:24" x14ac:dyDescent="0.35">
      <c r="A33" t="s">
        <v>602</v>
      </c>
      <c r="B33">
        <v>1351</v>
      </c>
      <c r="C33" s="14" t="s">
        <v>154</v>
      </c>
      <c r="D33">
        <v>89.7</v>
      </c>
      <c r="E33">
        <v>1</v>
      </c>
      <c r="F33" s="2">
        <v>304</v>
      </c>
      <c r="G33" s="3">
        <v>98</v>
      </c>
      <c r="H33" s="3">
        <v>50</v>
      </c>
      <c r="I33" s="4">
        <v>894</v>
      </c>
      <c r="J33" s="2">
        <v>0</v>
      </c>
      <c r="K33" s="3">
        <v>0</v>
      </c>
      <c r="L33" s="3">
        <v>0</v>
      </c>
      <c r="M33" s="4">
        <v>0</v>
      </c>
      <c r="N33" s="2">
        <v>5</v>
      </c>
      <c r="O33" s="3">
        <v>0</v>
      </c>
      <c r="P33" s="3">
        <v>0</v>
      </c>
      <c r="Q33" s="4">
        <v>0</v>
      </c>
      <c r="S33" s="26">
        <f t="shared" si="1"/>
        <v>5.7204071608827466E-3</v>
      </c>
      <c r="T33" s="26">
        <f t="shared" si="2"/>
        <v>0.88919516284741629</v>
      </c>
      <c r="V33">
        <v>100</v>
      </c>
      <c r="W33">
        <v>0</v>
      </c>
      <c r="X33">
        <v>61</v>
      </c>
    </row>
    <row r="34" spans="1:24" x14ac:dyDescent="0.35">
      <c r="A34" t="s">
        <v>181</v>
      </c>
      <c r="B34">
        <v>1322</v>
      </c>
      <c r="C34" s="14" t="s">
        <v>125</v>
      </c>
      <c r="D34">
        <v>89.7</v>
      </c>
      <c r="E34">
        <v>1</v>
      </c>
      <c r="F34" s="2">
        <v>796</v>
      </c>
      <c r="G34" s="3">
        <v>254</v>
      </c>
      <c r="H34" s="3">
        <v>154</v>
      </c>
      <c r="I34" s="4">
        <v>113</v>
      </c>
      <c r="J34" s="2">
        <v>3</v>
      </c>
      <c r="K34" s="3">
        <v>0</v>
      </c>
      <c r="L34" s="3">
        <v>0</v>
      </c>
      <c r="M34" s="4">
        <v>0</v>
      </c>
      <c r="N34" s="2">
        <v>2</v>
      </c>
      <c r="O34" s="3">
        <v>0</v>
      </c>
      <c r="P34" s="3">
        <v>0</v>
      </c>
      <c r="Q34" s="4">
        <v>0</v>
      </c>
      <c r="S34" s="26">
        <f t="shared" si="1"/>
        <v>5.5976152973256782E-3</v>
      </c>
      <c r="T34" s="26">
        <f t="shared" si="2"/>
        <v>0.89479277814474201</v>
      </c>
      <c r="V34">
        <v>100</v>
      </c>
      <c r="W34">
        <v>31</v>
      </c>
      <c r="X34">
        <v>6</v>
      </c>
    </row>
    <row r="35" spans="1:24" x14ac:dyDescent="0.35">
      <c r="A35" t="s">
        <v>153</v>
      </c>
      <c r="B35">
        <v>1295</v>
      </c>
      <c r="C35" s="14" t="s">
        <v>163</v>
      </c>
      <c r="D35">
        <v>89.3</v>
      </c>
      <c r="E35">
        <v>2</v>
      </c>
      <c r="F35" s="2">
        <v>0</v>
      </c>
      <c r="G35" s="3">
        <v>0</v>
      </c>
      <c r="H35" s="3">
        <v>0</v>
      </c>
      <c r="I35" s="4">
        <v>0</v>
      </c>
      <c r="J35" s="2">
        <v>4</v>
      </c>
      <c r="K35" s="3">
        <v>0</v>
      </c>
      <c r="L35" s="3">
        <v>0</v>
      </c>
      <c r="M35" s="4">
        <v>0</v>
      </c>
      <c r="N35" s="2">
        <v>23</v>
      </c>
      <c r="O35" s="3">
        <v>19</v>
      </c>
      <c r="P35" s="3">
        <v>0</v>
      </c>
      <c r="Q35" s="4">
        <v>1249</v>
      </c>
      <c r="S35" s="26">
        <f t="shared" si="1"/>
        <v>5.4832918381518556E-3</v>
      </c>
      <c r="T35" s="26">
        <f t="shared" si="2"/>
        <v>0.90027606998289389</v>
      </c>
      <c r="V35">
        <v>13</v>
      </c>
      <c r="W35">
        <v>75</v>
      </c>
      <c r="X35">
        <v>100</v>
      </c>
    </row>
    <row r="36" spans="1:24" x14ac:dyDescent="0.35">
      <c r="A36" t="s">
        <v>130</v>
      </c>
      <c r="B36">
        <v>1244</v>
      </c>
      <c r="C36" s="14" t="s">
        <v>134</v>
      </c>
      <c r="D36">
        <v>100</v>
      </c>
      <c r="E36">
        <v>1</v>
      </c>
      <c r="F36" s="2">
        <v>219</v>
      </c>
      <c r="G36" s="3">
        <v>65</v>
      </c>
      <c r="H36" s="3">
        <v>0</v>
      </c>
      <c r="I36" s="4">
        <v>190</v>
      </c>
      <c r="J36" s="2">
        <v>17</v>
      </c>
      <c r="K36" s="3">
        <v>0</v>
      </c>
      <c r="L36" s="3">
        <v>0</v>
      </c>
      <c r="M36" s="4">
        <v>0</v>
      </c>
      <c r="N36" s="2">
        <v>254</v>
      </c>
      <c r="O36" s="3">
        <v>139</v>
      </c>
      <c r="P36" s="3">
        <v>186</v>
      </c>
      <c r="Q36" s="4">
        <v>174</v>
      </c>
      <c r="S36" s="26">
        <f t="shared" si="1"/>
        <v>5.2673475263790796E-3</v>
      </c>
      <c r="T36" s="26">
        <f t="shared" si="2"/>
        <v>0.90554341750927292</v>
      </c>
      <c r="V36">
        <v>100</v>
      </c>
      <c r="W36">
        <v>100</v>
      </c>
      <c r="X36">
        <v>100</v>
      </c>
    </row>
    <row r="37" spans="1:24" x14ac:dyDescent="0.35">
      <c r="A37" t="s">
        <v>193</v>
      </c>
      <c r="B37">
        <v>1224</v>
      </c>
      <c r="C37" s="14" t="s">
        <v>16</v>
      </c>
      <c r="D37">
        <v>96.4</v>
      </c>
      <c r="E37">
        <v>1</v>
      </c>
      <c r="F37" s="2">
        <v>2</v>
      </c>
      <c r="G37" s="3">
        <v>0</v>
      </c>
      <c r="H37" s="3">
        <v>0</v>
      </c>
      <c r="I37" s="4">
        <v>0</v>
      </c>
      <c r="J37" s="2">
        <v>722</v>
      </c>
      <c r="K37" s="3">
        <v>440</v>
      </c>
      <c r="L37" s="3">
        <v>59</v>
      </c>
      <c r="M37" s="4">
        <v>0</v>
      </c>
      <c r="N37" s="2">
        <v>1</v>
      </c>
      <c r="O37" s="3">
        <v>0</v>
      </c>
      <c r="P37" s="3">
        <v>0</v>
      </c>
      <c r="Q37" s="4">
        <v>0</v>
      </c>
      <c r="S37" s="26">
        <f t="shared" si="1"/>
        <v>5.1826634825466187E-3</v>
      </c>
      <c r="T37" s="26">
        <f t="shared" si="2"/>
        <v>0.91072608099181951</v>
      </c>
      <c r="V37">
        <v>0</v>
      </c>
      <c r="W37">
        <v>100</v>
      </c>
      <c r="X37">
        <v>0</v>
      </c>
    </row>
    <row r="38" spans="1:24" x14ac:dyDescent="0.35">
      <c r="A38" t="s">
        <v>111</v>
      </c>
      <c r="B38">
        <v>1182</v>
      </c>
      <c r="C38" s="14" t="s">
        <v>170</v>
      </c>
      <c r="D38">
        <v>95.6</v>
      </c>
      <c r="E38">
        <v>1</v>
      </c>
      <c r="F38" s="2">
        <v>0</v>
      </c>
      <c r="G38" s="3">
        <v>0</v>
      </c>
      <c r="H38" s="3">
        <v>0</v>
      </c>
      <c r="I38" s="4">
        <v>0</v>
      </c>
      <c r="J38" s="2">
        <v>0</v>
      </c>
      <c r="K38" s="3">
        <v>0</v>
      </c>
      <c r="L38" s="3">
        <v>0</v>
      </c>
      <c r="M38" s="4">
        <v>0</v>
      </c>
      <c r="N38" s="2">
        <v>0</v>
      </c>
      <c r="O38" s="3">
        <v>4</v>
      </c>
      <c r="P38" s="3">
        <v>1178</v>
      </c>
      <c r="Q38" s="4">
        <v>0</v>
      </c>
      <c r="S38" s="26">
        <f t="shared" si="1"/>
        <v>5.0048269904984502E-3</v>
      </c>
      <c r="T38" s="26">
        <f t="shared" si="2"/>
        <v>0.91573090798231793</v>
      </c>
      <c r="V38">
        <v>75</v>
      </c>
      <c r="W38">
        <v>13</v>
      </c>
      <c r="X38">
        <v>100</v>
      </c>
    </row>
    <row r="39" spans="1:24" x14ac:dyDescent="0.35">
      <c r="A39" t="s">
        <v>272</v>
      </c>
      <c r="B39">
        <v>1063</v>
      </c>
      <c r="C39" s="14" t="s">
        <v>274</v>
      </c>
      <c r="D39">
        <v>97.2</v>
      </c>
      <c r="E39">
        <v>3</v>
      </c>
      <c r="F39" s="2">
        <v>13</v>
      </c>
      <c r="G39" s="3">
        <v>14</v>
      </c>
      <c r="H39" s="3">
        <v>0</v>
      </c>
      <c r="I39" s="4">
        <v>997</v>
      </c>
      <c r="J39" s="2">
        <v>0</v>
      </c>
      <c r="K39" s="3">
        <v>0</v>
      </c>
      <c r="L39" s="3">
        <v>0</v>
      </c>
      <c r="M39" s="4">
        <v>0</v>
      </c>
      <c r="N39" s="2">
        <v>27</v>
      </c>
      <c r="O39" s="3">
        <v>12</v>
      </c>
      <c r="P39" s="3">
        <v>0</v>
      </c>
      <c r="Q39" s="4">
        <v>0</v>
      </c>
      <c r="S39" s="26">
        <f t="shared" si="1"/>
        <v>4.5009569296953064E-3</v>
      </c>
      <c r="T39" s="26">
        <f t="shared" si="2"/>
        <v>0.92023186491201325</v>
      </c>
      <c r="V39">
        <v>100</v>
      </c>
      <c r="W39">
        <v>15</v>
      </c>
      <c r="X39">
        <v>96</v>
      </c>
    </row>
    <row r="40" spans="1:24" x14ac:dyDescent="0.35">
      <c r="A40" t="s">
        <v>113</v>
      </c>
      <c r="B40">
        <v>1005</v>
      </c>
      <c r="C40" s="14" t="s">
        <v>196</v>
      </c>
      <c r="D40">
        <v>92.5</v>
      </c>
      <c r="E40">
        <v>1</v>
      </c>
      <c r="F40" s="2">
        <v>0</v>
      </c>
      <c r="G40" s="3">
        <v>0</v>
      </c>
      <c r="H40" s="3">
        <v>0</v>
      </c>
      <c r="I40" s="4">
        <v>0</v>
      </c>
      <c r="J40" s="2">
        <v>0</v>
      </c>
      <c r="K40" s="3">
        <v>0</v>
      </c>
      <c r="L40" s="3">
        <v>0</v>
      </c>
      <c r="M40" s="4">
        <v>0</v>
      </c>
      <c r="N40" s="2">
        <v>32</v>
      </c>
      <c r="O40" s="3">
        <v>178</v>
      </c>
      <c r="P40" s="3">
        <v>466</v>
      </c>
      <c r="Q40" s="4">
        <v>329</v>
      </c>
      <c r="S40" s="26">
        <f t="shared" si="1"/>
        <v>4.2553732025811695E-3</v>
      </c>
      <c r="T40" s="26">
        <f t="shared" si="2"/>
        <v>0.92448723811459443</v>
      </c>
      <c r="V40">
        <v>0</v>
      </c>
      <c r="W40">
        <v>0</v>
      </c>
      <c r="X40">
        <v>100</v>
      </c>
    </row>
    <row r="41" spans="1:24" x14ac:dyDescent="0.35">
      <c r="A41" t="s">
        <v>137</v>
      </c>
      <c r="B41">
        <v>973</v>
      </c>
      <c r="C41" s="14" t="s">
        <v>129</v>
      </c>
      <c r="D41">
        <v>99.2</v>
      </c>
      <c r="E41">
        <v>1</v>
      </c>
      <c r="F41" s="2">
        <v>108</v>
      </c>
      <c r="G41" s="3">
        <v>23</v>
      </c>
      <c r="H41" s="3">
        <v>8</v>
      </c>
      <c r="I41" s="4">
        <v>129</v>
      </c>
      <c r="J41" s="2">
        <v>4</v>
      </c>
      <c r="K41" s="3">
        <v>0</v>
      </c>
      <c r="L41" s="3">
        <v>0</v>
      </c>
      <c r="M41" s="4">
        <v>0</v>
      </c>
      <c r="N41" s="2">
        <v>429</v>
      </c>
      <c r="O41" s="3">
        <v>23</v>
      </c>
      <c r="P41" s="3">
        <v>135</v>
      </c>
      <c r="Q41" s="4">
        <v>114</v>
      </c>
      <c r="S41" s="26">
        <f t="shared" si="1"/>
        <v>4.1198787324492319E-3</v>
      </c>
      <c r="T41" s="26">
        <f t="shared" si="2"/>
        <v>0.92860711684704367</v>
      </c>
      <c r="V41">
        <v>100</v>
      </c>
      <c r="W41">
        <v>0</v>
      </c>
      <c r="X41">
        <v>100</v>
      </c>
    </row>
    <row r="42" spans="1:24" x14ac:dyDescent="0.35">
      <c r="A42" t="s">
        <v>349</v>
      </c>
      <c r="B42">
        <v>944</v>
      </c>
      <c r="C42" s="14" t="s">
        <v>141</v>
      </c>
      <c r="D42">
        <v>90.1</v>
      </c>
      <c r="E42">
        <v>1</v>
      </c>
      <c r="F42" s="2">
        <v>6</v>
      </c>
      <c r="G42" s="3">
        <v>0</v>
      </c>
      <c r="H42" s="3">
        <v>0</v>
      </c>
      <c r="I42" s="4">
        <v>8</v>
      </c>
      <c r="J42" s="2">
        <v>5</v>
      </c>
      <c r="K42" s="3">
        <v>0</v>
      </c>
      <c r="L42" s="3">
        <v>0</v>
      </c>
      <c r="M42" s="4">
        <v>0</v>
      </c>
      <c r="N42" s="2">
        <v>290</v>
      </c>
      <c r="O42" s="3">
        <v>285</v>
      </c>
      <c r="P42" s="3">
        <v>202</v>
      </c>
      <c r="Q42" s="4">
        <v>148</v>
      </c>
      <c r="S42" s="26">
        <f t="shared" si="1"/>
        <v>3.9970868688921635E-3</v>
      </c>
      <c r="T42" s="26">
        <f t="shared" si="2"/>
        <v>0.93260420371593589</v>
      </c>
      <c r="V42">
        <v>100</v>
      </c>
      <c r="W42">
        <v>0</v>
      </c>
      <c r="X42">
        <v>100</v>
      </c>
    </row>
    <row r="43" spans="1:24" x14ac:dyDescent="0.35">
      <c r="A43" t="s">
        <v>128</v>
      </c>
      <c r="B43">
        <v>910</v>
      </c>
      <c r="C43" s="14" t="s">
        <v>187</v>
      </c>
      <c r="D43">
        <v>92.1</v>
      </c>
      <c r="E43">
        <v>1</v>
      </c>
      <c r="F43" s="2">
        <v>0</v>
      </c>
      <c r="G43" s="3">
        <v>0</v>
      </c>
      <c r="H43" s="3">
        <v>0</v>
      </c>
      <c r="I43" s="4">
        <v>0</v>
      </c>
      <c r="J43" s="2">
        <v>1</v>
      </c>
      <c r="K43" s="3">
        <v>0</v>
      </c>
      <c r="L43" s="3">
        <v>0</v>
      </c>
      <c r="M43" s="4">
        <v>0</v>
      </c>
      <c r="N43" s="2">
        <v>13</v>
      </c>
      <c r="O43" s="3">
        <v>6</v>
      </c>
      <c r="P43" s="3">
        <v>241</v>
      </c>
      <c r="Q43" s="4">
        <v>649</v>
      </c>
      <c r="S43" s="26">
        <f t="shared" si="1"/>
        <v>3.8531239943769796E-3</v>
      </c>
      <c r="T43" s="26">
        <f t="shared" si="2"/>
        <v>0.93645732771031287</v>
      </c>
      <c r="V43">
        <v>34</v>
      </c>
      <c r="W43">
        <v>33</v>
      </c>
      <c r="X43">
        <v>100</v>
      </c>
    </row>
    <row r="44" spans="1:24" x14ac:dyDescent="0.35">
      <c r="A44" t="s">
        <v>119</v>
      </c>
      <c r="B44">
        <v>866</v>
      </c>
      <c r="C44" s="14" t="s">
        <v>184</v>
      </c>
      <c r="D44">
        <v>99.2</v>
      </c>
      <c r="E44">
        <v>1</v>
      </c>
      <c r="F44" s="2">
        <v>4</v>
      </c>
      <c r="G44" s="3">
        <v>0</v>
      </c>
      <c r="H44" s="3">
        <v>0</v>
      </c>
      <c r="I44" s="4">
        <v>0</v>
      </c>
      <c r="J44" s="2">
        <v>188</v>
      </c>
      <c r="K44" s="3">
        <v>67</v>
      </c>
      <c r="L44" s="3">
        <v>43</v>
      </c>
      <c r="M44" s="4">
        <v>564</v>
      </c>
      <c r="N44" s="2">
        <v>0</v>
      </c>
      <c r="O44" s="3">
        <v>0</v>
      </c>
      <c r="P44" s="3">
        <v>0</v>
      </c>
      <c r="Q44" s="4">
        <v>0</v>
      </c>
      <c r="S44" s="26">
        <f t="shared" si="1"/>
        <v>3.6668190979455653E-3</v>
      </c>
      <c r="T44" s="26">
        <f t="shared" si="2"/>
        <v>0.9401241468082584</v>
      </c>
      <c r="V44">
        <v>7</v>
      </c>
      <c r="W44">
        <v>100</v>
      </c>
      <c r="X44">
        <v>8</v>
      </c>
    </row>
    <row r="45" spans="1:24" x14ac:dyDescent="0.35">
      <c r="A45" t="s">
        <v>209</v>
      </c>
      <c r="B45">
        <v>774</v>
      </c>
      <c r="C45" s="14" t="s">
        <v>163</v>
      </c>
      <c r="D45">
        <v>96</v>
      </c>
      <c r="E45">
        <v>1</v>
      </c>
      <c r="F45" s="2">
        <v>4</v>
      </c>
      <c r="G45" s="3">
        <v>0</v>
      </c>
      <c r="H45" s="3">
        <v>0</v>
      </c>
      <c r="I45" s="4">
        <v>0</v>
      </c>
      <c r="J45" s="2">
        <v>43</v>
      </c>
      <c r="K45" s="3">
        <v>84</v>
      </c>
      <c r="L45" s="3">
        <v>18</v>
      </c>
      <c r="M45" s="4">
        <v>147</v>
      </c>
      <c r="N45" s="2">
        <v>116</v>
      </c>
      <c r="O45" s="3">
        <v>99</v>
      </c>
      <c r="P45" s="3">
        <v>16</v>
      </c>
      <c r="Q45" s="4">
        <v>247</v>
      </c>
      <c r="S45" s="26">
        <f t="shared" si="1"/>
        <v>3.2772724963162441E-3</v>
      </c>
      <c r="T45" s="26">
        <f t="shared" si="2"/>
        <v>0.94340141930457466</v>
      </c>
      <c r="V45">
        <v>9</v>
      </c>
      <c r="W45">
        <v>54</v>
      </c>
      <c r="X45">
        <v>100</v>
      </c>
    </row>
    <row r="46" spans="1:24" x14ac:dyDescent="0.35">
      <c r="A46" t="s">
        <v>142</v>
      </c>
      <c r="B46">
        <v>749</v>
      </c>
      <c r="C46" s="14" t="s">
        <v>144</v>
      </c>
      <c r="D46">
        <v>91.7</v>
      </c>
      <c r="E46">
        <v>1</v>
      </c>
      <c r="F46" s="2">
        <v>53</v>
      </c>
      <c r="G46" s="3">
        <v>13</v>
      </c>
      <c r="H46" s="3">
        <v>15</v>
      </c>
      <c r="I46" s="4">
        <v>53</v>
      </c>
      <c r="J46" s="2">
        <v>111</v>
      </c>
      <c r="K46" s="3">
        <v>82</v>
      </c>
      <c r="L46" s="3">
        <v>53</v>
      </c>
      <c r="M46" s="4">
        <v>62</v>
      </c>
      <c r="N46" s="2">
        <v>119</v>
      </c>
      <c r="O46" s="3">
        <v>188</v>
      </c>
      <c r="P46" s="3">
        <v>0</v>
      </c>
      <c r="Q46" s="4">
        <v>0</v>
      </c>
      <c r="S46" s="26">
        <f t="shared" si="1"/>
        <v>3.1714174415256677E-3</v>
      </c>
      <c r="T46" s="26">
        <f t="shared" si="2"/>
        <v>0.94657283674610038</v>
      </c>
      <c r="V46">
        <v>100</v>
      </c>
      <c r="W46">
        <v>100</v>
      </c>
      <c r="X46">
        <v>100</v>
      </c>
    </row>
    <row r="47" spans="1:24" x14ac:dyDescent="0.35">
      <c r="A47" t="s">
        <v>164</v>
      </c>
      <c r="B47">
        <v>604</v>
      </c>
      <c r="C47" s="14" t="s">
        <v>170</v>
      </c>
      <c r="D47">
        <v>99.6</v>
      </c>
      <c r="E47">
        <v>1</v>
      </c>
      <c r="F47" s="2">
        <v>205</v>
      </c>
      <c r="G47" s="3">
        <v>82</v>
      </c>
      <c r="H47" s="3">
        <v>53</v>
      </c>
      <c r="I47" s="4">
        <v>259</v>
      </c>
      <c r="J47" s="2">
        <v>2</v>
      </c>
      <c r="K47" s="3">
        <v>0</v>
      </c>
      <c r="L47" s="3">
        <v>0</v>
      </c>
      <c r="M47" s="4">
        <v>0</v>
      </c>
      <c r="N47" s="2">
        <v>3</v>
      </c>
      <c r="O47" s="3">
        <v>0</v>
      </c>
      <c r="P47" s="3">
        <v>0</v>
      </c>
      <c r="Q47" s="4">
        <v>0</v>
      </c>
      <c r="S47" s="26">
        <f t="shared" si="1"/>
        <v>2.5574581237403247E-3</v>
      </c>
      <c r="T47" s="26">
        <f t="shared" si="2"/>
        <v>0.94913029486984068</v>
      </c>
      <c r="V47">
        <v>100</v>
      </c>
      <c r="W47">
        <v>16</v>
      </c>
      <c r="X47">
        <v>100</v>
      </c>
    </row>
    <row r="48" spans="1:24" x14ac:dyDescent="0.35">
      <c r="A48" t="s">
        <v>197</v>
      </c>
      <c r="B48">
        <v>601</v>
      </c>
      <c r="C48" s="14" t="s">
        <v>199</v>
      </c>
      <c r="D48">
        <v>91.7</v>
      </c>
      <c r="E48">
        <v>1</v>
      </c>
      <c r="F48" s="2">
        <v>128</v>
      </c>
      <c r="G48" s="3">
        <v>62</v>
      </c>
      <c r="H48" s="3">
        <v>6</v>
      </c>
      <c r="I48" s="4">
        <v>403</v>
      </c>
      <c r="J48" s="2">
        <v>2</v>
      </c>
      <c r="K48" s="3">
        <v>0</v>
      </c>
      <c r="L48" s="3">
        <v>0</v>
      </c>
      <c r="M48" s="4">
        <v>0</v>
      </c>
      <c r="N48" s="2">
        <v>0</v>
      </c>
      <c r="O48" s="3">
        <v>0</v>
      </c>
      <c r="P48" s="3">
        <v>0</v>
      </c>
      <c r="Q48" s="4">
        <v>0</v>
      </c>
      <c r="S48" s="26">
        <f t="shared" si="1"/>
        <v>2.5447555171654555E-3</v>
      </c>
      <c r="T48" s="26">
        <f t="shared" si="2"/>
        <v>0.95167505038700617</v>
      </c>
      <c r="V48">
        <v>100</v>
      </c>
      <c r="W48">
        <v>1</v>
      </c>
      <c r="X48">
        <v>0</v>
      </c>
    </row>
    <row r="49" spans="1:24" x14ac:dyDescent="0.35">
      <c r="A49" t="s">
        <v>149</v>
      </c>
      <c r="B49">
        <v>563</v>
      </c>
      <c r="C49" s="14" t="s">
        <v>152</v>
      </c>
      <c r="D49">
        <v>98</v>
      </c>
      <c r="E49">
        <v>1</v>
      </c>
      <c r="F49" s="2">
        <v>7</v>
      </c>
      <c r="G49" s="3">
        <v>0</v>
      </c>
      <c r="H49" s="3">
        <v>0</v>
      </c>
      <c r="I49" s="4">
        <v>0</v>
      </c>
      <c r="J49" s="2">
        <v>217</v>
      </c>
      <c r="K49" s="3">
        <v>65</v>
      </c>
      <c r="L49" s="3">
        <v>0</v>
      </c>
      <c r="M49" s="4">
        <v>0</v>
      </c>
      <c r="N49" s="2">
        <v>82</v>
      </c>
      <c r="O49" s="3">
        <v>25</v>
      </c>
      <c r="P49" s="3">
        <v>77</v>
      </c>
      <c r="Q49" s="4">
        <v>90</v>
      </c>
      <c r="S49" s="26">
        <f t="shared" si="1"/>
        <v>2.3838558338837796E-3</v>
      </c>
      <c r="T49" s="26">
        <f t="shared" si="2"/>
        <v>0.95405890622088996</v>
      </c>
      <c r="V49">
        <v>44</v>
      </c>
      <c r="W49">
        <v>100</v>
      </c>
      <c r="X49">
        <v>100</v>
      </c>
    </row>
    <row r="50" spans="1:24" x14ac:dyDescent="0.35">
      <c r="A50" t="s">
        <v>159</v>
      </c>
      <c r="B50">
        <v>472</v>
      </c>
      <c r="C50" s="14" t="s">
        <v>98</v>
      </c>
      <c r="D50">
        <v>0</v>
      </c>
      <c r="E50">
        <v>1</v>
      </c>
      <c r="F50" s="2">
        <v>0</v>
      </c>
      <c r="G50" s="3">
        <v>0</v>
      </c>
      <c r="H50" s="3">
        <v>0</v>
      </c>
      <c r="I50" s="4">
        <v>0</v>
      </c>
      <c r="J50" s="2">
        <v>259</v>
      </c>
      <c r="K50" s="3">
        <v>211</v>
      </c>
      <c r="L50" s="3">
        <v>0</v>
      </c>
      <c r="M50" s="4">
        <v>0</v>
      </c>
      <c r="N50" s="2">
        <v>2</v>
      </c>
      <c r="O50" s="3">
        <v>0</v>
      </c>
      <c r="P50" s="3">
        <v>0</v>
      </c>
      <c r="Q50" s="4">
        <v>0</v>
      </c>
      <c r="S50" s="26">
        <f t="shared" si="1"/>
        <v>1.9985434344460817E-3</v>
      </c>
      <c r="T50" s="26">
        <f t="shared" si="2"/>
        <v>0.95605744965533601</v>
      </c>
      <c r="V50">
        <v>0</v>
      </c>
      <c r="W50">
        <v>100</v>
      </c>
      <c r="X50">
        <v>0</v>
      </c>
    </row>
    <row r="51" spans="1:24" x14ac:dyDescent="0.35">
      <c r="A51" t="s">
        <v>407</v>
      </c>
      <c r="B51">
        <v>461</v>
      </c>
      <c r="C51" s="14" t="s">
        <v>1496</v>
      </c>
      <c r="D51">
        <v>85.4</v>
      </c>
      <c r="E51">
        <v>2</v>
      </c>
      <c r="F51" s="2">
        <v>1</v>
      </c>
      <c r="G51" s="3">
        <v>0</v>
      </c>
      <c r="H51" s="3">
        <v>0</v>
      </c>
      <c r="I51" s="4">
        <v>0</v>
      </c>
      <c r="J51" s="2">
        <v>269</v>
      </c>
      <c r="K51" s="3">
        <v>100</v>
      </c>
      <c r="L51" s="3">
        <v>26</v>
      </c>
      <c r="M51" s="4">
        <v>65</v>
      </c>
      <c r="N51" s="2">
        <v>0</v>
      </c>
      <c r="O51" s="3">
        <v>0</v>
      </c>
      <c r="P51" s="3">
        <v>0</v>
      </c>
      <c r="Q51" s="4">
        <v>0</v>
      </c>
      <c r="S51" s="26">
        <f t="shared" si="1"/>
        <v>1.9519672103382282E-3</v>
      </c>
      <c r="T51" s="26">
        <f t="shared" si="2"/>
        <v>0.9580094168656742</v>
      </c>
      <c r="V51">
        <v>21</v>
      </c>
      <c r="W51">
        <v>86</v>
      </c>
      <c r="X51">
        <v>21</v>
      </c>
    </row>
    <row r="52" spans="1:24" x14ac:dyDescent="0.35">
      <c r="A52" t="s">
        <v>171</v>
      </c>
      <c r="B52">
        <v>447</v>
      </c>
      <c r="C52" s="14" t="s">
        <v>176</v>
      </c>
      <c r="D52">
        <v>100</v>
      </c>
      <c r="E52">
        <v>2</v>
      </c>
      <c r="F52" s="2">
        <v>6</v>
      </c>
      <c r="G52" s="3">
        <v>0</v>
      </c>
      <c r="H52" s="3">
        <v>0</v>
      </c>
      <c r="I52" s="4">
        <v>0</v>
      </c>
      <c r="J52" s="2">
        <v>1</v>
      </c>
      <c r="K52" s="3">
        <v>0</v>
      </c>
      <c r="L52" s="3">
        <v>0</v>
      </c>
      <c r="M52" s="4">
        <v>0</v>
      </c>
      <c r="N52" s="2">
        <v>138</v>
      </c>
      <c r="O52" s="3">
        <v>126</v>
      </c>
      <c r="P52" s="3">
        <v>102</v>
      </c>
      <c r="Q52" s="4">
        <v>74</v>
      </c>
      <c r="S52" s="26">
        <f t="shared" si="1"/>
        <v>1.8926883796555054E-3</v>
      </c>
      <c r="T52" s="26">
        <f t="shared" si="2"/>
        <v>0.95990210524532971</v>
      </c>
      <c r="V52">
        <v>56</v>
      </c>
      <c r="W52">
        <v>0</v>
      </c>
      <c r="X52">
        <v>100</v>
      </c>
    </row>
    <row r="53" spans="1:24" x14ac:dyDescent="0.35">
      <c r="A53" t="s">
        <v>200</v>
      </c>
      <c r="B53">
        <v>441</v>
      </c>
      <c r="C53" s="14" t="s">
        <v>152</v>
      </c>
      <c r="D53">
        <v>97.6</v>
      </c>
      <c r="E53">
        <v>1</v>
      </c>
      <c r="F53" s="2">
        <v>84</v>
      </c>
      <c r="G53" s="3">
        <v>33</v>
      </c>
      <c r="H53" s="3">
        <v>0</v>
      </c>
      <c r="I53" s="4">
        <v>269</v>
      </c>
      <c r="J53" s="2">
        <v>3</v>
      </c>
      <c r="K53" s="3">
        <v>0</v>
      </c>
      <c r="L53" s="3">
        <v>0</v>
      </c>
      <c r="M53" s="4">
        <v>0</v>
      </c>
      <c r="N53" s="2">
        <v>27</v>
      </c>
      <c r="O53" s="3">
        <v>25</v>
      </c>
      <c r="P53" s="3">
        <v>0</v>
      </c>
      <c r="Q53" s="4">
        <v>0</v>
      </c>
      <c r="S53" s="26">
        <f t="shared" si="1"/>
        <v>1.867283166505767E-3</v>
      </c>
      <c r="T53" s="26">
        <f t="shared" si="2"/>
        <v>0.96176938841183546</v>
      </c>
      <c r="V53">
        <v>100</v>
      </c>
      <c r="W53">
        <v>46</v>
      </c>
      <c r="X53">
        <v>79</v>
      </c>
    </row>
    <row r="54" spans="1:24" x14ac:dyDescent="0.35">
      <c r="A54" t="s">
        <v>203</v>
      </c>
      <c r="B54">
        <v>425</v>
      </c>
      <c r="C54" s="14" t="s">
        <v>212</v>
      </c>
      <c r="D54">
        <v>96.8</v>
      </c>
      <c r="E54">
        <v>1</v>
      </c>
      <c r="F54" s="2">
        <v>53</v>
      </c>
      <c r="G54" s="3">
        <v>21</v>
      </c>
      <c r="H54" s="3">
        <v>0</v>
      </c>
      <c r="I54" s="4">
        <v>12</v>
      </c>
      <c r="J54" s="2">
        <v>4</v>
      </c>
      <c r="K54" s="3">
        <v>0</v>
      </c>
      <c r="L54" s="3">
        <v>0</v>
      </c>
      <c r="M54" s="4">
        <v>0</v>
      </c>
      <c r="N54" s="2">
        <v>61</v>
      </c>
      <c r="O54" s="3">
        <v>69</v>
      </c>
      <c r="P54" s="3">
        <v>0</v>
      </c>
      <c r="Q54" s="4">
        <v>205</v>
      </c>
      <c r="S54" s="26">
        <f t="shared" si="1"/>
        <v>1.799535931439798E-3</v>
      </c>
      <c r="T54" s="26">
        <f t="shared" si="2"/>
        <v>0.96356892434327523</v>
      </c>
      <c r="V54">
        <v>100</v>
      </c>
      <c r="W54">
        <v>0</v>
      </c>
      <c r="X54">
        <v>100</v>
      </c>
    </row>
    <row r="55" spans="1:24" x14ac:dyDescent="0.35">
      <c r="A55" t="s">
        <v>148</v>
      </c>
      <c r="B55">
        <v>409</v>
      </c>
      <c r="C55" s="14" t="s">
        <v>206</v>
      </c>
      <c r="D55">
        <v>98.4</v>
      </c>
      <c r="E55">
        <v>2</v>
      </c>
      <c r="F55" s="2">
        <v>67</v>
      </c>
      <c r="G55" s="3">
        <v>135</v>
      </c>
      <c r="H55" s="3">
        <v>0</v>
      </c>
      <c r="I55" s="4">
        <v>206</v>
      </c>
      <c r="J55" s="2">
        <v>0</v>
      </c>
      <c r="K55" s="3">
        <v>0</v>
      </c>
      <c r="L55" s="3">
        <v>0</v>
      </c>
      <c r="M55" s="4">
        <v>0</v>
      </c>
      <c r="N55" s="2">
        <v>1</v>
      </c>
      <c r="O55" s="3">
        <v>0</v>
      </c>
      <c r="P55" s="3">
        <v>0</v>
      </c>
      <c r="Q55" s="4">
        <v>0</v>
      </c>
      <c r="S55" s="26">
        <f t="shared" si="1"/>
        <v>1.7317886963738292E-3</v>
      </c>
      <c r="T55" s="26">
        <f t="shared" si="2"/>
        <v>0.96530071303964904</v>
      </c>
      <c r="V55">
        <v>100</v>
      </c>
      <c r="W55">
        <v>0</v>
      </c>
      <c r="X55">
        <v>0</v>
      </c>
    </row>
    <row r="56" spans="1:24" x14ac:dyDescent="0.35">
      <c r="A56" t="s">
        <v>255</v>
      </c>
      <c r="B56">
        <v>397</v>
      </c>
      <c r="C56" s="14" t="s">
        <v>158</v>
      </c>
      <c r="D56">
        <v>94.8</v>
      </c>
      <c r="E56">
        <v>1</v>
      </c>
      <c r="F56" s="2">
        <v>230</v>
      </c>
      <c r="G56" s="3">
        <v>115</v>
      </c>
      <c r="H56" s="3">
        <v>0</v>
      </c>
      <c r="I56" s="4">
        <v>49</v>
      </c>
      <c r="J56" s="2">
        <v>0</v>
      </c>
      <c r="K56" s="3">
        <v>0</v>
      </c>
      <c r="L56" s="3">
        <v>0</v>
      </c>
      <c r="M56" s="4">
        <v>0</v>
      </c>
      <c r="N56" s="2">
        <v>3</v>
      </c>
      <c r="O56" s="3">
        <v>0</v>
      </c>
      <c r="P56" s="3">
        <v>0</v>
      </c>
      <c r="Q56" s="4">
        <v>0</v>
      </c>
      <c r="S56" s="26">
        <f t="shared" si="1"/>
        <v>1.6809782700743525E-3</v>
      </c>
      <c r="T56" s="26">
        <f t="shared" si="2"/>
        <v>0.96698169130972345</v>
      </c>
      <c r="V56">
        <v>100</v>
      </c>
      <c r="W56">
        <v>9</v>
      </c>
      <c r="X56">
        <v>14</v>
      </c>
    </row>
    <row r="57" spans="1:24" x14ac:dyDescent="0.35">
      <c r="A57" t="s">
        <v>156</v>
      </c>
      <c r="B57">
        <v>316</v>
      </c>
      <c r="C57" s="14" t="s">
        <v>256</v>
      </c>
      <c r="D57">
        <v>90.1</v>
      </c>
      <c r="E57">
        <v>1</v>
      </c>
      <c r="F57" s="2">
        <v>0</v>
      </c>
      <c r="G57" s="3">
        <v>0</v>
      </c>
      <c r="H57" s="3">
        <v>0</v>
      </c>
      <c r="I57" s="4">
        <v>0</v>
      </c>
      <c r="J57" s="2">
        <v>44</v>
      </c>
      <c r="K57" s="3">
        <v>28</v>
      </c>
      <c r="L57" s="3">
        <v>23</v>
      </c>
      <c r="M57" s="4">
        <v>221</v>
      </c>
      <c r="N57" s="2">
        <v>0</v>
      </c>
      <c r="O57" s="3">
        <v>0</v>
      </c>
      <c r="P57" s="3">
        <v>0</v>
      </c>
      <c r="Q57" s="4">
        <v>0</v>
      </c>
      <c r="S57" s="26">
        <f t="shared" si="1"/>
        <v>1.3380078925528851E-3</v>
      </c>
      <c r="T57" s="26">
        <f t="shared" si="2"/>
        <v>0.96831969920227634</v>
      </c>
      <c r="V57">
        <v>2</v>
      </c>
      <c r="W57">
        <v>100</v>
      </c>
      <c r="X57">
        <v>1</v>
      </c>
    </row>
    <row r="58" spans="1:24" x14ac:dyDescent="0.35">
      <c r="A58" t="s">
        <v>267</v>
      </c>
      <c r="B58">
        <v>315</v>
      </c>
      <c r="C58" s="14" t="s">
        <v>220</v>
      </c>
      <c r="D58">
        <v>98.8</v>
      </c>
      <c r="E58">
        <v>1</v>
      </c>
      <c r="F58" s="2">
        <v>2</v>
      </c>
      <c r="G58" s="3">
        <v>0</v>
      </c>
      <c r="H58" s="3">
        <v>0</v>
      </c>
      <c r="I58" s="4">
        <v>0</v>
      </c>
      <c r="J58" s="2">
        <v>93</v>
      </c>
      <c r="K58" s="3">
        <v>48</v>
      </c>
      <c r="L58" s="3">
        <v>0</v>
      </c>
      <c r="M58" s="4">
        <v>20</v>
      </c>
      <c r="N58" s="2">
        <v>51</v>
      </c>
      <c r="O58" s="3">
        <v>50</v>
      </c>
      <c r="P58" s="3">
        <v>23</v>
      </c>
      <c r="Q58" s="4">
        <v>28</v>
      </c>
      <c r="S58" s="26">
        <f t="shared" si="1"/>
        <v>1.3337736903612622E-3</v>
      </c>
      <c r="T58" s="26">
        <f t="shared" si="2"/>
        <v>0.96965347289263759</v>
      </c>
      <c r="V58">
        <v>15</v>
      </c>
      <c r="W58">
        <v>100</v>
      </c>
      <c r="X58">
        <v>64</v>
      </c>
    </row>
    <row r="59" spans="1:24" x14ac:dyDescent="0.35">
      <c r="A59" t="s">
        <v>237</v>
      </c>
      <c r="B59">
        <v>276</v>
      </c>
      <c r="C59" s="14" t="s">
        <v>240</v>
      </c>
      <c r="D59">
        <v>98.4</v>
      </c>
      <c r="E59">
        <v>1</v>
      </c>
      <c r="F59" s="2">
        <v>0</v>
      </c>
      <c r="G59" s="3">
        <v>0</v>
      </c>
      <c r="H59" s="3">
        <v>0</v>
      </c>
      <c r="I59" s="4">
        <v>0</v>
      </c>
      <c r="J59" s="2">
        <v>0</v>
      </c>
      <c r="K59" s="3">
        <v>0</v>
      </c>
      <c r="L59" s="3">
        <v>0</v>
      </c>
      <c r="M59" s="4">
        <v>0</v>
      </c>
      <c r="N59" s="2">
        <v>53</v>
      </c>
      <c r="O59" s="3">
        <v>63</v>
      </c>
      <c r="P59" s="3">
        <v>60</v>
      </c>
      <c r="Q59" s="4">
        <v>100</v>
      </c>
      <c r="S59" s="26">
        <f t="shared" si="1"/>
        <v>1.1686398048879631E-3</v>
      </c>
      <c r="T59" s="26">
        <f t="shared" si="2"/>
        <v>0.97082211269752561</v>
      </c>
      <c r="V59">
        <v>3</v>
      </c>
      <c r="W59">
        <v>0</v>
      </c>
      <c r="X59">
        <v>100</v>
      </c>
    </row>
    <row r="60" spans="1:24" x14ac:dyDescent="0.35">
      <c r="A60" t="s">
        <v>189</v>
      </c>
      <c r="B60">
        <v>275</v>
      </c>
      <c r="C60" s="14" t="s">
        <v>192</v>
      </c>
      <c r="D60">
        <v>96</v>
      </c>
      <c r="E60">
        <v>1</v>
      </c>
      <c r="F60" s="2">
        <v>169</v>
      </c>
      <c r="G60" s="3">
        <v>47</v>
      </c>
      <c r="H60" s="3">
        <v>31</v>
      </c>
      <c r="I60" s="4">
        <v>25</v>
      </c>
      <c r="J60" s="2">
        <v>2</v>
      </c>
      <c r="K60" s="3">
        <v>0</v>
      </c>
      <c r="L60" s="3">
        <v>0</v>
      </c>
      <c r="M60" s="4">
        <v>0</v>
      </c>
      <c r="N60" s="2">
        <v>1</v>
      </c>
      <c r="O60" s="3">
        <v>0</v>
      </c>
      <c r="P60" s="3">
        <v>0</v>
      </c>
      <c r="Q60" s="4">
        <v>0</v>
      </c>
      <c r="S60" s="26">
        <f t="shared" si="1"/>
        <v>1.16440560269634E-3</v>
      </c>
      <c r="T60" s="26">
        <f t="shared" si="2"/>
        <v>0.97198651830022198</v>
      </c>
      <c r="V60">
        <v>100</v>
      </c>
      <c r="W60">
        <v>0</v>
      </c>
      <c r="X60">
        <v>45</v>
      </c>
    </row>
    <row r="61" spans="1:24" x14ac:dyDescent="0.35">
      <c r="A61" t="s">
        <v>177</v>
      </c>
      <c r="B61">
        <v>265</v>
      </c>
      <c r="C61" s="14" t="s">
        <v>180</v>
      </c>
      <c r="D61">
        <v>97.6</v>
      </c>
      <c r="E61">
        <v>1</v>
      </c>
      <c r="F61" s="2">
        <v>0</v>
      </c>
      <c r="G61" s="3">
        <v>0</v>
      </c>
      <c r="H61" s="3">
        <v>0</v>
      </c>
      <c r="I61" s="4">
        <v>0</v>
      </c>
      <c r="J61" s="2">
        <v>1</v>
      </c>
      <c r="K61" s="3">
        <v>0</v>
      </c>
      <c r="L61" s="3">
        <v>0</v>
      </c>
      <c r="M61" s="4">
        <v>0</v>
      </c>
      <c r="N61" s="2">
        <v>146</v>
      </c>
      <c r="O61" s="3">
        <v>118</v>
      </c>
      <c r="P61" s="3">
        <v>0</v>
      </c>
      <c r="Q61" s="4">
        <v>0</v>
      </c>
      <c r="S61" s="26">
        <f t="shared" si="1"/>
        <v>1.1220635807801095E-3</v>
      </c>
      <c r="T61" s="26">
        <f t="shared" si="2"/>
        <v>0.97310858188100213</v>
      </c>
      <c r="V61">
        <v>14</v>
      </c>
      <c r="W61">
        <v>21</v>
      </c>
      <c r="X61">
        <v>100</v>
      </c>
    </row>
    <row r="62" spans="1:24" x14ac:dyDescent="0.35">
      <c r="A62" t="s">
        <v>185</v>
      </c>
      <c r="B62">
        <v>257</v>
      </c>
      <c r="C62" s="14" t="s">
        <v>187</v>
      </c>
      <c r="D62">
        <v>98.8</v>
      </c>
      <c r="E62">
        <v>1</v>
      </c>
      <c r="F62" s="2">
        <v>0</v>
      </c>
      <c r="G62" s="3">
        <v>0</v>
      </c>
      <c r="H62" s="3">
        <v>0</v>
      </c>
      <c r="I62" s="4">
        <v>0</v>
      </c>
      <c r="J62" s="2">
        <v>2</v>
      </c>
      <c r="K62" s="3">
        <v>0</v>
      </c>
      <c r="L62" s="3">
        <v>0</v>
      </c>
      <c r="M62" s="4">
        <v>0</v>
      </c>
      <c r="N62" s="2">
        <v>181</v>
      </c>
      <c r="O62" s="3">
        <v>74</v>
      </c>
      <c r="P62" s="3">
        <v>0</v>
      </c>
      <c r="Q62" s="4">
        <v>0</v>
      </c>
      <c r="S62" s="26">
        <f t="shared" si="1"/>
        <v>1.0881899632471249E-3</v>
      </c>
      <c r="T62" s="26">
        <f t="shared" si="2"/>
        <v>0.97419677184424924</v>
      </c>
      <c r="V62">
        <v>16</v>
      </c>
      <c r="W62">
        <v>12</v>
      </c>
      <c r="X62">
        <v>100</v>
      </c>
    </row>
    <row r="63" spans="1:24" x14ac:dyDescent="0.35">
      <c r="A63" t="s">
        <v>230</v>
      </c>
      <c r="B63">
        <v>242</v>
      </c>
      <c r="C63" s="14" t="s">
        <v>217</v>
      </c>
      <c r="D63">
        <v>87</v>
      </c>
      <c r="E63">
        <v>3</v>
      </c>
      <c r="F63" s="2">
        <v>125</v>
      </c>
      <c r="G63" s="3">
        <v>58</v>
      </c>
      <c r="H63" s="3">
        <v>9</v>
      </c>
      <c r="I63" s="4">
        <v>41</v>
      </c>
      <c r="J63" s="2">
        <v>8</v>
      </c>
      <c r="K63" s="3">
        <v>0</v>
      </c>
      <c r="L63" s="3">
        <v>0</v>
      </c>
      <c r="M63" s="4">
        <v>0</v>
      </c>
      <c r="N63" s="2">
        <v>1</v>
      </c>
      <c r="O63" s="3">
        <v>0</v>
      </c>
      <c r="P63" s="3">
        <v>0</v>
      </c>
      <c r="Q63" s="4">
        <v>0</v>
      </c>
      <c r="S63" s="26">
        <f t="shared" si="1"/>
        <v>1.0246769303727792E-3</v>
      </c>
      <c r="T63" s="26">
        <f t="shared" si="2"/>
        <v>0.97522144877462202</v>
      </c>
      <c r="V63">
        <v>100</v>
      </c>
      <c r="W63">
        <v>2</v>
      </c>
      <c r="X63">
        <v>2</v>
      </c>
    </row>
    <row r="64" spans="1:24" x14ac:dyDescent="0.35">
      <c r="A64" t="s">
        <v>188</v>
      </c>
      <c r="B64">
        <v>232</v>
      </c>
      <c r="C64" s="14" t="s">
        <v>98</v>
      </c>
      <c r="D64">
        <v>0</v>
      </c>
      <c r="E64">
        <v>1</v>
      </c>
      <c r="F64" s="2">
        <v>161</v>
      </c>
      <c r="G64" s="3">
        <v>70</v>
      </c>
      <c r="H64" s="3">
        <v>0</v>
      </c>
      <c r="I64" s="4">
        <v>0</v>
      </c>
      <c r="J64" s="2">
        <v>1</v>
      </c>
      <c r="K64" s="3">
        <v>0</v>
      </c>
      <c r="L64" s="3">
        <v>0</v>
      </c>
      <c r="M64" s="4">
        <v>0</v>
      </c>
      <c r="N64" s="2">
        <v>0</v>
      </c>
      <c r="O64" s="3">
        <v>0</v>
      </c>
      <c r="P64" s="3">
        <v>0</v>
      </c>
      <c r="Q64" s="4">
        <v>0</v>
      </c>
      <c r="S64" s="26">
        <f t="shared" si="1"/>
        <v>9.8233490845654856E-4</v>
      </c>
      <c r="T64" s="26">
        <f t="shared" si="2"/>
        <v>0.97620378368307859</v>
      </c>
      <c r="V64">
        <v>100</v>
      </c>
      <c r="W64">
        <v>0</v>
      </c>
      <c r="X64">
        <v>25</v>
      </c>
    </row>
    <row r="65" spans="1:24" x14ac:dyDescent="0.35">
      <c r="A65" t="s">
        <v>307</v>
      </c>
      <c r="B65">
        <v>230</v>
      </c>
      <c r="C65" s="14" t="s">
        <v>310</v>
      </c>
      <c r="D65">
        <v>98.8</v>
      </c>
      <c r="E65">
        <v>2</v>
      </c>
      <c r="F65" s="2">
        <v>25</v>
      </c>
      <c r="G65" s="3">
        <v>8</v>
      </c>
      <c r="H65" s="3">
        <v>0</v>
      </c>
      <c r="I65" s="4">
        <v>193</v>
      </c>
      <c r="J65" s="2">
        <v>0</v>
      </c>
      <c r="K65" s="3">
        <v>0</v>
      </c>
      <c r="L65" s="3">
        <v>0</v>
      </c>
      <c r="M65" s="4">
        <v>0</v>
      </c>
      <c r="N65" s="2">
        <v>4</v>
      </c>
      <c r="O65" s="3">
        <v>0</v>
      </c>
      <c r="P65" s="3">
        <v>0</v>
      </c>
      <c r="Q65" s="4">
        <v>0</v>
      </c>
      <c r="S65" s="26">
        <f t="shared" si="1"/>
        <v>9.7386650407330251E-4</v>
      </c>
      <c r="T65" s="26">
        <f t="shared" si="2"/>
        <v>0.97717765018715186</v>
      </c>
      <c r="V65">
        <v>100</v>
      </c>
      <c r="W65">
        <v>0</v>
      </c>
      <c r="X65">
        <v>1</v>
      </c>
    </row>
    <row r="66" spans="1:24" x14ac:dyDescent="0.35">
      <c r="A66" t="s">
        <v>213</v>
      </c>
      <c r="B66">
        <v>212</v>
      </c>
      <c r="C66" s="14" t="s">
        <v>202</v>
      </c>
      <c r="D66">
        <v>86.2</v>
      </c>
      <c r="E66">
        <v>1</v>
      </c>
      <c r="F66" s="2">
        <v>175</v>
      </c>
      <c r="G66" s="3">
        <v>33</v>
      </c>
      <c r="H66" s="3">
        <v>0</v>
      </c>
      <c r="I66" s="4">
        <v>0</v>
      </c>
      <c r="J66" s="2">
        <v>0</v>
      </c>
      <c r="K66" s="3">
        <v>0</v>
      </c>
      <c r="L66" s="3">
        <v>0</v>
      </c>
      <c r="M66" s="4">
        <v>0</v>
      </c>
      <c r="N66" s="2">
        <v>4</v>
      </c>
      <c r="O66" s="3">
        <v>0</v>
      </c>
      <c r="P66" s="3">
        <v>0</v>
      </c>
      <c r="Q66" s="4">
        <v>0</v>
      </c>
      <c r="S66" s="26">
        <f t="shared" si="1"/>
        <v>8.9765086462408755E-4</v>
      </c>
      <c r="T66" s="26">
        <f t="shared" si="2"/>
        <v>0.97807530105177598</v>
      </c>
      <c r="V66">
        <v>100</v>
      </c>
      <c r="W66">
        <v>0</v>
      </c>
      <c r="X66">
        <v>8</v>
      </c>
    </row>
    <row r="67" spans="1:24" x14ac:dyDescent="0.35">
      <c r="A67" t="s">
        <v>223</v>
      </c>
      <c r="B67">
        <v>201</v>
      </c>
      <c r="C67" s="14" t="s">
        <v>232</v>
      </c>
      <c r="D67">
        <v>100</v>
      </c>
      <c r="E67">
        <v>1</v>
      </c>
      <c r="F67" s="2">
        <v>104</v>
      </c>
      <c r="G67" s="3">
        <v>16</v>
      </c>
      <c r="H67" s="3">
        <v>16</v>
      </c>
      <c r="I67" s="4">
        <v>65</v>
      </c>
      <c r="J67" s="2">
        <v>0</v>
      </c>
      <c r="K67" s="3">
        <v>0</v>
      </c>
      <c r="L67" s="3">
        <v>0</v>
      </c>
      <c r="M67" s="4">
        <v>0</v>
      </c>
      <c r="N67" s="2">
        <v>0</v>
      </c>
      <c r="O67" s="3">
        <v>0</v>
      </c>
      <c r="P67" s="3">
        <v>0</v>
      </c>
      <c r="Q67" s="4">
        <v>0</v>
      </c>
      <c r="S67" s="26">
        <f t="shared" si="1"/>
        <v>8.5107464051623397E-4</v>
      </c>
      <c r="T67" s="26">
        <f t="shared" si="2"/>
        <v>0.97892637569229224</v>
      </c>
      <c r="V67">
        <v>100</v>
      </c>
      <c r="W67">
        <v>0</v>
      </c>
      <c r="X67">
        <v>0</v>
      </c>
    </row>
    <row r="68" spans="1:24" x14ac:dyDescent="0.35">
      <c r="A68" t="s">
        <v>234</v>
      </c>
      <c r="B68">
        <v>193</v>
      </c>
      <c r="C68" s="14" t="s">
        <v>224</v>
      </c>
      <c r="D68">
        <v>87.4</v>
      </c>
      <c r="E68">
        <v>2</v>
      </c>
      <c r="F68" s="2">
        <v>0</v>
      </c>
      <c r="G68" s="3">
        <v>0</v>
      </c>
      <c r="H68" s="3">
        <v>0</v>
      </c>
      <c r="I68" s="4">
        <v>0</v>
      </c>
      <c r="J68" s="2">
        <v>70</v>
      </c>
      <c r="K68" s="3">
        <v>79</v>
      </c>
      <c r="L68" s="3">
        <v>0</v>
      </c>
      <c r="M68" s="4">
        <v>44</v>
      </c>
      <c r="N68" s="2">
        <v>0</v>
      </c>
      <c r="O68" s="3">
        <v>0</v>
      </c>
      <c r="P68" s="3">
        <v>0</v>
      </c>
      <c r="Q68" s="4">
        <v>0</v>
      </c>
      <c r="S68" s="26">
        <f t="shared" ref="S68:S131" si="3">B68/B$2</f>
        <v>8.1720102298324946E-4</v>
      </c>
      <c r="T68" s="26">
        <f t="shared" si="2"/>
        <v>0.97974357671527545</v>
      </c>
      <c r="V68">
        <v>0</v>
      </c>
      <c r="W68">
        <v>100</v>
      </c>
      <c r="X68">
        <v>0</v>
      </c>
    </row>
    <row r="69" spans="1:24" x14ac:dyDescent="0.35">
      <c r="A69" t="s">
        <v>579</v>
      </c>
      <c r="B69">
        <v>192</v>
      </c>
      <c r="C69" s="14" t="s">
        <v>208</v>
      </c>
      <c r="D69">
        <v>92.1</v>
      </c>
      <c r="E69">
        <v>2</v>
      </c>
      <c r="F69" s="2">
        <v>0</v>
      </c>
      <c r="G69" s="3">
        <v>0</v>
      </c>
      <c r="H69" s="3">
        <v>0</v>
      </c>
      <c r="I69" s="4">
        <v>0</v>
      </c>
      <c r="J69" s="2">
        <v>132</v>
      </c>
      <c r="K69" s="3">
        <v>60</v>
      </c>
      <c r="L69" s="3">
        <v>0</v>
      </c>
      <c r="M69" s="4">
        <v>0</v>
      </c>
      <c r="N69" s="2">
        <v>0</v>
      </c>
      <c r="O69" s="3">
        <v>0</v>
      </c>
      <c r="P69" s="3">
        <v>0</v>
      </c>
      <c r="Q69" s="4">
        <v>0</v>
      </c>
      <c r="S69" s="26">
        <f t="shared" si="3"/>
        <v>8.1296682079162643E-4</v>
      </c>
      <c r="T69" s="60">
        <f t="shared" si="2"/>
        <v>0.98055654353606703</v>
      </c>
      <c r="V69">
        <v>34</v>
      </c>
      <c r="W69">
        <v>91</v>
      </c>
      <c r="X69">
        <v>34</v>
      </c>
    </row>
    <row r="70" spans="1:24" x14ac:dyDescent="0.35">
      <c r="A70" t="s">
        <v>603</v>
      </c>
      <c r="B70">
        <v>184</v>
      </c>
      <c r="C70" s="14" t="s">
        <v>215</v>
      </c>
      <c r="D70">
        <v>100</v>
      </c>
      <c r="E70">
        <v>1</v>
      </c>
      <c r="F70" s="2">
        <v>0</v>
      </c>
      <c r="G70" s="3">
        <v>0</v>
      </c>
      <c r="H70" s="3">
        <v>0</v>
      </c>
      <c r="I70" s="4">
        <v>0</v>
      </c>
      <c r="J70" s="2">
        <v>107</v>
      </c>
      <c r="K70" s="3">
        <v>77</v>
      </c>
      <c r="L70" s="3">
        <v>0</v>
      </c>
      <c r="M70" s="4">
        <v>0</v>
      </c>
      <c r="N70" s="2">
        <v>0</v>
      </c>
      <c r="O70" s="3">
        <v>0</v>
      </c>
      <c r="P70" s="3">
        <v>0</v>
      </c>
      <c r="Q70" s="4">
        <v>0</v>
      </c>
      <c r="S70" s="26">
        <f t="shared" si="3"/>
        <v>7.7909320325864203E-4</v>
      </c>
      <c r="T70" s="26">
        <f t="shared" ref="T70:T133" si="4">T69+S70</f>
        <v>0.98133563673932567</v>
      </c>
      <c r="V70">
        <v>0</v>
      </c>
      <c r="W70">
        <v>100</v>
      </c>
      <c r="X70">
        <v>0</v>
      </c>
    </row>
    <row r="71" spans="1:24" x14ac:dyDescent="0.35">
      <c r="A71" t="s">
        <v>216</v>
      </c>
      <c r="B71">
        <v>178</v>
      </c>
      <c r="C71" s="14" t="s">
        <v>236</v>
      </c>
      <c r="D71">
        <v>88.1</v>
      </c>
      <c r="E71">
        <v>1</v>
      </c>
      <c r="F71" s="2">
        <v>4</v>
      </c>
      <c r="G71" s="3">
        <v>0</v>
      </c>
      <c r="H71" s="3">
        <v>0</v>
      </c>
      <c r="I71" s="4">
        <v>0</v>
      </c>
      <c r="J71" s="2">
        <v>0</v>
      </c>
      <c r="K71" s="3">
        <v>0</v>
      </c>
      <c r="L71" s="3">
        <v>0</v>
      </c>
      <c r="M71" s="4">
        <v>0</v>
      </c>
      <c r="N71" s="2">
        <v>61</v>
      </c>
      <c r="O71" s="3">
        <v>53</v>
      </c>
      <c r="P71" s="3">
        <v>29</v>
      </c>
      <c r="Q71" s="4">
        <v>31</v>
      </c>
      <c r="S71" s="26">
        <f t="shared" si="3"/>
        <v>7.5368799010890367E-4</v>
      </c>
      <c r="T71" s="26">
        <f t="shared" si="4"/>
        <v>0.98208932472943455</v>
      </c>
      <c r="V71">
        <v>48</v>
      </c>
      <c r="W71">
        <v>0</v>
      </c>
      <c r="X71">
        <v>100</v>
      </c>
    </row>
    <row r="72" spans="1:24" x14ac:dyDescent="0.35">
      <c r="A72" t="s">
        <v>284</v>
      </c>
      <c r="B72">
        <v>175</v>
      </c>
      <c r="C72" s="14" t="s">
        <v>229</v>
      </c>
      <c r="D72">
        <v>97.2</v>
      </c>
      <c r="E72">
        <v>1</v>
      </c>
      <c r="F72" s="2">
        <v>25</v>
      </c>
      <c r="G72" s="3">
        <v>3</v>
      </c>
      <c r="H72" s="3">
        <v>0</v>
      </c>
      <c r="I72" s="4">
        <v>0</v>
      </c>
      <c r="J72" s="2">
        <v>47</v>
      </c>
      <c r="K72" s="3">
        <v>19</v>
      </c>
      <c r="L72" s="3">
        <v>0</v>
      </c>
      <c r="M72" s="4">
        <v>0</v>
      </c>
      <c r="N72" s="2">
        <v>25</v>
      </c>
      <c r="O72" s="3">
        <v>56</v>
      </c>
      <c r="P72" s="3">
        <v>0</v>
      </c>
      <c r="Q72" s="4">
        <v>0</v>
      </c>
      <c r="S72" s="26">
        <f t="shared" si="3"/>
        <v>7.409853835340345E-4</v>
      </c>
      <c r="T72" s="26">
        <f t="shared" si="4"/>
        <v>0.98283031011296862</v>
      </c>
      <c r="V72">
        <v>100</v>
      </c>
      <c r="W72">
        <v>69</v>
      </c>
      <c r="X72">
        <v>100</v>
      </c>
    </row>
    <row r="73" spans="1:24" x14ac:dyDescent="0.35">
      <c r="A73" t="s">
        <v>221</v>
      </c>
      <c r="B73">
        <v>157</v>
      </c>
      <c r="C73" s="14" t="s">
        <v>222</v>
      </c>
      <c r="D73">
        <v>92.5</v>
      </c>
      <c r="E73">
        <v>5</v>
      </c>
      <c r="F73" s="2">
        <v>0</v>
      </c>
      <c r="G73" s="3">
        <v>0</v>
      </c>
      <c r="H73" s="3">
        <v>0</v>
      </c>
      <c r="I73" s="4">
        <v>0</v>
      </c>
      <c r="J73" s="2">
        <v>2</v>
      </c>
      <c r="K73" s="3">
        <v>0</v>
      </c>
      <c r="L73" s="3">
        <v>0</v>
      </c>
      <c r="M73" s="4">
        <v>0</v>
      </c>
      <c r="N73" s="2">
        <v>106</v>
      </c>
      <c r="O73" s="3">
        <v>49</v>
      </c>
      <c r="P73" s="3">
        <v>0</v>
      </c>
      <c r="Q73" s="4">
        <v>0</v>
      </c>
      <c r="S73" s="26">
        <f t="shared" si="3"/>
        <v>6.6476974408481953E-4</v>
      </c>
      <c r="T73" s="26">
        <f t="shared" si="4"/>
        <v>0.98349507985705342</v>
      </c>
      <c r="V73">
        <v>11</v>
      </c>
      <c r="W73">
        <v>13</v>
      </c>
      <c r="X73">
        <v>100</v>
      </c>
    </row>
    <row r="74" spans="1:24" x14ac:dyDescent="0.35">
      <c r="A74" t="s">
        <v>225</v>
      </c>
      <c r="B74">
        <v>148</v>
      </c>
      <c r="C74" s="14" t="s">
        <v>125</v>
      </c>
      <c r="D74">
        <v>99.6</v>
      </c>
      <c r="E74">
        <v>1</v>
      </c>
      <c r="F74" s="2">
        <v>109</v>
      </c>
      <c r="G74" s="3">
        <v>34</v>
      </c>
      <c r="H74" s="3">
        <v>0</v>
      </c>
      <c r="I74" s="4">
        <v>0</v>
      </c>
      <c r="J74" s="2">
        <v>2</v>
      </c>
      <c r="K74" s="3">
        <v>0</v>
      </c>
      <c r="L74" s="3">
        <v>0</v>
      </c>
      <c r="M74" s="4">
        <v>0</v>
      </c>
      <c r="N74" s="2">
        <v>3</v>
      </c>
      <c r="O74" s="3">
        <v>0</v>
      </c>
      <c r="P74" s="3">
        <v>0</v>
      </c>
      <c r="Q74" s="4">
        <v>0</v>
      </c>
      <c r="S74" s="26">
        <f t="shared" si="3"/>
        <v>6.26661924360212E-4</v>
      </c>
      <c r="T74" s="26">
        <f t="shared" si="4"/>
        <v>0.98412174178141365</v>
      </c>
      <c r="V74">
        <v>100</v>
      </c>
      <c r="W74">
        <v>17</v>
      </c>
      <c r="X74">
        <v>22</v>
      </c>
    </row>
    <row r="75" spans="1:24" x14ac:dyDescent="0.35">
      <c r="A75" t="s">
        <v>214</v>
      </c>
      <c r="B75">
        <v>134</v>
      </c>
      <c r="C75" s="14" t="s">
        <v>270</v>
      </c>
      <c r="D75">
        <v>95.7</v>
      </c>
      <c r="E75">
        <v>1</v>
      </c>
      <c r="F75" s="2">
        <v>0</v>
      </c>
      <c r="G75" s="3">
        <v>0</v>
      </c>
      <c r="H75" s="3">
        <v>0</v>
      </c>
      <c r="I75" s="4">
        <v>0</v>
      </c>
      <c r="J75" s="2">
        <v>0</v>
      </c>
      <c r="K75" s="3">
        <v>0</v>
      </c>
      <c r="L75" s="3">
        <v>0</v>
      </c>
      <c r="M75" s="4">
        <v>0</v>
      </c>
      <c r="N75" s="2">
        <v>32</v>
      </c>
      <c r="O75" s="3">
        <v>40</v>
      </c>
      <c r="P75" s="3">
        <v>62</v>
      </c>
      <c r="Q75" s="4">
        <v>0</v>
      </c>
      <c r="S75" s="26">
        <f t="shared" si="3"/>
        <v>5.6738309367748924E-4</v>
      </c>
      <c r="T75" s="26">
        <f t="shared" si="4"/>
        <v>0.98468912487509119</v>
      </c>
      <c r="V75">
        <v>69</v>
      </c>
      <c r="W75">
        <v>0</v>
      </c>
      <c r="X75">
        <v>100</v>
      </c>
    </row>
    <row r="76" spans="1:24" x14ac:dyDescent="0.35">
      <c r="A76" t="s">
        <v>218</v>
      </c>
      <c r="B76">
        <v>129</v>
      </c>
      <c r="C76" s="14" t="s">
        <v>604</v>
      </c>
      <c r="D76">
        <v>88.5</v>
      </c>
      <c r="E76">
        <v>1</v>
      </c>
      <c r="F76" s="2">
        <v>0</v>
      </c>
      <c r="G76" s="3">
        <v>0</v>
      </c>
      <c r="H76" s="3">
        <v>0</v>
      </c>
      <c r="I76" s="4">
        <v>129</v>
      </c>
      <c r="J76" s="2">
        <v>0</v>
      </c>
      <c r="K76" s="3">
        <v>0</v>
      </c>
      <c r="L76" s="3">
        <v>0</v>
      </c>
      <c r="M76" s="4">
        <v>0</v>
      </c>
      <c r="N76" s="2">
        <v>0</v>
      </c>
      <c r="O76" s="3">
        <v>0</v>
      </c>
      <c r="P76" s="3">
        <v>0</v>
      </c>
      <c r="Q76" s="4">
        <v>0</v>
      </c>
      <c r="S76" s="26">
        <f t="shared" si="3"/>
        <v>5.4621208271937402E-4</v>
      </c>
      <c r="T76" s="26">
        <f t="shared" si="4"/>
        <v>0.98523533695781051</v>
      </c>
      <c r="V76">
        <v>91</v>
      </c>
      <c r="W76">
        <v>12</v>
      </c>
      <c r="X76">
        <v>37</v>
      </c>
    </row>
    <row r="77" spans="1:24" x14ac:dyDescent="0.35">
      <c r="A77" t="s">
        <v>253</v>
      </c>
      <c r="B77">
        <v>127</v>
      </c>
      <c r="C77" s="14" t="s">
        <v>247</v>
      </c>
      <c r="D77">
        <v>99.2</v>
      </c>
      <c r="E77">
        <v>1</v>
      </c>
      <c r="F77" s="2">
        <v>71</v>
      </c>
      <c r="G77" s="3">
        <v>18</v>
      </c>
      <c r="H77" s="3">
        <v>15</v>
      </c>
      <c r="I77" s="4">
        <v>0</v>
      </c>
      <c r="J77" s="2">
        <v>10</v>
      </c>
      <c r="K77" s="3">
        <v>0</v>
      </c>
      <c r="L77" s="3">
        <v>0</v>
      </c>
      <c r="M77" s="4">
        <v>0</v>
      </c>
      <c r="N77" s="2">
        <v>13</v>
      </c>
      <c r="O77" s="3">
        <v>0</v>
      </c>
      <c r="P77" s="3">
        <v>0</v>
      </c>
      <c r="Q77" s="4">
        <v>0</v>
      </c>
      <c r="S77" s="26">
        <f t="shared" si="3"/>
        <v>5.3774367833612786E-4</v>
      </c>
      <c r="T77" s="26">
        <f t="shared" si="4"/>
        <v>0.98577308063614666</v>
      </c>
      <c r="V77">
        <v>100</v>
      </c>
      <c r="W77">
        <v>0</v>
      </c>
      <c r="X77">
        <v>4</v>
      </c>
    </row>
    <row r="78" spans="1:24" x14ac:dyDescent="0.35">
      <c r="A78" t="s">
        <v>286</v>
      </c>
      <c r="B78">
        <v>125</v>
      </c>
      <c r="C78" s="14" t="s">
        <v>229</v>
      </c>
      <c r="D78">
        <v>94.9</v>
      </c>
      <c r="E78">
        <v>1</v>
      </c>
      <c r="F78" s="2">
        <v>7</v>
      </c>
      <c r="G78" s="3">
        <v>0</v>
      </c>
      <c r="H78" s="3">
        <v>0</v>
      </c>
      <c r="I78" s="4">
        <v>0</v>
      </c>
      <c r="J78" s="2">
        <v>2</v>
      </c>
      <c r="K78" s="3">
        <v>0</v>
      </c>
      <c r="L78" s="3">
        <v>0</v>
      </c>
      <c r="M78" s="4">
        <v>0</v>
      </c>
      <c r="N78" s="2">
        <v>82</v>
      </c>
      <c r="O78" s="3">
        <v>34</v>
      </c>
      <c r="P78" s="3">
        <v>0</v>
      </c>
      <c r="Q78" s="4">
        <v>0</v>
      </c>
      <c r="S78" s="26">
        <f t="shared" si="3"/>
        <v>5.2927527395288181E-4</v>
      </c>
      <c r="T78" s="26">
        <f t="shared" si="4"/>
        <v>0.98630235591009952</v>
      </c>
      <c r="V78">
        <v>99</v>
      </c>
      <c r="W78">
        <v>18</v>
      </c>
      <c r="X78">
        <v>100</v>
      </c>
    </row>
    <row r="79" spans="1:24" x14ac:dyDescent="0.35">
      <c r="A79" t="s">
        <v>275</v>
      </c>
      <c r="B79">
        <v>118</v>
      </c>
      <c r="C79" s="14" t="s">
        <v>251</v>
      </c>
      <c r="D79">
        <v>96.8</v>
      </c>
      <c r="E79">
        <v>1</v>
      </c>
      <c r="F79" s="2">
        <v>4</v>
      </c>
      <c r="G79" s="3">
        <v>0</v>
      </c>
      <c r="H79" s="3">
        <v>0</v>
      </c>
      <c r="I79" s="4">
        <v>0</v>
      </c>
      <c r="J79" s="2">
        <v>2</v>
      </c>
      <c r="K79" s="3">
        <v>0</v>
      </c>
      <c r="L79" s="3">
        <v>0</v>
      </c>
      <c r="M79" s="4">
        <v>0</v>
      </c>
      <c r="N79" s="2">
        <v>61</v>
      </c>
      <c r="O79" s="3">
        <v>51</v>
      </c>
      <c r="P79" s="3">
        <v>0</v>
      </c>
      <c r="Q79" s="4">
        <v>0</v>
      </c>
      <c r="S79" s="26">
        <f t="shared" si="3"/>
        <v>4.9963585861152043E-4</v>
      </c>
      <c r="T79" s="26">
        <f t="shared" si="4"/>
        <v>0.98680199176871108</v>
      </c>
      <c r="V79">
        <v>10</v>
      </c>
      <c r="W79">
        <v>25</v>
      </c>
      <c r="X79">
        <v>100</v>
      </c>
    </row>
    <row r="80" spans="1:24" x14ac:dyDescent="0.35">
      <c r="A80" t="s">
        <v>544</v>
      </c>
      <c r="B80">
        <v>114</v>
      </c>
      <c r="C80" s="14" t="s">
        <v>163</v>
      </c>
      <c r="D80">
        <v>95.3</v>
      </c>
      <c r="E80">
        <v>1</v>
      </c>
      <c r="F80" s="2">
        <v>1</v>
      </c>
      <c r="G80" s="3">
        <v>0</v>
      </c>
      <c r="H80" s="3">
        <v>0</v>
      </c>
      <c r="I80" s="4">
        <v>0</v>
      </c>
      <c r="J80" s="2">
        <v>63</v>
      </c>
      <c r="K80" s="3">
        <v>30</v>
      </c>
      <c r="L80" s="3">
        <v>0</v>
      </c>
      <c r="M80" s="4">
        <v>0</v>
      </c>
      <c r="N80" s="2">
        <v>15</v>
      </c>
      <c r="O80" s="3">
        <v>5</v>
      </c>
      <c r="P80" s="3">
        <v>0</v>
      </c>
      <c r="Q80" s="4">
        <v>0</v>
      </c>
      <c r="S80" s="26">
        <f t="shared" si="3"/>
        <v>4.8269904984502818E-4</v>
      </c>
      <c r="T80" s="26">
        <f t="shared" si="4"/>
        <v>0.98728469081855608</v>
      </c>
      <c r="V80">
        <v>9</v>
      </c>
      <c r="W80">
        <v>93</v>
      </c>
      <c r="X80">
        <v>92</v>
      </c>
    </row>
    <row r="81" spans="1:24" x14ac:dyDescent="0.35">
      <c r="A81" t="s">
        <v>226</v>
      </c>
      <c r="B81">
        <v>111</v>
      </c>
      <c r="C81" s="14" t="s">
        <v>285</v>
      </c>
      <c r="D81">
        <v>88.1</v>
      </c>
      <c r="E81">
        <v>4</v>
      </c>
      <c r="F81" s="2">
        <v>38</v>
      </c>
      <c r="G81" s="3">
        <v>37</v>
      </c>
      <c r="H81" s="3">
        <v>6</v>
      </c>
      <c r="I81" s="4">
        <v>28</v>
      </c>
      <c r="J81" s="2">
        <v>2</v>
      </c>
      <c r="K81" s="3">
        <v>0</v>
      </c>
      <c r="L81" s="3">
        <v>0</v>
      </c>
      <c r="M81" s="4">
        <v>0</v>
      </c>
      <c r="N81" s="2">
        <v>0</v>
      </c>
      <c r="O81" s="3">
        <v>0</v>
      </c>
      <c r="P81" s="3">
        <v>0</v>
      </c>
      <c r="Q81" s="4">
        <v>0</v>
      </c>
      <c r="S81" s="26">
        <f t="shared" si="3"/>
        <v>4.6999644327015905E-4</v>
      </c>
      <c r="T81" s="26">
        <f t="shared" si="4"/>
        <v>0.98775468726182625</v>
      </c>
      <c r="V81">
        <v>100</v>
      </c>
      <c r="W81">
        <v>0</v>
      </c>
      <c r="X81">
        <v>0</v>
      </c>
    </row>
    <row r="82" spans="1:24" x14ac:dyDescent="0.35">
      <c r="A82" t="s">
        <v>248</v>
      </c>
      <c r="B82">
        <v>101</v>
      </c>
      <c r="C82" s="14" t="s">
        <v>163</v>
      </c>
      <c r="D82">
        <v>91.7</v>
      </c>
      <c r="E82">
        <v>1</v>
      </c>
      <c r="F82" s="2">
        <v>0</v>
      </c>
      <c r="G82" s="3">
        <v>0</v>
      </c>
      <c r="H82" s="3">
        <v>0</v>
      </c>
      <c r="I82" s="4">
        <v>0</v>
      </c>
      <c r="J82" s="2">
        <v>58</v>
      </c>
      <c r="K82" s="3">
        <v>41</v>
      </c>
      <c r="L82" s="3">
        <v>0</v>
      </c>
      <c r="M82" s="4">
        <v>0</v>
      </c>
      <c r="N82" s="2">
        <v>2</v>
      </c>
      <c r="O82" s="3">
        <v>0</v>
      </c>
      <c r="P82" s="3">
        <v>0</v>
      </c>
      <c r="Q82" s="4">
        <v>0</v>
      </c>
      <c r="S82" s="26">
        <f t="shared" si="3"/>
        <v>4.276544213539285E-4</v>
      </c>
      <c r="T82" s="26">
        <f t="shared" si="4"/>
        <v>0.9881823416831802</v>
      </c>
      <c r="V82">
        <v>3</v>
      </c>
      <c r="W82">
        <v>100</v>
      </c>
      <c r="X82">
        <v>8</v>
      </c>
    </row>
    <row r="83" spans="1:24" x14ac:dyDescent="0.35">
      <c r="A83" t="s">
        <v>242</v>
      </c>
      <c r="B83">
        <v>92</v>
      </c>
      <c r="C83" s="14" t="s">
        <v>98</v>
      </c>
      <c r="D83">
        <v>0</v>
      </c>
      <c r="E83">
        <v>1</v>
      </c>
      <c r="F83" s="2">
        <v>0</v>
      </c>
      <c r="G83" s="3">
        <v>0</v>
      </c>
      <c r="H83" s="3">
        <v>0</v>
      </c>
      <c r="I83" s="4">
        <v>0</v>
      </c>
      <c r="J83" s="2">
        <v>0</v>
      </c>
      <c r="K83" s="3">
        <v>0</v>
      </c>
      <c r="L83" s="3">
        <v>0</v>
      </c>
      <c r="M83" s="4">
        <v>0</v>
      </c>
      <c r="N83" s="2">
        <v>11</v>
      </c>
      <c r="O83" s="3">
        <v>40</v>
      </c>
      <c r="P83" s="3">
        <v>23</v>
      </c>
      <c r="Q83" s="4">
        <v>18</v>
      </c>
      <c r="S83" s="26">
        <f t="shared" si="3"/>
        <v>3.8954660162932102E-4</v>
      </c>
      <c r="T83" s="26">
        <f t="shared" si="4"/>
        <v>0.98857188828480957</v>
      </c>
      <c r="V83">
        <v>25</v>
      </c>
      <c r="W83">
        <v>0</v>
      </c>
      <c r="X83">
        <v>100</v>
      </c>
    </row>
    <row r="84" spans="1:24" x14ac:dyDescent="0.35">
      <c r="A84" t="s">
        <v>257</v>
      </c>
      <c r="B84">
        <v>92</v>
      </c>
      <c r="C84" s="14" t="s">
        <v>152</v>
      </c>
      <c r="D84">
        <v>92.5</v>
      </c>
      <c r="E84">
        <v>2</v>
      </c>
      <c r="F84" s="2">
        <v>59</v>
      </c>
      <c r="G84" s="3">
        <v>32</v>
      </c>
      <c r="H84" s="3">
        <v>0</v>
      </c>
      <c r="I84" s="4">
        <v>0</v>
      </c>
      <c r="J84" s="2">
        <v>1</v>
      </c>
      <c r="K84" s="3">
        <v>0</v>
      </c>
      <c r="L84" s="3">
        <v>0</v>
      </c>
      <c r="M84" s="4">
        <v>0</v>
      </c>
      <c r="N84" s="2">
        <v>0</v>
      </c>
      <c r="O84" s="3">
        <v>0</v>
      </c>
      <c r="P84" s="3">
        <v>0</v>
      </c>
      <c r="Q84" s="4">
        <v>0</v>
      </c>
      <c r="S84" s="26">
        <f t="shared" si="3"/>
        <v>3.8954660162932102E-4</v>
      </c>
      <c r="T84" s="26">
        <f t="shared" si="4"/>
        <v>0.98896143488643895</v>
      </c>
      <c r="V84">
        <v>100</v>
      </c>
      <c r="W84">
        <v>18</v>
      </c>
      <c r="X84">
        <v>18</v>
      </c>
    </row>
    <row r="85" spans="1:24" x14ac:dyDescent="0.35">
      <c r="A85" t="s">
        <v>266</v>
      </c>
      <c r="B85">
        <v>86</v>
      </c>
      <c r="C85" s="14" t="s">
        <v>254</v>
      </c>
      <c r="D85">
        <v>89.7</v>
      </c>
      <c r="E85">
        <v>2</v>
      </c>
      <c r="F85" s="2">
        <v>0</v>
      </c>
      <c r="G85" s="3">
        <v>0</v>
      </c>
      <c r="H85" s="3">
        <v>0</v>
      </c>
      <c r="I85" s="4">
        <v>0</v>
      </c>
      <c r="J85" s="2">
        <v>50</v>
      </c>
      <c r="K85" s="3">
        <v>35</v>
      </c>
      <c r="L85" s="3">
        <v>0</v>
      </c>
      <c r="M85" s="4">
        <v>0</v>
      </c>
      <c r="N85" s="2">
        <v>1</v>
      </c>
      <c r="O85" s="3">
        <v>0</v>
      </c>
      <c r="P85" s="3">
        <v>0</v>
      </c>
      <c r="Q85" s="4">
        <v>0</v>
      </c>
      <c r="S85" s="26">
        <f t="shared" si="3"/>
        <v>3.6414138847958266E-4</v>
      </c>
      <c r="T85" s="26">
        <f t="shared" si="4"/>
        <v>0.98932557627491857</v>
      </c>
      <c r="V85">
        <v>0</v>
      </c>
      <c r="W85">
        <v>100</v>
      </c>
      <c r="X85">
        <v>0</v>
      </c>
    </row>
    <row r="86" spans="1:24" x14ac:dyDescent="0.35">
      <c r="A86" t="s">
        <v>264</v>
      </c>
      <c r="B86">
        <v>84</v>
      </c>
      <c r="C86" s="14" t="s">
        <v>276</v>
      </c>
      <c r="D86">
        <v>93.7</v>
      </c>
      <c r="E86">
        <v>1</v>
      </c>
      <c r="F86" s="2">
        <v>0</v>
      </c>
      <c r="G86" s="3">
        <v>0</v>
      </c>
      <c r="H86" s="3">
        <v>0</v>
      </c>
      <c r="I86" s="4">
        <v>0</v>
      </c>
      <c r="J86" s="2">
        <v>29</v>
      </c>
      <c r="K86" s="3">
        <v>37</v>
      </c>
      <c r="L86" s="3">
        <v>18</v>
      </c>
      <c r="M86" s="4">
        <v>0</v>
      </c>
      <c r="N86" s="2">
        <v>0</v>
      </c>
      <c r="O86" s="3">
        <v>0</v>
      </c>
      <c r="P86" s="3">
        <v>0</v>
      </c>
      <c r="Q86" s="4">
        <v>0</v>
      </c>
      <c r="S86" s="26">
        <f t="shared" si="3"/>
        <v>3.5567298409633656E-4</v>
      </c>
      <c r="T86" s="26">
        <f t="shared" si="4"/>
        <v>0.98968124925901491</v>
      </c>
      <c r="V86">
        <v>0</v>
      </c>
      <c r="W86">
        <v>100</v>
      </c>
      <c r="X86">
        <v>0</v>
      </c>
    </row>
    <row r="87" spans="1:24" x14ac:dyDescent="0.35">
      <c r="A87" t="s">
        <v>233</v>
      </c>
      <c r="B87">
        <v>83</v>
      </c>
      <c r="C87" s="14" t="s">
        <v>152</v>
      </c>
      <c r="D87">
        <v>95.3</v>
      </c>
      <c r="E87">
        <v>1</v>
      </c>
      <c r="F87" s="2">
        <v>54</v>
      </c>
      <c r="G87" s="3">
        <v>24</v>
      </c>
      <c r="H87" s="3">
        <v>0</v>
      </c>
      <c r="I87" s="4">
        <v>0</v>
      </c>
      <c r="J87" s="2">
        <v>3</v>
      </c>
      <c r="K87" s="3">
        <v>0</v>
      </c>
      <c r="L87" s="3">
        <v>0</v>
      </c>
      <c r="M87" s="4">
        <v>0</v>
      </c>
      <c r="N87" s="2">
        <v>2</v>
      </c>
      <c r="O87" s="3">
        <v>0</v>
      </c>
      <c r="P87" s="3">
        <v>0</v>
      </c>
      <c r="Q87" s="4">
        <v>0</v>
      </c>
      <c r="S87" s="26">
        <f t="shared" si="3"/>
        <v>3.5143878190471353E-4</v>
      </c>
      <c r="T87" s="60">
        <f t="shared" si="4"/>
        <v>0.9900326880409196</v>
      </c>
      <c r="V87">
        <v>100</v>
      </c>
      <c r="W87">
        <v>11</v>
      </c>
      <c r="X87">
        <v>17</v>
      </c>
    </row>
    <row r="88" spans="1:24" x14ac:dyDescent="0.35">
      <c r="A88" t="s">
        <v>295</v>
      </c>
      <c r="B88">
        <v>79</v>
      </c>
      <c r="C88" s="14" t="s">
        <v>263</v>
      </c>
      <c r="D88">
        <v>88.5</v>
      </c>
      <c r="E88">
        <v>1</v>
      </c>
      <c r="F88" s="2">
        <v>51</v>
      </c>
      <c r="G88" s="3">
        <v>0</v>
      </c>
      <c r="H88" s="3">
        <v>0</v>
      </c>
      <c r="I88" s="4">
        <v>0</v>
      </c>
      <c r="J88" s="2">
        <v>14</v>
      </c>
      <c r="K88" s="3">
        <v>0</v>
      </c>
      <c r="L88" s="3">
        <v>0</v>
      </c>
      <c r="M88" s="4">
        <v>0</v>
      </c>
      <c r="N88" s="2">
        <v>14</v>
      </c>
      <c r="O88" s="3">
        <v>0</v>
      </c>
      <c r="P88" s="3">
        <v>0</v>
      </c>
      <c r="Q88" s="4">
        <v>0</v>
      </c>
      <c r="S88" s="26">
        <f t="shared" si="3"/>
        <v>3.3450197313822128E-4</v>
      </c>
      <c r="T88" s="26">
        <f t="shared" si="4"/>
        <v>0.99036719001405782</v>
      </c>
      <c r="V88">
        <v>47</v>
      </c>
      <c r="W88">
        <v>31</v>
      </c>
      <c r="X88">
        <v>23</v>
      </c>
    </row>
    <row r="89" spans="1:24" x14ac:dyDescent="0.35">
      <c r="A89" t="s">
        <v>265</v>
      </c>
      <c r="B89">
        <v>78</v>
      </c>
      <c r="C89" s="14" t="s">
        <v>98</v>
      </c>
      <c r="D89">
        <v>0</v>
      </c>
      <c r="E89">
        <v>1</v>
      </c>
      <c r="F89" s="2">
        <v>43</v>
      </c>
      <c r="G89" s="3">
        <v>35</v>
      </c>
      <c r="H89" s="3">
        <v>0</v>
      </c>
      <c r="I89" s="4">
        <v>0</v>
      </c>
      <c r="J89" s="2">
        <v>0</v>
      </c>
      <c r="K89" s="3">
        <v>0</v>
      </c>
      <c r="L89" s="3">
        <v>0</v>
      </c>
      <c r="M89" s="4">
        <v>0</v>
      </c>
      <c r="N89" s="2">
        <v>0</v>
      </c>
      <c r="O89" s="3">
        <v>0</v>
      </c>
      <c r="P89" s="3">
        <v>0</v>
      </c>
      <c r="Q89" s="4">
        <v>0</v>
      </c>
      <c r="S89" s="26">
        <f t="shared" si="3"/>
        <v>3.3026777094659826E-4</v>
      </c>
      <c r="T89" s="26">
        <f t="shared" si="4"/>
        <v>0.9906974577850044</v>
      </c>
      <c r="V89">
        <v>100</v>
      </c>
      <c r="W89">
        <v>9</v>
      </c>
      <c r="X89">
        <v>9</v>
      </c>
    </row>
    <row r="90" spans="1:24" x14ac:dyDescent="0.35">
      <c r="A90" t="s">
        <v>280</v>
      </c>
      <c r="B90">
        <v>75</v>
      </c>
      <c r="C90" s="14" t="s">
        <v>192</v>
      </c>
      <c r="D90">
        <v>100</v>
      </c>
      <c r="E90">
        <v>1</v>
      </c>
      <c r="F90" s="2">
        <v>4</v>
      </c>
      <c r="G90" s="3">
        <v>0</v>
      </c>
      <c r="H90" s="3">
        <v>0</v>
      </c>
      <c r="I90" s="4">
        <v>0</v>
      </c>
      <c r="J90" s="2">
        <v>1</v>
      </c>
      <c r="K90" s="3">
        <v>0</v>
      </c>
      <c r="L90" s="3">
        <v>0</v>
      </c>
      <c r="M90" s="4">
        <v>0</v>
      </c>
      <c r="N90" s="2">
        <v>46</v>
      </c>
      <c r="O90" s="3">
        <v>24</v>
      </c>
      <c r="P90" s="3">
        <v>0</v>
      </c>
      <c r="Q90" s="4">
        <v>0</v>
      </c>
      <c r="S90" s="26">
        <f t="shared" si="3"/>
        <v>3.1756516437172908E-4</v>
      </c>
      <c r="T90" s="26">
        <f t="shared" si="4"/>
        <v>0.99101502294937616</v>
      </c>
      <c r="V90">
        <v>91</v>
      </c>
      <c r="W90">
        <v>0</v>
      </c>
      <c r="X90">
        <v>100</v>
      </c>
    </row>
    <row r="91" spans="1:24" x14ac:dyDescent="0.35">
      <c r="A91" t="s">
        <v>287</v>
      </c>
      <c r="B91">
        <v>71</v>
      </c>
      <c r="C91" s="14" t="s">
        <v>324</v>
      </c>
      <c r="D91">
        <v>86.6</v>
      </c>
      <c r="E91">
        <v>2</v>
      </c>
      <c r="F91" s="2">
        <v>0</v>
      </c>
      <c r="G91" s="3">
        <v>0</v>
      </c>
      <c r="H91" s="3">
        <v>0</v>
      </c>
      <c r="I91" s="4">
        <v>0</v>
      </c>
      <c r="J91" s="2">
        <v>1</v>
      </c>
      <c r="K91" s="3">
        <v>0</v>
      </c>
      <c r="L91" s="3">
        <v>0</v>
      </c>
      <c r="M91" s="4">
        <v>0</v>
      </c>
      <c r="N91" s="2">
        <v>22</v>
      </c>
      <c r="O91" s="3">
        <v>35</v>
      </c>
      <c r="P91" s="3">
        <v>6</v>
      </c>
      <c r="Q91" s="4">
        <v>7</v>
      </c>
      <c r="S91" s="26">
        <f t="shared" si="3"/>
        <v>3.0062835560523688E-4</v>
      </c>
      <c r="T91" s="26">
        <f t="shared" si="4"/>
        <v>0.99131565130498134</v>
      </c>
      <c r="V91">
        <v>0</v>
      </c>
      <c r="W91">
        <v>21</v>
      </c>
      <c r="X91">
        <v>100</v>
      </c>
    </row>
    <row r="92" spans="1:24" x14ac:dyDescent="0.35">
      <c r="A92" t="s">
        <v>522</v>
      </c>
      <c r="B92">
        <v>65</v>
      </c>
      <c r="C92" s="14" t="s">
        <v>199</v>
      </c>
      <c r="D92">
        <v>91.7</v>
      </c>
      <c r="E92">
        <v>1</v>
      </c>
      <c r="F92" s="2">
        <v>60</v>
      </c>
      <c r="G92" s="3">
        <v>5</v>
      </c>
      <c r="H92" s="3">
        <v>0</v>
      </c>
      <c r="I92" s="4">
        <v>0</v>
      </c>
      <c r="J92" s="2">
        <v>0</v>
      </c>
      <c r="K92" s="3">
        <v>0</v>
      </c>
      <c r="L92" s="3">
        <v>0</v>
      </c>
      <c r="M92" s="4">
        <v>0</v>
      </c>
      <c r="N92" s="2">
        <v>0</v>
      </c>
      <c r="O92" s="3">
        <v>0</v>
      </c>
      <c r="P92" s="3">
        <v>0</v>
      </c>
      <c r="Q92" s="4">
        <v>0</v>
      </c>
      <c r="S92" s="26">
        <f t="shared" si="3"/>
        <v>2.7522314245549852E-4</v>
      </c>
      <c r="T92" s="26">
        <f t="shared" si="4"/>
        <v>0.99159087444743688</v>
      </c>
      <c r="V92">
        <v>93</v>
      </c>
      <c r="W92">
        <v>1</v>
      </c>
      <c r="X92">
        <v>0</v>
      </c>
    </row>
    <row r="93" spans="1:24" x14ac:dyDescent="0.35">
      <c r="A93" t="s">
        <v>282</v>
      </c>
      <c r="B93">
        <v>63</v>
      </c>
      <c r="C93" s="14" t="s">
        <v>288</v>
      </c>
      <c r="D93">
        <v>88.2</v>
      </c>
      <c r="E93">
        <v>1</v>
      </c>
      <c r="F93" s="2">
        <v>2</v>
      </c>
      <c r="G93" s="3">
        <v>0</v>
      </c>
      <c r="H93" s="3">
        <v>0</v>
      </c>
      <c r="I93" s="4">
        <v>0</v>
      </c>
      <c r="J93" s="2">
        <v>0</v>
      </c>
      <c r="K93" s="3">
        <v>0</v>
      </c>
      <c r="L93" s="3">
        <v>0</v>
      </c>
      <c r="M93" s="4">
        <v>0</v>
      </c>
      <c r="N93" s="2">
        <v>39</v>
      </c>
      <c r="O93" s="3">
        <v>11</v>
      </c>
      <c r="P93" s="3">
        <v>11</v>
      </c>
      <c r="Q93" s="4">
        <v>0</v>
      </c>
      <c r="S93" s="26">
        <f t="shared" si="3"/>
        <v>2.6675473807225242E-4</v>
      </c>
      <c r="T93" s="26">
        <f t="shared" si="4"/>
        <v>0.99185762918550913</v>
      </c>
      <c r="V93">
        <v>23</v>
      </c>
      <c r="W93">
        <v>0</v>
      </c>
      <c r="X93">
        <v>100</v>
      </c>
    </row>
    <row r="94" spans="1:24" x14ac:dyDescent="0.35">
      <c r="A94" t="s">
        <v>277</v>
      </c>
      <c r="B94">
        <v>61</v>
      </c>
      <c r="C94" s="14" t="s">
        <v>283</v>
      </c>
      <c r="D94">
        <v>99.6</v>
      </c>
      <c r="E94">
        <v>1</v>
      </c>
      <c r="F94" s="2">
        <v>10</v>
      </c>
      <c r="G94" s="3">
        <v>0</v>
      </c>
      <c r="H94" s="3">
        <v>0</v>
      </c>
      <c r="I94" s="4">
        <v>0</v>
      </c>
      <c r="J94" s="2">
        <v>18</v>
      </c>
      <c r="K94" s="3">
        <v>0</v>
      </c>
      <c r="L94" s="3">
        <v>0</v>
      </c>
      <c r="M94" s="4">
        <v>0</v>
      </c>
      <c r="N94" s="2">
        <v>33</v>
      </c>
      <c r="O94" s="3">
        <v>0</v>
      </c>
      <c r="P94" s="3">
        <v>0</v>
      </c>
      <c r="Q94" s="4">
        <v>0</v>
      </c>
      <c r="S94" s="26">
        <f t="shared" si="3"/>
        <v>2.5828633368900632E-4</v>
      </c>
      <c r="T94" s="26">
        <f t="shared" si="4"/>
        <v>0.99211591551919809</v>
      </c>
      <c r="V94">
        <v>0</v>
      </c>
      <c r="W94">
        <v>14</v>
      </c>
      <c r="X94">
        <v>100</v>
      </c>
    </row>
    <row r="95" spans="1:24" x14ac:dyDescent="0.35">
      <c r="A95" t="s">
        <v>271</v>
      </c>
      <c r="B95">
        <v>60</v>
      </c>
      <c r="C95" s="14" t="s">
        <v>281</v>
      </c>
      <c r="D95">
        <v>89.3</v>
      </c>
      <c r="E95">
        <v>1</v>
      </c>
      <c r="F95" s="2">
        <v>5</v>
      </c>
      <c r="G95" s="3">
        <v>0</v>
      </c>
      <c r="H95" s="3">
        <v>0</v>
      </c>
      <c r="I95" s="4">
        <v>0</v>
      </c>
      <c r="J95" s="2">
        <v>0</v>
      </c>
      <c r="K95" s="3">
        <v>0</v>
      </c>
      <c r="L95" s="3">
        <v>0</v>
      </c>
      <c r="M95" s="4">
        <v>0</v>
      </c>
      <c r="N95" s="2">
        <v>28</v>
      </c>
      <c r="O95" s="3">
        <v>27</v>
      </c>
      <c r="P95" s="3">
        <v>0</v>
      </c>
      <c r="Q95" s="4">
        <v>0</v>
      </c>
      <c r="S95" s="26">
        <f t="shared" si="3"/>
        <v>2.5405213149738324E-4</v>
      </c>
      <c r="T95" s="26">
        <f t="shared" si="4"/>
        <v>0.99236996765069552</v>
      </c>
      <c r="V95">
        <v>24</v>
      </c>
      <c r="W95">
        <v>0</v>
      </c>
      <c r="X95">
        <v>100</v>
      </c>
    </row>
    <row r="96" spans="1:24" x14ac:dyDescent="0.35">
      <c r="A96" t="s">
        <v>323</v>
      </c>
      <c r="B96">
        <v>53</v>
      </c>
      <c r="C96" s="14" t="s">
        <v>299</v>
      </c>
      <c r="D96">
        <v>100</v>
      </c>
      <c r="E96">
        <v>1</v>
      </c>
      <c r="F96" s="2">
        <v>0</v>
      </c>
      <c r="G96" s="3">
        <v>0</v>
      </c>
      <c r="H96" s="3">
        <v>0</v>
      </c>
      <c r="I96" s="4">
        <v>8</v>
      </c>
      <c r="J96" s="2">
        <v>0</v>
      </c>
      <c r="K96" s="3">
        <v>0</v>
      </c>
      <c r="L96" s="3">
        <v>0</v>
      </c>
      <c r="M96" s="4">
        <v>0</v>
      </c>
      <c r="N96" s="2">
        <v>0</v>
      </c>
      <c r="O96" s="3">
        <v>45</v>
      </c>
      <c r="P96" s="3">
        <v>0</v>
      </c>
      <c r="Q96" s="4">
        <v>0</v>
      </c>
      <c r="S96" s="26">
        <f t="shared" si="3"/>
        <v>2.2441271615602189E-4</v>
      </c>
      <c r="T96" s="26">
        <f t="shared" si="4"/>
        <v>0.99259438036685155</v>
      </c>
      <c r="V96">
        <v>100</v>
      </c>
      <c r="W96">
        <v>0</v>
      </c>
      <c r="X96">
        <v>100</v>
      </c>
    </row>
    <row r="97" spans="1:24" x14ac:dyDescent="0.35">
      <c r="A97" t="s">
        <v>306</v>
      </c>
      <c r="B97">
        <v>52</v>
      </c>
      <c r="C97" s="14" t="s">
        <v>302</v>
      </c>
      <c r="D97">
        <v>92.1</v>
      </c>
      <c r="E97">
        <v>1</v>
      </c>
      <c r="F97" s="2">
        <v>23</v>
      </c>
      <c r="G97" s="3">
        <v>23</v>
      </c>
      <c r="H97" s="3">
        <v>0</v>
      </c>
      <c r="I97" s="4">
        <v>0</v>
      </c>
      <c r="J97" s="2">
        <v>4</v>
      </c>
      <c r="K97" s="3">
        <v>0</v>
      </c>
      <c r="L97" s="3">
        <v>0</v>
      </c>
      <c r="M97" s="4">
        <v>0</v>
      </c>
      <c r="N97" s="43">
        <v>2</v>
      </c>
      <c r="O97" s="44">
        <v>0</v>
      </c>
      <c r="P97" s="3">
        <v>0</v>
      </c>
      <c r="Q97" s="4">
        <v>0</v>
      </c>
      <c r="S97" s="26">
        <f t="shared" si="3"/>
        <v>2.2017851396439884E-4</v>
      </c>
      <c r="T97" s="26">
        <f t="shared" si="4"/>
        <v>0.99281455888081593</v>
      </c>
      <c r="V97">
        <v>100</v>
      </c>
      <c r="W97">
        <v>18</v>
      </c>
      <c r="X97">
        <v>22</v>
      </c>
    </row>
    <row r="98" spans="1:24" x14ac:dyDescent="0.35">
      <c r="A98" t="s">
        <v>289</v>
      </c>
      <c r="B98">
        <v>52</v>
      </c>
      <c r="C98" s="14" t="s">
        <v>293</v>
      </c>
      <c r="D98">
        <v>96</v>
      </c>
      <c r="E98">
        <v>1</v>
      </c>
      <c r="F98" s="2">
        <v>0</v>
      </c>
      <c r="G98" s="3">
        <v>0</v>
      </c>
      <c r="H98" s="3">
        <v>0</v>
      </c>
      <c r="I98" s="4">
        <v>0</v>
      </c>
      <c r="J98" s="2">
        <v>31</v>
      </c>
      <c r="K98" s="3">
        <v>21</v>
      </c>
      <c r="L98" s="3">
        <v>0</v>
      </c>
      <c r="M98" s="4">
        <v>0</v>
      </c>
      <c r="N98" s="2">
        <v>0</v>
      </c>
      <c r="O98" s="3">
        <v>0</v>
      </c>
      <c r="P98" s="3">
        <v>0</v>
      </c>
      <c r="Q98" s="4">
        <v>0</v>
      </c>
      <c r="S98" s="26">
        <f t="shared" si="3"/>
        <v>2.2017851396439884E-4</v>
      </c>
      <c r="T98" s="26">
        <f t="shared" si="4"/>
        <v>0.99303473739478032</v>
      </c>
      <c r="V98">
        <v>0</v>
      </c>
      <c r="W98">
        <v>100</v>
      </c>
      <c r="X98">
        <v>0</v>
      </c>
    </row>
    <row r="99" spans="1:24" x14ac:dyDescent="0.35">
      <c r="A99" t="s">
        <v>320</v>
      </c>
      <c r="B99">
        <v>47</v>
      </c>
      <c r="C99" s="14" t="s">
        <v>625</v>
      </c>
      <c r="D99">
        <v>92.1</v>
      </c>
      <c r="E99">
        <v>3</v>
      </c>
      <c r="F99" s="2">
        <v>20</v>
      </c>
      <c r="G99" s="3">
        <v>11</v>
      </c>
      <c r="H99" s="3">
        <v>0</v>
      </c>
      <c r="I99" s="4">
        <v>14</v>
      </c>
      <c r="J99" s="2">
        <v>1</v>
      </c>
      <c r="K99" s="3">
        <v>0</v>
      </c>
      <c r="L99" s="3">
        <v>0</v>
      </c>
      <c r="M99" s="4">
        <v>0</v>
      </c>
      <c r="N99" s="2">
        <v>1</v>
      </c>
      <c r="O99" s="3">
        <v>0</v>
      </c>
      <c r="P99" s="3">
        <v>0</v>
      </c>
      <c r="Q99" s="4">
        <v>0</v>
      </c>
      <c r="S99" s="26">
        <f t="shared" si="3"/>
        <v>1.9900750300628356E-4</v>
      </c>
      <c r="T99" s="26">
        <f t="shared" si="4"/>
        <v>0.9932337448977866</v>
      </c>
      <c r="V99">
        <v>100</v>
      </c>
      <c r="W99">
        <v>0</v>
      </c>
      <c r="X99">
        <v>0</v>
      </c>
    </row>
    <row r="100" spans="1:24" x14ac:dyDescent="0.35">
      <c r="A100" t="s">
        <v>329</v>
      </c>
      <c r="B100">
        <v>45</v>
      </c>
      <c r="C100" s="14" t="s">
        <v>321</v>
      </c>
      <c r="D100">
        <v>90.5</v>
      </c>
      <c r="E100">
        <v>1</v>
      </c>
      <c r="F100" s="2">
        <v>18</v>
      </c>
      <c r="G100" s="3">
        <v>0</v>
      </c>
      <c r="H100" s="3">
        <v>0</v>
      </c>
      <c r="I100" s="4">
        <v>0</v>
      </c>
      <c r="J100" s="2">
        <v>0</v>
      </c>
      <c r="K100" s="3">
        <v>0</v>
      </c>
      <c r="L100" s="3">
        <v>0</v>
      </c>
      <c r="M100" s="4">
        <v>0</v>
      </c>
      <c r="N100" s="2">
        <v>14</v>
      </c>
      <c r="O100" s="3">
        <v>13</v>
      </c>
      <c r="P100" s="3">
        <v>0</v>
      </c>
      <c r="Q100" s="4">
        <v>0</v>
      </c>
      <c r="S100" s="26">
        <f t="shared" si="3"/>
        <v>1.9053909862303746E-4</v>
      </c>
      <c r="T100" s="26">
        <f t="shared" si="4"/>
        <v>0.99342428399640959</v>
      </c>
      <c r="V100">
        <v>100</v>
      </c>
      <c r="W100">
        <v>31</v>
      </c>
      <c r="X100">
        <v>97</v>
      </c>
    </row>
    <row r="101" spans="1:24" x14ac:dyDescent="0.35">
      <c r="A101" t="s">
        <v>340</v>
      </c>
      <c r="B101">
        <v>44</v>
      </c>
      <c r="C101" s="14" t="s">
        <v>305</v>
      </c>
      <c r="D101">
        <v>98</v>
      </c>
      <c r="E101">
        <v>1</v>
      </c>
      <c r="F101" s="2">
        <v>27</v>
      </c>
      <c r="G101" s="3">
        <v>6</v>
      </c>
      <c r="H101" s="3">
        <v>0</v>
      </c>
      <c r="I101" s="4">
        <v>0</v>
      </c>
      <c r="J101" s="2">
        <v>4</v>
      </c>
      <c r="K101" s="3">
        <v>0</v>
      </c>
      <c r="L101" s="3">
        <v>0</v>
      </c>
      <c r="M101" s="4">
        <v>0</v>
      </c>
      <c r="N101" s="2">
        <v>7</v>
      </c>
      <c r="O101" s="3">
        <v>0</v>
      </c>
      <c r="P101" s="3">
        <v>0</v>
      </c>
      <c r="Q101" s="4">
        <v>0</v>
      </c>
      <c r="S101" s="26">
        <f t="shared" si="3"/>
        <v>1.8630489643141438E-4</v>
      </c>
      <c r="T101" s="26">
        <f t="shared" si="4"/>
        <v>0.99361058889284104</v>
      </c>
      <c r="V101">
        <v>100</v>
      </c>
      <c r="W101">
        <v>0</v>
      </c>
      <c r="X101">
        <v>0</v>
      </c>
    </row>
    <row r="102" spans="1:24" x14ac:dyDescent="0.35">
      <c r="A102" t="s">
        <v>311</v>
      </c>
      <c r="B102">
        <v>42</v>
      </c>
      <c r="C102" s="14" t="s">
        <v>328</v>
      </c>
      <c r="D102">
        <v>89.7</v>
      </c>
      <c r="E102">
        <v>1</v>
      </c>
      <c r="F102" s="2">
        <v>0</v>
      </c>
      <c r="G102" s="3">
        <v>0</v>
      </c>
      <c r="H102" s="3">
        <v>0</v>
      </c>
      <c r="I102" s="4">
        <v>0</v>
      </c>
      <c r="J102" s="2">
        <v>20</v>
      </c>
      <c r="K102" s="3">
        <v>21</v>
      </c>
      <c r="L102" s="3">
        <v>0</v>
      </c>
      <c r="M102" s="4">
        <v>0</v>
      </c>
      <c r="N102" s="2">
        <v>1</v>
      </c>
      <c r="O102" s="3">
        <v>0</v>
      </c>
      <c r="P102" s="3">
        <v>0</v>
      </c>
      <c r="Q102" s="4">
        <v>0</v>
      </c>
      <c r="S102" s="26">
        <f t="shared" si="3"/>
        <v>1.7783649204816828E-4</v>
      </c>
      <c r="T102" s="26">
        <f t="shared" si="4"/>
        <v>0.99378842538488921</v>
      </c>
      <c r="V102">
        <v>10</v>
      </c>
      <c r="W102">
        <v>100</v>
      </c>
      <c r="X102">
        <v>25</v>
      </c>
    </row>
    <row r="103" spans="1:24" x14ac:dyDescent="0.35">
      <c r="A103" t="s">
        <v>241</v>
      </c>
      <c r="B103">
        <v>41</v>
      </c>
      <c r="C103" s="14" t="s">
        <v>90</v>
      </c>
      <c r="D103">
        <v>94.9</v>
      </c>
      <c r="E103">
        <v>2</v>
      </c>
      <c r="F103" s="2">
        <v>32</v>
      </c>
      <c r="G103" s="3">
        <v>9</v>
      </c>
      <c r="H103" s="3">
        <v>0</v>
      </c>
      <c r="I103" s="4">
        <v>0</v>
      </c>
      <c r="J103" s="2">
        <v>0</v>
      </c>
      <c r="K103" s="3">
        <v>0</v>
      </c>
      <c r="L103" s="3">
        <v>0</v>
      </c>
      <c r="M103" s="4">
        <v>0</v>
      </c>
      <c r="N103" s="2">
        <v>0</v>
      </c>
      <c r="O103" s="3">
        <v>0</v>
      </c>
      <c r="P103" s="3">
        <v>0</v>
      </c>
      <c r="Q103" s="4">
        <v>0</v>
      </c>
      <c r="S103" s="26">
        <f t="shared" si="3"/>
        <v>1.7360228985654523E-4</v>
      </c>
      <c r="T103" s="26">
        <f t="shared" si="4"/>
        <v>0.99396202767474573</v>
      </c>
      <c r="V103">
        <v>100</v>
      </c>
      <c r="W103">
        <v>7</v>
      </c>
      <c r="X103">
        <v>29</v>
      </c>
    </row>
    <row r="104" spans="1:24" x14ac:dyDescent="0.35">
      <c r="A104" t="s">
        <v>356</v>
      </c>
      <c r="B104">
        <v>41</v>
      </c>
      <c r="C104" s="14" t="s">
        <v>163</v>
      </c>
      <c r="D104">
        <v>89.7</v>
      </c>
      <c r="E104">
        <v>1</v>
      </c>
      <c r="F104" s="2">
        <v>15</v>
      </c>
      <c r="G104" s="3">
        <v>0</v>
      </c>
      <c r="H104" s="3">
        <v>0</v>
      </c>
      <c r="I104" s="4">
        <v>0</v>
      </c>
      <c r="J104" s="2">
        <v>14</v>
      </c>
      <c r="K104" s="3">
        <v>0</v>
      </c>
      <c r="L104" s="3">
        <v>0</v>
      </c>
      <c r="M104" s="4">
        <v>0</v>
      </c>
      <c r="N104" s="2">
        <v>12</v>
      </c>
      <c r="O104" s="3">
        <v>0</v>
      </c>
      <c r="P104" s="3">
        <v>0</v>
      </c>
      <c r="Q104" s="4">
        <v>0</v>
      </c>
      <c r="S104" s="26">
        <f t="shared" si="3"/>
        <v>1.7360228985654523E-4</v>
      </c>
      <c r="T104" s="26">
        <f t="shared" si="4"/>
        <v>0.99413562996460225</v>
      </c>
      <c r="V104">
        <v>4</v>
      </c>
      <c r="W104">
        <v>4</v>
      </c>
      <c r="X104">
        <v>22</v>
      </c>
    </row>
    <row r="105" spans="1:24" x14ac:dyDescent="0.35">
      <c r="A105" t="s">
        <v>300</v>
      </c>
      <c r="B105">
        <v>38</v>
      </c>
      <c r="C105" s="14" t="s">
        <v>787</v>
      </c>
      <c r="D105">
        <v>98</v>
      </c>
      <c r="E105">
        <v>1</v>
      </c>
      <c r="F105" s="2">
        <v>0</v>
      </c>
      <c r="G105" s="3">
        <v>0</v>
      </c>
      <c r="H105" s="3">
        <v>0</v>
      </c>
      <c r="I105" s="4">
        <v>0</v>
      </c>
      <c r="J105" s="2">
        <v>0</v>
      </c>
      <c r="K105" s="3">
        <v>0</v>
      </c>
      <c r="L105" s="3">
        <v>0</v>
      </c>
      <c r="M105" s="4">
        <v>0</v>
      </c>
      <c r="N105" s="2">
        <v>17</v>
      </c>
      <c r="O105" s="3">
        <v>21</v>
      </c>
      <c r="P105" s="3">
        <v>0</v>
      </c>
      <c r="Q105" s="4">
        <v>0</v>
      </c>
      <c r="S105" s="26">
        <f t="shared" si="3"/>
        <v>1.6089968328167608E-4</v>
      </c>
      <c r="T105" s="26">
        <f t="shared" si="4"/>
        <v>0.99429652964788395</v>
      </c>
      <c r="V105">
        <v>25</v>
      </c>
      <c r="W105">
        <v>0</v>
      </c>
      <c r="X105">
        <v>100</v>
      </c>
    </row>
    <row r="106" spans="1:24" x14ac:dyDescent="0.35">
      <c r="A106" t="s">
        <v>301</v>
      </c>
      <c r="B106">
        <v>36</v>
      </c>
      <c r="C106" s="14" t="s">
        <v>468</v>
      </c>
      <c r="D106">
        <v>96.5</v>
      </c>
      <c r="E106">
        <v>1</v>
      </c>
      <c r="F106" s="2">
        <v>0</v>
      </c>
      <c r="G106" s="3">
        <v>0</v>
      </c>
      <c r="H106" s="3">
        <v>0</v>
      </c>
      <c r="I106" s="4">
        <v>0</v>
      </c>
      <c r="J106" s="2">
        <v>0</v>
      </c>
      <c r="K106" s="3">
        <v>0</v>
      </c>
      <c r="L106" s="3">
        <v>0</v>
      </c>
      <c r="M106" s="4">
        <v>0</v>
      </c>
      <c r="N106" s="2">
        <v>6</v>
      </c>
      <c r="O106" s="3">
        <v>19</v>
      </c>
      <c r="P106" s="3">
        <v>11</v>
      </c>
      <c r="Q106" s="4">
        <v>0</v>
      </c>
      <c r="S106" s="26">
        <f t="shared" si="3"/>
        <v>1.5243127889842995E-4</v>
      </c>
      <c r="T106" s="26">
        <f t="shared" si="4"/>
        <v>0.99444896092678237</v>
      </c>
      <c r="V106">
        <v>5</v>
      </c>
      <c r="W106">
        <v>0</v>
      </c>
      <c r="X106">
        <v>100</v>
      </c>
    </row>
    <row r="107" spans="1:24" x14ac:dyDescent="0.35">
      <c r="A107" t="s">
        <v>327</v>
      </c>
      <c r="B107">
        <v>35</v>
      </c>
      <c r="C107" s="14" t="s">
        <v>312</v>
      </c>
      <c r="D107">
        <v>97.2</v>
      </c>
      <c r="E107">
        <v>1</v>
      </c>
      <c r="F107" s="2">
        <v>29</v>
      </c>
      <c r="G107" s="3">
        <v>0</v>
      </c>
      <c r="H107" s="3">
        <v>0</v>
      </c>
      <c r="I107" s="4">
        <v>0</v>
      </c>
      <c r="J107" s="2">
        <v>2</v>
      </c>
      <c r="K107" s="3">
        <v>0</v>
      </c>
      <c r="L107" s="3">
        <v>0</v>
      </c>
      <c r="M107" s="4">
        <v>0</v>
      </c>
      <c r="N107" s="2">
        <v>4</v>
      </c>
      <c r="O107" s="3">
        <v>0</v>
      </c>
      <c r="P107" s="3">
        <v>0</v>
      </c>
      <c r="Q107" s="4">
        <v>0</v>
      </c>
      <c r="S107" s="26">
        <f t="shared" si="3"/>
        <v>1.481970767068069E-4</v>
      </c>
      <c r="T107" s="26">
        <f t="shared" si="4"/>
        <v>0.99459715800348913</v>
      </c>
      <c r="V107">
        <v>75</v>
      </c>
      <c r="W107">
        <v>0</v>
      </c>
      <c r="X107">
        <v>0</v>
      </c>
    </row>
    <row r="108" spans="1:24" x14ac:dyDescent="0.35">
      <c r="A108" t="s">
        <v>336</v>
      </c>
      <c r="B108">
        <v>35</v>
      </c>
      <c r="C108" s="14" t="s">
        <v>314</v>
      </c>
      <c r="D108">
        <v>87</v>
      </c>
      <c r="E108">
        <v>1</v>
      </c>
      <c r="F108" s="2">
        <v>13</v>
      </c>
      <c r="G108" s="3">
        <v>0</v>
      </c>
      <c r="H108" s="3">
        <v>0</v>
      </c>
      <c r="I108" s="4">
        <v>0</v>
      </c>
      <c r="J108" s="2">
        <v>18</v>
      </c>
      <c r="K108" s="3">
        <v>0</v>
      </c>
      <c r="L108" s="3">
        <v>0</v>
      </c>
      <c r="M108" s="4">
        <v>0</v>
      </c>
      <c r="N108" s="2">
        <v>4</v>
      </c>
      <c r="O108" s="3">
        <v>0</v>
      </c>
      <c r="P108" s="3">
        <v>0</v>
      </c>
      <c r="Q108" s="4">
        <v>0</v>
      </c>
      <c r="S108" s="26">
        <f t="shared" si="3"/>
        <v>1.481970767068069E-4</v>
      </c>
      <c r="T108" s="26">
        <f t="shared" si="4"/>
        <v>0.9947453550801959</v>
      </c>
      <c r="V108">
        <v>4</v>
      </c>
      <c r="W108">
        <v>39</v>
      </c>
      <c r="X108">
        <v>21</v>
      </c>
    </row>
    <row r="109" spans="1:24" x14ac:dyDescent="0.35">
      <c r="A109" t="s">
        <v>315</v>
      </c>
      <c r="B109">
        <v>33</v>
      </c>
      <c r="C109" s="14" t="s">
        <v>319</v>
      </c>
      <c r="D109">
        <v>89.3</v>
      </c>
      <c r="E109">
        <v>1</v>
      </c>
      <c r="F109" s="2">
        <v>9</v>
      </c>
      <c r="G109" s="3">
        <v>0</v>
      </c>
      <c r="H109" s="3">
        <v>0</v>
      </c>
      <c r="I109" s="4">
        <v>0</v>
      </c>
      <c r="J109" s="2">
        <v>10</v>
      </c>
      <c r="K109" s="3">
        <v>0</v>
      </c>
      <c r="L109" s="3">
        <v>0</v>
      </c>
      <c r="M109" s="4">
        <v>0</v>
      </c>
      <c r="N109" s="2">
        <v>14</v>
      </c>
      <c r="O109" s="3">
        <v>0</v>
      </c>
      <c r="P109" s="3">
        <v>0</v>
      </c>
      <c r="Q109" s="4">
        <v>0</v>
      </c>
      <c r="S109" s="26">
        <f t="shared" si="3"/>
        <v>1.397286723235608E-4</v>
      </c>
      <c r="T109" s="26">
        <f t="shared" si="4"/>
        <v>0.99488508375251949</v>
      </c>
      <c r="V109">
        <v>39</v>
      </c>
      <c r="W109">
        <v>15</v>
      </c>
      <c r="X109">
        <v>16</v>
      </c>
    </row>
    <row r="110" spans="1:24" x14ac:dyDescent="0.35">
      <c r="A110" t="s">
        <v>465</v>
      </c>
      <c r="B110">
        <v>33</v>
      </c>
      <c r="C110" s="14" t="s">
        <v>317</v>
      </c>
      <c r="D110">
        <v>100</v>
      </c>
      <c r="E110">
        <v>1</v>
      </c>
      <c r="F110" s="2">
        <v>18</v>
      </c>
      <c r="G110" s="3">
        <v>0</v>
      </c>
      <c r="H110" s="3">
        <v>0</v>
      </c>
      <c r="I110" s="4">
        <v>0</v>
      </c>
      <c r="J110" s="2">
        <v>9</v>
      </c>
      <c r="K110" s="3">
        <v>0</v>
      </c>
      <c r="L110" s="3">
        <v>0</v>
      </c>
      <c r="M110" s="4">
        <v>0</v>
      </c>
      <c r="N110" s="2">
        <v>6</v>
      </c>
      <c r="O110" s="3">
        <v>0</v>
      </c>
      <c r="P110" s="3">
        <v>0</v>
      </c>
      <c r="Q110" s="4">
        <v>0</v>
      </c>
      <c r="S110" s="26">
        <f t="shared" si="3"/>
        <v>1.397286723235608E-4</v>
      </c>
      <c r="T110" s="26">
        <f t="shared" si="4"/>
        <v>0.99502481242484309</v>
      </c>
      <c r="V110">
        <v>29</v>
      </c>
      <c r="W110">
        <v>9</v>
      </c>
      <c r="X110">
        <v>13</v>
      </c>
    </row>
    <row r="111" spans="1:24" x14ac:dyDescent="0.35">
      <c r="A111" t="s">
        <v>303</v>
      </c>
      <c r="B111">
        <v>31</v>
      </c>
      <c r="C111" s="14" t="s">
        <v>326</v>
      </c>
      <c r="D111">
        <v>88.9</v>
      </c>
      <c r="E111">
        <v>2</v>
      </c>
      <c r="F111" s="2">
        <v>30</v>
      </c>
      <c r="G111" s="3">
        <v>0</v>
      </c>
      <c r="H111" s="3">
        <v>0</v>
      </c>
      <c r="I111" s="4">
        <v>0</v>
      </c>
      <c r="J111" s="2">
        <v>1</v>
      </c>
      <c r="K111" s="3">
        <v>0</v>
      </c>
      <c r="L111" s="3">
        <v>0</v>
      </c>
      <c r="M111" s="4">
        <v>0</v>
      </c>
      <c r="N111" s="2">
        <v>0</v>
      </c>
      <c r="O111" s="3">
        <v>0</v>
      </c>
      <c r="P111" s="3">
        <v>0</v>
      </c>
      <c r="Q111" s="4">
        <v>0</v>
      </c>
      <c r="S111" s="26">
        <f t="shared" si="3"/>
        <v>1.312602679403147E-4</v>
      </c>
      <c r="T111" s="26">
        <f t="shared" si="4"/>
        <v>0.99515607269278339</v>
      </c>
      <c r="V111">
        <v>97</v>
      </c>
      <c r="W111">
        <v>0</v>
      </c>
      <c r="X111">
        <v>0</v>
      </c>
    </row>
    <row r="112" spans="1:24" x14ac:dyDescent="0.35">
      <c r="A112" t="s">
        <v>318</v>
      </c>
      <c r="B112">
        <v>28</v>
      </c>
      <c r="C112" s="14" t="s">
        <v>358</v>
      </c>
      <c r="D112">
        <v>98.8</v>
      </c>
      <c r="E112">
        <v>1</v>
      </c>
      <c r="F112" s="43">
        <v>0</v>
      </c>
      <c r="G112" s="44">
        <v>20</v>
      </c>
      <c r="H112" s="44">
        <v>8</v>
      </c>
      <c r="I112" s="45">
        <v>0</v>
      </c>
      <c r="J112" s="43">
        <v>0</v>
      </c>
      <c r="K112" s="44">
        <v>0</v>
      </c>
      <c r="L112" s="44">
        <v>0</v>
      </c>
      <c r="M112" s="45">
        <v>0</v>
      </c>
      <c r="N112" s="43">
        <v>0</v>
      </c>
      <c r="O112" s="44">
        <v>0</v>
      </c>
      <c r="P112" s="3">
        <v>0</v>
      </c>
      <c r="Q112" s="4">
        <v>0</v>
      </c>
      <c r="S112" s="26">
        <f t="shared" si="3"/>
        <v>1.1855766136544552E-4</v>
      </c>
      <c r="T112" s="26">
        <f t="shared" si="4"/>
        <v>0.99527463035414887</v>
      </c>
      <c r="V112">
        <v>100</v>
      </c>
      <c r="W112">
        <v>0</v>
      </c>
      <c r="X112">
        <v>0</v>
      </c>
    </row>
    <row r="113" spans="1:24" x14ac:dyDescent="0.35">
      <c r="A113" t="s">
        <v>313</v>
      </c>
      <c r="B113">
        <v>28</v>
      </c>
      <c r="C113" s="14" t="s">
        <v>360</v>
      </c>
      <c r="D113">
        <v>94.5</v>
      </c>
      <c r="E113">
        <v>1</v>
      </c>
      <c r="F113" s="43">
        <v>0</v>
      </c>
      <c r="G113" s="44">
        <v>0</v>
      </c>
      <c r="H113" s="44">
        <v>0</v>
      </c>
      <c r="I113" s="45">
        <v>0</v>
      </c>
      <c r="J113" s="43">
        <v>2</v>
      </c>
      <c r="K113" s="44">
        <v>0</v>
      </c>
      <c r="L113" s="44">
        <v>0</v>
      </c>
      <c r="M113" s="45">
        <v>0</v>
      </c>
      <c r="N113" s="43">
        <v>2</v>
      </c>
      <c r="O113" s="44">
        <v>24</v>
      </c>
      <c r="P113" s="3">
        <v>0</v>
      </c>
      <c r="Q113" s="4">
        <v>0</v>
      </c>
      <c r="S113" s="26">
        <f t="shared" si="3"/>
        <v>1.1855766136544552E-4</v>
      </c>
      <c r="T113" s="26">
        <f t="shared" si="4"/>
        <v>0.99539318801551435</v>
      </c>
      <c r="V113">
        <v>12</v>
      </c>
      <c r="W113">
        <v>0</v>
      </c>
      <c r="X113">
        <v>100</v>
      </c>
    </row>
    <row r="114" spans="1:24" x14ac:dyDescent="0.35">
      <c r="A114" t="s">
        <v>333</v>
      </c>
      <c r="B114">
        <v>28</v>
      </c>
      <c r="C114" s="14" t="s">
        <v>337</v>
      </c>
      <c r="D114">
        <v>85.8</v>
      </c>
      <c r="E114">
        <v>1</v>
      </c>
      <c r="F114" s="43">
        <v>23</v>
      </c>
      <c r="G114" s="44">
        <v>0</v>
      </c>
      <c r="H114" s="44">
        <v>4</v>
      </c>
      <c r="I114" s="45">
        <v>0</v>
      </c>
      <c r="J114" s="43">
        <v>1</v>
      </c>
      <c r="K114" s="44">
        <v>0</v>
      </c>
      <c r="L114" s="44">
        <v>0</v>
      </c>
      <c r="M114" s="45">
        <v>0</v>
      </c>
      <c r="N114" s="43">
        <v>0</v>
      </c>
      <c r="O114" s="44">
        <v>0</v>
      </c>
      <c r="P114" s="3">
        <v>0</v>
      </c>
      <c r="Q114" s="4">
        <v>0</v>
      </c>
      <c r="S114" s="26">
        <f t="shared" si="3"/>
        <v>1.1855766136544552E-4</v>
      </c>
      <c r="T114" s="26">
        <f t="shared" si="4"/>
        <v>0.99551174567687983</v>
      </c>
      <c r="V114">
        <v>100</v>
      </c>
      <c r="W114">
        <v>0</v>
      </c>
      <c r="X114">
        <v>0</v>
      </c>
    </row>
    <row r="115" spans="1:24" x14ac:dyDescent="0.35">
      <c r="A115" t="s">
        <v>353</v>
      </c>
      <c r="B115">
        <v>27</v>
      </c>
      <c r="C115" s="14" t="s">
        <v>330</v>
      </c>
      <c r="D115">
        <v>90.9</v>
      </c>
      <c r="E115">
        <v>1</v>
      </c>
      <c r="F115" s="43">
        <v>10</v>
      </c>
      <c r="G115" s="44">
        <v>0</v>
      </c>
      <c r="H115" s="44">
        <v>0</v>
      </c>
      <c r="I115" s="45">
        <v>0</v>
      </c>
      <c r="J115" s="43">
        <v>10</v>
      </c>
      <c r="K115" s="44">
        <v>0</v>
      </c>
      <c r="L115" s="44">
        <v>0</v>
      </c>
      <c r="M115" s="45">
        <v>0</v>
      </c>
      <c r="N115" s="43">
        <v>7</v>
      </c>
      <c r="O115" s="44">
        <v>0</v>
      </c>
      <c r="P115" s="3">
        <v>0</v>
      </c>
      <c r="Q115" s="4">
        <v>0</v>
      </c>
      <c r="S115" s="26">
        <f t="shared" si="3"/>
        <v>1.1432345917382247E-4</v>
      </c>
      <c r="T115" s="26">
        <f t="shared" si="4"/>
        <v>0.99562606913605367</v>
      </c>
      <c r="V115">
        <v>26</v>
      </c>
      <c r="W115">
        <v>12</v>
      </c>
      <c r="X115">
        <v>30</v>
      </c>
    </row>
    <row r="116" spans="1:24" x14ac:dyDescent="0.35">
      <c r="A116" t="s">
        <v>331</v>
      </c>
      <c r="B116">
        <v>27</v>
      </c>
      <c r="C116" s="14" t="s">
        <v>332</v>
      </c>
      <c r="D116">
        <v>98.4</v>
      </c>
      <c r="E116">
        <v>1</v>
      </c>
      <c r="F116" s="43">
        <v>18</v>
      </c>
      <c r="G116" s="44">
        <v>0</v>
      </c>
      <c r="H116" s="44">
        <v>0</v>
      </c>
      <c r="I116" s="45">
        <v>0</v>
      </c>
      <c r="J116" s="43">
        <v>4</v>
      </c>
      <c r="K116" s="44">
        <v>0</v>
      </c>
      <c r="L116" s="44">
        <v>0</v>
      </c>
      <c r="M116" s="45">
        <v>0</v>
      </c>
      <c r="N116" s="43">
        <v>5</v>
      </c>
      <c r="O116" s="44">
        <v>0</v>
      </c>
      <c r="P116" s="3">
        <v>0</v>
      </c>
      <c r="Q116" s="4">
        <v>0</v>
      </c>
      <c r="S116" s="26">
        <f t="shared" si="3"/>
        <v>1.1432345917382247E-4</v>
      </c>
      <c r="T116" s="26">
        <f t="shared" si="4"/>
        <v>0.99574039259522751</v>
      </c>
      <c r="V116">
        <v>16</v>
      </c>
      <c r="W116">
        <v>0</v>
      </c>
      <c r="X116">
        <v>22</v>
      </c>
    </row>
    <row r="117" spans="1:24" x14ac:dyDescent="0.35">
      <c r="A117" t="s">
        <v>344</v>
      </c>
      <c r="B117">
        <v>25</v>
      </c>
      <c r="C117" s="14" t="s">
        <v>335</v>
      </c>
      <c r="D117">
        <v>96</v>
      </c>
      <c r="E117">
        <v>1</v>
      </c>
      <c r="F117" s="43">
        <v>1</v>
      </c>
      <c r="G117" s="44">
        <v>0</v>
      </c>
      <c r="H117" s="44">
        <v>0</v>
      </c>
      <c r="I117" s="45">
        <v>0</v>
      </c>
      <c r="J117" s="43">
        <v>0</v>
      </c>
      <c r="K117" s="44">
        <v>0</v>
      </c>
      <c r="L117" s="44">
        <v>0</v>
      </c>
      <c r="M117" s="45">
        <v>0</v>
      </c>
      <c r="N117" s="43">
        <v>17</v>
      </c>
      <c r="O117" s="44">
        <v>7</v>
      </c>
      <c r="P117" s="3">
        <v>0</v>
      </c>
      <c r="Q117" s="4">
        <v>0</v>
      </c>
      <c r="S117" s="26">
        <f t="shared" si="3"/>
        <v>1.0585505479057635E-4</v>
      </c>
      <c r="T117" s="26">
        <f t="shared" si="4"/>
        <v>0.99584624765001806</v>
      </c>
      <c r="V117">
        <v>26</v>
      </c>
      <c r="W117">
        <v>22</v>
      </c>
      <c r="X117">
        <v>100</v>
      </c>
    </row>
    <row r="118" spans="1:24" x14ac:dyDescent="0.35">
      <c r="A118" t="s">
        <v>400</v>
      </c>
      <c r="B118">
        <v>25</v>
      </c>
      <c r="C118" s="14" t="s">
        <v>341</v>
      </c>
      <c r="D118">
        <v>86.6</v>
      </c>
      <c r="E118">
        <v>1</v>
      </c>
      <c r="F118" s="43">
        <v>15</v>
      </c>
      <c r="G118" s="44">
        <v>0</v>
      </c>
      <c r="H118" s="44">
        <v>0</v>
      </c>
      <c r="I118" s="45">
        <v>0</v>
      </c>
      <c r="J118" s="43">
        <v>5</v>
      </c>
      <c r="K118" s="44">
        <v>0</v>
      </c>
      <c r="L118" s="44">
        <v>0</v>
      </c>
      <c r="M118" s="45">
        <v>0</v>
      </c>
      <c r="N118" s="43">
        <v>5</v>
      </c>
      <c r="O118" s="44">
        <v>0</v>
      </c>
      <c r="P118" s="3">
        <v>0</v>
      </c>
      <c r="Q118" s="4">
        <v>0</v>
      </c>
      <c r="S118" s="26">
        <f t="shared" si="3"/>
        <v>1.0585505479057635E-4</v>
      </c>
      <c r="T118" s="26">
        <f t="shared" si="4"/>
        <v>0.99595210270480861</v>
      </c>
      <c r="V118">
        <v>35</v>
      </c>
      <c r="W118">
        <v>1</v>
      </c>
      <c r="X118">
        <v>3</v>
      </c>
    </row>
    <row r="119" spans="1:24" x14ac:dyDescent="0.35">
      <c r="A119" t="s">
        <v>372</v>
      </c>
      <c r="B119">
        <v>25</v>
      </c>
      <c r="C119" s="14" t="s">
        <v>339</v>
      </c>
      <c r="D119">
        <v>93.7</v>
      </c>
      <c r="E119">
        <v>2</v>
      </c>
      <c r="F119" s="43">
        <v>25</v>
      </c>
      <c r="G119" s="44">
        <v>0</v>
      </c>
      <c r="H119" s="44">
        <v>0</v>
      </c>
      <c r="I119" s="45">
        <v>0</v>
      </c>
      <c r="J119" s="43">
        <v>0</v>
      </c>
      <c r="K119" s="44">
        <v>0</v>
      </c>
      <c r="L119" s="44">
        <v>0</v>
      </c>
      <c r="M119" s="45">
        <v>0</v>
      </c>
      <c r="N119" s="43">
        <v>0</v>
      </c>
      <c r="O119" s="44">
        <v>0</v>
      </c>
      <c r="P119" s="3">
        <v>0</v>
      </c>
      <c r="Q119" s="4">
        <v>0</v>
      </c>
      <c r="S119" s="26">
        <f t="shared" si="3"/>
        <v>1.0585505479057635E-4</v>
      </c>
      <c r="T119" s="26">
        <f t="shared" si="4"/>
        <v>0.99605795775959916</v>
      </c>
      <c r="V119">
        <v>100</v>
      </c>
      <c r="W119">
        <v>15</v>
      </c>
      <c r="X119">
        <v>27</v>
      </c>
    </row>
    <row r="120" spans="1:24" x14ac:dyDescent="0.35">
      <c r="A120" t="s">
        <v>462</v>
      </c>
      <c r="B120">
        <v>24</v>
      </c>
      <c r="C120" s="14" t="s">
        <v>343</v>
      </c>
      <c r="D120">
        <v>86.6</v>
      </c>
      <c r="E120">
        <v>3</v>
      </c>
      <c r="F120" s="43">
        <v>11</v>
      </c>
      <c r="G120" s="44">
        <v>0</v>
      </c>
      <c r="H120" s="44">
        <v>0</v>
      </c>
      <c r="I120" s="45">
        <v>0</v>
      </c>
      <c r="J120" s="43">
        <v>9</v>
      </c>
      <c r="K120" s="44">
        <v>0</v>
      </c>
      <c r="L120" s="44">
        <v>0</v>
      </c>
      <c r="M120" s="45">
        <v>0</v>
      </c>
      <c r="N120" s="43">
        <v>4</v>
      </c>
      <c r="O120" s="44">
        <v>0</v>
      </c>
      <c r="P120" s="3">
        <v>0</v>
      </c>
      <c r="Q120" s="4">
        <v>0</v>
      </c>
      <c r="S120" s="26">
        <f t="shared" si="3"/>
        <v>1.016208525989533E-4</v>
      </c>
      <c r="T120" s="26">
        <f t="shared" si="4"/>
        <v>0.99615957861219806</v>
      </c>
      <c r="V120">
        <v>66</v>
      </c>
      <c r="W120">
        <v>0</v>
      </c>
      <c r="X120">
        <v>0</v>
      </c>
    </row>
    <row r="121" spans="1:24" x14ac:dyDescent="0.35">
      <c r="A121" t="s">
        <v>325</v>
      </c>
      <c r="B121">
        <v>24</v>
      </c>
      <c r="C121" s="14" t="s">
        <v>125</v>
      </c>
      <c r="D121">
        <v>93.7</v>
      </c>
      <c r="E121">
        <v>1</v>
      </c>
      <c r="F121" s="43">
        <v>0</v>
      </c>
      <c r="G121" s="44">
        <v>0</v>
      </c>
      <c r="H121" s="44">
        <v>0</v>
      </c>
      <c r="I121" s="45">
        <v>0</v>
      </c>
      <c r="J121" s="43">
        <v>2</v>
      </c>
      <c r="K121" s="44">
        <v>0</v>
      </c>
      <c r="L121" s="44">
        <v>0</v>
      </c>
      <c r="M121" s="45">
        <v>0</v>
      </c>
      <c r="N121" s="43">
        <v>8</v>
      </c>
      <c r="O121" s="44">
        <v>14</v>
      </c>
      <c r="P121" s="3">
        <v>0</v>
      </c>
      <c r="Q121" s="4">
        <v>0</v>
      </c>
      <c r="S121" s="26">
        <f t="shared" si="3"/>
        <v>1.016208525989533E-4</v>
      </c>
      <c r="T121" s="26">
        <f t="shared" si="4"/>
        <v>0.99626119946479696</v>
      </c>
      <c r="V121">
        <v>8</v>
      </c>
      <c r="W121">
        <v>22</v>
      </c>
      <c r="X121">
        <v>97</v>
      </c>
    </row>
    <row r="122" spans="1:24" x14ac:dyDescent="0.35">
      <c r="A122" t="s">
        <v>346</v>
      </c>
      <c r="B122">
        <v>23</v>
      </c>
      <c r="C122" s="14" t="s">
        <v>348</v>
      </c>
      <c r="D122">
        <v>92.9</v>
      </c>
      <c r="E122">
        <v>2</v>
      </c>
      <c r="F122" s="43">
        <v>14</v>
      </c>
      <c r="G122" s="44">
        <v>0</v>
      </c>
      <c r="H122" s="44">
        <v>0</v>
      </c>
      <c r="I122" s="45">
        <v>0</v>
      </c>
      <c r="J122" s="43">
        <v>5</v>
      </c>
      <c r="K122" s="44">
        <v>0</v>
      </c>
      <c r="L122" s="44">
        <v>0</v>
      </c>
      <c r="M122" s="45">
        <v>0</v>
      </c>
      <c r="N122" s="43">
        <v>4</v>
      </c>
      <c r="O122" s="44">
        <v>0</v>
      </c>
      <c r="P122" s="3">
        <v>0</v>
      </c>
      <c r="Q122" s="4">
        <v>0</v>
      </c>
      <c r="S122" s="26">
        <f t="shared" si="3"/>
        <v>9.7386650407330254E-5</v>
      </c>
      <c r="T122" s="26">
        <f t="shared" si="4"/>
        <v>0.99635858611520434</v>
      </c>
      <c r="V122">
        <v>0</v>
      </c>
      <c r="W122">
        <v>0</v>
      </c>
      <c r="X122">
        <v>0</v>
      </c>
    </row>
    <row r="123" spans="1:24" x14ac:dyDescent="0.35">
      <c r="A123" t="s">
        <v>350</v>
      </c>
      <c r="B123">
        <v>23</v>
      </c>
      <c r="C123" s="14" t="s">
        <v>370</v>
      </c>
      <c r="D123">
        <v>88.5</v>
      </c>
      <c r="E123">
        <v>1</v>
      </c>
      <c r="F123" s="2">
        <v>0</v>
      </c>
      <c r="G123" s="3">
        <v>0</v>
      </c>
      <c r="H123" s="3">
        <v>0</v>
      </c>
      <c r="I123" s="4">
        <v>0</v>
      </c>
      <c r="J123" s="2">
        <v>0</v>
      </c>
      <c r="K123" s="3">
        <v>0</v>
      </c>
      <c r="L123" s="3">
        <v>0</v>
      </c>
      <c r="M123" s="4">
        <v>0</v>
      </c>
      <c r="N123" s="2">
        <v>16</v>
      </c>
      <c r="O123" s="3">
        <v>7</v>
      </c>
      <c r="P123" s="3">
        <v>0</v>
      </c>
      <c r="Q123" s="4">
        <v>0</v>
      </c>
      <c r="S123" s="26">
        <f t="shared" si="3"/>
        <v>9.7386650407330254E-5</v>
      </c>
      <c r="T123" s="26">
        <f t="shared" si="4"/>
        <v>0.99645597276561171</v>
      </c>
      <c r="V123">
        <v>18</v>
      </c>
      <c r="W123">
        <v>19</v>
      </c>
      <c r="X123">
        <v>100</v>
      </c>
    </row>
    <row r="124" spans="1:24" x14ac:dyDescent="0.35">
      <c r="A124" t="s">
        <v>363</v>
      </c>
      <c r="B124">
        <v>22</v>
      </c>
      <c r="C124" s="14" t="s">
        <v>354</v>
      </c>
      <c r="D124">
        <v>87.4</v>
      </c>
      <c r="E124">
        <v>1</v>
      </c>
      <c r="F124" s="2">
        <v>8</v>
      </c>
      <c r="G124" s="3">
        <v>0</v>
      </c>
      <c r="H124" s="3">
        <v>0</v>
      </c>
      <c r="I124" s="4">
        <v>0</v>
      </c>
      <c r="J124" s="2">
        <v>4</v>
      </c>
      <c r="K124" s="3">
        <v>0</v>
      </c>
      <c r="L124" s="3">
        <v>0</v>
      </c>
      <c r="M124" s="4">
        <v>0</v>
      </c>
      <c r="N124" s="2">
        <v>10</v>
      </c>
      <c r="O124" s="3">
        <v>0</v>
      </c>
      <c r="P124" s="3">
        <v>0</v>
      </c>
      <c r="Q124" s="4">
        <v>0</v>
      </c>
      <c r="S124" s="26">
        <f t="shared" si="3"/>
        <v>9.315244821570719E-5</v>
      </c>
      <c r="T124" s="26">
        <f t="shared" si="4"/>
        <v>0.99654912521382744</v>
      </c>
      <c r="V124">
        <v>97</v>
      </c>
      <c r="W124">
        <v>15</v>
      </c>
      <c r="X124">
        <v>84</v>
      </c>
    </row>
    <row r="125" spans="1:24" x14ac:dyDescent="0.35">
      <c r="A125" t="s">
        <v>415</v>
      </c>
      <c r="B125">
        <v>21</v>
      </c>
      <c r="C125" s="14" t="s">
        <v>362</v>
      </c>
      <c r="D125">
        <v>96</v>
      </c>
      <c r="E125">
        <v>1</v>
      </c>
      <c r="F125" s="2">
        <v>6</v>
      </c>
      <c r="G125" s="3">
        <v>0</v>
      </c>
      <c r="H125" s="3">
        <v>0</v>
      </c>
      <c r="I125" s="4">
        <v>0</v>
      </c>
      <c r="J125" s="2">
        <v>1</v>
      </c>
      <c r="K125" s="3">
        <v>0</v>
      </c>
      <c r="L125" s="3">
        <v>0</v>
      </c>
      <c r="M125" s="4">
        <v>0</v>
      </c>
      <c r="N125" s="2">
        <v>11</v>
      </c>
      <c r="O125" s="3">
        <v>3</v>
      </c>
      <c r="P125" s="3">
        <v>0</v>
      </c>
      <c r="Q125" s="4">
        <v>0</v>
      </c>
      <c r="S125" s="26">
        <f t="shared" si="3"/>
        <v>8.8918246024084139E-5</v>
      </c>
      <c r="T125" s="26">
        <f t="shared" si="4"/>
        <v>0.99663804345985152</v>
      </c>
      <c r="V125">
        <v>8</v>
      </c>
      <c r="W125">
        <v>0</v>
      </c>
      <c r="X125">
        <v>100</v>
      </c>
    </row>
    <row r="126" spans="1:24" x14ac:dyDescent="0.35">
      <c r="A126" t="s">
        <v>427</v>
      </c>
      <c r="B126">
        <v>21</v>
      </c>
      <c r="C126" s="14" t="s">
        <v>360</v>
      </c>
      <c r="D126">
        <v>95.3</v>
      </c>
      <c r="E126">
        <v>1</v>
      </c>
      <c r="F126" s="2">
        <v>11</v>
      </c>
      <c r="G126" s="3">
        <v>0</v>
      </c>
      <c r="H126" s="3">
        <v>0</v>
      </c>
      <c r="I126" s="4">
        <v>0</v>
      </c>
      <c r="J126" s="2">
        <v>9</v>
      </c>
      <c r="K126" s="3">
        <v>0</v>
      </c>
      <c r="L126" s="3">
        <v>0</v>
      </c>
      <c r="M126" s="4">
        <v>0</v>
      </c>
      <c r="N126" s="2">
        <v>1</v>
      </c>
      <c r="O126" s="3">
        <v>0</v>
      </c>
      <c r="P126" s="3">
        <v>0</v>
      </c>
      <c r="Q126" s="4">
        <v>0</v>
      </c>
      <c r="S126" s="26">
        <f t="shared" si="3"/>
        <v>8.8918246024084139E-5</v>
      </c>
      <c r="T126" s="26">
        <f t="shared" si="4"/>
        <v>0.9967269617058756</v>
      </c>
      <c r="V126">
        <v>100</v>
      </c>
      <c r="W126">
        <v>25</v>
      </c>
      <c r="X126">
        <v>10</v>
      </c>
    </row>
    <row r="127" spans="1:24" x14ac:dyDescent="0.35">
      <c r="A127" t="s">
        <v>369</v>
      </c>
      <c r="B127">
        <v>20</v>
      </c>
      <c r="C127" s="14" t="s">
        <v>368</v>
      </c>
      <c r="D127">
        <v>100</v>
      </c>
      <c r="E127">
        <v>4</v>
      </c>
      <c r="F127" s="2">
        <v>0</v>
      </c>
      <c r="G127" s="3">
        <v>0</v>
      </c>
      <c r="H127" s="3">
        <v>0</v>
      </c>
      <c r="I127" s="4">
        <v>0</v>
      </c>
      <c r="J127" s="2">
        <v>13</v>
      </c>
      <c r="K127" s="3">
        <v>0</v>
      </c>
      <c r="L127" s="3">
        <v>0</v>
      </c>
      <c r="M127" s="4">
        <v>0</v>
      </c>
      <c r="N127" s="2">
        <v>7</v>
      </c>
      <c r="O127" s="3">
        <v>0</v>
      </c>
      <c r="P127" s="3">
        <v>0</v>
      </c>
      <c r="Q127" s="4">
        <v>0</v>
      </c>
      <c r="S127" s="26">
        <f t="shared" si="3"/>
        <v>8.4684043832461089E-5</v>
      </c>
      <c r="T127" s="26">
        <f t="shared" si="4"/>
        <v>0.99681164574970804</v>
      </c>
      <c r="V127">
        <v>0</v>
      </c>
      <c r="W127">
        <v>0</v>
      </c>
      <c r="X127">
        <v>0</v>
      </c>
    </row>
    <row r="128" spans="1:24" x14ac:dyDescent="0.35">
      <c r="A128" t="s">
        <v>322</v>
      </c>
      <c r="B128">
        <v>19</v>
      </c>
      <c r="C128" s="14" t="s">
        <v>352</v>
      </c>
      <c r="D128">
        <v>89.3</v>
      </c>
      <c r="E128">
        <v>3</v>
      </c>
      <c r="F128" s="2">
        <v>11</v>
      </c>
      <c r="G128" s="3">
        <v>0</v>
      </c>
      <c r="H128" s="3">
        <v>0</v>
      </c>
      <c r="I128" s="4">
        <v>0</v>
      </c>
      <c r="J128" s="2">
        <v>0</v>
      </c>
      <c r="K128" s="3">
        <v>0</v>
      </c>
      <c r="L128" s="3">
        <v>0</v>
      </c>
      <c r="M128" s="4">
        <v>0</v>
      </c>
      <c r="N128" s="2">
        <v>8</v>
      </c>
      <c r="O128" s="3">
        <v>0</v>
      </c>
      <c r="P128" s="3">
        <v>0</v>
      </c>
      <c r="Q128" s="4">
        <v>0</v>
      </c>
      <c r="S128" s="26">
        <f t="shared" si="3"/>
        <v>8.0449841640838039E-5</v>
      </c>
      <c r="T128" s="26">
        <f t="shared" si="4"/>
        <v>0.99689209559134884</v>
      </c>
      <c r="V128">
        <v>100</v>
      </c>
      <c r="W128">
        <v>0</v>
      </c>
      <c r="X128">
        <v>100</v>
      </c>
    </row>
    <row r="129" spans="1:24" x14ac:dyDescent="0.35">
      <c r="A129" t="s">
        <v>420</v>
      </c>
      <c r="B129">
        <v>18</v>
      </c>
      <c r="C129" s="14" t="s">
        <v>373</v>
      </c>
      <c r="D129">
        <v>91.3</v>
      </c>
      <c r="E129">
        <v>1</v>
      </c>
      <c r="F129" s="2">
        <v>16</v>
      </c>
      <c r="G129" s="3">
        <v>0</v>
      </c>
      <c r="H129" s="3">
        <v>0</v>
      </c>
      <c r="I129" s="4">
        <v>0</v>
      </c>
      <c r="J129" s="2">
        <v>1</v>
      </c>
      <c r="K129" s="3">
        <v>0</v>
      </c>
      <c r="L129" s="3">
        <v>0</v>
      </c>
      <c r="M129" s="4">
        <v>0</v>
      </c>
      <c r="N129" s="2">
        <v>1</v>
      </c>
      <c r="O129" s="3">
        <v>0</v>
      </c>
      <c r="P129" s="3">
        <v>0</v>
      </c>
      <c r="Q129" s="4">
        <v>0</v>
      </c>
      <c r="S129" s="26">
        <f t="shared" si="3"/>
        <v>7.6215639449214975E-5</v>
      </c>
      <c r="T129" s="26">
        <f t="shared" si="4"/>
        <v>0.9969683112307981</v>
      </c>
      <c r="V129">
        <v>77</v>
      </c>
      <c r="W129">
        <v>4</v>
      </c>
      <c r="X129">
        <v>32</v>
      </c>
    </row>
    <row r="130" spans="1:24" x14ac:dyDescent="0.35">
      <c r="A130" t="s">
        <v>374</v>
      </c>
      <c r="B130">
        <v>17</v>
      </c>
      <c r="C130" s="14" t="s">
        <v>375</v>
      </c>
      <c r="D130">
        <v>86.2</v>
      </c>
      <c r="E130">
        <v>2</v>
      </c>
      <c r="F130" s="2">
        <v>5</v>
      </c>
      <c r="G130" s="3">
        <v>0</v>
      </c>
      <c r="H130" s="3">
        <v>0</v>
      </c>
      <c r="I130" s="4">
        <v>0</v>
      </c>
      <c r="J130" s="2">
        <v>6</v>
      </c>
      <c r="K130" s="3">
        <v>0</v>
      </c>
      <c r="L130" s="3">
        <v>0</v>
      </c>
      <c r="M130" s="4">
        <v>0</v>
      </c>
      <c r="N130" s="2">
        <v>6</v>
      </c>
      <c r="O130" s="3">
        <v>0</v>
      </c>
      <c r="P130" s="3">
        <v>0</v>
      </c>
      <c r="Q130" s="4">
        <v>0</v>
      </c>
      <c r="S130" s="26">
        <f t="shared" si="3"/>
        <v>7.1981437257591924E-5</v>
      </c>
      <c r="T130" s="26">
        <f t="shared" si="4"/>
        <v>0.99704029266805572</v>
      </c>
      <c r="V130">
        <v>21</v>
      </c>
      <c r="W130">
        <v>0</v>
      </c>
      <c r="X130">
        <v>4</v>
      </c>
    </row>
    <row r="131" spans="1:24" x14ac:dyDescent="0.35">
      <c r="A131" t="s">
        <v>361</v>
      </c>
      <c r="B131">
        <v>16</v>
      </c>
      <c r="C131" s="14" t="s">
        <v>379</v>
      </c>
      <c r="D131">
        <v>100</v>
      </c>
      <c r="E131">
        <v>1</v>
      </c>
      <c r="F131" s="2">
        <v>5</v>
      </c>
      <c r="G131" s="3">
        <v>0</v>
      </c>
      <c r="H131" s="3">
        <v>0</v>
      </c>
      <c r="I131" s="4">
        <v>0</v>
      </c>
      <c r="J131" s="2">
        <v>7</v>
      </c>
      <c r="K131" s="3">
        <v>0</v>
      </c>
      <c r="L131" s="3">
        <v>0</v>
      </c>
      <c r="M131" s="4">
        <v>0</v>
      </c>
      <c r="N131" s="2">
        <v>4</v>
      </c>
      <c r="O131" s="3">
        <v>0</v>
      </c>
      <c r="P131" s="3">
        <v>0</v>
      </c>
      <c r="Q131" s="4">
        <v>0</v>
      </c>
      <c r="S131" s="26">
        <f t="shared" si="3"/>
        <v>6.7747235065968874E-5</v>
      </c>
      <c r="T131" s="26">
        <f t="shared" si="4"/>
        <v>0.99710803990312169</v>
      </c>
      <c r="V131">
        <v>3</v>
      </c>
      <c r="W131">
        <v>0</v>
      </c>
      <c r="X131">
        <v>3</v>
      </c>
    </row>
    <row r="132" spans="1:24" x14ac:dyDescent="0.35">
      <c r="A132" t="s">
        <v>371</v>
      </c>
      <c r="B132">
        <v>16</v>
      </c>
      <c r="C132" s="14" t="s">
        <v>381</v>
      </c>
      <c r="D132">
        <v>94.9</v>
      </c>
      <c r="E132">
        <v>1</v>
      </c>
      <c r="F132" s="2">
        <v>5</v>
      </c>
      <c r="G132" s="3">
        <v>0</v>
      </c>
      <c r="H132" s="3">
        <v>0</v>
      </c>
      <c r="I132" s="4">
        <v>0</v>
      </c>
      <c r="J132" s="2">
        <v>6</v>
      </c>
      <c r="K132" s="3">
        <v>0</v>
      </c>
      <c r="L132" s="3">
        <v>0</v>
      </c>
      <c r="M132" s="4">
        <v>0</v>
      </c>
      <c r="N132" s="2">
        <v>5</v>
      </c>
      <c r="O132" s="3">
        <v>0</v>
      </c>
      <c r="P132" s="3">
        <v>0</v>
      </c>
      <c r="Q132" s="4">
        <v>0</v>
      </c>
      <c r="S132" s="26">
        <f t="shared" ref="S132:S195" si="5">B132/B$2</f>
        <v>6.7747235065968874E-5</v>
      </c>
      <c r="T132" s="26">
        <f t="shared" si="4"/>
        <v>0.99717578713818766</v>
      </c>
      <c r="V132">
        <v>52</v>
      </c>
      <c r="W132">
        <v>22</v>
      </c>
      <c r="X132">
        <v>42</v>
      </c>
    </row>
    <row r="133" spans="1:24" x14ac:dyDescent="0.35">
      <c r="A133" t="s">
        <v>473</v>
      </c>
      <c r="B133">
        <v>15</v>
      </c>
      <c r="C133" s="14" t="s">
        <v>384</v>
      </c>
      <c r="D133">
        <v>95.7</v>
      </c>
      <c r="E133">
        <v>1</v>
      </c>
      <c r="F133" s="2">
        <v>6</v>
      </c>
      <c r="G133" s="3">
        <v>0</v>
      </c>
      <c r="H133" s="3">
        <v>0</v>
      </c>
      <c r="I133" s="4">
        <v>0</v>
      </c>
      <c r="J133" s="2">
        <v>5</v>
      </c>
      <c r="K133" s="3">
        <v>0</v>
      </c>
      <c r="L133" s="3">
        <v>0</v>
      </c>
      <c r="M133" s="4">
        <v>0</v>
      </c>
      <c r="N133" s="2">
        <v>4</v>
      </c>
      <c r="O133" s="3">
        <v>0</v>
      </c>
      <c r="P133" s="3">
        <v>0</v>
      </c>
      <c r="Q133" s="4">
        <v>0</v>
      </c>
      <c r="S133" s="26">
        <f t="shared" si="5"/>
        <v>6.351303287434581E-5</v>
      </c>
      <c r="T133" s="26">
        <f t="shared" si="4"/>
        <v>0.99723930017106199</v>
      </c>
      <c r="V133">
        <v>12</v>
      </c>
      <c r="W133">
        <v>0</v>
      </c>
      <c r="X133">
        <v>0</v>
      </c>
    </row>
    <row r="134" spans="1:24" x14ac:dyDescent="0.35">
      <c r="A134" t="s">
        <v>443</v>
      </c>
      <c r="B134">
        <v>15</v>
      </c>
      <c r="C134" s="14" t="s">
        <v>144</v>
      </c>
      <c r="D134">
        <v>85.8</v>
      </c>
      <c r="E134">
        <v>1</v>
      </c>
      <c r="F134" s="2">
        <v>5</v>
      </c>
      <c r="G134" s="3">
        <v>0</v>
      </c>
      <c r="H134" s="3">
        <v>0</v>
      </c>
      <c r="I134" s="4">
        <v>0</v>
      </c>
      <c r="J134" s="2">
        <v>6</v>
      </c>
      <c r="K134" s="3">
        <v>0</v>
      </c>
      <c r="L134" s="3">
        <v>0</v>
      </c>
      <c r="M134" s="4">
        <v>0</v>
      </c>
      <c r="N134" s="2">
        <v>4</v>
      </c>
      <c r="O134" s="3">
        <v>0</v>
      </c>
      <c r="P134" s="3">
        <v>0</v>
      </c>
      <c r="Q134" s="4">
        <v>0</v>
      </c>
      <c r="S134" s="26">
        <f t="shared" si="5"/>
        <v>6.351303287434581E-5</v>
      </c>
      <c r="T134" s="26">
        <f t="shared" ref="T134:T197" si="6">T133+S134</f>
        <v>0.99730281320393632</v>
      </c>
      <c r="V134">
        <v>0</v>
      </c>
      <c r="W134">
        <v>0</v>
      </c>
      <c r="X134">
        <v>0</v>
      </c>
    </row>
    <row r="135" spans="1:24" x14ac:dyDescent="0.35">
      <c r="A135" t="s">
        <v>355</v>
      </c>
      <c r="B135">
        <v>14</v>
      </c>
      <c r="C135" s="14" t="s">
        <v>401</v>
      </c>
      <c r="D135">
        <v>93.7</v>
      </c>
      <c r="E135">
        <v>1</v>
      </c>
      <c r="F135" s="2">
        <v>5</v>
      </c>
      <c r="G135" s="3">
        <v>0</v>
      </c>
      <c r="H135" s="3">
        <v>0</v>
      </c>
      <c r="I135" s="4">
        <v>0</v>
      </c>
      <c r="J135" s="2">
        <v>6</v>
      </c>
      <c r="K135" s="3">
        <v>0</v>
      </c>
      <c r="L135" s="3">
        <v>0</v>
      </c>
      <c r="M135" s="4">
        <v>0</v>
      </c>
      <c r="N135" s="2">
        <v>3</v>
      </c>
      <c r="O135" s="3">
        <v>0</v>
      </c>
      <c r="P135" s="3">
        <v>0</v>
      </c>
      <c r="Q135" s="4">
        <v>0</v>
      </c>
      <c r="S135" s="26">
        <f t="shared" si="5"/>
        <v>5.927883068272276E-5</v>
      </c>
      <c r="T135" s="26">
        <f t="shared" si="6"/>
        <v>0.99736209203461901</v>
      </c>
      <c r="V135">
        <v>2</v>
      </c>
      <c r="W135">
        <v>1</v>
      </c>
      <c r="X135">
        <v>3</v>
      </c>
    </row>
    <row r="136" spans="1:24" x14ac:dyDescent="0.35">
      <c r="A136" t="s">
        <v>458</v>
      </c>
      <c r="B136">
        <v>14</v>
      </c>
      <c r="C136" s="14" t="s">
        <v>399</v>
      </c>
      <c r="D136">
        <v>94.8</v>
      </c>
      <c r="E136">
        <v>1</v>
      </c>
      <c r="F136" s="2">
        <v>6</v>
      </c>
      <c r="G136" s="3">
        <v>0</v>
      </c>
      <c r="H136" s="3">
        <v>0</v>
      </c>
      <c r="I136" s="4">
        <v>0</v>
      </c>
      <c r="J136" s="2">
        <v>3</v>
      </c>
      <c r="K136" s="3">
        <v>0</v>
      </c>
      <c r="L136" s="3">
        <v>0</v>
      </c>
      <c r="M136" s="4">
        <v>0</v>
      </c>
      <c r="N136" s="2">
        <v>5</v>
      </c>
      <c r="O136" s="3">
        <v>0</v>
      </c>
      <c r="P136" s="3">
        <v>0</v>
      </c>
      <c r="Q136" s="4">
        <v>0</v>
      </c>
      <c r="S136" s="26">
        <f t="shared" si="5"/>
        <v>5.927883068272276E-5</v>
      </c>
      <c r="T136" s="26">
        <f t="shared" si="6"/>
        <v>0.99742137086530169</v>
      </c>
      <c r="V136">
        <v>0</v>
      </c>
      <c r="W136">
        <v>0</v>
      </c>
      <c r="X136">
        <v>0</v>
      </c>
    </row>
    <row r="137" spans="1:24" x14ac:dyDescent="0.35">
      <c r="A137" t="s">
        <v>386</v>
      </c>
      <c r="B137">
        <v>14</v>
      </c>
      <c r="C137" s="14" t="s">
        <v>392</v>
      </c>
      <c r="D137">
        <v>100</v>
      </c>
      <c r="E137">
        <v>1</v>
      </c>
      <c r="F137" s="2">
        <v>14</v>
      </c>
      <c r="G137" s="3">
        <v>0</v>
      </c>
      <c r="H137" s="3">
        <v>0</v>
      </c>
      <c r="I137" s="4">
        <v>0</v>
      </c>
      <c r="J137" s="2">
        <v>0</v>
      </c>
      <c r="K137" s="3">
        <v>0</v>
      </c>
      <c r="L137" s="3">
        <v>0</v>
      </c>
      <c r="M137" s="4">
        <v>0</v>
      </c>
      <c r="N137" s="2">
        <v>0</v>
      </c>
      <c r="O137" s="3">
        <v>0</v>
      </c>
      <c r="P137" s="3">
        <v>0</v>
      </c>
      <c r="Q137" s="4">
        <v>0</v>
      </c>
      <c r="S137" s="26">
        <f t="shared" si="5"/>
        <v>5.927883068272276E-5</v>
      </c>
      <c r="T137" s="26">
        <f t="shared" si="6"/>
        <v>0.99748064969598438</v>
      </c>
      <c r="V137">
        <v>0</v>
      </c>
      <c r="W137">
        <v>0</v>
      </c>
      <c r="X137">
        <v>0</v>
      </c>
    </row>
    <row r="138" spans="1:24" x14ac:dyDescent="0.35">
      <c r="A138" t="s">
        <v>428</v>
      </c>
      <c r="B138">
        <v>14</v>
      </c>
      <c r="C138" s="14" t="s">
        <v>430</v>
      </c>
      <c r="D138">
        <v>96</v>
      </c>
      <c r="E138">
        <v>1</v>
      </c>
      <c r="F138" s="2">
        <v>8</v>
      </c>
      <c r="G138" s="3">
        <v>0</v>
      </c>
      <c r="H138" s="3">
        <v>3</v>
      </c>
      <c r="I138" s="4">
        <v>2</v>
      </c>
      <c r="J138" s="2">
        <v>0</v>
      </c>
      <c r="K138" s="3">
        <v>0</v>
      </c>
      <c r="L138" s="3">
        <v>0</v>
      </c>
      <c r="M138" s="4">
        <v>0</v>
      </c>
      <c r="N138" s="2">
        <v>1</v>
      </c>
      <c r="O138" s="3">
        <v>0</v>
      </c>
      <c r="P138" s="3">
        <v>0</v>
      </c>
      <c r="Q138" s="4">
        <v>0</v>
      </c>
      <c r="S138" s="26">
        <f t="shared" si="5"/>
        <v>5.927883068272276E-5</v>
      </c>
      <c r="T138" s="26">
        <f t="shared" si="6"/>
        <v>0.99753992852666706</v>
      </c>
      <c r="V138">
        <v>100</v>
      </c>
      <c r="W138">
        <v>0</v>
      </c>
      <c r="X138">
        <v>6</v>
      </c>
    </row>
    <row r="139" spans="1:24" x14ac:dyDescent="0.35">
      <c r="A139" t="s">
        <v>439</v>
      </c>
      <c r="B139">
        <v>13</v>
      </c>
      <c r="C139" s="14" t="s">
        <v>628</v>
      </c>
      <c r="D139">
        <v>94.9</v>
      </c>
      <c r="E139">
        <v>1</v>
      </c>
      <c r="F139" s="2">
        <v>1</v>
      </c>
      <c r="G139" s="3">
        <v>0</v>
      </c>
      <c r="H139" s="3">
        <v>0</v>
      </c>
      <c r="I139" s="4">
        <v>0</v>
      </c>
      <c r="J139" s="2">
        <v>0</v>
      </c>
      <c r="K139" s="3">
        <v>0</v>
      </c>
      <c r="L139" s="3">
        <v>0</v>
      </c>
      <c r="M139" s="4">
        <v>0</v>
      </c>
      <c r="N139" s="2">
        <v>11</v>
      </c>
      <c r="O139" s="3">
        <v>1</v>
      </c>
      <c r="P139" s="3">
        <v>0</v>
      </c>
      <c r="Q139" s="4">
        <v>0</v>
      </c>
      <c r="S139" s="26">
        <f t="shared" si="5"/>
        <v>5.5044628491099709E-5</v>
      </c>
      <c r="T139" s="26">
        <f t="shared" si="6"/>
        <v>0.99759497315515822</v>
      </c>
      <c r="V139">
        <v>9</v>
      </c>
      <c r="W139">
        <v>16</v>
      </c>
      <c r="X139">
        <v>100</v>
      </c>
    </row>
    <row r="140" spans="1:24" x14ac:dyDescent="0.35">
      <c r="A140" t="s">
        <v>442</v>
      </c>
      <c r="B140">
        <v>13</v>
      </c>
      <c r="C140" s="14" t="s">
        <v>321</v>
      </c>
      <c r="D140">
        <v>90.1</v>
      </c>
      <c r="E140">
        <v>1</v>
      </c>
      <c r="F140" s="2">
        <v>1</v>
      </c>
      <c r="G140" s="3">
        <v>0</v>
      </c>
      <c r="H140" s="3">
        <v>0</v>
      </c>
      <c r="I140" s="4">
        <v>0</v>
      </c>
      <c r="J140" s="2">
        <v>3</v>
      </c>
      <c r="K140" s="3">
        <v>0</v>
      </c>
      <c r="L140" s="3">
        <v>0</v>
      </c>
      <c r="M140" s="4">
        <v>0</v>
      </c>
      <c r="N140" s="2">
        <v>9</v>
      </c>
      <c r="O140" s="3">
        <v>0</v>
      </c>
      <c r="P140" s="3">
        <v>0</v>
      </c>
      <c r="Q140" s="4">
        <v>0</v>
      </c>
      <c r="S140" s="26">
        <f t="shared" si="5"/>
        <v>5.5044628491099709E-5</v>
      </c>
      <c r="T140" s="26">
        <f t="shared" si="6"/>
        <v>0.99765001778364937</v>
      </c>
      <c r="V140">
        <v>44</v>
      </c>
      <c r="W140">
        <v>43</v>
      </c>
      <c r="X140">
        <v>100</v>
      </c>
    </row>
    <row r="141" spans="1:24" x14ac:dyDescent="0.35">
      <c r="A141" t="s">
        <v>432</v>
      </c>
      <c r="B141">
        <v>13</v>
      </c>
      <c r="C141" s="14" t="s">
        <v>406</v>
      </c>
      <c r="D141">
        <v>91.7</v>
      </c>
      <c r="E141">
        <v>1</v>
      </c>
      <c r="F141" s="2">
        <v>1</v>
      </c>
      <c r="G141" s="3">
        <v>0</v>
      </c>
      <c r="H141" s="3">
        <v>0</v>
      </c>
      <c r="I141" s="4">
        <v>0</v>
      </c>
      <c r="J141" s="2">
        <v>7</v>
      </c>
      <c r="K141" s="3">
        <v>0</v>
      </c>
      <c r="L141" s="3">
        <v>0</v>
      </c>
      <c r="M141" s="4">
        <v>0</v>
      </c>
      <c r="N141" s="2">
        <v>5</v>
      </c>
      <c r="O141" s="3">
        <v>0</v>
      </c>
      <c r="P141" s="3">
        <v>0</v>
      </c>
      <c r="Q141" s="4">
        <v>0</v>
      </c>
      <c r="S141" s="26">
        <f t="shared" si="5"/>
        <v>5.5044628491099709E-5</v>
      </c>
      <c r="T141" s="26">
        <f t="shared" si="6"/>
        <v>0.99770506241214052</v>
      </c>
      <c r="V141">
        <v>5</v>
      </c>
      <c r="W141">
        <v>8</v>
      </c>
      <c r="X141">
        <v>15</v>
      </c>
    </row>
    <row r="142" spans="1:24" x14ac:dyDescent="0.35">
      <c r="A142" t="s">
        <v>456</v>
      </c>
      <c r="B142">
        <v>12</v>
      </c>
      <c r="C142" s="14" t="s">
        <v>408</v>
      </c>
      <c r="D142">
        <v>99.6</v>
      </c>
      <c r="E142">
        <v>1</v>
      </c>
      <c r="F142" s="2">
        <v>2</v>
      </c>
      <c r="G142" s="3">
        <v>0</v>
      </c>
      <c r="H142" s="3">
        <v>0</v>
      </c>
      <c r="I142" s="4">
        <v>0</v>
      </c>
      <c r="J142" s="2">
        <v>8</v>
      </c>
      <c r="K142" s="3">
        <v>0</v>
      </c>
      <c r="L142" s="3">
        <v>0</v>
      </c>
      <c r="M142" s="4">
        <v>0</v>
      </c>
      <c r="N142" s="2">
        <v>2</v>
      </c>
      <c r="O142" s="3">
        <v>0</v>
      </c>
      <c r="P142" s="3">
        <v>0</v>
      </c>
      <c r="Q142" s="4">
        <v>0</v>
      </c>
      <c r="S142" s="26">
        <f t="shared" si="5"/>
        <v>5.0810426299476652E-5</v>
      </c>
      <c r="T142" s="26">
        <f t="shared" si="6"/>
        <v>0.99775587283844003</v>
      </c>
      <c r="V142">
        <v>0</v>
      </c>
      <c r="W142">
        <v>5</v>
      </c>
      <c r="X142">
        <v>10</v>
      </c>
    </row>
    <row r="143" spans="1:24" x14ac:dyDescent="0.35">
      <c r="A143" t="s">
        <v>359</v>
      </c>
      <c r="B143">
        <v>12</v>
      </c>
      <c r="C143" s="14" t="s">
        <v>401</v>
      </c>
      <c r="D143">
        <v>89.7</v>
      </c>
      <c r="E143">
        <v>1</v>
      </c>
      <c r="F143" s="2">
        <v>5</v>
      </c>
      <c r="G143" s="3">
        <v>0</v>
      </c>
      <c r="H143" s="3">
        <v>0</v>
      </c>
      <c r="I143" s="4">
        <v>0</v>
      </c>
      <c r="J143" s="2">
        <v>4</v>
      </c>
      <c r="K143" s="3">
        <v>0</v>
      </c>
      <c r="L143" s="3">
        <v>0</v>
      </c>
      <c r="M143" s="4">
        <v>0</v>
      </c>
      <c r="N143" s="2">
        <v>3</v>
      </c>
      <c r="O143" s="3">
        <v>0</v>
      </c>
      <c r="P143" s="3">
        <v>0</v>
      </c>
      <c r="Q143" s="4">
        <v>0</v>
      </c>
      <c r="S143" s="26">
        <f t="shared" si="5"/>
        <v>5.0810426299476652E-5</v>
      </c>
      <c r="T143" s="26">
        <f t="shared" si="6"/>
        <v>0.99780668326473954</v>
      </c>
      <c r="V143">
        <v>0</v>
      </c>
      <c r="W143">
        <v>0</v>
      </c>
      <c r="X143">
        <v>0</v>
      </c>
    </row>
    <row r="144" spans="1:24" x14ac:dyDescent="0.35">
      <c r="A144" t="s">
        <v>338</v>
      </c>
      <c r="B144">
        <v>12</v>
      </c>
      <c r="C144" s="14" t="s">
        <v>335</v>
      </c>
      <c r="D144">
        <v>88.5</v>
      </c>
      <c r="E144">
        <v>1</v>
      </c>
      <c r="F144" s="2">
        <v>0</v>
      </c>
      <c r="G144" s="3">
        <v>0</v>
      </c>
      <c r="H144" s="3">
        <v>0</v>
      </c>
      <c r="I144" s="4">
        <v>0</v>
      </c>
      <c r="J144" s="2">
        <v>0</v>
      </c>
      <c r="K144" s="3">
        <v>0</v>
      </c>
      <c r="L144" s="3">
        <v>0</v>
      </c>
      <c r="M144" s="4">
        <v>0</v>
      </c>
      <c r="N144" s="2">
        <v>0</v>
      </c>
      <c r="O144" s="3">
        <v>12</v>
      </c>
      <c r="P144" s="3">
        <v>0</v>
      </c>
      <c r="Q144" s="4">
        <v>0</v>
      </c>
      <c r="S144" s="26">
        <f t="shared" si="5"/>
        <v>5.0810426299476652E-5</v>
      </c>
      <c r="T144" s="26">
        <f t="shared" si="6"/>
        <v>0.99785749369103904</v>
      </c>
      <c r="V144">
        <v>0</v>
      </c>
      <c r="W144">
        <v>2</v>
      </c>
      <c r="X144">
        <v>91</v>
      </c>
    </row>
    <row r="145" spans="1:24" x14ac:dyDescent="0.35">
      <c r="A145" t="s">
        <v>402</v>
      </c>
      <c r="B145">
        <v>12</v>
      </c>
      <c r="C145" s="14" t="s">
        <v>412</v>
      </c>
      <c r="D145">
        <v>99.2</v>
      </c>
      <c r="E145">
        <v>7</v>
      </c>
      <c r="F145" s="2">
        <v>5</v>
      </c>
      <c r="G145" s="3">
        <v>0</v>
      </c>
      <c r="H145" s="3">
        <v>0</v>
      </c>
      <c r="I145" s="4">
        <v>0</v>
      </c>
      <c r="J145" s="2">
        <v>4</v>
      </c>
      <c r="K145" s="3">
        <v>0</v>
      </c>
      <c r="L145" s="3">
        <v>0</v>
      </c>
      <c r="M145" s="4">
        <v>0</v>
      </c>
      <c r="N145" s="2">
        <v>3</v>
      </c>
      <c r="O145" s="3">
        <v>0</v>
      </c>
      <c r="P145" s="3">
        <v>0</v>
      </c>
      <c r="Q145" s="4">
        <v>0</v>
      </c>
      <c r="S145" s="26">
        <f t="shared" si="5"/>
        <v>5.0810426299476652E-5</v>
      </c>
      <c r="T145" s="26">
        <f t="shared" si="6"/>
        <v>0.99790830411733855</v>
      </c>
      <c r="V145">
        <v>22</v>
      </c>
      <c r="W145">
        <v>0</v>
      </c>
      <c r="X145">
        <v>32</v>
      </c>
    </row>
    <row r="146" spans="1:24" x14ac:dyDescent="0.35">
      <c r="A146" t="s">
        <v>380</v>
      </c>
      <c r="B146">
        <v>12</v>
      </c>
      <c r="C146" s="14" t="s">
        <v>419</v>
      </c>
      <c r="D146">
        <v>99.2</v>
      </c>
      <c r="E146">
        <v>1</v>
      </c>
      <c r="F146" s="2">
        <v>1</v>
      </c>
      <c r="G146" s="3">
        <v>0</v>
      </c>
      <c r="H146" s="3">
        <v>0</v>
      </c>
      <c r="I146" s="4">
        <v>0</v>
      </c>
      <c r="J146" s="2">
        <v>1</v>
      </c>
      <c r="K146" s="3">
        <v>0</v>
      </c>
      <c r="L146" s="3">
        <v>0</v>
      </c>
      <c r="M146" s="4">
        <v>0</v>
      </c>
      <c r="N146" s="2">
        <v>10</v>
      </c>
      <c r="O146" s="3">
        <v>0</v>
      </c>
      <c r="P146" s="3">
        <v>0</v>
      </c>
      <c r="Q146" s="4">
        <v>0</v>
      </c>
      <c r="S146" s="26">
        <f t="shared" si="5"/>
        <v>5.0810426299476652E-5</v>
      </c>
      <c r="T146" s="26">
        <f t="shared" si="6"/>
        <v>0.99795911454363806</v>
      </c>
      <c r="V146">
        <v>85</v>
      </c>
      <c r="W146">
        <v>8</v>
      </c>
      <c r="X146">
        <v>100</v>
      </c>
    </row>
    <row r="147" spans="1:24" x14ac:dyDescent="0.35">
      <c r="A147" t="s">
        <v>413</v>
      </c>
      <c r="B147">
        <v>12</v>
      </c>
      <c r="C147" s="14" t="s">
        <v>414</v>
      </c>
      <c r="D147">
        <v>100</v>
      </c>
      <c r="E147">
        <v>4</v>
      </c>
      <c r="F147" s="2">
        <v>0</v>
      </c>
      <c r="G147" s="3">
        <v>0</v>
      </c>
      <c r="H147" s="3">
        <v>0</v>
      </c>
      <c r="I147" s="4">
        <v>0</v>
      </c>
      <c r="J147" s="2">
        <v>7</v>
      </c>
      <c r="K147" s="3">
        <v>0</v>
      </c>
      <c r="L147" s="3">
        <v>0</v>
      </c>
      <c r="M147" s="4">
        <v>0</v>
      </c>
      <c r="N147" s="2">
        <v>5</v>
      </c>
      <c r="O147" s="3">
        <v>0</v>
      </c>
      <c r="P147" s="3">
        <v>0</v>
      </c>
      <c r="Q147" s="4">
        <v>0</v>
      </c>
      <c r="S147" s="26">
        <f t="shared" si="5"/>
        <v>5.0810426299476652E-5</v>
      </c>
      <c r="T147" s="26">
        <f t="shared" si="6"/>
        <v>0.99800992496993757</v>
      </c>
      <c r="V147">
        <v>0</v>
      </c>
      <c r="W147">
        <v>0</v>
      </c>
      <c r="X147">
        <v>0</v>
      </c>
    </row>
    <row r="148" spans="1:24" x14ac:dyDescent="0.35">
      <c r="A148" t="s">
        <v>424</v>
      </c>
      <c r="B148">
        <v>11</v>
      </c>
      <c r="C148" s="14" t="s">
        <v>426</v>
      </c>
      <c r="D148">
        <v>93.3</v>
      </c>
      <c r="E148">
        <v>1</v>
      </c>
      <c r="F148" s="2">
        <v>0</v>
      </c>
      <c r="G148" s="3">
        <v>0</v>
      </c>
      <c r="H148" s="3">
        <v>0</v>
      </c>
      <c r="I148" s="4">
        <v>0</v>
      </c>
      <c r="J148" s="2">
        <v>9</v>
      </c>
      <c r="K148" s="3">
        <v>0</v>
      </c>
      <c r="L148" s="3">
        <v>0</v>
      </c>
      <c r="M148" s="4">
        <v>0</v>
      </c>
      <c r="N148" s="2">
        <v>2</v>
      </c>
      <c r="O148" s="3">
        <v>0</v>
      </c>
      <c r="P148" s="3">
        <v>0</v>
      </c>
      <c r="Q148" s="4">
        <v>0</v>
      </c>
      <c r="S148" s="26">
        <f t="shared" si="5"/>
        <v>4.6576224107853595E-5</v>
      </c>
      <c r="T148" s="26">
        <f t="shared" si="6"/>
        <v>0.99805650119404543</v>
      </c>
      <c r="V148">
        <v>2</v>
      </c>
      <c r="W148">
        <v>1</v>
      </c>
      <c r="X148">
        <v>2</v>
      </c>
    </row>
    <row r="149" spans="1:24" x14ac:dyDescent="0.35">
      <c r="A149" t="s">
        <v>422</v>
      </c>
      <c r="B149">
        <v>11</v>
      </c>
      <c r="C149" s="14" t="s">
        <v>423</v>
      </c>
      <c r="D149">
        <v>89.7</v>
      </c>
      <c r="E149">
        <v>3</v>
      </c>
      <c r="F149" s="2">
        <v>0</v>
      </c>
      <c r="G149" s="3">
        <v>0</v>
      </c>
      <c r="H149" s="3">
        <v>0</v>
      </c>
      <c r="I149" s="4">
        <v>0</v>
      </c>
      <c r="J149" s="2">
        <v>0</v>
      </c>
      <c r="K149" s="3">
        <v>0</v>
      </c>
      <c r="L149" s="3">
        <v>0</v>
      </c>
      <c r="M149" s="4">
        <v>0</v>
      </c>
      <c r="N149" s="2">
        <v>11</v>
      </c>
      <c r="O149" s="3">
        <v>0</v>
      </c>
      <c r="P149" s="3">
        <v>0</v>
      </c>
      <c r="Q149" s="4">
        <v>0</v>
      </c>
      <c r="S149" s="26">
        <f t="shared" si="5"/>
        <v>4.6576224107853595E-5</v>
      </c>
      <c r="T149" s="26">
        <f t="shared" si="6"/>
        <v>0.99810307741815329</v>
      </c>
      <c r="V149">
        <v>16</v>
      </c>
      <c r="W149">
        <v>13</v>
      </c>
      <c r="X149">
        <v>100</v>
      </c>
    </row>
    <row r="150" spans="1:24" x14ac:dyDescent="0.35">
      <c r="A150" t="s">
        <v>342</v>
      </c>
      <c r="B150">
        <v>11</v>
      </c>
      <c r="C150" s="14" t="s">
        <v>152</v>
      </c>
      <c r="D150">
        <v>94.5</v>
      </c>
      <c r="E150">
        <v>1</v>
      </c>
      <c r="F150" s="2">
        <v>9</v>
      </c>
      <c r="G150" s="3">
        <v>0</v>
      </c>
      <c r="H150" s="3">
        <v>0</v>
      </c>
      <c r="I150" s="4">
        <v>0</v>
      </c>
      <c r="J150" s="2">
        <v>1</v>
      </c>
      <c r="K150" s="3">
        <v>0</v>
      </c>
      <c r="L150" s="3">
        <v>0</v>
      </c>
      <c r="M150" s="4">
        <v>0</v>
      </c>
      <c r="N150" s="2">
        <v>1</v>
      </c>
      <c r="O150" s="3">
        <v>0</v>
      </c>
      <c r="P150" s="3">
        <v>0</v>
      </c>
      <c r="Q150" s="4">
        <v>0</v>
      </c>
      <c r="S150" s="26">
        <f t="shared" si="5"/>
        <v>4.6576224107853595E-5</v>
      </c>
      <c r="T150" s="26">
        <f t="shared" si="6"/>
        <v>0.99814965364226116</v>
      </c>
      <c r="V150">
        <v>99</v>
      </c>
      <c r="W150">
        <v>10</v>
      </c>
      <c r="X150">
        <v>94</v>
      </c>
    </row>
    <row r="151" spans="1:24" x14ac:dyDescent="0.35">
      <c r="A151" t="s">
        <v>376</v>
      </c>
      <c r="B151">
        <v>10</v>
      </c>
      <c r="C151" s="14" t="s">
        <v>220</v>
      </c>
      <c r="D151">
        <v>87.7</v>
      </c>
      <c r="E151">
        <v>1</v>
      </c>
      <c r="F151" s="2">
        <v>0</v>
      </c>
      <c r="G151" s="3">
        <v>0</v>
      </c>
      <c r="H151" s="3">
        <v>0</v>
      </c>
      <c r="I151" s="4">
        <v>0</v>
      </c>
      <c r="J151" s="2">
        <v>4</v>
      </c>
      <c r="K151" s="3">
        <v>0</v>
      </c>
      <c r="L151" s="3">
        <v>0</v>
      </c>
      <c r="M151" s="4">
        <v>0</v>
      </c>
      <c r="N151" s="2">
        <v>6</v>
      </c>
      <c r="O151" s="3">
        <v>0</v>
      </c>
      <c r="P151" s="3">
        <v>0</v>
      </c>
      <c r="Q151" s="4">
        <v>0</v>
      </c>
      <c r="S151" s="26">
        <f t="shared" si="5"/>
        <v>4.2342021916230545E-5</v>
      </c>
      <c r="T151" s="26">
        <f t="shared" si="6"/>
        <v>0.99819199566417738</v>
      </c>
      <c r="V151">
        <v>0</v>
      </c>
      <c r="W151">
        <v>87</v>
      </c>
      <c r="X151">
        <v>67</v>
      </c>
    </row>
    <row r="152" spans="1:24" x14ac:dyDescent="0.35">
      <c r="A152" t="s">
        <v>421</v>
      </c>
      <c r="B152">
        <v>10</v>
      </c>
      <c r="C152" s="14" t="s">
        <v>92</v>
      </c>
      <c r="D152">
        <v>86.2</v>
      </c>
      <c r="E152">
        <v>1</v>
      </c>
      <c r="F152" s="2">
        <v>5</v>
      </c>
      <c r="G152" s="3">
        <v>0</v>
      </c>
      <c r="H152" s="3">
        <v>0</v>
      </c>
      <c r="I152" s="4">
        <v>0</v>
      </c>
      <c r="J152" s="2">
        <v>0</v>
      </c>
      <c r="K152" s="3">
        <v>0</v>
      </c>
      <c r="L152" s="3">
        <v>0</v>
      </c>
      <c r="M152" s="4">
        <v>0</v>
      </c>
      <c r="N152" s="2">
        <v>5</v>
      </c>
      <c r="O152" s="3">
        <v>0</v>
      </c>
      <c r="P152" s="3">
        <v>0</v>
      </c>
      <c r="Q152" s="4">
        <v>0</v>
      </c>
      <c r="S152" s="26">
        <f t="shared" si="5"/>
        <v>4.2342021916230545E-5</v>
      </c>
      <c r="T152" s="26">
        <f t="shared" si="6"/>
        <v>0.9982343376860936</v>
      </c>
      <c r="V152">
        <v>48</v>
      </c>
      <c r="W152">
        <v>1</v>
      </c>
      <c r="X152">
        <v>78</v>
      </c>
    </row>
    <row r="153" spans="1:24" x14ac:dyDescent="0.35">
      <c r="A153" t="s">
        <v>549</v>
      </c>
      <c r="B153">
        <v>10</v>
      </c>
      <c r="C153" s="14" t="s">
        <v>436</v>
      </c>
      <c r="D153">
        <v>88.1</v>
      </c>
      <c r="E153">
        <v>2</v>
      </c>
      <c r="F153" s="2">
        <v>3</v>
      </c>
      <c r="G153" s="3">
        <v>0</v>
      </c>
      <c r="H153" s="3">
        <v>0</v>
      </c>
      <c r="I153" s="4">
        <v>0</v>
      </c>
      <c r="J153" s="2">
        <v>2</v>
      </c>
      <c r="K153" s="3">
        <v>0</v>
      </c>
      <c r="L153" s="3">
        <v>0</v>
      </c>
      <c r="M153" s="4">
        <v>0</v>
      </c>
      <c r="N153" s="2">
        <v>5</v>
      </c>
      <c r="O153" s="3">
        <v>0</v>
      </c>
      <c r="P153" s="3">
        <v>0</v>
      </c>
      <c r="Q153" s="4">
        <v>0</v>
      </c>
      <c r="S153" s="26">
        <f t="shared" si="5"/>
        <v>4.2342021916230545E-5</v>
      </c>
      <c r="T153" s="26">
        <f t="shared" si="6"/>
        <v>0.99827667970800982</v>
      </c>
      <c r="V153">
        <v>0</v>
      </c>
      <c r="W153">
        <v>0</v>
      </c>
      <c r="X153">
        <v>0</v>
      </c>
    </row>
    <row r="154" spans="1:24" x14ac:dyDescent="0.35">
      <c r="A154" t="s">
        <v>519</v>
      </c>
      <c r="B154">
        <v>10</v>
      </c>
      <c r="C154" s="14" t="s">
        <v>434</v>
      </c>
      <c r="D154">
        <v>88.5</v>
      </c>
      <c r="E154">
        <v>6</v>
      </c>
      <c r="F154" s="2">
        <v>3</v>
      </c>
      <c r="G154" s="3">
        <v>0</v>
      </c>
      <c r="H154" s="3">
        <v>0</v>
      </c>
      <c r="I154" s="4">
        <v>0</v>
      </c>
      <c r="J154" s="2">
        <v>0</v>
      </c>
      <c r="K154" s="3">
        <v>0</v>
      </c>
      <c r="L154" s="3">
        <v>0</v>
      </c>
      <c r="M154" s="4">
        <v>0</v>
      </c>
      <c r="N154" s="2">
        <v>7</v>
      </c>
      <c r="O154" s="3">
        <v>0</v>
      </c>
      <c r="P154" s="3">
        <v>0</v>
      </c>
      <c r="Q154" s="4">
        <v>0</v>
      </c>
      <c r="S154" s="26">
        <f t="shared" si="5"/>
        <v>4.2342021916230545E-5</v>
      </c>
      <c r="T154" s="26">
        <f t="shared" si="6"/>
        <v>0.99831902172992604</v>
      </c>
      <c r="V154">
        <v>57</v>
      </c>
      <c r="W154">
        <v>8</v>
      </c>
      <c r="X154">
        <v>100</v>
      </c>
    </row>
    <row r="155" spans="1:24" x14ac:dyDescent="0.35">
      <c r="A155" t="s">
        <v>431</v>
      </c>
      <c r="B155">
        <v>10</v>
      </c>
      <c r="C155" s="14" t="s">
        <v>441</v>
      </c>
      <c r="D155">
        <v>96.8</v>
      </c>
      <c r="E155">
        <v>1</v>
      </c>
      <c r="F155" s="2">
        <v>4</v>
      </c>
      <c r="G155" s="3">
        <v>0</v>
      </c>
      <c r="H155" s="3">
        <v>0</v>
      </c>
      <c r="I155" s="4">
        <v>0</v>
      </c>
      <c r="J155" s="2">
        <v>2</v>
      </c>
      <c r="K155" s="3">
        <v>0</v>
      </c>
      <c r="L155" s="3">
        <v>0</v>
      </c>
      <c r="M155" s="4">
        <v>0</v>
      </c>
      <c r="N155" s="2">
        <v>4</v>
      </c>
      <c r="O155" s="3">
        <v>0</v>
      </c>
      <c r="P155" s="3">
        <v>0</v>
      </c>
      <c r="Q155" s="4">
        <v>0</v>
      </c>
      <c r="S155" s="26">
        <f t="shared" si="5"/>
        <v>4.2342021916230545E-5</v>
      </c>
      <c r="T155" s="26">
        <f t="shared" si="6"/>
        <v>0.99836136375184226</v>
      </c>
      <c r="V155">
        <v>3</v>
      </c>
      <c r="W155">
        <v>0</v>
      </c>
      <c r="X155">
        <v>7</v>
      </c>
    </row>
    <row r="156" spans="1:24" x14ac:dyDescent="0.35">
      <c r="A156" t="s">
        <v>501</v>
      </c>
      <c r="B156">
        <v>10</v>
      </c>
      <c r="C156" s="14" t="s">
        <v>438</v>
      </c>
      <c r="D156">
        <v>89.7</v>
      </c>
      <c r="E156">
        <v>1</v>
      </c>
      <c r="F156" s="2">
        <v>0</v>
      </c>
      <c r="G156" s="3">
        <v>0</v>
      </c>
      <c r="H156" s="3">
        <v>0</v>
      </c>
      <c r="I156" s="4">
        <v>0</v>
      </c>
      <c r="J156" s="2">
        <v>9</v>
      </c>
      <c r="K156" s="3">
        <v>0</v>
      </c>
      <c r="L156" s="3">
        <v>0</v>
      </c>
      <c r="M156" s="4">
        <v>0</v>
      </c>
      <c r="N156" s="2">
        <v>1</v>
      </c>
      <c r="O156" s="3">
        <v>0</v>
      </c>
      <c r="P156" s="3">
        <v>0</v>
      </c>
      <c r="Q156" s="4">
        <v>0</v>
      </c>
      <c r="S156" s="26">
        <f t="shared" si="5"/>
        <v>4.2342021916230545E-5</v>
      </c>
      <c r="T156" s="26">
        <f t="shared" si="6"/>
        <v>0.99840370577375848</v>
      </c>
      <c r="V156">
        <v>15</v>
      </c>
      <c r="W156">
        <v>100</v>
      </c>
      <c r="X156">
        <v>40</v>
      </c>
    </row>
    <row r="157" spans="1:24" x14ac:dyDescent="0.35">
      <c r="A157" t="s">
        <v>512</v>
      </c>
      <c r="B157">
        <v>10</v>
      </c>
      <c r="C157" s="14" t="s">
        <v>399</v>
      </c>
      <c r="D157">
        <v>92.9</v>
      </c>
      <c r="E157">
        <v>1</v>
      </c>
      <c r="F157" s="2">
        <v>1</v>
      </c>
      <c r="G157" s="3">
        <v>0</v>
      </c>
      <c r="H157" s="3">
        <v>0</v>
      </c>
      <c r="I157" s="4">
        <v>0</v>
      </c>
      <c r="J157" s="2">
        <v>2</v>
      </c>
      <c r="K157" s="3">
        <v>0</v>
      </c>
      <c r="L157" s="3">
        <v>0</v>
      </c>
      <c r="M157" s="4">
        <v>0</v>
      </c>
      <c r="N157" s="2">
        <v>7</v>
      </c>
      <c r="O157" s="3">
        <v>0</v>
      </c>
      <c r="P157" s="3">
        <v>0</v>
      </c>
      <c r="Q157" s="4">
        <v>0</v>
      </c>
      <c r="S157" s="26">
        <f t="shared" si="5"/>
        <v>4.2342021916230545E-5</v>
      </c>
      <c r="T157" s="26">
        <f t="shared" si="6"/>
        <v>0.9984460477956747</v>
      </c>
      <c r="V157">
        <v>0</v>
      </c>
      <c r="W157">
        <v>0</v>
      </c>
      <c r="X157">
        <v>0</v>
      </c>
    </row>
    <row r="158" spans="1:24" x14ac:dyDescent="0.35">
      <c r="A158" t="s">
        <v>155</v>
      </c>
      <c r="B158">
        <v>9</v>
      </c>
      <c r="C158" s="14" t="s">
        <v>33</v>
      </c>
      <c r="D158">
        <v>88.9</v>
      </c>
      <c r="E158">
        <v>1</v>
      </c>
      <c r="F158" s="2">
        <v>0</v>
      </c>
      <c r="G158" s="3">
        <v>0</v>
      </c>
      <c r="H158" s="3">
        <v>0</v>
      </c>
      <c r="I158" s="4">
        <v>0</v>
      </c>
      <c r="J158" s="2">
        <v>5</v>
      </c>
      <c r="K158" s="3">
        <v>0</v>
      </c>
      <c r="L158" s="3">
        <v>0</v>
      </c>
      <c r="M158" s="4">
        <v>0</v>
      </c>
      <c r="N158" s="2">
        <v>4</v>
      </c>
      <c r="O158" s="3">
        <v>0</v>
      </c>
      <c r="P158" s="3">
        <v>0</v>
      </c>
      <c r="Q158" s="4">
        <v>0</v>
      </c>
      <c r="S158" s="26">
        <f t="shared" si="5"/>
        <v>3.8107819724607487E-5</v>
      </c>
      <c r="T158" s="26">
        <f t="shared" si="6"/>
        <v>0.99848415561539927</v>
      </c>
      <c r="V158">
        <v>0</v>
      </c>
      <c r="W158">
        <v>0</v>
      </c>
      <c r="X158">
        <v>0</v>
      </c>
    </row>
    <row r="159" spans="1:24" x14ac:dyDescent="0.35">
      <c r="A159" t="s">
        <v>532</v>
      </c>
      <c r="B159">
        <v>9</v>
      </c>
      <c r="C159" s="14" t="s">
        <v>449</v>
      </c>
      <c r="D159">
        <v>99.2</v>
      </c>
      <c r="E159">
        <v>1</v>
      </c>
      <c r="F159" s="2">
        <v>7</v>
      </c>
      <c r="G159" s="3">
        <v>0</v>
      </c>
      <c r="H159" s="3">
        <v>0</v>
      </c>
      <c r="I159" s="4">
        <v>0</v>
      </c>
      <c r="J159" s="2">
        <v>1</v>
      </c>
      <c r="K159" s="3">
        <v>0</v>
      </c>
      <c r="L159" s="3">
        <v>0</v>
      </c>
      <c r="M159" s="4">
        <v>0</v>
      </c>
      <c r="N159" s="2">
        <v>1</v>
      </c>
      <c r="O159" s="3">
        <v>0</v>
      </c>
      <c r="P159" s="3">
        <v>0</v>
      </c>
      <c r="Q159" s="4">
        <v>0</v>
      </c>
      <c r="S159" s="26">
        <f t="shared" si="5"/>
        <v>3.8107819724607487E-5</v>
      </c>
      <c r="T159" s="26">
        <f t="shared" si="6"/>
        <v>0.99852226343512385</v>
      </c>
      <c r="V159">
        <v>72</v>
      </c>
      <c r="W159">
        <v>0</v>
      </c>
      <c r="X159">
        <v>0</v>
      </c>
    </row>
    <row r="160" spans="1:24" x14ac:dyDescent="0.35">
      <c r="A160" t="s">
        <v>447</v>
      </c>
      <c r="B160">
        <v>9</v>
      </c>
      <c r="C160" s="14" t="s">
        <v>401</v>
      </c>
      <c r="D160">
        <v>91.3</v>
      </c>
      <c r="E160">
        <v>1</v>
      </c>
      <c r="F160" s="2">
        <v>2</v>
      </c>
      <c r="G160" s="3">
        <v>0</v>
      </c>
      <c r="H160" s="3">
        <v>0</v>
      </c>
      <c r="I160" s="4">
        <v>0</v>
      </c>
      <c r="J160" s="2">
        <v>2</v>
      </c>
      <c r="K160" s="3">
        <v>0</v>
      </c>
      <c r="L160" s="3">
        <v>0</v>
      </c>
      <c r="M160" s="4">
        <v>0</v>
      </c>
      <c r="N160" s="2">
        <v>5</v>
      </c>
      <c r="O160" s="3">
        <v>0</v>
      </c>
      <c r="P160" s="3">
        <v>0</v>
      </c>
      <c r="Q160" s="4">
        <v>0</v>
      </c>
      <c r="S160" s="26">
        <f t="shared" si="5"/>
        <v>3.8107819724607487E-5</v>
      </c>
      <c r="T160" s="26">
        <f t="shared" si="6"/>
        <v>0.99856037125484842</v>
      </c>
      <c r="V160">
        <v>3</v>
      </c>
      <c r="W160">
        <v>1</v>
      </c>
      <c r="X160">
        <v>3</v>
      </c>
    </row>
    <row r="161" spans="1:24" x14ac:dyDescent="0.35">
      <c r="A161" t="s">
        <v>515</v>
      </c>
      <c r="B161">
        <v>9</v>
      </c>
      <c r="C161" s="14" t="s">
        <v>457</v>
      </c>
      <c r="D161">
        <v>87</v>
      </c>
      <c r="E161">
        <v>1</v>
      </c>
      <c r="F161" s="2">
        <v>0</v>
      </c>
      <c r="G161" s="3">
        <v>0</v>
      </c>
      <c r="H161" s="3">
        <v>0</v>
      </c>
      <c r="I161" s="4">
        <v>0</v>
      </c>
      <c r="J161" s="2">
        <v>9</v>
      </c>
      <c r="K161" s="3">
        <v>0</v>
      </c>
      <c r="L161" s="3">
        <v>0</v>
      </c>
      <c r="M161" s="4">
        <v>0</v>
      </c>
      <c r="N161" s="2">
        <v>0</v>
      </c>
      <c r="O161" s="3">
        <v>0</v>
      </c>
      <c r="P161" s="3">
        <v>0</v>
      </c>
      <c r="Q161" s="4">
        <v>0</v>
      </c>
      <c r="S161" s="26">
        <f t="shared" si="5"/>
        <v>3.8107819724607487E-5</v>
      </c>
      <c r="T161" s="26">
        <f t="shared" si="6"/>
        <v>0.998598479074573</v>
      </c>
      <c r="V161">
        <v>15</v>
      </c>
      <c r="W161">
        <v>74</v>
      </c>
      <c r="X161">
        <v>44</v>
      </c>
    </row>
    <row r="162" spans="1:24" x14ac:dyDescent="0.35">
      <c r="A162" t="s">
        <v>490</v>
      </c>
      <c r="B162">
        <v>9</v>
      </c>
      <c r="C162" s="14" t="s">
        <v>98</v>
      </c>
      <c r="D162">
        <v>0</v>
      </c>
      <c r="E162">
        <v>1</v>
      </c>
      <c r="F162" s="2">
        <v>3</v>
      </c>
      <c r="G162" s="3">
        <v>0</v>
      </c>
      <c r="H162" s="3">
        <v>0</v>
      </c>
      <c r="I162" s="4">
        <v>0</v>
      </c>
      <c r="J162" s="2">
        <v>4</v>
      </c>
      <c r="K162" s="3">
        <v>0</v>
      </c>
      <c r="L162" s="3">
        <v>0</v>
      </c>
      <c r="M162" s="4">
        <v>0</v>
      </c>
      <c r="N162" s="2">
        <v>2</v>
      </c>
      <c r="O162" s="3">
        <v>0</v>
      </c>
      <c r="P162" s="3">
        <v>0</v>
      </c>
      <c r="Q162" s="4">
        <v>0</v>
      </c>
      <c r="S162" s="26">
        <f t="shared" si="5"/>
        <v>3.8107819724607487E-5</v>
      </c>
      <c r="T162" s="26">
        <f t="shared" si="6"/>
        <v>0.99863658689429757</v>
      </c>
      <c r="V162">
        <v>0</v>
      </c>
      <c r="W162">
        <v>12</v>
      </c>
      <c r="X162">
        <v>20</v>
      </c>
    </row>
    <row r="163" spans="1:24" x14ac:dyDescent="0.35">
      <c r="A163" t="s">
        <v>472</v>
      </c>
      <c r="B163">
        <v>9</v>
      </c>
      <c r="C163" s="14" t="s">
        <v>460</v>
      </c>
      <c r="D163">
        <v>95.7</v>
      </c>
      <c r="E163">
        <v>3</v>
      </c>
      <c r="F163" s="2">
        <v>0</v>
      </c>
      <c r="G163" s="3">
        <v>0</v>
      </c>
      <c r="H163" s="3">
        <v>0</v>
      </c>
      <c r="I163" s="4">
        <v>0</v>
      </c>
      <c r="J163" s="2">
        <v>3</v>
      </c>
      <c r="K163" s="3">
        <v>0</v>
      </c>
      <c r="L163" s="3">
        <v>0</v>
      </c>
      <c r="M163" s="4">
        <v>0</v>
      </c>
      <c r="N163" s="2">
        <v>6</v>
      </c>
      <c r="O163" s="3">
        <v>0</v>
      </c>
      <c r="P163" s="3">
        <v>0</v>
      </c>
      <c r="Q163" s="4">
        <v>0</v>
      </c>
      <c r="S163" s="26">
        <f t="shared" si="5"/>
        <v>3.8107819724607487E-5</v>
      </c>
      <c r="T163" s="26">
        <f t="shared" si="6"/>
        <v>0.99867469471402215</v>
      </c>
      <c r="V163">
        <v>11</v>
      </c>
      <c r="W163">
        <v>73</v>
      </c>
      <c r="X163">
        <v>100</v>
      </c>
    </row>
    <row r="164" spans="1:24" x14ac:dyDescent="0.35">
      <c r="A164" t="s">
        <v>409</v>
      </c>
      <c r="B164">
        <v>9</v>
      </c>
      <c r="C164" s="14" t="s">
        <v>321</v>
      </c>
      <c r="D164">
        <v>91.7</v>
      </c>
      <c r="E164">
        <v>1</v>
      </c>
      <c r="F164" s="2">
        <v>0</v>
      </c>
      <c r="G164" s="3">
        <v>0</v>
      </c>
      <c r="H164" s="3">
        <v>0</v>
      </c>
      <c r="I164" s="4">
        <v>0</v>
      </c>
      <c r="J164" s="2">
        <v>0</v>
      </c>
      <c r="K164" s="3">
        <v>0</v>
      </c>
      <c r="L164" s="3">
        <v>0</v>
      </c>
      <c r="M164" s="4">
        <v>0</v>
      </c>
      <c r="N164" s="2">
        <v>0</v>
      </c>
      <c r="O164" s="3">
        <v>9</v>
      </c>
      <c r="P164" s="3">
        <v>0</v>
      </c>
      <c r="Q164" s="4">
        <v>0</v>
      </c>
      <c r="S164" s="26">
        <f t="shared" si="5"/>
        <v>3.8107819724607487E-5</v>
      </c>
      <c r="T164" s="26">
        <f t="shared" si="6"/>
        <v>0.99871280253374672</v>
      </c>
      <c r="V164">
        <v>75</v>
      </c>
      <c r="W164">
        <v>33</v>
      </c>
      <c r="X164">
        <v>100</v>
      </c>
    </row>
    <row r="165" spans="1:24" x14ac:dyDescent="0.35">
      <c r="A165" t="s">
        <v>489</v>
      </c>
      <c r="B165">
        <v>9</v>
      </c>
      <c r="C165" s="14" t="s">
        <v>455</v>
      </c>
      <c r="D165">
        <v>99.2</v>
      </c>
      <c r="E165">
        <v>1</v>
      </c>
      <c r="F165" s="2">
        <v>3</v>
      </c>
      <c r="G165" s="3">
        <v>0</v>
      </c>
      <c r="H165" s="3">
        <v>0</v>
      </c>
      <c r="I165" s="4">
        <v>0</v>
      </c>
      <c r="J165" s="2">
        <v>5</v>
      </c>
      <c r="K165" s="3">
        <v>0</v>
      </c>
      <c r="L165" s="3">
        <v>0</v>
      </c>
      <c r="M165" s="4">
        <v>0</v>
      </c>
      <c r="N165" s="2">
        <v>1</v>
      </c>
      <c r="O165" s="3">
        <v>0</v>
      </c>
      <c r="P165" s="3">
        <v>0</v>
      </c>
      <c r="Q165" s="4">
        <v>0</v>
      </c>
      <c r="S165" s="26">
        <f t="shared" si="5"/>
        <v>3.8107819724607487E-5</v>
      </c>
      <c r="T165" s="26">
        <f t="shared" si="6"/>
        <v>0.9987509103534713</v>
      </c>
      <c r="V165">
        <v>40</v>
      </c>
      <c r="W165">
        <v>0</v>
      </c>
      <c r="X165">
        <v>0</v>
      </c>
    </row>
    <row r="166" spans="1:24" x14ac:dyDescent="0.35">
      <c r="A166" t="s">
        <v>393</v>
      </c>
      <c r="B166">
        <v>9</v>
      </c>
      <c r="C166" s="14" t="s">
        <v>464</v>
      </c>
      <c r="D166">
        <v>99.2</v>
      </c>
      <c r="E166">
        <v>1</v>
      </c>
      <c r="F166" s="2">
        <v>7</v>
      </c>
      <c r="G166" s="3">
        <v>0</v>
      </c>
      <c r="H166" s="3">
        <v>0</v>
      </c>
      <c r="I166" s="4">
        <v>0</v>
      </c>
      <c r="J166" s="2">
        <v>1</v>
      </c>
      <c r="K166" s="3">
        <v>0</v>
      </c>
      <c r="L166" s="3">
        <v>0</v>
      </c>
      <c r="M166" s="4">
        <v>0</v>
      </c>
      <c r="N166" s="2">
        <v>1</v>
      </c>
      <c r="O166" s="3">
        <v>0</v>
      </c>
      <c r="P166" s="3">
        <v>0</v>
      </c>
      <c r="Q166" s="4">
        <v>0</v>
      </c>
      <c r="S166" s="26">
        <f t="shared" si="5"/>
        <v>3.8107819724607487E-5</v>
      </c>
      <c r="T166" s="26">
        <f t="shared" si="6"/>
        <v>0.99878901817319587</v>
      </c>
      <c r="V166">
        <v>76</v>
      </c>
      <c r="W166">
        <v>9</v>
      </c>
      <c r="X166">
        <v>34</v>
      </c>
    </row>
    <row r="167" spans="1:24" x14ac:dyDescent="0.35">
      <c r="A167" t="s">
        <v>477</v>
      </c>
      <c r="B167">
        <v>8</v>
      </c>
      <c r="C167" s="14" t="s">
        <v>470</v>
      </c>
      <c r="D167">
        <v>93.3</v>
      </c>
      <c r="E167">
        <v>1</v>
      </c>
      <c r="F167" s="2">
        <v>8</v>
      </c>
      <c r="G167" s="3">
        <v>0</v>
      </c>
      <c r="H167" s="3">
        <v>0</v>
      </c>
      <c r="I167" s="4">
        <v>0</v>
      </c>
      <c r="J167" s="2">
        <v>0</v>
      </c>
      <c r="K167" s="3">
        <v>0</v>
      </c>
      <c r="L167" s="3">
        <v>0</v>
      </c>
      <c r="M167" s="4">
        <v>0</v>
      </c>
      <c r="N167" s="2">
        <v>0</v>
      </c>
      <c r="O167" s="3">
        <v>0</v>
      </c>
      <c r="P167" s="3">
        <v>0</v>
      </c>
      <c r="Q167" s="4">
        <v>0</v>
      </c>
      <c r="S167" s="26">
        <f t="shared" si="5"/>
        <v>3.3873617532984437E-5</v>
      </c>
      <c r="T167" s="26">
        <f t="shared" si="6"/>
        <v>0.99882289179072881</v>
      </c>
      <c r="V167">
        <v>20</v>
      </c>
      <c r="W167">
        <v>9</v>
      </c>
      <c r="X167">
        <v>23</v>
      </c>
    </row>
    <row r="168" spans="1:24" x14ac:dyDescent="0.35">
      <c r="A168" t="s">
        <v>513</v>
      </c>
      <c r="B168">
        <v>8</v>
      </c>
      <c r="C168" s="14" t="s">
        <v>401</v>
      </c>
      <c r="D168">
        <v>93.7</v>
      </c>
      <c r="E168">
        <v>1</v>
      </c>
      <c r="F168" s="2">
        <v>2</v>
      </c>
      <c r="G168" s="3">
        <v>0</v>
      </c>
      <c r="H168" s="3">
        <v>0</v>
      </c>
      <c r="I168" s="4">
        <v>0</v>
      </c>
      <c r="J168" s="2">
        <v>3</v>
      </c>
      <c r="K168" s="3">
        <v>0</v>
      </c>
      <c r="L168" s="3">
        <v>0</v>
      </c>
      <c r="M168" s="4">
        <v>0</v>
      </c>
      <c r="N168" s="2">
        <v>3</v>
      </c>
      <c r="O168" s="3">
        <v>0</v>
      </c>
      <c r="P168" s="3">
        <v>0</v>
      </c>
      <c r="Q168" s="4">
        <v>0</v>
      </c>
      <c r="S168" s="26">
        <f t="shared" si="5"/>
        <v>3.3873617532984437E-5</v>
      </c>
      <c r="T168" s="26">
        <f t="shared" si="6"/>
        <v>0.99885676540826174</v>
      </c>
      <c r="V168">
        <v>0</v>
      </c>
      <c r="W168">
        <v>0</v>
      </c>
      <c r="X168">
        <v>0</v>
      </c>
    </row>
    <row r="169" spans="1:24" x14ac:dyDescent="0.35">
      <c r="A169" t="s">
        <v>382</v>
      </c>
      <c r="B169">
        <v>8</v>
      </c>
      <c r="C169" s="14" t="s">
        <v>98</v>
      </c>
      <c r="D169">
        <v>0</v>
      </c>
      <c r="E169">
        <v>1</v>
      </c>
      <c r="F169" s="2">
        <v>3</v>
      </c>
      <c r="G169" s="3">
        <v>0</v>
      </c>
      <c r="H169" s="3">
        <v>0</v>
      </c>
      <c r="I169" s="4">
        <v>0</v>
      </c>
      <c r="J169" s="2">
        <v>3</v>
      </c>
      <c r="K169" s="3">
        <v>0</v>
      </c>
      <c r="L169" s="3">
        <v>0</v>
      </c>
      <c r="M169" s="4">
        <v>0</v>
      </c>
      <c r="N169" s="2">
        <v>2</v>
      </c>
      <c r="O169" s="3">
        <v>0</v>
      </c>
      <c r="P169" s="3">
        <v>0</v>
      </c>
      <c r="Q169" s="4">
        <v>0</v>
      </c>
      <c r="S169" s="26">
        <f t="shared" si="5"/>
        <v>3.3873617532984437E-5</v>
      </c>
      <c r="T169" s="26">
        <f t="shared" si="6"/>
        <v>0.99889063902579467</v>
      </c>
      <c r="V169">
        <v>11</v>
      </c>
      <c r="W169">
        <v>1</v>
      </c>
      <c r="X169">
        <v>0</v>
      </c>
    </row>
    <row r="170" spans="1:24" x14ac:dyDescent="0.35">
      <c r="A170" t="s">
        <v>450</v>
      </c>
      <c r="B170">
        <v>8</v>
      </c>
      <c r="C170" s="14" t="s">
        <v>232</v>
      </c>
      <c r="D170">
        <v>95.3</v>
      </c>
      <c r="E170">
        <v>1</v>
      </c>
      <c r="F170" s="2">
        <v>7</v>
      </c>
      <c r="G170" s="3">
        <v>0</v>
      </c>
      <c r="H170" s="3">
        <v>0</v>
      </c>
      <c r="I170" s="4">
        <v>0</v>
      </c>
      <c r="J170" s="2">
        <v>0</v>
      </c>
      <c r="K170" s="3">
        <v>0</v>
      </c>
      <c r="L170" s="3">
        <v>0</v>
      </c>
      <c r="M170" s="4">
        <v>0</v>
      </c>
      <c r="N170" s="2">
        <v>1</v>
      </c>
      <c r="O170" s="3">
        <v>0</v>
      </c>
      <c r="P170" s="3">
        <v>0</v>
      </c>
      <c r="Q170" s="4">
        <v>0</v>
      </c>
      <c r="S170" s="26">
        <f t="shared" si="5"/>
        <v>3.3873617532984437E-5</v>
      </c>
      <c r="T170" s="26">
        <f t="shared" si="6"/>
        <v>0.9989245126433276</v>
      </c>
      <c r="V170">
        <v>78</v>
      </c>
      <c r="W170">
        <v>0</v>
      </c>
      <c r="X170">
        <v>0</v>
      </c>
    </row>
    <row r="171" spans="1:24" x14ac:dyDescent="0.35">
      <c r="A171" t="s">
        <v>385</v>
      </c>
      <c r="B171">
        <v>7</v>
      </c>
      <c r="C171" s="14" t="s">
        <v>30</v>
      </c>
      <c r="D171">
        <v>96.9</v>
      </c>
      <c r="E171">
        <v>1</v>
      </c>
      <c r="F171" s="2">
        <v>0</v>
      </c>
      <c r="G171" s="3">
        <v>0</v>
      </c>
      <c r="H171" s="3">
        <v>0</v>
      </c>
      <c r="I171" s="4">
        <v>0</v>
      </c>
      <c r="J171" s="2">
        <v>0</v>
      </c>
      <c r="K171" s="3">
        <v>0</v>
      </c>
      <c r="L171" s="3">
        <v>0</v>
      </c>
      <c r="M171" s="4">
        <v>0</v>
      </c>
      <c r="N171" s="2">
        <v>0</v>
      </c>
      <c r="O171" s="3">
        <v>7</v>
      </c>
      <c r="P171" s="3">
        <v>0</v>
      </c>
      <c r="Q171" s="4">
        <v>0</v>
      </c>
      <c r="S171" s="26">
        <f t="shared" si="5"/>
        <v>2.963941534136138E-5</v>
      </c>
      <c r="T171" s="26">
        <f t="shared" si="6"/>
        <v>0.998954152058669</v>
      </c>
      <c r="V171">
        <v>0</v>
      </c>
      <c r="W171">
        <v>29</v>
      </c>
      <c r="X171">
        <v>100</v>
      </c>
    </row>
    <row r="172" spans="1:24" x14ac:dyDescent="0.35">
      <c r="A172" t="s">
        <v>582</v>
      </c>
      <c r="B172">
        <v>7</v>
      </c>
      <c r="C172" s="14" t="s">
        <v>476</v>
      </c>
      <c r="D172">
        <v>98.8</v>
      </c>
      <c r="E172">
        <v>1</v>
      </c>
      <c r="F172" s="2">
        <v>4</v>
      </c>
      <c r="G172" s="3">
        <v>0</v>
      </c>
      <c r="H172" s="3">
        <v>0</v>
      </c>
      <c r="I172" s="4">
        <v>0</v>
      </c>
      <c r="J172" s="2">
        <v>1</v>
      </c>
      <c r="K172" s="3">
        <v>0</v>
      </c>
      <c r="L172" s="3">
        <v>0</v>
      </c>
      <c r="M172" s="4">
        <v>0</v>
      </c>
      <c r="N172" s="2">
        <v>2</v>
      </c>
      <c r="O172" s="3">
        <v>0</v>
      </c>
      <c r="P172" s="3">
        <v>0</v>
      </c>
      <c r="Q172" s="4">
        <v>0</v>
      </c>
      <c r="S172" s="26">
        <f t="shared" si="5"/>
        <v>2.963941534136138E-5</v>
      </c>
      <c r="T172" s="26">
        <f t="shared" si="6"/>
        <v>0.9989837914740104</v>
      </c>
      <c r="V172">
        <v>38</v>
      </c>
      <c r="W172">
        <v>8</v>
      </c>
      <c r="X172">
        <v>47</v>
      </c>
    </row>
    <row r="173" spans="1:24" x14ac:dyDescent="0.35">
      <c r="A173" t="s">
        <v>448</v>
      </c>
      <c r="B173">
        <v>7</v>
      </c>
      <c r="C173" s="14" t="s">
        <v>152</v>
      </c>
      <c r="D173">
        <v>92.9</v>
      </c>
      <c r="E173">
        <v>1</v>
      </c>
      <c r="F173" s="2">
        <v>2</v>
      </c>
      <c r="G173" s="3">
        <v>0</v>
      </c>
      <c r="H173" s="3">
        <v>0</v>
      </c>
      <c r="I173" s="4">
        <v>0</v>
      </c>
      <c r="J173" s="2">
        <v>1</v>
      </c>
      <c r="K173" s="3">
        <v>0</v>
      </c>
      <c r="L173" s="3">
        <v>0</v>
      </c>
      <c r="M173" s="4">
        <v>0</v>
      </c>
      <c r="N173" s="2">
        <v>4</v>
      </c>
      <c r="O173" s="3">
        <v>0</v>
      </c>
      <c r="P173" s="3">
        <v>0</v>
      </c>
      <c r="Q173" s="4">
        <v>0</v>
      </c>
      <c r="S173" s="26">
        <f t="shared" si="5"/>
        <v>2.963941534136138E-5</v>
      </c>
      <c r="T173" s="26">
        <f t="shared" si="6"/>
        <v>0.99901343088935179</v>
      </c>
      <c r="V173">
        <v>3</v>
      </c>
      <c r="W173">
        <v>4</v>
      </c>
      <c r="X173">
        <v>4</v>
      </c>
    </row>
    <row r="174" spans="1:24" x14ac:dyDescent="0.35">
      <c r="A174" t="s">
        <v>474</v>
      </c>
      <c r="B174">
        <v>7</v>
      </c>
      <c r="C174" s="14" t="s">
        <v>125</v>
      </c>
      <c r="D174">
        <v>89.3</v>
      </c>
      <c r="E174">
        <v>1</v>
      </c>
      <c r="F174" s="2">
        <v>3</v>
      </c>
      <c r="G174" s="3">
        <v>0</v>
      </c>
      <c r="H174" s="3">
        <v>0</v>
      </c>
      <c r="I174" s="4">
        <v>0</v>
      </c>
      <c r="J174" s="2">
        <v>3</v>
      </c>
      <c r="K174" s="3">
        <v>0</v>
      </c>
      <c r="L174" s="3">
        <v>0</v>
      </c>
      <c r="M174" s="4">
        <v>0</v>
      </c>
      <c r="N174" s="2">
        <v>1</v>
      </c>
      <c r="O174" s="3">
        <v>0</v>
      </c>
      <c r="P174" s="3">
        <v>0</v>
      </c>
      <c r="Q174" s="4">
        <v>0</v>
      </c>
      <c r="S174" s="26">
        <f t="shared" si="5"/>
        <v>2.963941534136138E-5</v>
      </c>
      <c r="T174" s="26">
        <f t="shared" si="6"/>
        <v>0.99904307030469319</v>
      </c>
      <c r="V174">
        <v>48</v>
      </c>
      <c r="W174">
        <v>6</v>
      </c>
      <c r="X174">
        <v>6</v>
      </c>
    </row>
    <row r="175" spans="1:24" x14ac:dyDescent="0.35">
      <c r="A175" t="s">
        <v>517</v>
      </c>
      <c r="B175">
        <v>7</v>
      </c>
      <c r="C175" s="14" t="s">
        <v>163</v>
      </c>
      <c r="D175">
        <v>96</v>
      </c>
      <c r="E175">
        <v>1</v>
      </c>
      <c r="F175" s="2">
        <v>0</v>
      </c>
      <c r="G175" s="3">
        <v>0</v>
      </c>
      <c r="H175" s="3">
        <v>0</v>
      </c>
      <c r="I175" s="4">
        <v>0</v>
      </c>
      <c r="J175" s="2">
        <v>3</v>
      </c>
      <c r="K175" s="3">
        <v>0</v>
      </c>
      <c r="L175" s="3">
        <v>0</v>
      </c>
      <c r="M175" s="4">
        <v>0</v>
      </c>
      <c r="N175" s="2">
        <v>4</v>
      </c>
      <c r="O175" s="3">
        <v>0</v>
      </c>
      <c r="P175" s="3">
        <v>0</v>
      </c>
      <c r="Q175" s="4">
        <v>0</v>
      </c>
      <c r="S175" s="26">
        <f t="shared" si="5"/>
        <v>2.963941534136138E-5</v>
      </c>
      <c r="T175" s="26">
        <f t="shared" si="6"/>
        <v>0.99907270972003459</v>
      </c>
      <c r="V175">
        <v>5</v>
      </c>
      <c r="W175">
        <v>23</v>
      </c>
      <c r="X175">
        <v>91</v>
      </c>
    </row>
    <row r="176" spans="1:24" x14ac:dyDescent="0.35">
      <c r="A176" t="s">
        <v>483</v>
      </c>
      <c r="B176">
        <v>7</v>
      </c>
      <c r="C176" s="14" t="s">
        <v>485</v>
      </c>
      <c r="D176">
        <v>91.7</v>
      </c>
      <c r="E176">
        <v>1</v>
      </c>
      <c r="F176" s="2">
        <v>2</v>
      </c>
      <c r="G176" s="3">
        <v>0</v>
      </c>
      <c r="H176" s="3">
        <v>0</v>
      </c>
      <c r="I176" s="4">
        <v>0</v>
      </c>
      <c r="J176" s="2">
        <v>1</v>
      </c>
      <c r="K176" s="3">
        <v>0</v>
      </c>
      <c r="L176" s="3">
        <v>0</v>
      </c>
      <c r="M176" s="4">
        <v>0</v>
      </c>
      <c r="N176" s="2">
        <v>4</v>
      </c>
      <c r="O176" s="3">
        <v>0</v>
      </c>
      <c r="P176" s="3">
        <v>0</v>
      </c>
      <c r="Q176" s="4">
        <v>0</v>
      </c>
      <c r="S176" s="26">
        <f t="shared" si="5"/>
        <v>2.963941534136138E-5</v>
      </c>
      <c r="T176" s="26">
        <f t="shared" si="6"/>
        <v>0.99910234913537599</v>
      </c>
      <c r="V176">
        <v>68</v>
      </c>
      <c r="W176">
        <v>0</v>
      </c>
      <c r="X176">
        <v>50</v>
      </c>
    </row>
    <row r="177" spans="1:24" x14ac:dyDescent="0.35">
      <c r="A177" t="s">
        <v>469</v>
      </c>
      <c r="B177">
        <v>7</v>
      </c>
      <c r="C177" s="14" t="s">
        <v>478</v>
      </c>
      <c r="D177">
        <v>91.7</v>
      </c>
      <c r="E177">
        <v>1</v>
      </c>
      <c r="F177" s="2">
        <v>0</v>
      </c>
      <c r="G177" s="3">
        <v>0</v>
      </c>
      <c r="H177" s="3">
        <v>0</v>
      </c>
      <c r="I177" s="4">
        <v>0</v>
      </c>
      <c r="J177" s="2">
        <v>0</v>
      </c>
      <c r="K177" s="3">
        <v>0</v>
      </c>
      <c r="L177" s="3">
        <v>0</v>
      </c>
      <c r="M177" s="4">
        <v>0</v>
      </c>
      <c r="N177" s="2">
        <v>7</v>
      </c>
      <c r="O177" s="3">
        <v>0</v>
      </c>
      <c r="P177" s="3">
        <v>0</v>
      </c>
      <c r="Q177" s="4">
        <v>0</v>
      </c>
      <c r="S177" s="26">
        <f t="shared" si="5"/>
        <v>2.963941534136138E-5</v>
      </c>
      <c r="T177" s="26">
        <f t="shared" si="6"/>
        <v>0.99913198855071739</v>
      </c>
      <c r="V177">
        <v>8</v>
      </c>
      <c r="W177">
        <v>7</v>
      </c>
      <c r="X177">
        <v>100</v>
      </c>
    </row>
    <row r="178" spans="1:24" x14ac:dyDescent="0.35">
      <c r="A178" t="s">
        <v>479</v>
      </c>
      <c r="B178">
        <v>7</v>
      </c>
      <c r="C178" s="14" t="s">
        <v>401</v>
      </c>
      <c r="D178">
        <v>94.8</v>
      </c>
      <c r="E178">
        <v>1</v>
      </c>
      <c r="F178" s="2">
        <v>0</v>
      </c>
      <c r="G178" s="3">
        <v>0</v>
      </c>
      <c r="H178" s="3">
        <v>0</v>
      </c>
      <c r="I178" s="4">
        <v>0</v>
      </c>
      <c r="J178" s="2">
        <v>5</v>
      </c>
      <c r="K178" s="3">
        <v>0</v>
      </c>
      <c r="L178" s="3">
        <v>0</v>
      </c>
      <c r="M178" s="4">
        <v>0</v>
      </c>
      <c r="N178" s="2">
        <v>2</v>
      </c>
      <c r="O178" s="3">
        <v>0</v>
      </c>
      <c r="P178" s="3">
        <v>0</v>
      </c>
      <c r="Q178" s="4">
        <v>0</v>
      </c>
      <c r="S178" s="26">
        <f t="shared" si="5"/>
        <v>2.963941534136138E-5</v>
      </c>
      <c r="T178" s="26">
        <f t="shared" si="6"/>
        <v>0.99916162796605879</v>
      </c>
      <c r="V178">
        <v>2</v>
      </c>
      <c r="W178">
        <v>1</v>
      </c>
      <c r="X178">
        <v>3</v>
      </c>
    </row>
    <row r="179" spans="1:24" x14ac:dyDescent="0.35">
      <c r="A179" t="s">
        <v>404</v>
      </c>
      <c r="B179">
        <v>7</v>
      </c>
      <c r="C179" s="14" t="s">
        <v>487</v>
      </c>
      <c r="D179">
        <v>85.8</v>
      </c>
      <c r="E179">
        <v>2</v>
      </c>
      <c r="F179" s="2">
        <v>4</v>
      </c>
      <c r="G179" s="3">
        <v>0</v>
      </c>
      <c r="H179" s="3">
        <v>0</v>
      </c>
      <c r="I179" s="4">
        <v>0</v>
      </c>
      <c r="J179" s="2">
        <v>2</v>
      </c>
      <c r="K179" s="3">
        <v>0</v>
      </c>
      <c r="L179" s="3">
        <v>0</v>
      </c>
      <c r="M179" s="4">
        <v>0</v>
      </c>
      <c r="N179" s="2">
        <v>1</v>
      </c>
      <c r="O179" s="3">
        <v>0</v>
      </c>
      <c r="P179" s="3">
        <v>0</v>
      </c>
      <c r="Q179" s="4">
        <v>0</v>
      </c>
      <c r="S179" s="26">
        <f t="shared" si="5"/>
        <v>2.963941534136138E-5</v>
      </c>
      <c r="T179" s="26">
        <f t="shared" si="6"/>
        <v>0.99919126738140018</v>
      </c>
      <c r="V179">
        <v>0</v>
      </c>
      <c r="W179">
        <v>7</v>
      </c>
      <c r="X179">
        <v>0</v>
      </c>
    </row>
    <row r="180" spans="1:24" x14ac:dyDescent="0.35">
      <c r="A180" t="s">
        <v>486</v>
      </c>
      <c r="B180">
        <v>7</v>
      </c>
      <c r="C180" s="14" t="s">
        <v>98</v>
      </c>
      <c r="D180">
        <v>0</v>
      </c>
      <c r="E180">
        <v>1</v>
      </c>
      <c r="F180" s="2">
        <v>1</v>
      </c>
      <c r="G180" s="3">
        <v>0</v>
      </c>
      <c r="H180" s="3">
        <v>0</v>
      </c>
      <c r="I180" s="4">
        <v>0</v>
      </c>
      <c r="J180" s="2">
        <v>5</v>
      </c>
      <c r="K180" s="3">
        <v>0</v>
      </c>
      <c r="L180" s="3">
        <v>0</v>
      </c>
      <c r="M180" s="4">
        <v>0</v>
      </c>
      <c r="N180" s="2">
        <v>1</v>
      </c>
      <c r="O180" s="3">
        <v>0</v>
      </c>
      <c r="P180" s="3">
        <v>0</v>
      </c>
      <c r="Q180" s="4">
        <v>0</v>
      </c>
      <c r="S180" s="26">
        <f t="shared" si="5"/>
        <v>2.963941534136138E-5</v>
      </c>
      <c r="T180" s="26">
        <f t="shared" si="6"/>
        <v>0.99922090679674158</v>
      </c>
      <c r="V180">
        <v>0</v>
      </c>
      <c r="W180">
        <v>0</v>
      </c>
      <c r="X180">
        <v>0</v>
      </c>
    </row>
    <row r="181" spans="1:24" x14ac:dyDescent="0.35">
      <c r="A181" t="s">
        <v>471</v>
      </c>
      <c r="B181">
        <v>6</v>
      </c>
      <c r="C181" s="14" t="s">
        <v>507</v>
      </c>
      <c r="D181">
        <v>91.7</v>
      </c>
      <c r="E181">
        <v>3</v>
      </c>
      <c r="F181" s="2">
        <v>6</v>
      </c>
      <c r="G181" s="3">
        <v>0</v>
      </c>
      <c r="H181" s="3">
        <v>0</v>
      </c>
      <c r="I181" s="4">
        <v>0</v>
      </c>
      <c r="J181" s="2">
        <v>0</v>
      </c>
      <c r="K181" s="3">
        <v>0</v>
      </c>
      <c r="L181" s="3">
        <v>0</v>
      </c>
      <c r="M181" s="4">
        <v>0</v>
      </c>
      <c r="N181" s="2">
        <v>0</v>
      </c>
      <c r="O181" s="3">
        <v>0</v>
      </c>
      <c r="P181" s="3">
        <v>0</v>
      </c>
      <c r="Q181" s="4">
        <v>0</v>
      </c>
      <c r="S181" s="26">
        <f t="shared" si="5"/>
        <v>2.5405213149738326E-5</v>
      </c>
      <c r="T181" s="26">
        <f t="shared" si="6"/>
        <v>0.99924631200989134</v>
      </c>
      <c r="V181">
        <v>28</v>
      </c>
      <c r="W181">
        <v>9</v>
      </c>
      <c r="X181">
        <v>44</v>
      </c>
    </row>
    <row r="182" spans="1:24" x14ac:dyDescent="0.35">
      <c r="A182" t="s">
        <v>508</v>
      </c>
      <c r="B182">
        <v>6</v>
      </c>
      <c r="C182" s="14" t="s">
        <v>511</v>
      </c>
      <c r="D182">
        <v>86.6</v>
      </c>
      <c r="E182">
        <v>2</v>
      </c>
      <c r="F182" s="2">
        <v>3</v>
      </c>
      <c r="G182" s="3">
        <v>0</v>
      </c>
      <c r="H182" s="3">
        <v>0</v>
      </c>
      <c r="I182" s="4">
        <v>0</v>
      </c>
      <c r="J182" s="2">
        <v>1</v>
      </c>
      <c r="K182" s="3">
        <v>0</v>
      </c>
      <c r="L182" s="3">
        <v>0</v>
      </c>
      <c r="M182" s="4">
        <v>0</v>
      </c>
      <c r="N182" s="2">
        <v>2</v>
      </c>
      <c r="O182" s="3">
        <v>0</v>
      </c>
      <c r="P182" s="3">
        <v>0</v>
      </c>
      <c r="Q182" s="4">
        <v>0</v>
      </c>
      <c r="S182" s="26">
        <f t="shared" si="5"/>
        <v>2.5405213149738326E-5</v>
      </c>
      <c r="T182" s="26">
        <f t="shared" si="6"/>
        <v>0.99927171722304109</v>
      </c>
      <c r="V182">
        <v>0</v>
      </c>
      <c r="W182">
        <v>0</v>
      </c>
      <c r="X182">
        <v>0</v>
      </c>
    </row>
    <row r="183" spans="1:24" x14ac:dyDescent="0.35">
      <c r="A183" t="s">
        <v>506</v>
      </c>
      <c r="B183">
        <v>6</v>
      </c>
      <c r="C183" s="14" t="s">
        <v>224</v>
      </c>
      <c r="D183">
        <v>85.4</v>
      </c>
      <c r="E183">
        <v>1</v>
      </c>
      <c r="F183" s="2">
        <v>2</v>
      </c>
      <c r="G183" s="3">
        <v>0</v>
      </c>
      <c r="H183" s="3">
        <v>0</v>
      </c>
      <c r="I183" s="4">
        <v>0</v>
      </c>
      <c r="J183" s="2">
        <v>4</v>
      </c>
      <c r="K183" s="3">
        <v>0</v>
      </c>
      <c r="L183" s="3">
        <v>0</v>
      </c>
      <c r="M183" s="4">
        <v>0</v>
      </c>
      <c r="N183" s="2">
        <v>0</v>
      </c>
      <c r="O183" s="3">
        <v>0</v>
      </c>
      <c r="P183" s="3">
        <v>0</v>
      </c>
      <c r="Q183" s="4">
        <v>0</v>
      </c>
      <c r="S183" s="26">
        <f t="shared" si="5"/>
        <v>2.5405213149738326E-5</v>
      </c>
      <c r="T183" s="26">
        <f t="shared" si="6"/>
        <v>0.99929712243619084</v>
      </c>
      <c r="V183">
        <v>62</v>
      </c>
      <c r="W183">
        <v>83</v>
      </c>
      <c r="X183">
        <v>2</v>
      </c>
    </row>
    <row r="184" spans="1:24" x14ac:dyDescent="0.35">
      <c r="A184" t="s">
        <v>461</v>
      </c>
      <c r="B184">
        <v>6</v>
      </c>
      <c r="C184" s="14" t="s">
        <v>509</v>
      </c>
      <c r="D184">
        <v>96.4</v>
      </c>
      <c r="E184">
        <v>2</v>
      </c>
      <c r="F184" s="2">
        <v>5</v>
      </c>
      <c r="G184" s="3">
        <v>0</v>
      </c>
      <c r="H184" s="3">
        <v>0</v>
      </c>
      <c r="I184" s="4">
        <v>0</v>
      </c>
      <c r="J184" s="2">
        <v>1</v>
      </c>
      <c r="K184" s="3">
        <v>0</v>
      </c>
      <c r="L184" s="3">
        <v>0</v>
      </c>
      <c r="M184" s="4">
        <v>0</v>
      </c>
      <c r="N184" s="2">
        <v>0</v>
      </c>
      <c r="O184" s="3">
        <v>0</v>
      </c>
      <c r="P184" s="3">
        <v>0</v>
      </c>
      <c r="Q184" s="4">
        <v>0</v>
      </c>
      <c r="S184" s="26">
        <f t="shared" si="5"/>
        <v>2.5405213149738326E-5</v>
      </c>
      <c r="T184" s="26">
        <f t="shared" si="6"/>
        <v>0.9993225276493406</v>
      </c>
      <c r="V184">
        <v>28</v>
      </c>
      <c r="W184">
        <v>0</v>
      </c>
      <c r="X184">
        <v>11</v>
      </c>
    </row>
    <row r="185" spans="1:24" x14ac:dyDescent="0.35">
      <c r="A185" t="s">
        <v>510</v>
      </c>
      <c r="B185">
        <v>6</v>
      </c>
      <c r="C185" s="14" t="s">
        <v>494</v>
      </c>
      <c r="D185">
        <v>100</v>
      </c>
      <c r="E185">
        <v>4</v>
      </c>
      <c r="F185" s="2">
        <v>4</v>
      </c>
      <c r="G185" s="3">
        <v>0</v>
      </c>
      <c r="H185" s="3">
        <v>0</v>
      </c>
      <c r="I185" s="4">
        <v>0</v>
      </c>
      <c r="J185" s="2">
        <v>1</v>
      </c>
      <c r="K185" s="3">
        <v>0</v>
      </c>
      <c r="L185" s="3">
        <v>0</v>
      </c>
      <c r="M185" s="4">
        <v>0</v>
      </c>
      <c r="N185" s="2">
        <v>1</v>
      </c>
      <c r="O185" s="3">
        <v>0</v>
      </c>
      <c r="P185" s="3">
        <v>0</v>
      </c>
      <c r="Q185" s="4">
        <v>0</v>
      </c>
      <c r="S185" s="26">
        <f t="shared" si="5"/>
        <v>2.5405213149738326E-5</v>
      </c>
      <c r="T185" s="26">
        <f t="shared" si="6"/>
        <v>0.99934793286249035</v>
      </c>
      <c r="V185">
        <v>85</v>
      </c>
      <c r="W185">
        <v>0</v>
      </c>
      <c r="X185">
        <v>1</v>
      </c>
    </row>
    <row r="186" spans="1:24" x14ac:dyDescent="0.35">
      <c r="A186" t="s">
        <v>437</v>
      </c>
      <c r="B186">
        <v>6</v>
      </c>
      <c r="C186" s="14" t="s">
        <v>503</v>
      </c>
      <c r="D186">
        <v>99.6</v>
      </c>
      <c r="E186">
        <v>1</v>
      </c>
      <c r="F186" s="2">
        <v>1</v>
      </c>
      <c r="G186" s="3">
        <v>0</v>
      </c>
      <c r="H186" s="3">
        <v>0</v>
      </c>
      <c r="I186" s="4">
        <v>0</v>
      </c>
      <c r="J186" s="2">
        <v>3</v>
      </c>
      <c r="K186" s="3">
        <v>0</v>
      </c>
      <c r="L186" s="3">
        <v>0</v>
      </c>
      <c r="M186" s="4">
        <v>0</v>
      </c>
      <c r="N186" s="2">
        <v>2</v>
      </c>
      <c r="O186" s="3">
        <v>0</v>
      </c>
      <c r="P186" s="3">
        <v>0</v>
      </c>
      <c r="Q186" s="4">
        <v>0</v>
      </c>
      <c r="S186" s="26">
        <f t="shared" si="5"/>
        <v>2.5405213149738326E-5</v>
      </c>
      <c r="T186" s="26">
        <f t="shared" si="6"/>
        <v>0.99937333807564011</v>
      </c>
      <c r="V186">
        <v>25</v>
      </c>
      <c r="W186">
        <v>9</v>
      </c>
      <c r="X186">
        <v>17</v>
      </c>
    </row>
    <row r="187" spans="1:24" x14ac:dyDescent="0.35">
      <c r="A187" t="s">
        <v>444</v>
      </c>
      <c r="B187">
        <v>6</v>
      </c>
      <c r="C187" s="14" t="s">
        <v>505</v>
      </c>
      <c r="D187">
        <v>100</v>
      </c>
      <c r="E187">
        <v>2</v>
      </c>
      <c r="F187" s="2">
        <v>5</v>
      </c>
      <c r="G187" s="3">
        <v>0</v>
      </c>
      <c r="H187" s="3">
        <v>0</v>
      </c>
      <c r="I187" s="4">
        <v>0</v>
      </c>
      <c r="J187" s="2">
        <v>1</v>
      </c>
      <c r="K187" s="3">
        <v>0</v>
      </c>
      <c r="L187" s="3">
        <v>0</v>
      </c>
      <c r="M187" s="4">
        <v>0</v>
      </c>
      <c r="N187" s="2">
        <v>0</v>
      </c>
      <c r="O187" s="3">
        <v>0</v>
      </c>
      <c r="P187" s="3">
        <v>0</v>
      </c>
      <c r="Q187" s="4">
        <v>0</v>
      </c>
      <c r="S187" s="26">
        <f t="shared" si="5"/>
        <v>2.5405213149738326E-5</v>
      </c>
      <c r="T187" s="26">
        <f t="shared" si="6"/>
        <v>0.99939874328878986</v>
      </c>
      <c r="V187">
        <v>30</v>
      </c>
      <c r="W187">
        <v>22</v>
      </c>
      <c r="X187">
        <v>44</v>
      </c>
    </row>
    <row r="188" spans="1:24" x14ac:dyDescent="0.35">
      <c r="A188" t="s">
        <v>553</v>
      </c>
      <c r="B188">
        <v>6</v>
      </c>
      <c r="C188" s="14" t="s">
        <v>152</v>
      </c>
      <c r="D188">
        <v>97.2</v>
      </c>
      <c r="E188">
        <v>1</v>
      </c>
      <c r="F188" s="2">
        <v>5</v>
      </c>
      <c r="G188" s="3">
        <v>0</v>
      </c>
      <c r="H188" s="3">
        <v>0</v>
      </c>
      <c r="I188" s="4">
        <v>0</v>
      </c>
      <c r="J188" s="2">
        <v>1</v>
      </c>
      <c r="K188" s="3">
        <v>0</v>
      </c>
      <c r="L188" s="3">
        <v>0</v>
      </c>
      <c r="M188" s="4">
        <v>0</v>
      </c>
      <c r="N188" s="2">
        <v>0</v>
      </c>
      <c r="O188" s="3">
        <v>0</v>
      </c>
      <c r="P188" s="3">
        <v>0</v>
      </c>
      <c r="Q188" s="4">
        <v>0</v>
      </c>
      <c r="S188" s="26">
        <f t="shared" si="5"/>
        <v>2.5405213149738326E-5</v>
      </c>
      <c r="T188" s="26">
        <f t="shared" si="6"/>
        <v>0.99942414850193961</v>
      </c>
      <c r="V188">
        <v>45</v>
      </c>
      <c r="W188">
        <v>41</v>
      </c>
      <c r="X188">
        <v>44</v>
      </c>
    </row>
    <row r="189" spans="1:24" x14ac:dyDescent="0.35">
      <c r="A189" t="s">
        <v>565</v>
      </c>
      <c r="B189">
        <v>6</v>
      </c>
      <c r="C189" s="14" t="s">
        <v>500</v>
      </c>
      <c r="D189">
        <v>98.4</v>
      </c>
      <c r="E189">
        <v>1</v>
      </c>
      <c r="F189" s="2">
        <v>3</v>
      </c>
      <c r="G189" s="3">
        <v>0</v>
      </c>
      <c r="H189" s="3">
        <v>0</v>
      </c>
      <c r="I189" s="4">
        <v>0</v>
      </c>
      <c r="J189" s="2">
        <v>3</v>
      </c>
      <c r="K189" s="3">
        <v>0</v>
      </c>
      <c r="L189" s="3">
        <v>0</v>
      </c>
      <c r="M189" s="4">
        <v>0</v>
      </c>
      <c r="N189" s="2">
        <v>0</v>
      </c>
      <c r="O189" s="3">
        <v>0</v>
      </c>
      <c r="P189" s="3">
        <v>0</v>
      </c>
      <c r="Q189" s="4">
        <v>0</v>
      </c>
      <c r="S189" s="26">
        <f t="shared" si="5"/>
        <v>2.5405213149738326E-5</v>
      </c>
      <c r="T189" s="26">
        <f t="shared" si="6"/>
        <v>0.99944955371508937</v>
      </c>
      <c r="V189">
        <v>0</v>
      </c>
      <c r="W189">
        <v>0</v>
      </c>
      <c r="X189">
        <v>0</v>
      </c>
    </row>
    <row r="190" spans="1:24" x14ac:dyDescent="0.35">
      <c r="A190" t="s">
        <v>546</v>
      </c>
      <c r="B190">
        <v>5</v>
      </c>
      <c r="C190" s="14" t="s">
        <v>516</v>
      </c>
      <c r="D190">
        <v>92.9</v>
      </c>
      <c r="E190">
        <v>1</v>
      </c>
      <c r="F190" s="2">
        <v>1</v>
      </c>
      <c r="G190" s="3">
        <v>0</v>
      </c>
      <c r="H190" s="3">
        <v>0</v>
      </c>
      <c r="I190" s="4">
        <v>0</v>
      </c>
      <c r="J190" s="2">
        <v>0</v>
      </c>
      <c r="K190" s="3">
        <v>0</v>
      </c>
      <c r="L190" s="3">
        <v>0</v>
      </c>
      <c r="M190" s="4">
        <v>0</v>
      </c>
      <c r="N190" s="2">
        <v>4</v>
      </c>
      <c r="O190" s="3">
        <v>0</v>
      </c>
      <c r="P190" s="3">
        <v>0</v>
      </c>
      <c r="Q190" s="4">
        <v>0</v>
      </c>
      <c r="S190" s="26">
        <f t="shared" si="5"/>
        <v>2.1171010958115272E-5</v>
      </c>
      <c r="T190" s="26">
        <f t="shared" si="6"/>
        <v>0.99947072472604748</v>
      </c>
      <c r="V190">
        <v>42</v>
      </c>
      <c r="W190">
        <v>17</v>
      </c>
      <c r="X190">
        <v>62</v>
      </c>
    </row>
    <row r="191" spans="1:24" x14ac:dyDescent="0.35">
      <c r="A191" t="s">
        <v>520</v>
      </c>
      <c r="B191">
        <v>5</v>
      </c>
      <c r="C191" s="14" t="s">
        <v>521</v>
      </c>
      <c r="D191">
        <v>86.6</v>
      </c>
      <c r="E191">
        <v>12</v>
      </c>
      <c r="F191" s="2">
        <v>0</v>
      </c>
      <c r="G191" s="3">
        <v>0</v>
      </c>
      <c r="H191" s="3">
        <v>0</v>
      </c>
      <c r="I191" s="4">
        <v>0</v>
      </c>
      <c r="J191" s="2">
        <v>5</v>
      </c>
      <c r="K191" s="3">
        <v>0</v>
      </c>
      <c r="L191" s="3">
        <v>0</v>
      </c>
      <c r="M191" s="4">
        <v>0</v>
      </c>
      <c r="N191" s="2">
        <v>0</v>
      </c>
      <c r="O191" s="3">
        <v>0</v>
      </c>
      <c r="P191" s="3">
        <v>0</v>
      </c>
      <c r="Q191" s="4">
        <v>0</v>
      </c>
      <c r="S191" s="26">
        <f t="shared" si="5"/>
        <v>2.1171010958115272E-5</v>
      </c>
      <c r="T191" s="26">
        <f t="shared" si="6"/>
        <v>0.99949189573700559</v>
      </c>
      <c r="V191">
        <v>0</v>
      </c>
      <c r="W191">
        <v>98</v>
      </c>
      <c r="X191">
        <v>9</v>
      </c>
    </row>
    <row r="192" spans="1:24" x14ac:dyDescent="0.35">
      <c r="A192" t="s">
        <v>435</v>
      </c>
      <c r="B192">
        <v>5</v>
      </c>
      <c r="C192" s="14" t="s">
        <v>127</v>
      </c>
      <c r="D192">
        <v>92.9</v>
      </c>
      <c r="E192">
        <v>1</v>
      </c>
      <c r="F192" s="2">
        <v>4</v>
      </c>
      <c r="G192" s="3">
        <v>0</v>
      </c>
      <c r="H192" s="3">
        <v>0</v>
      </c>
      <c r="I192" s="4">
        <v>0</v>
      </c>
      <c r="J192" s="2">
        <v>0</v>
      </c>
      <c r="K192" s="3">
        <v>0</v>
      </c>
      <c r="L192" s="3">
        <v>0</v>
      </c>
      <c r="M192" s="4">
        <v>0</v>
      </c>
      <c r="N192" s="2">
        <v>1</v>
      </c>
      <c r="O192" s="3">
        <v>0</v>
      </c>
      <c r="P192" s="3">
        <v>0</v>
      </c>
      <c r="Q192" s="4">
        <v>0</v>
      </c>
      <c r="S192" s="26">
        <f t="shared" si="5"/>
        <v>2.1171010958115272E-5</v>
      </c>
      <c r="T192" s="26">
        <f t="shared" si="6"/>
        <v>0.9995130667479637</v>
      </c>
      <c r="V192">
        <v>44</v>
      </c>
      <c r="W192">
        <v>4</v>
      </c>
      <c r="X192">
        <v>69</v>
      </c>
    </row>
    <row r="193" spans="1:24" x14ac:dyDescent="0.35">
      <c r="A193" t="s">
        <v>581</v>
      </c>
      <c r="B193">
        <v>5</v>
      </c>
      <c r="C193" s="14" t="s">
        <v>525</v>
      </c>
      <c r="D193">
        <v>99.6</v>
      </c>
      <c r="E193">
        <v>2</v>
      </c>
      <c r="F193" s="2">
        <v>3</v>
      </c>
      <c r="G193" s="3">
        <v>0</v>
      </c>
      <c r="H193" s="3">
        <v>0</v>
      </c>
      <c r="I193" s="4">
        <v>0</v>
      </c>
      <c r="J193" s="2">
        <v>1</v>
      </c>
      <c r="K193" s="3">
        <v>0</v>
      </c>
      <c r="L193" s="3">
        <v>0</v>
      </c>
      <c r="M193" s="4">
        <v>0</v>
      </c>
      <c r="N193" s="2">
        <v>1</v>
      </c>
      <c r="O193" s="3">
        <v>0</v>
      </c>
      <c r="P193" s="3">
        <v>0</v>
      </c>
      <c r="Q193" s="4">
        <v>0</v>
      </c>
      <c r="S193" s="26">
        <f t="shared" si="5"/>
        <v>2.1171010958115272E-5</v>
      </c>
      <c r="T193" s="26">
        <f t="shared" si="6"/>
        <v>0.99953423775892181</v>
      </c>
      <c r="V193">
        <v>0</v>
      </c>
      <c r="W193">
        <v>0</v>
      </c>
      <c r="X193">
        <v>0</v>
      </c>
    </row>
    <row r="194" spans="1:24" x14ac:dyDescent="0.35">
      <c r="A194" t="s">
        <v>554</v>
      </c>
      <c r="B194">
        <v>5</v>
      </c>
      <c r="C194" s="14" t="s">
        <v>518</v>
      </c>
      <c r="D194">
        <v>95.3</v>
      </c>
      <c r="E194">
        <v>1</v>
      </c>
      <c r="F194" s="2">
        <v>0</v>
      </c>
      <c r="G194" s="3">
        <v>0</v>
      </c>
      <c r="H194" s="3">
        <v>0</v>
      </c>
      <c r="I194" s="4">
        <v>0</v>
      </c>
      <c r="J194" s="2">
        <v>4</v>
      </c>
      <c r="K194" s="3">
        <v>0</v>
      </c>
      <c r="L194" s="3">
        <v>0</v>
      </c>
      <c r="M194" s="4">
        <v>0</v>
      </c>
      <c r="N194" s="2">
        <v>1</v>
      </c>
      <c r="O194" s="3">
        <v>0</v>
      </c>
      <c r="P194" s="3">
        <v>0</v>
      </c>
      <c r="Q194" s="4">
        <v>0</v>
      </c>
      <c r="S194" s="26">
        <f t="shared" si="5"/>
        <v>2.1171010958115272E-5</v>
      </c>
      <c r="T194" s="26">
        <f t="shared" si="6"/>
        <v>0.99955540876987992</v>
      </c>
      <c r="V194">
        <v>12</v>
      </c>
      <c r="W194">
        <v>100</v>
      </c>
      <c r="X194">
        <v>40</v>
      </c>
    </row>
    <row r="195" spans="1:24" x14ac:dyDescent="0.35">
      <c r="A195" t="s">
        <v>526</v>
      </c>
      <c r="B195">
        <v>5</v>
      </c>
      <c r="C195" s="14" t="s">
        <v>529</v>
      </c>
      <c r="D195">
        <v>100</v>
      </c>
      <c r="E195">
        <v>1</v>
      </c>
      <c r="F195" s="2">
        <v>1</v>
      </c>
      <c r="G195" s="3">
        <v>0</v>
      </c>
      <c r="H195" s="3">
        <v>0</v>
      </c>
      <c r="I195" s="4">
        <v>0</v>
      </c>
      <c r="J195" s="2">
        <v>3</v>
      </c>
      <c r="K195" s="3">
        <v>0</v>
      </c>
      <c r="L195" s="3">
        <v>0</v>
      </c>
      <c r="M195" s="4">
        <v>0</v>
      </c>
      <c r="N195" s="2">
        <v>1</v>
      </c>
      <c r="O195" s="3">
        <v>0</v>
      </c>
      <c r="P195" s="3">
        <v>0</v>
      </c>
      <c r="Q195" s="4">
        <v>0</v>
      </c>
      <c r="S195" s="26">
        <f t="shared" si="5"/>
        <v>2.1171010958115272E-5</v>
      </c>
      <c r="T195" s="26">
        <f t="shared" si="6"/>
        <v>0.99957657978083803</v>
      </c>
      <c r="V195">
        <v>16</v>
      </c>
      <c r="W195">
        <v>1</v>
      </c>
      <c r="X195">
        <v>22</v>
      </c>
    </row>
    <row r="196" spans="1:24" x14ac:dyDescent="0.35">
      <c r="A196" t="s">
        <v>433</v>
      </c>
      <c r="B196">
        <v>5</v>
      </c>
      <c r="C196" s="14" t="s">
        <v>401</v>
      </c>
      <c r="D196">
        <v>89.3</v>
      </c>
      <c r="E196">
        <v>1</v>
      </c>
      <c r="F196" s="2">
        <v>2</v>
      </c>
      <c r="G196" s="3">
        <v>0</v>
      </c>
      <c r="H196" s="3">
        <v>0</v>
      </c>
      <c r="I196" s="4">
        <v>0</v>
      </c>
      <c r="J196" s="2">
        <v>1</v>
      </c>
      <c r="K196" s="3">
        <v>0</v>
      </c>
      <c r="L196" s="3">
        <v>0</v>
      </c>
      <c r="M196" s="4">
        <v>0</v>
      </c>
      <c r="N196" s="2">
        <v>2</v>
      </c>
      <c r="O196" s="3">
        <v>0</v>
      </c>
      <c r="P196" s="3">
        <v>0</v>
      </c>
      <c r="Q196" s="4">
        <v>0</v>
      </c>
      <c r="S196" s="26">
        <f t="shared" ref="S196:S228" si="7">B196/B$2</f>
        <v>2.1171010958115272E-5</v>
      </c>
      <c r="T196" s="26">
        <f t="shared" si="6"/>
        <v>0.99959775079179614</v>
      </c>
      <c r="V196">
        <v>0</v>
      </c>
      <c r="W196">
        <v>0</v>
      </c>
      <c r="X196">
        <v>0</v>
      </c>
    </row>
    <row r="197" spans="1:24" x14ac:dyDescent="0.35">
      <c r="A197" t="s">
        <v>488</v>
      </c>
      <c r="B197">
        <v>4</v>
      </c>
      <c r="C197" s="14" t="s">
        <v>540</v>
      </c>
      <c r="D197">
        <v>100</v>
      </c>
      <c r="E197">
        <v>2</v>
      </c>
      <c r="F197" s="2">
        <v>1</v>
      </c>
      <c r="G197" s="3">
        <v>0</v>
      </c>
      <c r="H197" s="3">
        <v>0</v>
      </c>
      <c r="I197" s="4">
        <v>0</v>
      </c>
      <c r="J197" s="2">
        <v>3</v>
      </c>
      <c r="K197" s="3">
        <v>0</v>
      </c>
      <c r="L197" s="3">
        <v>0</v>
      </c>
      <c r="M197" s="4">
        <v>0</v>
      </c>
      <c r="N197" s="2">
        <v>0</v>
      </c>
      <c r="O197" s="3">
        <v>0</v>
      </c>
      <c r="P197" s="3">
        <v>0</v>
      </c>
      <c r="Q197" s="4">
        <v>0</v>
      </c>
      <c r="S197" s="26">
        <f t="shared" si="7"/>
        <v>1.6936808766492218E-5</v>
      </c>
      <c r="T197" s="26">
        <f t="shared" si="6"/>
        <v>0.9996146876005626</v>
      </c>
      <c r="V197">
        <v>16</v>
      </c>
      <c r="W197">
        <v>0</v>
      </c>
      <c r="X197">
        <v>17</v>
      </c>
    </row>
    <row r="198" spans="1:24" x14ac:dyDescent="0.35">
      <c r="A198" t="s">
        <v>504</v>
      </c>
      <c r="B198">
        <v>4</v>
      </c>
      <c r="C198" s="14" t="s">
        <v>548</v>
      </c>
      <c r="D198">
        <v>99.6</v>
      </c>
      <c r="E198">
        <v>1</v>
      </c>
      <c r="F198" s="2">
        <v>2</v>
      </c>
      <c r="G198" s="3">
        <v>0</v>
      </c>
      <c r="H198" s="3">
        <v>0</v>
      </c>
      <c r="I198" s="4">
        <v>0</v>
      </c>
      <c r="J198" s="2">
        <v>2</v>
      </c>
      <c r="K198" s="3">
        <v>0</v>
      </c>
      <c r="L198" s="3">
        <v>0</v>
      </c>
      <c r="M198" s="4">
        <v>0</v>
      </c>
      <c r="N198" s="2">
        <v>0</v>
      </c>
      <c r="O198" s="3">
        <v>0</v>
      </c>
      <c r="P198" s="3">
        <v>0</v>
      </c>
      <c r="Q198" s="4">
        <v>0</v>
      </c>
      <c r="S198" s="26">
        <f t="shared" si="7"/>
        <v>1.6936808766492218E-5</v>
      </c>
      <c r="T198" s="26">
        <f t="shared" ref="T198:T228" si="8">T197+S198</f>
        <v>0.99963162440932907</v>
      </c>
      <c r="V198">
        <v>23</v>
      </c>
      <c r="W198">
        <v>0</v>
      </c>
      <c r="X198">
        <v>28</v>
      </c>
    </row>
    <row r="199" spans="1:24" x14ac:dyDescent="0.35">
      <c r="A199" t="s">
        <v>599</v>
      </c>
      <c r="B199">
        <v>4</v>
      </c>
      <c r="C199" s="14" t="s">
        <v>545</v>
      </c>
      <c r="D199">
        <v>89.3</v>
      </c>
      <c r="E199">
        <v>2</v>
      </c>
      <c r="F199" s="2">
        <v>3</v>
      </c>
      <c r="G199" s="3">
        <v>0</v>
      </c>
      <c r="H199" s="3">
        <v>0</v>
      </c>
      <c r="I199" s="4">
        <v>0</v>
      </c>
      <c r="J199" s="2">
        <v>1</v>
      </c>
      <c r="K199" s="3">
        <v>0</v>
      </c>
      <c r="L199" s="3">
        <v>0</v>
      </c>
      <c r="M199" s="4">
        <v>0</v>
      </c>
      <c r="N199" s="2">
        <v>0</v>
      </c>
      <c r="O199" s="3">
        <v>0</v>
      </c>
      <c r="P199" s="3">
        <v>0</v>
      </c>
      <c r="Q199" s="4">
        <v>0</v>
      </c>
      <c r="S199" s="26">
        <f t="shared" si="7"/>
        <v>1.6936808766492218E-5</v>
      </c>
      <c r="T199" s="26">
        <f t="shared" si="8"/>
        <v>0.99964856121809553</v>
      </c>
      <c r="V199">
        <v>18</v>
      </c>
      <c r="W199">
        <v>12</v>
      </c>
      <c r="X199">
        <v>19</v>
      </c>
    </row>
    <row r="200" spans="1:24" x14ac:dyDescent="0.35">
      <c r="A200" t="s">
        <v>567</v>
      </c>
      <c r="B200">
        <v>4</v>
      </c>
      <c r="C200" s="14" t="s">
        <v>536</v>
      </c>
      <c r="D200">
        <v>89.3</v>
      </c>
      <c r="E200">
        <v>1</v>
      </c>
      <c r="F200" s="2">
        <v>4</v>
      </c>
      <c r="G200" s="3">
        <v>0</v>
      </c>
      <c r="H200" s="3">
        <v>0</v>
      </c>
      <c r="I200" s="4">
        <v>0</v>
      </c>
      <c r="J200" s="2">
        <v>0</v>
      </c>
      <c r="K200" s="3">
        <v>0</v>
      </c>
      <c r="L200" s="3">
        <v>0</v>
      </c>
      <c r="M200" s="4">
        <v>0</v>
      </c>
      <c r="N200" s="2">
        <v>0</v>
      </c>
      <c r="O200" s="3">
        <v>0</v>
      </c>
      <c r="P200" s="3">
        <v>0</v>
      </c>
      <c r="Q200" s="4">
        <v>0</v>
      </c>
      <c r="S200" s="26">
        <f t="shared" si="7"/>
        <v>1.6936808766492218E-5</v>
      </c>
      <c r="T200" s="26">
        <f t="shared" si="8"/>
        <v>0.999665498026862</v>
      </c>
      <c r="V200">
        <v>64</v>
      </c>
      <c r="W200">
        <v>0</v>
      </c>
      <c r="X200">
        <v>0</v>
      </c>
    </row>
    <row r="201" spans="1:24" x14ac:dyDescent="0.35">
      <c r="A201" t="s">
        <v>577</v>
      </c>
      <c r="B201">
        <v>4</v>
      </c>
      <c r="C201" s="14" t="s">
        <v>354</v>
      </c>
      <c r="D201">
        <v>89.7</v>
      </c>
      <c r="E201">
        <v>1</v>
      </c>
      <c r="F201" s="2">
        <v>0</v>
      </c>
      <c r="G201" s="3">
        <v>0</v>
      </c>
      <c r="H201" s="3">
        <v>0</v>
      </c>
      <c r="I201" s="4">
        <v>0</v>
      </c>
      <c r="J201" s="2">
        <v>4</v>
      </c>
      <c r="K201" s="3">
        <v>0</v>
      </c>
      <c r="L201" s="3">
        <v>0</v>
      </c>
      <c r="M201" s="4">
        <v>0</v>
      </c>
      <c r="N201" s="2">
        <v>0</v>
      </c>
      <c r="O201" s="3">
        <v>0</v>
      </c>
      <c r="P201" s="3">
        <v>0</v>
      </c>
      <c r="Q201" s="4">
        <v>0</v>
      </c>
      <c r="S201" s="26">
        <f t="shared" si="7"/>
        <v>1.6936808766492218E-5</v>
      </c>
      <c r="T201" s="26">
        <f t="shared" si="8"/>
        <v>0.99968243483562846</v>
      </c>
      <c r="V201">
        <v>18</v>
      </c>
      <c r="W201">
        <v>83</v>
      </c>
      <c r="X201">
        <v>18</v>
      </c>
    </row>
    <row r="202" spans="1:24" x14ac:dyDescent="0.35">
      <c r="A202" t="s">
        <v>542</v>
      </c>
      <c r="B202">
        <v>4</v>
      </c>
      <c r="C202" s="14" t="s">
        <v>543</v>
      </c>
      <c r="D202">
        <v>95.7</v>
      </c>
      <c r="E202">
        <v>3</v>
      </c>
      <c r="F202" s="2">
        <v>0</v>
      </c>
      <c r="G202" s="3">
        <v>0</v>
      </c>
      <c r="H202" s="3">
        <v>0</v>
      </c>
      <c r="I202" s="4">
        <v>0</v>
      </c>
      <c r="J202" s="2">
        <v>0</v>
      </c>
      <c r="K202" s="3">
        <v>0</v>
      </c>
      <c r="L202" s="3">
        <v>0</v>
      </c>
      <c r="M202" s="4">
        <v>0</v>
      </c>
      <c r="N202" s="2">
        <v>4</v>
      </c>
      <c r="O202" s="3">
        <v>0</v>
      </c>
      <c r="P202" s="3">
        <v>0</v>
      </c>
      <c r="Q202" s="4">
        <v>0</v>
      </c>
      <c r="S202" s="26">
        <f t="shared" si="7"/>
        <v>1.6936808766492218E-5</v>
      </c>
      <c r="T202" s="26">
        <f t="shared" si="8"/>
        <v>0.99969937164439493</v>
      </c>
      <c r="V202">
        <v>47</v>
      </c>
      <c r="W202">
        <v>15</v>
      </c>
      <c r="X202">
        <v>100</v>
      </c>
    </row>
    <row r="203" spans="1:24" x14ac:dyDescent="0.35">
      <c r="A203" t="s">
        <v>598</v>
      </c>
      <c r="B203">
        <v>4</v>
      </c>
      <c r="C203" s="14" t="s">
        <v>375</v>
      </c>
      <c r="D203">
        <v>85.8</v>
      </c>
      <c r="E203">
        <v>1</v>
      </c>
      <c r="F203" s="2">
        <v>1</v>
      </c>
      <c r="G203" s="3">
        <v>0</v>
      </c>
      <c r="H203" s="3">
        <v>0</v>
      </c>
      <c r="I203" s="4">
        <v>0</v>
      </c>
      <c r="J203" s="2">
        <v>2</v>
      </c>
      <c r="K203" s="3">
        <v>0</v>
      </c>
      <c r="L203" s="3">
        <v>0</v>
      </c>
      <c r="M203" s="4">
        <v>0</v>
      </c>
      <c r="N203" s="2">
        <v>1</v>
      </c>
      <c r="O203" s="3">
        <v>0</v>
      </c>
      <c r="P203" s="3">
        <v>0</v>
      </c>
      <c r="Q203" s="4">
        <v>0</v>
      </c>
      <c r="S203" s="26">
        <f t="shared" si="7"/>
        <v>1.6936808766492218E-5</v>
      </c>
      <c r="T203" s="26">
        <f t="shared" si="8"/>
        <v>0.9997163084531614</v>
      </c>
      <c r="V203">
        <v>13</v>
      </c>
      <c r="W203">
        <v>2</v>
      </c>
      <c r="X203">
        <v>2</v>
      </c>
    </row>
    <row r="204" spans="1:24" x14ac:dyDescent="0.35">
      <c r="A204" t="s">
        <v>541</v>
      </c>
      <c r="B204">
        <v>4</v>
      </c>
      <c r="C204" s="14" t="s">
        <v>401</v>
      </c>
      <c r="D204">
        <v>90.5</v>
      </c>
      <c r="E204">
        <v>1</v>
      </c>
      <c r="F204" s="2">
        <v>0</v>
      </c>
      <c r="G204" s="3">
        <v>0</v>
      </c>
      <c r="H204" s="3">
        <v>0</v>
      </c>
      <c r="I204" s="4">
        <v>0</v>
      </c>
      <c r="J204" s="2">
        <v>1</v>
      </c>
      <c r="K204" s="3">
        <v>0</v>
      </c>
      <c r="L204" s="3">
        <v>0</v>
      </c>
      <c r="M204" s="4">
        <v>0</v>
      </c>
      <c r="N204" s="2">
        <v>3</v>
      </c>
      <c r="O204" s="3">
        <v>0</v>
      </c>
      <c r="P204" s="3">
        <v>0</v>
      </c>
      <c r="Q204" s="4">
        <v>0</v>
      </c>
      <c r="S204" s="26">
        <f t="shared" si="7"/>
        <v>1.6936808766492218E-5</v>
      </c>
      <c r="T204" s="26">
        <f t="shared" si="8"/>
        <v>0.99973324526192786</v>
      </c>
      <c r="V204">
        <v>2</v>
      </c>
      <c r="W204">
        <v>7</v>
      </c>
      <c r="X204">
        <v>2</v>
      </c>
    </row>
    <row r="205" spans="1:24" x14ac:dyDescent="0.35">
      <c r="A205" t="s">
        <v>552</v>
      </c>
      <c r="B205">
        <v>4</v>
      </c>
      <c r="C205" s="14" t="s">
        <v>62</v>
      </c>
      <c r="D205">
        <v>90.9</v>
      </c>
      <c r="E205">
        <v>1</v>
      </c>
      <c r="F205" s="2">
        <v>1</v>
      </c>
      <c r="G205" s="3">
        <v>0</v>
      </c>
      <c r="H205" s="3">
        <v>0</v>
      </c>
      <c r="I205" s="4">
        <v>0</v>
      </c>
      <c r="J205" s="2">
        <v>2</v>
      </c>
      <c r="K205" s="3">
        <v>0</v>
      </c>
      <c r="L205" s="3">
        <v>0</v>
      </c>
      <c r="M205" s="4">
        <v>0</v>
      </c>
      <c r="N205" s="2">
        <v>1</v>
      </c>
      <c r="O205" s="3">
        <v>0</v>
      </c>
      <c r="P205" s="3">
        <v>0</v>
      </c>
      <c r="Q205" s="4">
        <v>0</v>
      </c>
      <c r="S205" s="26">
        <f t="shared" si="7"/>
        <v>1.6936808766492218E-5</v>
      </c>
      <c r="T205" s="26">
        <f t="shared" si="8"/>
        <v>0.99975018207069433</v>
      </c>
      <c r="V205">
        <v>15</v>
      </c>
      <c r="W205">
        <v>19</v>
      </c>
      <c r="X205">
        <v>47</v>
      </c>
    </row>
    <row r="206" spans="1:24" x14ac:dyDescent="0.35">
      <c r="A206" t="s">
        <v>531</v>
      </c>
      <c r="B206">
        <v>4</v>
      </c>
      <c r="C206" s="14" t="s">
        <v>152</v>
      </c>
      <c r="D206">
        <v>93.3</v>
      </c>
      <c r="E206">
        <v>1</v>
      </c>
      <c r="F206" s="2">
        <v>2</v>
      </c>
      <c r="G206" s="3">
        <v>0</v>
      </c>
      <c r="H206" s="3">
        <v>0</v>
      </c>
      <c r="I206" s="4">
        <v>0</v>
      </c>
      <c r="J206" s="2">
        <v>2</v>
      </c>
      <c r="K206" s="3">
        <v>0</v>
      </c>
      <c r="L206" s="3">
        <v>0</v>
      </c>
      <c r="M206" s="4">
        <v>0</v>
      </c>
      <c r="N206" s="2">
        <v>0</v>
      </c>
      <c r="O206" s="3">
        <v>0</v>
      </c>
      <c r="P206" s="3">
        <v>0</v>
      </c>
      <c r="Q206" s="4">
        <v>0</v>
      </c>
      <c r="S206" s="26">
        <f t="shared" si="7"/>
        <v>1.6936808766492218E-5</v>
      </c>
      <c r="T206" s="26">
        <f t="shared" si="8"/>
        <v>0.99976711887946079</v>
      </c>
      <c r="V206">
        <v>0</v>
      </c>
      <c r="W206">
        <v>0</v>
      </c>
      <c r="X206">
        <v>0</v>
      </c>
    </row>
    <row r="207" spans="1:24" x14ac:dyDescent="0.35">
      <c r="A207" t="s">
        <v>207</v>
      </c>
      <c r="B207">
        <v>3</v>
      </c>
      <c r="C207" s="14" t="s">
        <v>401</v>
      </c>
      <c r="D207">
        <v>96.4</v>
      </c>
      <c r="E207">
        <v>1</v>
      </c>
      <c r="F207" s="2">
        <v>1</v>
      </c>
      <c r="G207" s="3">
        <v>0</v>
      </c>
      <c r="H207" s="3">
        <v>0</v>
      </c>
      <c r="I207" s="4">
        <v>0</v>
      </c>
      <c r="J207" s="2">
        <v>0</v>
      </c>
      <c r="K207" s="3">
        <v>0</v>
      </c>
      <c r="L207" s="3">
        <v>0</v>
      </c>
      <c r="M207" s="4">
        <v>0</v>
      </c>
      <c r="N207" s="2">
        <v>2</v>
      </c>
      <c r="O207" s="3">
        <v>0</v>
      </c>
      <c r="P207" s="3">
        <v>0</v>
      </c>
      <c r="Q207" s="4">
        <v>0</v>
      </c>
      <c r="S207" s="26">
        <f t="shared" si="7"/>
        <v>1.2702606574869163E-5</v>
      </c>
      <c r="T207" s="26">
        <f t="shared" si="8"/>
        <v>0.99977982148603561</v>
      </c>
      <c r="V207">
        <v>0</v>
      </c>
      <c r="W207">
        <v>0</v>
      </c>
      <c r="X207">
        <v>0</v>
      </c>
    </row>
    <row r="208" spans="1:24" x14ac:dyDescent="0.35">
      <c r="A208" t="s">
        <v>537</v>
      </c>
      <c r="B208">
        <v>3</v>
      </c>
      <c r="C208" s="14" t="s">
        <v>98</v>
      </c>
      <c r="D208">
        <v>0</v>
      </c>
      <c r="E208">
        <v>1</v>
      </c>
      <c r="F208" s="2">
        <v>0</v>
      </c>
      <c r="G208" s="3">
        <v>0</v>
      </c>
      <c r="H208" s="3">
        <v>1</v>
      </c>
      <c r="I208" s="4">
        <v>0</v>
      </c>
      <c r="J208" s="2">
        <v>0</v>
      </c>
      <c r="K208" s="3">
        <v>0</v>
      </c>
      <c r="L208" s="3">
        <v>1</v>
      </c>
      <c r="M208" s="4">
        <v>0</v>
      </c>
      <c r="N208" s="2">
        <v>0</v>
      </c>
      <c r="O208" s="3">
        <v>0</v>
      </c>
      <c r="P208" s="3">
        <v>1</v>
      </c>
      <c r="Q208" s="4">
        <v>0</v>
      </c>
      <c r="S208" s="26">
        <f t="shared" si="7"/>
        <v>1.2702606574869163E-5</v>
      </c>
      <c r="T208" s="26">
        <f t="shared" si="8"/>
        <v>0.99979252409261044</v>
      </c>
      <c r="V208">
        <v>36</v>
      </c>
      <c r="W208">
        <v>22</v>
      </c>
      <c r="X208">
        <v>8</v>
      </c>
    </row>
    <row r="209" spans="1:24" x14ac:dyDescent="0.35">
      <c r="A209" t="s">
        <v>530</v>
      </c>
      <c r="B209">
        <v>3</v>
      </c>
      <c r="C209" s="14" t="s">
        <v>563</v>
      </c>
      <c r="D209">
        <v>100</v>
      </c>
      <c r="E209">
        <v>1</v>
      </c>
      <c r="F209" s="2">
        <v>0</v>
      </c>
      <c r="G209" s="3">
        <v>0</v>
      </c>
      <c r="H209" s="3">
        <v>0</v>
      </c>
      <c r="I209" s="4">
        <v>0</v>
      </c>
      <c r="J209" s="2">
        <v>0</v>
      </c>
      <c r="K209" s="3">
        <v>0</v>
      </c>
      <c r="L209" s="3">
        <v>0</v>
      </c>
      <c r="M209" s="4">
        <v>0</v>
      </c>
      <c r="N209" s="2">
        <v>3</v>
      </c>
      <c r="O209" s="3">
        <v>0</v>
      </c>
      <c r="P209" s="3">
        <v>0</v>
      </c>
      <c r="Q209" s="4">
        <v>0</v>
      </c>
      <c r="S209" s="26">
        <f t="shared" si="7"/>
        <v>1.2702606574869163E-5</v>
      </c>
      <c r="T209" s="26">
        <f t="shared" si="8"/>
        <v>0.99980522669918526</v>
      </c>
      <c r="V209">
        <v>22</v>
      </c>
      <c r="W209">
        <v>13</v>
      </c>
      <c r="X209">
        <v>81</v>
      </c>
    </row>
    <row r="210" spans="1:24" x14ac:dyDescent="0.35">
      <c r="A210" t="s">
        <v>514</v>
      </c>
      <c r="B210">
        <v>3</v>
      </c>
      <c r="C210" s="14" t="s">
        <v>571</v>
      </c>
      <c r="D210">
        <v>99.2</v>
      </c>
      <c r="E210">
        <v>1</v>
      </c>
      <c r="F210" s="2">
        <v>2</v>
      </c>
      <c r="G210" s="3">
        <v>0</v>
      </c>
      <c r="H210" s="3">
        <v>0</v>
      </c>
      <c r="I210" s="4">
        <v>0</v>
      </c>
      <c r="J210" s="2">
        <v>1</v>
      </c>
      <c r="K210" s="3">
        <v>0</v>
      </c>
      <c r="L210" s="3">
        <v>0</v>
      </c>
      <c r="M210" s="4">
        <v>0</v>
      </c>
      <c r="N210" s="2">
        <v>0</v>
      </c>
      <c r="O210" s="3">
        <v>0</v>
      </c>
      <c r="P210" s="3">
        <v>0</v>
      </c>
      <c r="Q210" s="4">
        <v>0</v>
      </c>
      <c r="S210" s="26">
        <f t="shared" si="7"/>
        <v>1.2702606574869163E-5</v>
      </c>
      <c r="T210" s="26">
        <f t="shared" si="8"/>
        <v>0.99981792930576008</v>
      </c>
      <c r="V210">
        <v>0</v>
      </c>
      <c r="W210">
        <v>0</v>
      </c>
      <c r="X210">
        <v>0</v>
      </c>
    </row>
    <row r="211" spans="1:24" x14ac:dyDescent="0.35">
      <c r="A211" t="s">
        <v>534</v>
      </c>
      <c r="B211">
        <v>3</v>
      </c>
      <c r="C211" s="14" t="s">
        <v>98</v>
      </c>
      <c r="D211">
        <v>0</v>
      </c>
      <c r="E211">
        <v>1</v>
      </c>
      <c r="F211" s="2">
        <v>3</v>
      </c>
      <c r="G211" s="3">
        <v>0</v>
      </c>
      <c r="H211" s="3">
        <v>0</v>
      </c>
      <c r="I211" s="4">
        <v>0</v>
      </c>
      <c r="J211" s="2">
        <v>0</v>
      </c>
      <c r="K211" s="3">
        <v>0</v>
      </c>
      <c r="L211" s="3">
        <v>0</v>
      </c>
      <c r="M211" s="4">
        <v>0</v>
      </c>
      <c r="N211" s="2">
        <v>0</v>
      </c>
      <c r="O211" s="3">
        <v>0</v>
      </c>
      <c r="P211" s="3">
        <v>0</v>
      </c>
      <c r="Q211" s="4">
        <v>0</v>
      </c>
      <c r="S211" s="26">
        <f t="shared" si="7"/>
        <v>1.2702606574869163E-5</v>
      </c>
      <c r="T211" s="26">
        <f t="shared" si="8"/>
        <v>0.9998306319123349</v>
      </c>
      <c r="V211">
        <v>85</v>
      </c>
      <c r="W211">
        <v>6</v>
      </c>
      <c r="X211">
        <v>11</v>
      </c>
    </row>
    <row r="212" spans="1:24" x14ac:dyDescent="0.35">
      <c r="A212" t="s">
        <v>572</v>
      </c>
      <c r="B212">
        <v>3</v>
      </c>
      <c r="C212" s="14" t="s">
        <v>401</v>
      </c>
      <c r="D212">
        <v>91.7</v>
      </c>
      <c r="E212">
        <v>1</v>
      </c>
      <c r="F212" s="2">
        <v>2</v>
      </c>
      <c r="G212" s="3">
        <v>0</v>
      </c>
      <c r="H212" s="3">
        <v>0</v>
      </c>
      <c r="I212" s="4">
        <v>0</v>
      </c>
      <c r="J212" s="2">
        <v>0</v>
      </c>
      <c r="K212" s="3">
        <v>0</v>
      </c>
      <c r="L212" s="3">
        <v>0</v>
      </c>
      <c r="M212" s="4">
        <v>0</v>
      </c>
      <c r="N212" s="2">
        <v>1</v>
      </c>
      <c r="O212" s="3">
        <v>0</v>
      </c>
      <c r="P212" s="3">
        <v>0</v>
      </c>
      <c r="Q212" s="4">
        <v>0</v>
      </c>
      <c r="S212" s="26">
        <f t="shared" si="7"/>
        <v>1.2702606574869163E-5</v>
      </c>
      <c r="T212" s="26">
        <f t="shared" si="8"/>
        <v>0.99984333451890972</v>
      </c>
      <c r="V212">
        <v>2</v>
      </c>
      <c r="W212">
        <v>7</v>
      </c>
      <c r="X212">
        <v>2</v>
      </c>
    </row>
    <row r="213" spans="1:24" x14ac:dyDescent="0.35">
      <c r="A213" t="s">
        <v>279</v>
      </c>
      <c r="B213">
        <v>3</v>
      </c>
      <c r="C213" s="14" t="s">
        <v>551</v>
      </c>
      <c r="D213">
        <v>99.6</v>
      </c>
      <c r="E213">
        <v>1</v>
      </c>
      <c r="F213" s="2">
        <v>3</v>
      </c>
      <c r="G213" s="3">
        <v>0</v>
      </c>
      <c r="H213" s="3">
        <v>0</v>
      </c>
      <c r="I213" s="4">
        <v>0</v>
      </c>
      <c r="J213" s="2">
        <v>0</v>
      </c>
      <c r="K213" s="3">
        <v>0</v>
      </c>
      <c r="L213" s="3">
        <v>0</v>
      </c>
      <c r="M213" s="4">
        <v>0</v>
      </c>
      <c r="N213" s="2">
        <v>0</v>
      </c>
      <c r="O213" s="3">
        <v>0</v>
      </c>
      <c r="P213" s="3">
        <v>0</v>
      </c>
      <c r="Q213" s="4">
        <v>0</v>
      </c>
      <c r="S213" s="26">
        <f t="shared" si="7"/>
        <v>1.2702606574869163E-5</v>
      </c>
      <c r="T213" s="26">
        <f t="shared" si="8"/>
        <v>0.99985603712548454</v>
      </c>
      <c r="V213">
        <v>96</v>
      </c>
      <c r="W213">
        <v>0</v>
      </c>
      <c r="X213">
        <v>5</v>
      </c>
    </row>
    <row r="214" spans="1:24" x14ac:dyDescent="0.35">
      <c r="A214" t="s">
        <v>564</v>
      </c>
      <c r="B214">
        <v>3</v>
      </c>
      <c r="C214" s="14" t="s">
        <v>321</v>
      </c>
      <c r="D214">
        <v>90.5</v>
      </c>
      <c r="E214">
        <v>1</v>
      </c>
      <c r="F214" s="2">
        <v>0</v>
      </c>
      <c r="G214" s="3">
        <v>0</v>
      </c>
      <c r="H214" s="3">
        <v>0</v>
      </c>
      <c r="I214" s="4">
        <v>0</v>
      </c>
      <c r="J214" s="2">
        <v>2</v>
      </c>
      <c r="K214" s="3">
        <v>0</v>
      </c>
      <c r="L214" s="3">
        <v>0</v>
      </c>
      <c r="M214" s="4">
        <v>0</v>
      </c>
      <c r="N214" s="2">
        <v>1</v>
      </c>
      <c r="O214" s="3">
        <v>0</v>
      </c>
      <c r="P214" s="3">
        <v>0</v>
      </c>
      <c r="Q214" s="4">
        <v>0</v>
      </c>
      <c r="S214" s="26">
        <f t="shared" si="7"/>
        <v>1.2702606574869163E-5</v>
      </c>
      <c r="T214" s="26">
        <f t="shared" si="8"/>
        <v>0.99986873973205936</v>
      </c>
      <c r="V214">
        <v>14</v>
      </c>
      <c r="W214">
        <v>8</v>
      </c>
      <c r="X214">
        <v>26</v>
      </c>
    </row>
    <row r="215" spans="1:24" x14ac:dyDescent="0.35">
      <c r="A215" t="s">
        <v>495</v>
      </c>
      <c r="B215">
        <v>3</v>
      </c>
      <c r="C215" s="14" t="s">
        <v>558</v>
      </c>
      <c r="D215">
        <v>94.5</v>
      </c>
      <c r="E215">
        <v>1</v>
      </c>
      <c r="F215" s="2">
        <v>3</v>
      </c>
      <c r="G215" s="3">
        <v>0</v>
      </c>
      <c r="H215" s="3">
        <v>0</v>
      </c>
      <c r="I215" s="4">
        <v>0</v>
      </c>
      <c r="J215" s="2">
        <v>0</v>
      </c>
      <c r="K215" s="3">
        <v>0</v>
      </c>
      <c r="L215" s="3">
        <v>0</v>
      </c>
      <c r="M215" s="4">
        <v>0</v>
      </c>
      <c r="N215" s="2">
        <v>0</v>
      </c>
      <c r="O215" s="3">
        <v>0</v>
      </c>
      <c r="P215" s="3">
        <v>0</v>
      </c>
      <c r="Q215" s="4">
        <v>0</v>
      </c>
      <c r="S215" s="26">
        <f t="shared" si="7"/>
        <v>1.2702606574869163E-5</v>
      </c>
      <c r="T215" s="26">
        <f t="shared" si="8"/>
        <v>0.99988144233863419</v>
      </c>
      <c r="V215">
        <v>61</v>
      </c>
      <c r="W215">
        <v>0</v>
      </c>
      <c r="X215">
        <v>0</v>
      </c>
    </row>
    <row r="216" spans="1:24" x14ac:dyDescent="0.35">
      <c r="A216" t="s">
        <v>555</v>
      </c>
      <c r="B216">
        <v>3</v>
      </c>
      <c r="C216" s="14" t="s">
        <v>558</v>
      </c>
      <c r="D216">
        <v>96</v>
      </c>
      <c r="E216">
        <v>1</v>
      </c>
      <c r="F216" s="2">
        <v>3</v>
      </c>
      <c r="G216" s="3">
        <v>0</v>
      </c>
      <c r="H216" s="3">
        <v>0</v>
      </c>
      <c r="I216" s="4">
        <v>0</v>
      </c>
      <c r="J216" s="2">
        <v>0</v>
      </c>
      <c r="K216" s="3">
        <v>0</v>
      </c>
      <c r="L216" s="3">
        <v>0</v>
      </c>
      <c r="M216" s="4">
        <v>0</v>
      </c>
      <c r="N216" s="2">
        <v>0</v>
      </c>
      <c r="O216" s="3">
        <v>0</v>
      </c>
      <c r="P216" s="3">
        <v>0</v>
      </c>
      <c r="Q216" s="4">
        <v>0</v>
      </c>
      <c r="S216" s="26">
        <f t="shared" si="7"/>
        <v>1.2702606574869163E-5</v>
      </c>
      <c r="T216" s="26">
        <f t="shared" si="8"/>
        <v>0.99989414494520901</v>
      </c>
      <c r="V216">
        <v>45</v>
      </c>
      <c r="W216">
        <v>0</v>
      </c>
      <c r="X216">
        <v>0</v>
      </c>
    </row>
    <row r="217" spans="1:24" x14ac:dyDescent="0.35">
      <c r="A217" t="s">
        <v>593</v>
      </c>
      <c r="B217">
        <v>3</v>
      </c>
      <c r="C217" s="14" t="s">
        <v>401</v>
      </c>
      <c r="D217">
        <v>93.7</v>
      </c>
      <c r="E217">
        <v>1</v>
      </c>
      <c r="F217" s="2">
        <v>0</v>
      </c>
      <c r="G217" s="3">
        <v>0</v>
      </c>
      <c r="H217" s="3">
        <v>0</v>
      </c>
      <c r="I217" s="4">
        <v>0</v>
      </c>
      <c r="J217" s="2">
        <v>1</v>
      </c>
      <c r="K217" s="3">
        <v>0</v>
      </c>
      <c r="L217" s="3">
        <v>0</v>
      </c>
      <c r="M217" s="4">
        <v>0</v>
      </c>
      <c r="N217" s="2">
        <v>2</v>
      </c>
      <c r="O217" s="3">
        <v>0</v>
      </c>
      <c r="P217" s="3">
        <v>0</v>
      </c>
      <c r="Q217" s="4">
        <v>0</v>
      </c>
      <c r="S217" s="26">
        <f t="shared" si="7"/>
        <v>1.2702606574869163E-5</v>
      </c>
      <c r="T217" s="26">
        <f t="shared" si="8"/>
        <v>0.99990684755178383</v>
      </c>
      <c r="V217">
        <v>2</v>
      </c>
      <c r="W217">
        <v>1</v>
      </c>
      <c r="X217">
        <v>3</v>
      </c>
    </row>
    <row r="218" spans="1:24" x14ac:dyDescent="0.35">
      <c r="A218" t="s">
        <v>573</v>
      </c>
      <c r="B218">
        <v>2</v>
      </c>
      <c r="C218" s="14" t="s">
        <v>574</v>
      </c>
      <c r="D218">
        <v>95.6</v>
      </c>
      <c r="E218">
        <v>1</v>
      </c>
      <c r="F218" s="2">
        <v>2</v>
      </c>
      <c r="G218" s="3">
        <v>0</v>
      </c>
      <c r="H218" s="3">
        <v>0</v>
      </c>
      <c r="I218" s="4">
        <v>0</v>
      </c>
      <c r="J218" s="2">
        <v>0</v>
      </c>
      <c r="K218" s="3">
        <v>0</v>
      </c>
      <c r="L218" s="3">
        <v>0</v>
      </c>
      <c r="M218" s="4">
        <v>0</v>
      </c>
      <c r="N218" s="2">
        <v>0</v>
      </c>
      <c r="O218" s="3">
        <v>0</v>
      </c>
      <c r="P218" s="3">
        <v>0</v>
      </c>
      <c r="Q218" s="4">
        <v>0</v>
      </c>
      <c r="S218" s="26">
        <f t="shared" si="7"/>
        <v>8.4684043832461092E-6</v>
      </c>
      <c r="T218" s="26">
        <f t="shared" si="8"/>
        <v>0.99991531595616712</v>
      </c>
      <c r="V218">
        <v>65</v>
      </c>
      <c r="W218">
        <v>30</v>
      </c>
      <c r="X218">
        <v>68</v>
      </c>
    </row>
    <row r="219" spans="1:24" x14ac:dyDescent="0.35">
      <c r="A219" t="s">
        <v>535</v>
      </c>
      <c r="B219">
        <v>2</v>
      </c>
      <c r="C219" s="14" t="s">
        <v>601</v>
      </c>
      <c r="D219">
        <v>100</v>
      </c>
      <c r="E219">
        <v>1</v>
      </c>
      <c r="F219" s="2">
        <v>1</v>
      </c>
      <c r="G219" s="3">
        <v>0</v>
      </c>
      <c r="H219" s="3">
        <v>0</v>
      </c>
      <c r="I219" s="4">
        <v>0</v>
      </c>
      <c r="J219" s="2">
        <v>1</v>
      </c>
      <c r="K219" s="3">
        <v>0</v>
      </c>
      <c r="L219" s="3">
        <v>0</v>
      </c>
      <c r="M219" s="4">
        <v>0</v>
      </c>
      <c r="N219" s="2">
        <v>0</v>
      </c>
      <c r="O219" s="3">
        <v>0</v>
      </c>
      <c r="P219" s="3">
        <v>0</v>
      </c>
      <c r="Q219" s="4">
        <v>0</v>
      </c>
      <c r="S219" s="26">
        <f t="shared" si="7"/>
        <v>8.4684043832461092E-6</v>
      </c>
      <c r="T219" s="26">
        <f t="shared" si="8"/>
        <v>0.99992378436055041</v>
      </c>
      <c r="V219">
        <v>15</v>
      </c>
      <c r="W219">
        <v>0</v>
      </c>
      <c r="X219">
        <v>0</v>
      </c>
    </row>
    <row r="220" spans="1:24" x14ac:dyDescent="0.35">
      <c r="A220" t="s">
        <v>586</v>
      </c>
      <c r="B220">
        <v>2</v>
      </c>
      <c r="C220" s="14" t="s">
        <v>588</v>
      </c>
      <c r="D220">
        <v>95.3</v>
      </c>
      <c r="E220">
        <v>1</v>
      </c>
      <c r="F220" s="2">
        <v>2</v>
      </c>
      <c r="G220" s="3">
        <v>0</v>
      </c>
      <c r="H220" s="3">
        <v>0</v>
      </c>
      <c r="I220" s="4">
        <v>0</v>
      </c>
      <c r="J220" s="2">
        <v>0</v>
      </c>
      <c r="K220" s="3">
        <v>0</v>
      </c>
      <c r="L220" s="3">
        <v>0</v>
      </c>
      <c r="M220" s="4">
        <v>0</v>
      </c>
      <c r="N220" s="2">
        <v>0</v>
      </c>
      <c r="O220" s="3">
        <v>0</v>
      </c>
      <c r="P220" s="3">
        <v>0</v>
      </c>
      <c r="Q220" s="4">
        <v>0</v>
      </c>
      <c r="S220" s="26">
        <f t="shared" si="7"/>
        <v>8.4684043832461092E-6</v>
      </c>
      <c r="T220" s="26">
        <f t="shared" si="8"/>
        <v>0.99993225276493369</v>
      </c>
      <c r="V220">
        <v>11</v>
      </c>
      <c r="W220">
        <v>0</v>
      </c>
      <c r="X220">
        <v>11</v>
      </c>
    </row>
    <row r="221" spans="1:24" x14ac:dyDescent="0.35">
      <c r="A221" t="s">
        <v>560</v>
      </c>
      <c r="B221">
        <v>2</v>
      </c>
      <c r="C221" s="14" t="s">
        <v>578</v>
      </c>
      <c r="D221">
        <v>90.9</v>
      </c>
      <c r="E221">
        <v>1</v>
      </c>
      <c r="F221" s="2">
        <v>0</v>
      </c>
      <c r="G221" s="3">
        <v>0</v>
      </c>
      <c r="H221" s="3">
        <v>0</v>
      </c>
      <c r="I221" s="4">
        <v>0</v>
      </c>
      <c r="J221" s="2">
        <v>2</v>
      </c>
      <c r="K221" s="3">
        <v>0</v>
      </c>
      <c r="L221" s="3">
        <v>0</v>
      </c>
      <c r="M221" s="4">
        <v>0</v>
      </c>
      <c r="N221" s="2">
        <v>0</v>
      </c>
      <c r="O221" s="3">
        <v>0</v>
      </c>
      <c r="P221" s="3">
        <v>0</v>
      </c>
      <c r="Q221" s="4">
        <v>0</v>
      </c>
      <c r="S221" s="26">
        <f t="shared" si="7"/>
        <v>8.4684043832461092E-6</v>
      </c>
      <c r="T221" s="26">
        <f t="shared" si="8"/>
        <v>0.99994072116931698</v>
      </c>
      <c r="V221">
        <v>7</v>
      </c>
      <c r="W221">
        <v>63</v>
      </c>
      <c r="X221">
        <v>9</v>
      </c>
    </row>
    <row r="222" spans="1:24" x14ac:dyDescent="0.35">
      <c r="A222" t="s">
        <v>252</v>
      </c>
      <c r="B222">
        <v>2</v>
      </c>
      <c r="C222" s="14" t="s">
        <v>597</v>
      </c>
      <c r="D222">
        <v>98.8</v>
      </c>
      <c r="E222">
        <v>3</v>
      </c>
      <c r="F222" s="2">
        <v>0</v>
      </c>
      <c r="G222" s="3">
        <v>0</v>
      </c>
      <c r="H222" s="3">
        <v>0</v>
      </c>
      <c r="I222" s="4">
        <v>0</v>
      </c>
      <c r="J222" s="2">
        <v>0</v>
      </c>
      <c r="K222" s="3">
        <v>0</v>
      </c>
      <c r="L222" s="3">
        <v>0</v>
      </c>
      <c r="M222" s="4">
        <v>0</v>
      </c>
      <c r="N222" s="2">
        <v>2</v>
      </c>
      <c r="O222" s="3">
        <v>0</v>
      </c>
      <c r="P222" s="3">
        <v>0</v>
      </c>
      <c r="Q222" s="4">
        <v>0</v>
      </c>
      <c r="S222" s="26">
        <f t="shared" si="7"/>
        <v>8.4684043832461092E-6</v>
      </c>
      <c r="T222" s="26">
        <f t="shared" si="8"/>
        <v>0.99994918957370027</v>
      </c>
      <c r="V222">
        <v>0</v>
      </c>
      <c r="W222">
        <v>0</v>
      </c>
      <c r="X222">
        <v>16</v>
      </c>
    </row>
    <row r="223" spans="1:24" x14ac:dyDescent="0.35">
      <c r="A223" t="s">
        <v>533</v>
      </c>
      <c r="B223">
        <v>2</v>
      </c>
      <c r="C223" s="14" t="s">
        <v>192</v>
      </c>
      <c r="D223">
        <v>92.9</v>
      </c>
      <c r="E223">
        <v>1</v>
      </c>
      <c r="F223" s="2">
        <v>0</v>
      </c>
      <c r="G223" s="3">
        <v>0</v>
      </c>
      <c r="H223" s="3">
        <v>0</v>
      </c>
      <c r="I223" s="4">
        <v>0</v>
      </c>
      <c r="J223" s="2">
        <v>1</v>
      </c>
      <c r="K223" s="3">
        <v>0</v>
      </c>
      <c r="L223" s="3">
        <v>0</v>
      </c>
      <c r="M223" s="4">
        <v>0</v>
      </c>
      <c r="N223" s="2">
        <v>1</v>
      </c>
      <c r="O223" s="3">
        <v>0</v>
      </c>
      <c r="P223" s="3">
        <v>0</v>
      </c>
      <c r="Q223" s="4">
        <v>0</v>
      </c>
      <c r="S223" s="26">
        <f t="shared" si="7"/>
        <v>8.4684043832461092E-6</v>
      </c>
      <c r="T223" s="26">
        <f t="shared" si="8"/>
        <v>0.99995765797808356</v>
      </c>
      <c r="V223">
        <v>14</v>
      </c>
      <c r="W223">
        <v>0</v>
      </c>
      <c r="X223">
        <v>14</v>
      </c>
    </row>
    <row r="224" spans="1:24" x14ac:dyDescent="0.35">
      <c r="A224" t="s">
        <v>481</v>
      </c>
      <c r="B224">
        <v>2</v>
      </c>
      <c r="C224" s="14" t="s">
        <v>585</v>
      </c>
      <c r="D224">
        <v>91.7</v>
      </c>
      <c r="E224">
        <v>1</v>
      </c>
      <c r="F224" s="2">
        <v>2</v>
      </c>
      <c r="G224" s="3">
        <v>0</v>
      </c>
      <c r="H224" s="3">
        <v>0</v>
      </c>
      <c r="I224" s="4">
        <v>0</v>
      </c>
      <c r="J224" s="2">
        <v>0</v>
      </c>
      <c r="K224" s="3">
        <v>0</v>
      </c>
      <c r="L224" s="3">
        <v>0</v>
      </c>
      <c r="M224" s="4">
        <v>0</v>
      </c>
      <c r="N224" s="2">
        <v>0</v>
      </c>
      <c r="O224" s="3">
        <v>0</v>
      </c>
      <c r="P224" s="3">
        <v>0</v>
      </c>
      <c r="Q224" s="4">
        <v>0</v>
      </c>
      <c r="S224" s="26">
        <f t="shared" si="7"/>
        <v>8.4684043832461092E-6</v>
      </c>
      <c r="T224" s="26">
        <f t="shared" si="8"/>
        <v>0.99996612638246685</v>
      </c>
      <c r="V224">
        <v>0</v>
      </c>
      <c r="W224">
        <v>0</v>
      </c>
      <c r="X224">
        <v>0</v>
      </c>
    </row>
    <row r="225" spans="1:24" x14ac:dyDescent="0.35">
      <c r="A225" t="s">
        <v>575</v>
      </c>
      <c r="B225">
        <v>2</v>
      </c>
      <c r="C225" s="14" t="s">
        <v>576</v>
      </c>
      <c r="D225">
        <v>93.7</v>
      </c>
      <c r="E225">
        <v>2</v>
      </c>
      <c r="F225" s="2">
        <v>2</v>
      </c>
      <c r="G225" s="3">
        <v>0</v>
      </c>
      <c r="H225" s="3">
        <v>0</v>
      </c>
      <c r="I225" s="4">
        <v>0</v>
      </c>
      <c r="J225" s="2">
        <v>0</v>
      </c>
      <c r="K225" s="3">
        <v>0</v>
      </c>
      <c r="L225" s="3">
        <v>0</v>
      </c>
      <c r="M225" s="4">
        <v>0</v>
      </c>
      <c r="N225" s="2">
        <v>0</v>
      </c>
      <c r="O225" s="3">
        <v>0</v>
      </c>
      <c r="P225" s="3">
        <v>0</v>
      </c>
      <c r="Q225" s="4">
        <v>0</v>
      </c>
      <c r="S225" s="26">
        <f t="shared" si="7"/>
        <v>8.4684043832461092E-6</v>
      </c>
      <c r="T225" s="26">
        <f t="shared" si="8"/>
        <v>0.99997459478685014</v>
      </c>
      <c r="V225">
        <v>21</v>
      </c>
      <c r="W225">
        <v>12</v>
      </c>
      <c r="X225">
        <v>17</v>
      </c>
    </row>
    <row r="226" spans="1:24" x14ac:dyDescent="0.35">
      <c r="A226" t="s">
        <v>482</v>
      </c>
      <c r="B226">
        <v>2</v>
      </c>
      <c r="C226" s="14" t="s">
        <v>580</v>
      </c>
      <c r="D226">
        <v>86.2</v>
      </c>
      <c r="E226">
        <v>2</v>
      </c>
      <c r="F226" s="2">
        <v>0</v>
      </c>
      <c r="G226" s="3">
        <v>0</v>
      </c>
      <c r="H226" s="3">
        <v>0</v>
      </c>
      <c r="I226" s="4">
        <v>0</v>
      </c>
      <c r="J226" s="2">
        <v>2</v>
      </c>
      <c r="K226" s="3">
        <v>0</v>
      </c>
      <c r="L226" s="3">
        <v>0</v>
      </c>
      <c r="M226" s="4">
        <v>0</v>
      </c>
      <c r="N226" s="2">
        <v>0</v>
      </c>
      <c r="O226" s="3">
        <v>0</v>
      </c>
      <c r="P226" s="3">
        <v>0</v>
      </c>
      <c r="Q226" s="4">
        <v>0</v>
      </c>
      <c r="S226" s="26">
        <f t="shared" si="7"/>
        <v>8.4684043832461092E-6</v>
      </c>
      <c r="T226" s="26">
        <f t="shared" si="8"/>
        <v>0.99998306319123342</v>
      </c>
      <c r="V226">
        <v>17</v>
      </c>
      <c r="W226">
        <v>40</v>
      </c>
      <c r="X226">
        <v>17</v>
      </c>
    </row>
    <row r="227" spans="1:24" x14ac:dyDescent="0.35">
      <c r="A227" t="s">
        <v>559</v>
      </c>
      <c r="B227">
        <v>2</v>
      </c>
      <c r="C227" s="14" t="s">
        <v>592</v>
      </c>
      <c r="D227">
        <v>100</v>
      </c>
      <c r="E227">
        <v>1</v>
      </c>
      <c r="F227" s="2">
        <v>0</v>
      </c>
      <c r="G227" s="3">
        <v>0</v>
      </c>
      <c r="H227" s="3">
        <v>0</v>
      </c>
      <c r="I227" s="4">
        <v>0</v>
      </c>
      <c r="J227" s="2">
        <v>0</v>
      </c>
      <c r="K227" s="3">
        <v>0</v>
      </c>
      <c r="L227" s="3">
        <v>0</v>
      </c>
      <c r="M227" s="4">
        <v>0</v>
      </c>
      <c r="N227" s="2">
        <v>2</v>
      </c>
      <c r="O227" s="3">
        <v>0</v>
      </c>
      <c r="P227" s="3">
        <v>0</v>
      </c>
      <c r="Q227" s="4">
        <v>0</v>
      </c>
      <c r="S227" s="26">
        <f t="shared" si="7"/>
        <v>8.4684043832461092E-6</v>
      </c>
      <c r="T227" s="26">
        <f t="shared" si="8"/>
        <v>0.99999153159561671</v>
      </c>
      <c r="V227">
        <v>0</v>
      </c>
      <c r="W227">
        <v>0</v>
      </c>
      <c r="X227">
        <v>86</v>
      </c>
    </row>
    <row r="228" spans="1:24" x14ac:dyDescent="0.35">
      <c r="A228" t="s">
        <v>589</v>
      </c>
      <c r="B228">
        <v>2</v>
      </c>
      <c r="C228" s="14" t="s">
        <v>125</v>
      </c>
      <c r="D228">
        <v>90.9</v>
      </c>
      <c r="E228" s="3">
        <v>1</v>
      </c>
      <c r="F228" s="5">
        <v>0</v>
      </c>
      <c r="G228" s="6">
        <v>0</v>
      </c>
      <c r="H228" s="6">
        <v>0</v>
      </c>
      <c r="I228" s="6">
        <v>0</v>
      </c>
      <c r="J228" s="6">
        <v>1</v>
      </c>
      <c r="K228" s="6">
        <v>0</v>
      </c>
      <c r="L228" s="6">
        <v>0</v>
      </c>
      <c r="M228" s="6">
        <v>0</v>
      </c>
      <c r="N228" s="6">
        <v>1</v>
      </c>
      <c r="O228" s="6">
        <v>0</v>
      </c>
      <c r="P228" s="6">
        <v>0</v>
      </c>
      <c r="Q228" s="7">
        <v>0</v>
      </c>
      <c r="S228" s="26">
        <f t="shared" si="7"/>
        <v>8.4684043832461092E-6</v>
      </c>
      <c r="T228" s="26">
        <f t="shared" si="8"/>
        <v>1</v>
      </c>
      <c r="V228">
        <v>8</v>
      </c>
      <c r="W228">
        <v>23</v>
      </c>
      <c r="X228">
        <v>100</v>
      </c>
    </row>
    <row r="229" spans="1:24" x14ac:dyDescent="0.35"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S229" s="26"/>
      <c r="T229" s="26"/>
    </row>
  </sheetData>
  <conditionalFormatting sqref="F4:F228">
    <cfRule type="expression" dxfId="44" priority="2" stopIfTrue="1">
      <formula>$F4=0</formula>
    </cfRule>
    <cfRule type="expression" dxfId="43" priority="3">
      <formula>$V4&lt;100</formula>
    </cfRule>
    <cfRule type="expression" dxfId="42" priority="4">
      <formula>$V4=100</formula>
    </cfRule>
  </conditionalFormatting>
  <conditionalFormatting sqref="V4:X228">
    <cfRule type="cellIs" dxfId="41" priority="1" operator="between">
      <formula>95</formula>
      <formula>100</formula>
    </cfRule>
  </conditionalFormatting>
  <conditionalFormatting sqref="J4:J228">
    <cfRule type="expression" dxfId="40" priority="5" stopIfTrue="1">
      <formula>$J4=0</formula>
    </cfRule>
    <cfRule type="expression" dxfId="39" priority="6">
      <formula>$W4&lt;100</formula>
    </cfRule>
    <cfRule type="expression" dxfId="38" priority="7">
      <formula>$W4=100</formula>
    </cfRule>
  </conditionalFormatting>
  <conditionalFormatting sqref="N4:N228">
    <cfRule type="expression" dxfId="37" priority="8" stopIfTrue="1">
      <formula>$N4=0</formula>
    </cfRule>
    <cfRule type="expression" dxfId="36" priority="9">
      <formula>$X4&lt;90</formula>
    </cfRule>
    <cfRule type="expression" dxfId="35" priority="10">
      <formula>$X4=100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D229"/>
  <sheetViews>
    <sheetView topLeftCell="B1" workbookViewId="0">
      <selection activeCell="K32" sqref="K32"/>
    </sheetView>
  </sheetViews>
  <sheetFormatPr defaultRowHeight="14.5" x14ac:dyDescent="0.35"/>
  <cols>
    <col min="5" max="5" width="14" customWidth="1"/>
    <col min="6" max="6" width="3.81640625" customWidth="1"/>
    <col min="7" max="7" width="18.1796875" customWidth="1"/>
    <col min="8" max="8" width="3.453125" customWidth="1"/>
    <col min="9" max="9" width="18.81640625" customWidth="1"/>
    <col min="10" max="10" width="2.81640625" customWidth="1"/>
    <col min="11" max="11" width="19.1796875" customWidth="1"/>
    <col min="12" max="12" width="2.81640625" customWidth="1"/>
    <col min="14" max="14" width="2.81640625" customWidth="1"/>
    <col min="15" max="15" width="7.1796875" customWidth="1"/>
    <col min="16" max="16" width="25.1796875" customWidth="1"/>
    <col min="19" max="30" width="10.81640625" customWidth="1"/>
  </cols>
  <sheetData>
    <row r="1" spans="1:30" x14ac:dyDescent="0.35">
      <c r="A1" t="str">
        <f>'AESS-all'!A1</f>
        <v>Combined OTU table from single run of all 12 sources.</v>
      </c>
      <c r="S1">
        <f>'AESS-all'!S1</f>
        <v>42897</v>
      </c>
      <c r="T1">
        <f>'AESS-all'!T1</f>
        <v>19600</v>
      </c>
      <c r="U1">
        <f>'AESS-all'!U1</f>
        <v>7684</v>
      </c>
      <c r="V1">
        <f>'AESS-all'!V1</f>
        <v>16895</v>
      </c>
      <c r="W1">
        <f>'AESS-all'!W1</f>
        <v>46024</v>
      </c>
      <c r="X1">
        <f>'AESS-all'!X1</f>
        <v>15848</v>
      </c>
      <c r="Y1">
        <f>'AESS-all'!Y1</f>
        <v>3483</v>
      </c>
      <c r="Z1">
        <f>'AESS-all'!Z1</f>
        <v>3502</v>
      </c>
      <c r="AA1">
        <f>'AESS-all'!AA1</f>
        <v>34876</v>
      </c>
      <c r="AB1">
        <f>'AESS-all'!AB1</f>
        <v>23056</v>
      </c>
      <c r="AC1">
        <f>'AESS-all'!AC1</f>
        <v>10875</v>
      </c>
      <c r="AD1">
        <f>'AESS-all'!AD1</f>
        <v>11432</v>
      </c>
    </row>
    <row r="3" spans="1:30" s="1" customFormat="1" ht="43.5" x14ac:dyDescent="0.35">
      <c r="A3" s="1" t="str">
        <f>'AESS-all'!A3</f>
        <v>OTU</v>
      </c>
      <c r="B3" s="1" t="str">
        <f>'AESS-all'!B3</f>
        <v>Size</v>
      </c>
      <c r="C3" s="1" t="str">
        <f>'AESS-all'!C3</f>
        <v>RDP classification</v>
      </c>
      <c r="O3" s="1" t="str">
        <f>'AESS-all'!O3</f>
        <v>Conf.</v>
      </c>
      <c r="P3" s="1" t="str">
        <f>'AESS-all'!P3</f>
        <v>Species</v>
      </c>
      <c r="Q3" s="1" t="str">
        <f>'AESS-all'!Q3</f>
        <v>Match%</v>
      </c>
      <c r="R3" s="1" t="str">
        <f>'AESS-all'!R3</f>
        <v>Match#</v>
      </c>
      <c r="S3" s="21" t="str">
        <f>'AESS-all'!S3</f>
        <v>W1 amplicon</v>
      </c>
      <c r="T3" s="22" t="str">
        <f>'AESS-all'!T3</f>
        <v>W1 16S extended</v>
      </c>
      <c r="U3" s="22" t="str">
        <f>'AESS-all'!U3</f>
        <v>W1 Spades contigs</v>
      </c>
      <c r="V3" s="23" t="str">
        <f>'AESS-all'!V3</f>
        <v>W1 Spades 16S contigs</v>
      </c>
      <c r="W3" s="21" t="str">
        <f>'AESS-all'!W3</f>
        <v>W2 amplicon</v>
      </c>
      <c r="X3" s="22" t="str">
        <f>'AESS-all'!X3</f>
        <v>W2 16S extended</v>
      </c>
      <c r="Y3" s="22" t="str">
        <f>'AESS-all'!Y3</f>
        <v>W2 Spades contigs</v>
      </c>
      <c r="Z3" s="23" t="str">
        <f>'AESS-all'!Z3</f>
        <v>W2 Spades 16S contigs</v>
      </c>
      <c r="AA3" s="21" t="str">
        <f>'AESS-all'!AA3</f>
        <v>W3 amplicon</v>
      </c>
      <c r="AB3" s="22" t="str">
        <f>'AESS-all'!AB3</f>
        <v>W3 16S extended</v>
      </c>
      <c r="AC3" s="22" t="str">
        <f>'AESS-all'!AC3</f>
        <v>W3 Spades contigs</v>
      </c>
      <c r="AD3" s="23" t="str">
        <f>'AESS-all'!AD3</f>
        <v>W3 Spades 16S contigs</v>
      </c>
    </row>
    <row r="4" spans="1:30" x14ac:dyDescent="0.35">
      <c r="A4" t="str">
        <f>'AESS-all'!A4</f>
        <v>OTU_1</v>
      </c>
      <c r="B4">
        <f>'AESS-all'!B4</f>
        <v>58184</v>
      </c>
      <c r="C4" t="str">
        <f>'AESS-all'!C4</f>
        <v>Root</v>
      </c>
      <c r="D4" t="str">
        <f>'AESS-all'!D4</f>
        <v>Bacteria</v>
      </c>
      <c r="E4" t="str">
        <f>'AESS-all'!E4</f>
        <v>Proteobacteria</v>
      </c>
      <c r="F4" t="str">
        <f>'AESS-all'!F4</f>
        <v>.</v>
      </c>
      <c r="G4" t="str">
        <f>'AESS-all'!G4</f>
        <v>Deltaproteobacteria</v>
      </c>
      <c r="H4" t="str">
        <f>'AESS-all'!H4</f>
        <v>.</v>
      </c>
      <c r="I4" t="str">
        <f>'AESS-all'!I4</f>
        <v>Desulfuromonadales</v>
      </c>
      <c r="J4" t="str">
        <f>'AESS-all'!J4</f>
        <v>.</v>
      </c>
      <c r="K4" t="str">
        <f>'AESS-all'!K4</f>
        <v>Desulfuromonadaceae</v>
      </c>
      <c r="L4" t="str">
        <f>'AESS-all'!L4</f>
        <v>.</v>
      </c>
      <c r="M4" t="str">
        <f>'AESS-all'!M4</f>
        <v>Desulfuromonas</v>
      </c>
      <c r="N4" t="str">
        <f>'AESS-all'!N4</f>
        <v>.</v>
      </c>
      <c r="O4">
        <f>'AESS-all'!O4</f>
        <v>0.91</v>
      </c>
      <c r="P4" t="str">
        <f>'AESS-all'!P4</f>
        <v>Desulfuromonas_acetexigens_(T)_(U23140)</v>
      </c>
      <c r="Q4">
        <f>'AESS-all'!Q4</f>
        <v>96.8</v>
      </c>
      <c r="R4">
        <f>'AESS-all'!R4</f>
        <v>1</v>
      </c>
      <c r="S4" s="46">
        <f>'AESS-all'!S4/'AESS-all'!S$1</f>
        <v>0.63717742499475483</v>
      </c>
      <c r="T4" s="47">
        <f>'AESS-all'!T4/'AESS-all'!T$1</f>
        <v>0.6925510204081633</v>
      </c>
      <c r="U4" s="47">
        <f>'AESS-all'!U4/'AESS-all'!U$1</f>
        <v>0.68870380010411247</v>
      </c>
      <c r="V4" s="48">
        <f>'AESS-all'!V4/'AESS-all'!V$1</f>
        <v>0.50571174903817695</v>
      </c>
      <c r="W4" s="46">
        <f>'AESS-all'!W4/'AESS-all'!W$1</f>
        <v>2.8680688336520078E-3</v>
      </c>
      <c r="X4" s="47">
        <f>'AESS-all'!X4/'AESS-all'!X$1</f>
        <v>0</v>
      </c>
      <c r="Y4" s="47">
        <f>'AESS-all'!Y4/'AESS-all'!Y$1</f>
        <v>0</v>
      </c>
      <c r="Z4" s="48">
        <f>'AESS-all'!Z4/'AESS-all'!Z$1</f>
        <v>0</v>
      </c>
      <c r="AA4" s="46">
        <f>'AESS-all'!AA4/'AESS-all'!AA$1</f>
        <v>4.4557862140153684E-2</v>
      </c>
      <c r="AB4" s="47">
        <f>'AESS-all'!AB4/'AESS-all'!AB$1</f>
        <v>4.3806384455239419E-2</v>
      </c>
      <c r="AC4" s="47">
        <f>'AESS-all'!AC4/'AESS-all'!AC$1</f>
        <v>1.793103448275862E-2</v>
      </c>
      <c r="AD4" s="48">
        <f>'AESS-all'!AD4/'AESS-all'!AD$1</f>
        <v>4.8110566829951018E-2</v>
      </c>
    </row>
    <row r="5" spans="1:30" x14ac:dyDescent="0.35">
      <c r="A5" t="str">
        <f>'AESS-all'!A5</f>
        <v>OTU_2</v>
      </c>
      <c r="B5">
        <f>'AESS-all'!B5</f>
        <v>24970</v>
      </c>
      <c r="C5" t="str">
        <f>'AESS-all'!C5</f>
        <v>Root</v>
      </c>
      <c r="D5" t="str">
        <f>'AESS-all'!D5</f>
        <v>Bacteria</v>
      </c>
      <c r="E5" t="str">
        <f>'AESS-all'!E5</f>
        <v>.</v>
      </c>
      <c r="F5" t="str">
        <f>'AESS-all'!F5</f>
        <v>.</v>
      </c>
      <c r="G5" t="str">
        <f>'AESS-all'!G5</f>
        <v>.</v>
      </c>
      <c r="H5" t="str">
        <f>'AESS-all'!H5</f>
        <v>.</v>
      </c>
      <c r="I5" t="str">
        <f>'AESS-all'!I5</f>
        <v>.</v>
      </c>
      <c r="J5" t="str">
        <f>'AESS-all'!J5</f>
        <v>.</v>
      </c>
      <c r="K5" t="str">
        <f>'AESS-all'!K5</f>
        <v>.</v>
      </c>
      <c r="L5" t="str">
        <f>'AESS-all'!L5</f>
        <v>.</v>
      </c>
      <c r="M5" t="str">
        <f>'AESS-all'!M5</f>
        <v>.</v>
      </c>
      <c r="N5" t="str">
        <f>'AESS-all'!N5</f>
        <v>.</v>
      </c>
      <c r="O5">
        <f>'AESS-all'!O5</f>
        <v>0.99</v>
      </c>
      <c r="P5" t="str">
        <f>'AESS-all'!P5</f>
        <v>Thermodesulfovibrio_aggregans_(T)_TGE-P1_(AB021302)</v>
      </c>
      <c r="Q5">
        <f>'AESS-all'!Q5</f>
        <v>87</v>
      </c>
      <c r="R5">
        <f>'AESS-all'!R5</f>
        <v>1</v>
      </c>
      <c r="S5" s="49">
        <f>'AESS-all'!S5/'AESS-all'!S$1</f>
        <v>5.5947968389397865E-4</v>
      </c>
      <c r="T5" s="50">
        <f>'AESS-all'!T5/'AESS-all'!T$1</f>
        <v>0</v>
      </c>
      <c r="U5" s="50">
        <f>'AESS-all'!U5/'AESS-all'!U$1</f>
        <v>0</v>
      </c>
      <c r="V5" s="51">
        <f>'AESS-all'!V5/'AESS-all'!V$1</f>
        <v>0</v>
      </c>
      <c r="W5" s="49">
        <f>'AESS-all'!W5/'AESS-all'!W$1</f>
        <v>0.37197983660698763</v>
      </c>
      <c r="X5" s="50">
        <f>'AESS-all'!X5/'AESS-all'!X$1</f>
        <v>0.49318525996971224</v>
      </c>
      <c r="Y5" s="50">
        <f>'AESS-all'!Y5/'AESS-all'!Y$1</f>
        <v>0</v>
      </c>
      <c r="Z5" s="51">
        <f>'AESS-all'!Z5/'AESS-all'!Z$1</f>
        <v>0</v>
      </c>
      <c r="AA5" s="49">
        <f>'AESS-all'!AA5/'AESS-all'!AA$1</f>
        <v>2.8673012960201858E-4</v>
      </c>
      <c r="AB5" s="50">
        <f>'AESS-all'!AB5/'AESS-all'!AB$1</f>
        <v>0</v>
      </c>
      <c r="AC5" s="50">
        <f>'AESS-all'!AC5/'AESS-all'!AC$1</f>
        <v>0</v>
      </c>
      <c r="AD5" s="51">
        <f>'AESS-all'!AD5/'AESS-all'!AD$1</f>
        <v>0</v>
      </c>
    </row>
    <row r="6" spans="1:30" x14ac:dyDescent="0.35">
      <c r="A6" t="str">
        <f>'AESS-all'!A6</f>
        <v>OTU_3</v>
      </c>
      <c r="B6">
        <f>'AESS-all'!B6</f>
        <v>14236</v>
      </c>
      <c r="C6" t="str">
        <f>'AESS-all'!C6</f>
        <v>Root</v>
      </c>
      <c r="D6" t="str">
        <f>'AESS-all'!D6</f>
        <v>Bacteria</v>
      </c>
      <c r="E6" t="str">
        <f>'AESS-all'!E6</f>
        <v>Spirochaetes</v>
      </c>
      <c r="F6" t="str">
        <f>'AESS-all'!F6</f>
        <v>.</v>
      </c>
      <c r="G6" t="str">
        <f>'AESS-all'!G6</f>
        <v>Spirochaetia</v>
      </c>
      <c r="H6" t="str">
        <f>'AESS-all'!H6</f>
        <v>.</v>
      </c>
      <c r="I6" t="str">
        <f>'AESS-all'!I6</f>
        <v>Spirochaetales</v>
      </c>
      <c r="J6" t="str">
        <f>'AESS-all'!J6</f>
        <v>.</v>
      </c>
      <c r="K6" t="str">
        <f>'AESS-all'!K6</f>
        <v>Spirochaetaceae</v>
      </c>
      <c r="L6" t="str">
        <f>'AESS-all'!L6</f>
        <v>.</v>
      </c>
      <c r="M6" t="str">
        <f>'AESS-all'!M6</f>
        <v>.</v>
      </c>
      <c r="N6" t="str">
        <f>'AESS-all'!N6</f>
        <v>.</v>
      </c>
      <c r="O6">
        <f>'AESS-all'!O6</f>
        <v>0.56999999999999995</v>
      </c>
      <c r="P6" t="str">
        <f>'AESS-all'!P6</f>
        <v>Treponema_zuelzerae_(T)_type_strain:_DSM_1903;_2_(FR749929)</v>
      </c>
      <c r="Q6">
        <f>'AESS-all'!Q6</f>
        <v>85.8</v>
      </c>
      <c r="R6">
        <f>'AESS-all'!R6</f>
        <v>1</v>
      </c>
      <c r="S6" s="49">
        <f>'AESS-all'!S6/'AESS-all'!S$1</f>
        <v>3.0305149544257172E-4</v>
      </c>
      <c r="T6" s="50">
        <f>'AESS-all'!T6/'AESS-all'!T$1</f>
        <v>0</v>
      </c>
      <c r="U6" s="50">
        <f>'AESS-all'!U6/'AESS-all'!U$1</f>
        <v>0</v>
      </c>
      <c r="V6" s="51">
        <f>'AESS-all'!V6/'AESS-all'!V$1</f>
        <v>0</v>
      </c>
      <c r="W6" s="49">
        <f>'AESS-all'!W6/'AESS-all'!W$1</f>
        <v>2.54432470015644E-2</v>
      </c>
      <c r="X6" s="50">
        <f>'AESS-all'!X6/'AESS-all'!X$1</f>
        <v>1.9245330641090359E-2</v>
      </c>
      <c r="Y6" s="50">
        <f>'AESS-all'!Y6/'AESS-all'!Y$1</f>
        <v>3.5027275337352858E-2</v>
      </c>
      <c r="Z6" s="51">
        <f>'AESS-all'!Z6/'AESS-all'!Z$1</f>
        <v>6.5391205025699603E-2</v>
      </c>
      <c r="AA6" s="49">
        <f>'AESS-all'!AA6/'AESS-all'!AA$1</f>
        <v>0.17077646519096226</v>
      </c>
      <c r="AB6" s="50">
        <f>'AESS-all'!AB6/'AESS-all'!AB$1</f>
        <v>0.13311068702290077</v>
      </c>
      <c r="AC6" s="50">
        <f>'AESS-all'!AC6/'AESS-all'!AC$1</f>
        <v>0.17370114942528736</v>
      </c>
      <c r="AD6" s="51">
        <f>'AESS-all'!AD6/'AESS-all'!AD$1</f>
        <v>0.12963610916724982</v>
      </c>
    </row>
    <row r="7" spans="1:30" x14ac:dyDescent="0.35">
      <c r="A7" t="str">
        <f>'AESS-all'!A7</f>
        <v>OTU_4</v>
      </c>
      <c r="B7">
        <f>'AESS-all'!B7</f>
        <v>12568</v>
      </c>
      <c r="C7" t="str">
        <f>'AESS-all'!C7</f>
        <v>Root</v>
      </c>
      <c r="D7" t="str">
        <f>'AESS-all'!D7</f>
        <v>Archaea</v>
      </c>
      <c r="E7" t="str">
        <f>'AESS-all'!E7</f>
        <v>Euryarchaeota</v>
      </c>
      <c r="F7" t="str">
        <f>'AESS-all'!F7</f>
        <v>.</v>
      </c>
      <c r="G7" t="str">
        <f>'AESS-all'!G7</f>
        <v>Methanobacteria</v>
      </c>
      <c r="H7" t="str">
        <f>'AESS-all'!H7</f>
        <v>.</v>
      </c>
      <c r="I7" t="str">
        <f>'AESS-all'!I7</f>
        <v>Methanobacteriales</v>
      </c>
      <c r="J7" t="str">
        <f>'AESS-all'!J7</f>
        <v>.</v>
      </c>
      <c r="K7" t="str">
        <f>'AESS-all'!K7</f>
        <v>Methanobacteriaceae</v>
      </c>
      <c r="L7" t="str">
        <f>'AESS-all'!L7</f>
        <v>.</v>
      </c>
      <c r="M7" t="str">
        <f>'AESS-all'!M7</f>
        <v>Methanobacterium</v>
      </c>
      <c r="N7" t="str">
        <f>'AESS-all'!N7</f>
        <v>.</v>
      </c>
      <c r="O7">
        <f>'AESS-all'!O7</f>
        <v>1</v>
      </c>
      <c r="P7" t="str">
        <f>'AESS-all'!P7</f>
        <v>Methanobacterium_subterraneum_(T)_A8p,_DSM_11074_(X99044)</v>
      </c>
      <c r="Q7">
        <f>'AESS-all'!Q7</f>
        <v>100</v>
      </c>
      <c r="R7">
        <f>'AESS-all'!R7</f>
        <v>1</v>
      </c>
      <c r="S7" s="49">
        <f>'AESS-all'!S7/'AESS-all'!S$1</f>
        <v>1.1655826747791221E-4</v>
      </c>
      <c r="T7" s="50">
        <f>'AESS-all'!T7/'AESS-all'!T$1</f>
        <v>0</v>
      </c>
      <c r="U7" s="50">
        <f>'AESS-all'!U7/'AESS-all'!U$1</f>
        <v>0</v>
      </c>
      <c r="V7" s="51">
        <f>'AESS-all'!V7/'AESS-all'!V$1</f>
        <v>0</v>
      </c>
      <c r="W7" s="49">
        <f>'AESS-all'!W7/'AESS-all'!W$1</f>
        <v>6.3010603163566833E-4</v>
      </c>
      <c r="X7" s="50">
        <f>'AESS-all'!X7/'AESS-all'!X$1</f>
        <v>0</v>
      </c>
      <c r="Y7" s="50">
        <f>'AESS-all'!Y7/'AESS-all'!Y$1</f>
        <v>0</v>
      </c>
      <c r="Z7" s="51">
        <f>'AESS-all'!Z7/'AESS-all'!Z$1</f>
        <v>0</v>
      </c>
      <c r="AA7" s="49">
        <f>'AESS-all'!AA7/'AESS-all'!AA$1</f>
        <v>0.22181442826012157</v>
      </c>
      <c r="AB7" s="50">
        <f>'AESS-all'!AB7/'AESS-all'!AB$1</f>
        <v>0.10379077029840389</v>
      </c>
      <c r="AC7" s="50">
        <f>'AESS-all'!AC7/'AESS-all'!AC$1</f>
        <v>0.12836781609195402</v>
      </c>
      <c r="AD7" s="51">
        <f>'AESS-all'!AD7/'AESS-all'!AD$1</f>
        <v>8.8261021693491953E-2</v>
      </c>
    </row>
    <row r="8" spans="1:30" x14ac:dyDescent="0.35">
      <c r="A8" t="str">
        <f>'AESS-all'!A8</f>
        <v>OTU_6</v>
      </c>
      <c r="B8">
        <f>'AESS-all'!B8</f>
        <v>8872</v>
      </c>
      <c r="C8" t="str">
        <f>'AESS-all'!C8</f>
        <v>Root</v>
      </c>
      <c r="D8" t="str">
        <f>'AESS-all'!D8</f>
        <v>Bacteria</v>
      </c>
      <c r="E8" t="str">
        <f>'AESS-all'!E8</f>
        <v>Bacteroidetes</v>
      </c>
      <c r="F8" t="str">
        <f>'AESS-all'!F8</f>
        <v>.</v>
      </c>
      <c r="G8" t="str">
        <f>'AESS-all'!G8</f>
        <v>Bacteroidia</v>
      </c>
      <c r="H8" t="str">
        <f>'AESS-all'!H8</f>
        <v>.</v>
      </c>
      <c r="I8" t="str">
        <f>'AESS-all'!I8</f>
        <v>Bacteroidales</v>
      </c>
      <c r="J8" t="str">
        <f>'AESS-all'!J8</f>
        <v>.</v>
      </c>
      <c r="K8" t="str">
        <f>'AESS-all'!K8</f>
        <v>Porphyromonadaceae</v>
      </c>
      <c r="L8" t="str">
        <f>'AESS-all'!L8</f>
        <v>.</v>
      </c>
      <c r="M8" t="str">
        <f>'AESS-all'!M8</f>
        <v>.</v>
      </c>
      <c r="N8" t="str">
        <f>'AESS-all'!N8</f>
        <v>.</v>
      </c>
      <c r="O8">
        <f>'AESS-all'!O8</f>
        <v>0.67</v>
      </c>
      <c r="P8" t="str">
        <f>'AESS-all'!P8</f>
        <v>Parabacteroides_distasonis_(T)_JCM_5825_(AB238922)</v>
      </c>
      <c r="Q8">
        <f>'AESS-all'!Q8</f>
        <v>85.8</v>
      </c>
      <c r="R8">
        <f>'AESS-all'!R8</f>
        <v>1</v>
      </c>
      <c r="S8" s="49">
        <f>'AESS-all'!S8/'AESS-all'!S$1</f>
        <v>2.96057999393897E-2</v>
      </c>
      <c r="T8" s="50">
        <f>'AESS-all'!T8/'AESS-all'!T$1</f>
        <v>1.3826530612244897E-2</v>
      </c>
      <c r="U8" s="50">
        <f>'AESS-all'!U8/'AESS-all'!U$1</f>
        <v>2.5117126496616345E-2</v>
      </c>
      <c r="V8" s="51">
        <f>'AESS-all'!V8/'AESS-all'!V$1</f>
        <v>8.2864752885469066E-3</v>
      </c>
      <c r="W8" s="49">
        <f>'AESS-all'!W8/'AESS-all'!W$1</f>
        <v>1.9555014774900052E-4</v>
      </c>
      <c r="X8" s="50">
        <f>'AESS-all'!X8/'AESS-all'!X$1</f>
        <v>0</v>
      </c>
      <c r="Y8" s="50">
        <f>'AESS-all'!Y8/'AESS-all'!Y$1</f>
        <v>0</v>
      </c>
      <c r="Z8" s="51">
        <f>'AESS-all'!Z8/'AESS-all'!Z$1</f>
        <v>0</v>
      </c>
      <c r="AA8" s="49">
        <f>'AESS-all'!AA8/'AESS-all'!AA$1</f>
        <v>8.9345108383988986E-2</v>
      </c>
      <c r="AB8" s="50">
        <f>'AESS-all'!AB8/'AESS-all'!AB$1</f>
        <v>6.9309507286606523E-2</v>
      </c>
      <c r="AC8" s="50">
        <f>'AESS-all'!AC8/'AESS-all'!AC$1</f>
        <v>0.11098850574712643</v>
      </c>
      <c r="AD8" s="51">
        <f>'AESS-all'!AD8/'AESS-all'!AD$1</f>
        <v>9.3421973407977602E-2</v>
      </c>
    </row>
    <row r="9" spans="1:30" x14ac:dyDescent="0.35">
      <c r="A9" t="str">
        <f>'AESS-all'!A9</f>
        <v>OTU_7</v>
      </c>
      <c r="B9">
        <f>'AESS-all'!B9</f>
        <v>8470</v>
      </c>
      <c r="C9" t="str">
        <f>'AESS-all'!C9</f>
        <v>Root</v>
      </c>
      <c r="D9" t="str">
        <f>'AESS-all'!D9</f>
        <v>Archaea</v>
      </c>
      <c r="E9" t="str">
        <f>'AESS-all'!E9</f>
        <v>Euryarchaeota</v>
      </c>
      <c r="F9" t="str">
        <f>'AESS-all'!F9</f>
        <v>.</v>
      </c>
      <c r="G9" t="str">
        <f>'AESS-all'!G9</f>
        <v>Methanomicrobia</v>
      </c>
      <c r="H9" t="str">
        <f>'AESS-all'!H9</f>
        <v>.</v>
      </c>
      <c r="I9" t="str">
        <f>'AESS-all'!I9</f>
        <v>Methanosarcinales</v>
      </c>
      <c r="J9" t="str">
        <f>'AESS-all'!J9</f>
        <v>.</v>
      </c>
      <c r="K9" t="str">
        <f>'AESS-all'!K9</f>
        <v>Methanotrichaceae</v>
      </c>
      <c r="L9" t="str">
        <f>'AESS-all'!L9</f>
        <v>.</v>
      </c>
      <c r="M9" t="str">
        <f>'AESS-all'!M9</f>
        <v>Methanothrix</v>
      </c>
      <c r="N9" t="str">
        <f>'AESS-all'!N9</f>
        <v>.</v>
      </c>
      <c r="O9">
        <f>'AESS-all'!O9</f>
        <v>1</v>
      </c>
      <c r="P9" t="str">
        <f>'AESS-all'!P9</f>
        <v>Methanosaeta_harundinacea_(T)_8Ac_(AY817738)</v>
      </c>
      <c r="Q9">
        <f>'AESS-all'!Q9</f>
        <v>97.2</v>
      </c>
      <c r="R9">
        <f>'AESS-all'!R9</f>
        <v>1</v>
      </c>
      <c r="S9" s="49">
        <f>'AESS-all'!S9/'AESS-all'!S$1</f>
        <v>2.4057626407441079E-2</v>
      </c>
      <c r="T9" s="50">
        <f>'AESS-all'!T9/'AESS-all'!T$1</f>
        <v>9.7959183673469383E-3</v>
      </c>
      <c r="U9" s="50">
        <f>'AESS-all'!U9/'AESS-all'!U$1</f>
        <v>0</v>
      </c>
      <c r="V9" s="51">
        <f>'AESS-all'!V9/'AESS-all'!V$1</f>
        <v>0</v>
      </c>
      <c r="W9" s="49">
        <f>'AESS-all'!W9/'AESS-all'!W$1</f>
        <v>3.4764470710933428E-4</v>
      </c>
      <c r="X9" s="50">
        <f>'AESS-all'!X9/'AESS-all'!X$1</f>
        <v>0</v>
      </c>
      <c r="Y9" s="50">
        <f>'AESS-all'!Y9/'AESS-all'!Y$1</f>
        <v>0</v>
      </c>
      <c r="Z9" s="51">
        <f>'AESS-all'!Z9/'AESS-all'!Z$1</f>
        <v>0</v>
      </c>
      <c r="AA9" s="49">
        <f>'AESS-all'!AA9/'AESS-all'!AA$1</f>
        <v>9.5538479183392588E-2</v>
      </c>
      <c r="AB9" s="50">
        <f>'AESS-all'!AB9/'AESS-all'!AB$1</f>
        <v>8.4229701596113815E-2</v>
      </c>
      <c r="AC9" s="50">
        <f>'AESS-all'!AC9/'AESS-all'!AC$1</f>
        <v>9.6000000000000002E-2</v>
      </c>
      <c r="AD9" s="51">
        <f>'AESS-all'!AD9/'AESS-all'!AD$1</f>
        <v>7.9776067179846047E-2</v>
      </c>
    </row>
    <row r="10" spans="1:30" x14ac:dyDescent="0.35">
      <c r="A10" t="str">
        <f>'AESS-all'!A10</f>
        <v>OTU_8</v>
      </c>
      <c r="B10">
        <f>'AESS-all'!B10</f>
        <v>8389</v>
      </c>
      <c r="C10" t="str">
        <f>'AESS-all'!C10</f>
        <v>Root</v>
      </c>
      <c r="D10" t="str">
        <f>'AESS-all'!D10</f>
        <v>Bacteria</v>
      </c>
      <c r="E10" t="str">
        <f>'AESS-all'!E10</f>
        <v>Bacteroidetes</v>
      </c>
      <c r="F10" t="str">
        <f>'AESS-all'!F10</f>
        <v>.</v>
      </c>
      <c r="G10" t="str">
        <f>'AESS-all'!G10</f>
        <v>.</v>
      </c>
      <c r="H10" t="str">
        <f>'AESS-all'!H10</f>
        <v>.</v>
      </c>
      <c r="I10" t="str">
        <f>'AESS-all'!I10</f>
        <v>.</v>
      </c>
      <c r="J10" t="str">
        <f>'AESS-all'!J10</f>
        <v>.</v>
      </c>
      <c r="K10" t="str">
        <f>'AESS-all'!K10</f>
        <v>.</v>
      </c>
      <c r="L10" t="str">
        <f>'AESS-all'!L10</f>
        <v>.</v>
      </c>
      <c r="M10" t="str">
        <f>'AESS-all'!M10</f>
        <v>.</v>
      </c>
      <c r="N10" t="str">
        <f>'AESS-all'!N10</f>
        <v>.</v>
      </c>
      <c r="O10">
        <f>'AESS-all'!O10</f>
        <v>0.99</v>
      </c>
      <c r="P10" t="str">
        <f>'AESS-all'!P10</f>
        <v>Cytophaga_fermentans_(T)_ATCC_19072_(M58766)</v>
      </c>
      <c r="Q10">
        <f>'AESS-all'!Q10</f>
        <v>87.7</v>
      </c>
      <c r="R10">
        <f>'AESS-all'!R10</f>
        <v>1</v>
      </c>
      <c r="S10" s="49">
        <f>'AESS-all'!S10/'AESS-all'!S$1</f>
        <v>2.0980488146024197E-4</v>
      </c>
      <c r="T10" s="50">
        <f>'AESS-all'!T10/'AESS-all'!T$1</f>
        <v>0</v>
      </c>
      <c r="U10" s="50">
        <f>'AESS-all'!U10/'AESS-all'!U$1</f>
        <v>0</v>
      </c>
      <c r="V10" s="51">
        <f>'AESS-all'!V10/'AESS-all'!V$1</f>
        <v>0</v>
      </c>
      <c r="W10" s="49">
        <f>'AESS-all'!W10/'AESS-all'!W$1</f>
        <v>0.12699895706587866</v>
      </c>
      <c r="X10" s="50">
        <f>'AESS-all'!X10/'AESS-all'!X$1</f>
        <v>7.6981322564361437E-2</v>
      </c>
      <c r="Y10" s="50">
        <f>'AESS-all'!Y10/'AESS-all'!Y$1</f>
        <v>0.21992535170829744</v>
      </c>
      <c r="Z10" s="51">
        <f>'AESS-all'!Z10/'AESS-all'!Z$1</f>
        <v>0.15476870359794404</v>
      </c>
      <c r="AA10" s="49">
        <f>'AESS-all'!AA10/'AESS-all'!AA$1</f>
        <v>2.00711090721413E-4</v>
      </c>
      <c r="AB10" s="50">
        <f>'AESS-all'!AB10/'AESS-all'!AB$1</f>
        <v>0</v>
      </c>
      <c r="AC10" s="50">
        <f>'AESS-all'!AC10/'AESS-all'!AC$1</f>
        <v>0</v>
      </c>
      <c r="AD10" s="51">
        <f>'AESS-all'!AD10/'AESS-all'!AD$1</f>
        <v>0</v>
      </c>
    </row>
    <row r="11" spans="1:30" x14ac:dyDescent="0.35">
      <c r="A11" t="str">
        <f>'AESS-all'!A11</f>
        <v>OTU_5</v>
      </c>
      <c r="B11">
        <f>'AESS-all'!B11</f>
        <v>8105</v>
      </c>
      <c r="C11" t="str">
        <f>'AESS-all'!C11</f>
        <v>Root</v>
      </c>
      <c r="D11" t="str">
        <f>'AESS-all'!D11</f>
        <v>Archaea</v>
      </c>
      <c r="E11" t="str">
        <f>'AESS-all'!E11</f>
        <v>Euryarchaeota</v>
      </c>
      <c r="F11" t="str">
        <f>'AESS-all'!F11</f>
        <v>.</v>
      </c>
      <c r="G11" t="str">
        <f>'AESS-all'!G11</f>
        <v>Methanomicrobia</v>
      </c>
      <c r="H11" t="str">
        <f>'AESS-all'!H11</f>
        <v>.</v>
      </c>
      <c r="I11" t="str">
        <f>'AESS-all'!I11</f>
        <v>Methanosarcinales</v>
      </c>
      <c r="J11" t="str">
        <f>'AESS-all'!J11</f>
        <v>.</v>
      </c>
      <c r="K11" t="str">
        <f>'AESS-all'!K11</f>
        <v>Methanosarcinaceae</v>
      </c>
      <c r="L11" t="str">
        <f>'AESS-all'!L11</f>
        <v>.</v>
      </c>
      <c r="M11" t="str">
        <f>'AESS-all'!M11</f>
        <v>Methanosarcina</v>
      </c>
      <c r="N11" t="str">
        <f>'AESS-all'!N11</f>
        <v>.</v>
      </c>
      <c r="O11">
        <f>'AESS-all'!O11</f>
        <v>1</v>
      </c>
      <c r="P11" t="str">
        <f>'AESS-all'!P11</f>
        <v>Methanosarcina_siciliae_type_strain:_DSM3028_(FR733698)</v>
      </c>
      <c r="Q11">
        <f>'AESS-all'!Q11</f>
        <v>100</v>
      </c>
      <c r="R11">
        <f>'AESS-all'!R11</f>
        <v>7</v>
      </c>
      <c r="S11" s="49">
        <f>'AESS-all'!S11/'AESS-all'!S$1</f>
        <v>2.8859827027531062E-2</v>
      </c>
      <c r="T11" s="50">
        <f>'AESS-all'!T11/'AESS-all'!T$1</f>
        <v>0.13943877551020409</v>
      </c>
      <c r="U11" s="50">
        <f>'AESS-all'!U11/'AESS-all'!U$1</f>
        <v>0.22618427902134305</v>
      </c>
      <c r="V11" s="51">
        <f>'AESS-all'!V11/'AESS-all'!V$1</f>
        <v>0.12482983131103877</v>
      </c>
      <c r="W11" s="49">
        <f>'AESS-all'!W11/'AESS-all'!W$1</f>
        <v>2.390057361376673E-4</v>
      </c>
      <c r="X11" s="50">
        <f>'AESS-all'!X11/'AESS-all'!X$1</f>
        <v>0</v>
      </c>
      <c r="Y11" s="50">
        <f>'AESS-all'!Y11/'AESS-all'!Y$1</f>
        <v>0</v>
      </c>
      <c r="Z11" s="51">
        <f>'AESS-all'!Z11/'AESS-all'!Z$1</f>
        <v>0</v>
      </c>
      <c r="AA11" s="49">
        <f>'AESS-all'!AA11/'AESS-all'!AA$1</f>
        <v>1.5483426998509004E-3</v>
      </c>
      <c r="AB11" s="50">
        <f>'AESS-all'!AB11/'AESS-all'!AB$1</f>
        <v>9.6287300485773768E-3</v>
      </c>
      <c r="AC11" s="50">
        <f>'AESS-all'!AC11/'AESS-all'!AC$1</f>
        <v>0</v>
      </c>
      <c r="AD11" s="51">
        <f>'AESS-all'!AD11/'AESS-all'!AD$1</f>
        <v>0</v>
      </c>
    </row>
    <row r="12" spans="1:30" x14ac:dyDescent="0.35">
      <c r="A12" t="str">
        <f>'AESS-all'!A12</f>
        <v>OTU_11</v>
      </c>
      <c r="B12">
        <f>'AESS-all'!B12</f>
        <v>5998</v>
      </c>
      <c r="C12" t="str">
        <f>'AESS-all'!C12</f>
        <v>Root</v>
      </c>
      <c r="D12" t="str">
        <f>'AESS-all'!D12</f>
        <v>Bacteria</v>
      </c>
      <c r="E12" t="str">
        <f>'AESS-all'!E12</f>
        <v>Firmicutes</v>
      </c>
      <c r="F12" t="str">
        <f>'AESS-all'!F12</f>
        <v>.</v>
      </c>
      <c r="G12" t="str">
        <f>'AESS-all'!G12</f>
        <v>Negativicutes</v>
      </c>
      <c r="H12" t="str">
        <f>'AESS-all'!H12</f>
        <v>.</v>
      </c>
      <c r="I12" t="str">
        <f>'AESS-all'!I12</f>
        <v>Selenomonadales</v>
      </c>
      <c r="J12" t="str">
        <f>'AESS-all'!J12</f>
        <v>.</v>
      </c>
      <c r="K12" t="str">
        <f>'AESS-all'!K12</f>
        <v>Veillonellaceae</v>
      </c>
      <c r="L12" t="str">
        <f>'AESS-all'!L12</f>
        <v>.</v>
      </c>
      <c r="M12" t="str">
        <f>'AESS-all'!M12</f>
        <v>.</v>
      </c>
      <c r="N12" t="str">
        <f>'AESS-all'!N12</f>
        <v>.</v>
      </c>
      <c r="O12">
        <f>'AESS-all'!O12</f>
        <v>0.53</v>
      </c>
      <c r="P12" t="str">
        <f>'AESS-all'!P12</f>
        <v>Lysinibacillus_sp._LAM612_(KF443809)</v>
      </c>
      <c r="Q12">
        <f>'AESS-all'!Q12</f>
        <v>88.5</v>
      </c>
      <c r="R12">
        <f>'AESS-all'!R12</f>
        <v>2</v>
      </c>
      <c r="S12" s="49">
        <f>'AESS-all'!S12/'AESS-all'!S$1</f>
        <v>6.9934960486747332E-5</v>
      </c>
      <c r="T12" s="50">
        <f>'AESS-all'!T12/'AESS-all'!T$1</f>
        <v>0</v>
      </c>
      <c r="U12" s="50">
        <f>'AESS-all'!U12/'AESS-all'!U$1</f>
        <v>0</v>
      </c>
      <c r="V12" s="51">
        <f>'AESS-all'!V12/'AESS-all'!V$1</f>
        <v>0</v>
      </c>
      <c r="W12" s="49">
        <f>'AESS-all'!W12/'AESS-all'!W$1</f>
        <v>1.5209455936033374E-4</v>
      </c>
      <c r="X12" s="50">
        <f>'AESS-all'!X12/'AESS-all'!X$1</f>
        <v>0</v>
      </c>
      <c r="Y12" s="50">
        <f>'AESS-all'!Y12/'AESS-all'!Y$1</f>
        <v>0</v>
      </c>
      <c r="Z12" s="51">
        <f>'AESS-all'!Z12/'AESS-all'!Z$1</f>
        <v>0</v>
      </c>
      <c r="AA12" s="49">
        <f>'AESS-all'!AA12/'AESS-all'!AA$1</f>
        <v>1.528271590778759E-2</v>
      </c>
      <c r="AB12" s="50">
        <f>'AESS-all'!AB12/'AESS-all'!AB$1</f>
        <v>0.17643997224149896</v>
      </c>
      <c r="AC12" s="50">
        <f>'AESS-all'!AC12/'AESS-all'!AC$1</f>
        <v>0</v>
      </c>
      <c r="AD12" s="51">
        <f>'AESS-all'!AD12/'AESS-all'!AD$1</f>
        <v>0.12132610216934919</v>
      </c>
    </row>
    <row r="13" spans="1:30" x14ac:dyDescent="0.35">
      <c r="A13" t="str">
        <f>'AESS-all'!A13</f>
        <v>OTU_10</v>
      </c>
      <c r="B13">
        <f>'AESS-all'!B13</f>
        <v>5619</v>
      </c>
      <c r="C13" t="str">
        <f>'AESS-all'!C13</f>
        <v>Root</v>
      </c>
      <c r="D13" t="str">
        <f>'AESS-all'!D13</f>
        <v>Bacteria</v>
      </c>
      <c r="E13" t="str">
        <f>'AESS-all'!E13</f>
        <v>.</v>
      </c>
      <c r="F13" t="str">
        <f>'AESS-all'!F13</f>
        <v>.</v>
      </c>
      <c r="G13" t="str">
        <f>'AESS-all'!G13</f>
        <v>.</v>
      </c>
      <c r="H13" t="str">
        <f>'AESS-all'!H13</f>
        <v>.</v>
      </c>
      <c r="I13" t="str">
        <f>'AESS-all'!I13</f>
        <v>.</v>
      </c>
      <c r="J13" t="str">
        <f>'AESS-all'!J13</f>
        <v>.</v>
      </c>
      <c r="K13" t="str">
        <f>'AESS-all'!K13</f>
        <v>.</v>
      </c>
      <c r="L13" t="str">
        <f>'AESS-all'!L13</f>
        <v>.</v>
      </c>
      <c r="M13" t="str">
        <f>'AESS-all'!M13</f>
        <v>.</v>
      </c>
      <c r="N13" t="str">
        <f>'AESS-all'!N13</f>
        <v>.</v>
      </c>
      <c r="O13">
        <f>'AESS-all'!O13</f>
        <v>1</v>
      </c>
      <c r="P13" t="str">
        <f>'AESS-all'!P13</f>
        <v>candidate_division_OP1_clone_OPB14_(AF027045)</v>
      </c>
      <c r="Q13">
        <f>'AESS-all'!Q13</f>
        <v>89.7</v>
      </c>
      <c r="R13">
        <f>'AESS-all'!R13</f>
        <v>1</v>
      </c>
      <c r="S13" s="49">
        <f>'AESS-all'!S13/'AESS-all'!S$1</f>
        <v>6.9934960486747332E-5</v>
      </c>
      <c r="T13" s="50">
        <f>'AESS-all'!T13/'AESS-all'!T$1</f>
        <v>0</v>
      </c>
      <c r="U13" s="50">
        <f>'AESS-all'!U13/'AESS-all'!U$1</f>
        <v>0</v>
      </c>
      <c r="V13" s="51">
        <f>'AESS-all'!V13/'AESS-all'!V$1</f>
        <v>0</v>
      </c>
      <c r="W13" s="49">
        <f>'AESS-all'!W13/'AESS-all'!W$1</f>
        <v>8.8149661046410574E-2</v>
      </c>
      <c r="X13" s="50">
        <f>'AESS-all'!X13/'AESS-all'!X$1</f>
        <v>4.8649671882887428E-2</v>
      </c>
      <c r="Y13" s="50">
        <f>'AESS-all'!Y13/'AESS-all'!Y$1</f>
        <v>0.12173413723801321</v>
      </c>
      <c r="Z13" s="51">
        <f>'AESS-all'!Z13/'AESS-all'!Z$1</f>
        <v>0.10222729868646488</v>
      </c>
      <c r="AA13" s="49">
        <f>'AESS-all'!AA13/'AESS-all'!AA$1</f>
        <v>1.7203807776121116E-4</v>
      </c>
      <c r="AB13" s="50">
        <f>'AESS-all'!AB13/'AESS-all'!AB$1</f>
        <v>0</v>
      </c>
      <c r="AC13" s="50">
        <f>'AESS-all'!AC13/'AESS-all'!AC$1</f>
        <v>0</v>
      </c>
      <c r="AD13" s="51">
        <f>'AESS-all'!AD13/'AESS-all'!AD$1</f>
        <v>0</v>
      </c>
    </row>
    <row r="14" spans="1:30" x14ac:dyDescent="0.35">
      <c r="A14" t="str">
        <f>'AESS-all'!A14</f>
        <v>OTU_9</v>
      </c>
      <c r="B14">
        <f>'AESS-all'!B14</f>
        <v>5520</v>
      </c>
      <c r="C14" t="str">
        <f>'AESS-all'!C14</f>
        <v>Root</v>
      </c>
      <c r="D14" t="str">
        <f>'AESS-all'!D14</f>
        <v>Bacteria</v>
      </c>
      <c r="E14" t="str">
        <f>'AESS-all'!E14</f>
        <v>Firmicutes</v>
      </c>
      <c r="F14" t="str">
        <f>'AESS-all'!F14</f>
        <v>.</v>
      </c>
      <c r="G14" t="str">
        <f>'AESS-all'!G14</f>
        <v>Clostridia</v>
      </c>
      <c r="H14" t="str">
        <f>'AESS-all'!H14</f>
        <v>.</v>
      </c>
      <c r="I14" t="str">
        <f>'AESS-all'!I14</f>
        <v>.</v>
      </c>
      <c r="J14" t="str">
        <f>'AESS-all'!J14</f>
        <v>.</v>
      </c>
      <c r="K14" t="str">
        <f>'AESS-all'!K14</f>
        <v>.</v>
      </c>
      <c r="L14" t="str">
        <f>'AESS-all'!L14</f>
        <v>.</v>
      </c>
      <c r="M14" t="str">
        <f>'AESS-all'!M14</f>
        <v>.</v>
      </c>
      <c r="N14" t="str">
        <f>'AESS-all'!N14</f>
        <v>.</v>
      </c>
      <c r="O14">
        <f>'AESS-all'!O14</f>
        <v>0.57999999999999996</v>
      </c>
      <c r="P14" t="str">
        <f>'AESS-all'!P14</f>
        <v>Thermacetogenium_phaeum_(T)_PB_(AB020336)</v>
      </c>
      <c r="Q14">
        <f>'AESS-all'!Q14</f>
        <v>87</v>
      </c>
      <c r="R14">
        <f>'AESS-all'!R14</f>
        <v>1</v>
      </c>
      <c r="S14" s="49">
        <f>'AESS-all'!S14/'AESS-all'!S$1</f>
        <v>1.1655826747791221E-4</v>
      </c>
      <c r="T14" s="50">
        <f>'AESS-all'!T14/'AESS-all'!T$1</f>
        <v>0</v>
      </c>
      <c r="U14" s="50">
        <f>'AESS-all'!U14/'AESS-all'!U$1</f>
        <v>0</v>
      </c>
      <c r="V14" s="51">
        <f>'AESS-all'!V14/'AESS-all'!V$1</f>
        <v>0</v>
      </c>
      <c r="W14" s="49">
        <f>'AESS-all'!W14/'AESS-all'!W$1</f>
        <v>3.0418911872066748E-4</v>
      </c>
      <c r="X14" s="50">
        <f>'AESS-all'!X14/'AESS-all'!X$1</f>
        <v>0</v>
      </c>
      <c r="Y14" s="50">
        <f>'AESS-all'!Y14/'AESS-all'!Y$1</f>
        <v>0</v>
      </c>
      <c r="Z14" s="51">
        <f>'AESS-all'!Z14/'AESS-all'!Z$1</f>
        <v>0</v>
      </c>
      <c r="AA14" s="49">
        <f>'AESS-all'!AA14/'AESS-all'!AA$1</f>
        <v>9.4190847574263104E-2</v>
      </c>
      <c r="AB14" s="50">
        <f>'AESS-all'!AB14/'AESS-all'!AB$1</f>
        <v>9.6113809854267873E-2</v>
      </c>
      <c r="AC14" s="50">
        <f>'AESS-all'!AC14/'AESS-all'!AC$1</f>
        <v>0</v>
      </c>
      <c r="AD14" s="51">
        <f>'AESS-all'!AD14/'AESS-all'!AD$1</f>
        <v>0</v>
      </c>
    </row>
    <row r="15" spans="1:30" x14ac:dyDescent="0.35">
      <c r="A15" t="str">
        <f>'AESS-all'!A15</f>
        <v>OTU_12</v>
      </c>
      <c r="B15">
        <f>'AESS-all'!B15</f>
        <v>4395</v>
      </c>
      <c r="C15" t="str">
        <f>'AESS-all'!C15</f>
        <v>Root</v>
      </c>
      <c r="D15" t="str">
        <f>'AESS-all'!D15</f>
        <v>Bacteria</v>
      </c>
      <c r="E15" t="str">
        <f>'AESS-all'!E15</f>
        <v>Proteobacteria</v>
      </c>
      <c r="F15" t="str">
        <f>'AESS-all'!F15</f>
        <v>.</v>
      </c>
      <c r="G15" t="str">
        <f>'AESS-all'!G15</f>
        <v>Epsilonproteobacteria</v>
      </c>
      <c r="H15" t="str">
        <f>'AESS-all'!H15</f>
        <v>.</v>
      </c>
      <c r="I15" t="str">
        <f>'AESS-all'!I15</f>
        <v>Campylobacterales</v>
      </c>
      <c r="J15" t="str">
        <f>'AESS-all'!J15</f>
        <v>.</v>
      </c>
      <c r="K15" t="str">
        <f>'AESS-all'!K15</f>
        <v>Campylobacteraceae</v>
      </c>
      <c r="L15" t="str">
        <f>'AESS-all'!L15</f>
        <v>.</v>
      </c>
      <c r="M15" t="str">
        <f>'AESS-all'!M15</f>
        <v>Sulfurospirillum</v>
      </c>
      <c r="N15" t="str">
        <f>'AESS-all'!N15</f>
        <v>.</v>
      </c>
      <c r="O15">
        <f>'AESS-all'!O15</f>
        <v>0.62</v>
      </c>
      <c r="P15" t="str">
        <f>'AESS-all'!P15</f>
        <v>Sulfurospirillum_alkalitolerans_HTRB-L1_(GQ863490)</v>
      </c>
      <c r="Q15">
        <f>'AESS-all'!Q15</f>
        <v>97.2</v>
      </c>
      <c r="R15">
        <f>'AESS-all'!R15</f>
        <v>1</v>
      </c>
      <c r="S15" s="49">
        <f>'AESS-all'!S15/'AESS-all'!S$1</f>
        <v>5.4549269179662914E-2</v>
      </c>
      <c r="T15" s="50">
        <f>'AESS-all'!T15/'AESS-all'!T$1</f>
        <v>2.5918367346938774E-2</v>
      </c>
      <c r="U15" s="50">
        <f>'AESS-all'!U15/'AESS-all'!U$1</f>
        <v>0</v>
      </c>
      <c r="V15" s="51">
        <f>'AESS-all'!V15/'AESS-all'!V$1</f>
        <v>8.7303936075762062E-2</v>
      </c>
      <c r="W15" s="49">
        <f>'AESS-all'!W15/'AESS-all'!W$1</f>
        <v>8.9083956196766905E-4</v>
      </c>
      <c r="X15" s="50">
        <f>'AESS-all'!X15/'AESS-all'!X$1</f>
        <v>0</v>
      </c>
      <c r="Y15" s="50">
        <f>'AESS-all'!Y15/'AESS-all'!Y$1</f>
        <v>0</v>
      </c>
      <c r="Z15" s="51">
        <f>'AESS-all'!Z15/'AESS-all'!Z$1</f>
        <v>0</v>
      </c>
      <c r="AA15" s="49">
        <f>'AESS-all'!AA15/'AESS-all'!AA$1</f>
        <v>8.8886340176625757E-4</v>
      </c>
      <c r="AB15" s="50">
        <f>'AESS-all'!AB15/'AESS-all'!AB$1</f>
        <v>0</v>
      </c>
      <c r="AC15" s="50">
        <f>'AESS-all'!AC15/'AESS-all'!AC$1</f>
        <v>0</v>
      </c>
      <c r="AD15" s="51">
        <f>'AESS-all'!AD15/'AESS-all'!AD$1</f>
        <v>0</v>
      </c>
    </row>
    <row r="16" spans="1:30" x14ac:dyDescent="0.35">
      <c r="A16" t="str">
        <f>'AESS-all'!A16</f>
        <v>OTU_13</v>
      </c>
      <c r="B16">
        <f>'AESS-all'!B16</f>
        <v>4223</v>
      </c>
      <c r="C16" t="str">
        <f>'AESS-all'!C16</f>
        <v>Root</v>
      </c>
      <c r="D16" t="str">
        <f>'AESS-all'!D16</f>
        <v>Bacteria</v>
      </c>
      <c r="E16" t="str">
        <f>'AESS-all'!E16</f>
        <v>Firmicutes</v>
      </c>
      <c r="F16" t="str">
        <f>'AESS-all'!F16</f>
        <v>.</v>
      </c>
      <c r="G16" t="str">
        <f>'AESS-all'!G16</f>
        <v>Clostridia</v>
      </c>
      <c r="H16" t="str">
        <f>'AESS-all'!H16</f>
        <v>.</v>
      </c>
      <c r="I16" t="str">
        <f>'AESS-all'!I16</f>
        <v>Thermoanaerobacterales</v>
      </c>
      <c r="J16" t="str">
        <f>'AESS-all'!J16</f>
        <v>.</v>
      </c>
      <c r="K16" t="str">
        <f>'AESS-all'!K16</f>
        <v>Thermoanaerobacteraceae</v>
      </c>
      <c r="L16" t="str">
        <f>'AESS-all'!L16</f>
        <v>.</v>
      </c>
      <c r="M16" t="str">
        <f>'AESS-all'!M16</f>
        <v>.</v>
      </c>
      <c r="N16" t="str">
        <f>'AESS-all'!N16</f>
        <v>.</v>
      </c>
      <c r="O16">
        <f>'AESS-all'!O16</f>
        <v>0.64</v>
      </c>
      <c r="P16" t="str">
        <f>'AESS-all'!P16</f>
        <v>Syntrophaceticus_schinkii_(T)_Sp3_(EU386162)</v>
      </c>
      <c r="Q16">
        <f>'AESS-all'!Q16</f>
        <v>90.5</v>
      </c>
      <c r="R16">
        <f>'AESS-all'!R16</f>
        <v>1</v>
      </c>
      <c r="S16" s="49">
        <f>'AESS-all'!S16/'AESS-all'!S$1</f>
        <v>1.3986992097349466E-4</v>
      </c>
      <c r="T16" s="50">
        <f>'AESS-all'!T16/'AESS-all'!T$1</f>
        <v>0</v>
      </c>
      <c r="U16" s="50">
        <f>'AESS-all'!U16/'AESS-all'!U$1</f>
        <v>0</v>
      </c>
      <c r="V16" s="51">
        <f>'AESS-all'!V16/'AESS-all'!V$1</f>
        <v>0</v>
      </c>
      <c r="W16" s="49">
        <f>'AESS-all'!W16/'AESS-all'!W$1</f>
        <v>6.2380497131931167E-2</v>
      </c>
      <c r="X16" s="50">
        <f>'AESS-all'!X16/'AESS-all'!X$1</f>
        <v>3.1928319030792532E-2</v>
      </c>
      <c r="Y16" s="50">
        <f>'AESS-all'!Y16/'AESS-all'!Y$1</f>
        <v>0.11484352569623887</v>
      </c>
      <c r="Z16" s="51">
        <f>'AESS-all'!Z16/'AESS-all'!Z$1</f>
        <v>0.12364363221016562</v>
      </c>
      <c r="AA16" s="49">
        <f>'AESS-all'!AA16/'AESS-all'!AA$1</f>
        <v>2.00711090721413E-4</v>
      </c>
      <c r="AB16" s="50">
        <f>'AESS-all'!AB16/'AESS-all'!AB$1</f>
        <v>0</v>
      </c>
      <c r="AC16" s="50">
        <f>'AESS-all'!AC16/'AESS-all'!AC$1</f>
        <v>0</v>
      </c>
      <c r="AD16" s="51">
        <f>'AESS-all'!AD16/'AESS-all'!AD$1</f>
        <v>0</v>
      </c>
    </row>
    <row r="17" spans="1:30" x14ac:dyDescent="0.35">
      <c r="A17" t="str">
        <f>'AESS-all'!A17</f>
        <v>OTU_14</v>
      </c>
      <c r="B17">
        <f>'AESS-all'!B17</f>
        <v>4165</v>
      </c>
      <c r="C17" t="str">
        <f>'AESS-all'!C17</f>
        <v>Root</v>
      </c>
      <c r="D17" t="str">
        <f>'AESS-all'!D17</f>
        <v>Archaea</v>
      </c>
      <c r="E17" t="str">
        <f>'AESS-all'!E17</f>
        <v>Euryarchaeota</v>
      </c>
      <c r="F17" t="str">
        <f>'AESS-all'!F17</f>
        <v>.</v>
      </c>
      <c r="G17" t="str">
        <f>'AESS-all'!G17</f>
        <v>Methanomicrobia</v>
      </c>
      <c r="H17" t="str">
        <f>'AESS-all'!H17</f>
        <v>.</v>
      </c>
      <c r="I17" t="str">
        <f>'AESS-all'!I17</f>
        <v>Methanomicrobiales</v>
      </c>
      <c r="J17" t="str">
        <f>'AESS-all'!J17</f>
        <v>.</v>
      </c>
      <c r="K17" t="str">
        <f>'AESS-all'!K17</f>
        <v>Methanomicrobiales_incertae_sedis</v>
      </c>
      <c r="L17" t="str">
        <f>'AESS-all'!L17</f>
        <v>.</v>
      </c>
      <c r="M17" t="str">
        <f>'AESS-all'!M17</f>
        <v>Methanocalculus</v>
      </c>
      <c r="N17" t="str">
        <f>'AESS-all'!N17</f>
        <v>.</v>
      </c>
      <c r="O17">
        <f>'AESS-all'!O17</f>
        <v>1</v>
      </c>
      <c r="P17" t="str">
        <f>'AESS-all'!P17</f>
        <v>Methanocalculus_pumilus_(T)_MHT-1_(AB008853)</v>
      </c>
      <c r="Q17">
        <f>'AESS-all'!Q17</f>
        <v>99.6</v>
      </c>
      <c r="R17">
        <f>'AESS-all'!R17</f>
        <v>1</v>
      </c>
      <c r="S17" s="49">
        <f>'AESS-all'!S17/'AESS-all'!S$1</f>
        <v>7.7208196377369046E-2</v>
      </c>
      <c r="T17" s="50">
        <f>'AESS-all'!T17/'AESS-all'!T$1</f>
        <v>2.4285714285714285E-2</v>
      </c>
      <c r="U17" s="50">
        <f>'AESS-all'!U17/'AESS-all'!U$1</f>
        <v>0</v>
      </c>
      <c r="V17" s="51">
        <f>'AESS-all'!V17/'AESS-all'!V$1</f>
        <v>1.882213672684226E-2</v>
      </c>
      <c r="W17" s="49">
        <f>'AESS-all'!W17/'AESS-all'!W$1</f>
        <v>6.518338258300017E-4</v>
      </c>
      <c r="X17" s="50">
        <f>'AESS-all'!X17/'AESS-all'!X$1</f>
        <v>0</v>
      </c>
      <c r="Y17" s="50">
        <f>'AESS-all'!Y17/'AESS-all'!Y$1</f>
        <v>0</v>
      </c>
      <c r="Z17" s="51">
        <f>'AESS-all'!Z17/'AESS-all'!Z$1</f>
        <v>0</v>
      </c>
      <c r="AA17" s="49">
        <f>'AESS-all'!AA17/'AESS-all'!AA$1</f>
        <v>8.3151737584585383E-4</v>
      </c>
      <c r="AB17" s="50">
        <f>'AESS-all'!AB17/'AESS-all'!AB$1</f>
        <v>0</v>
      </c>
      <c r="AC17" s="50">
        <f>'AESS-all'!AC17/'AESS-all'!AC$1</f>
        <v>0</v>
      </c>
      <c r="AD17" s="51">
        <f>'AESS-all'!AD17/'AESS-all'!AD$1</f>
        <v>0</v>
      </c>
    </row>
    <row r="18" spans="1:30" x14ac:dyDescent="0.35">
      <c r="A18" t="str">
        <f>'AESS-all'!A18</f>
        <v>OTU_16</v>
      </c>
      <c r="B18">
        <f>'AESS-all'!B18</f>
        <v>3899</v>
      </c>
      <c r="C18" t="str">
        <f>'AESS-all'!C18</f>
        <v>Root</v>
      </c>
      <c r="D18" t="str">
        <f>'AESS-all'!D18</f>
        <v>Archaea</v>
      </c>
      <c r="E18" t="str">
        <f>'AESS-all'!E18</f>
        <v>Euryarchaeota</v>
      </c>
      <c r="F18" t="str">
        <f>'AESS-all'!F18</f>
        <v>.</v>
      </c>
      <c r="G18" t="str">
        <f>'AESS-all'!G18</f>
        <v>Methanobacteria</v>
      </c>
      <c r="H18" t="str">
        <f>'AESS-all'!H18</f>
        <v>.</v>
      </c>
      <c r="I18" t="str">
        <f>'AESS-all'!I18</f>
        <v>Methanobacteriales</v>
      </c>
      <c r="J18" t="str">
        <f>'AESS-all'!J18</f>
        <v>.</v>
      </c>
      <c r="K18" t="str">
        <f>'AESS-all'!K18</f>
        <v>Methanobacteriaceae</v>
      </c>
      <c r="L18" t="str">
        <f>'AESS-all'!L18</f>
        <v>.</v>
      </c>
      <c r="M18" t="str">
        <f>'AESS-all'!M18</f>
        <v>Methanobacterium</v>
      </c>
      <c r="N18" t="str">
        <f>'AESS-all'!N18</f>
        <v>.</v>
      </c>
      <c r="O18">
        <f>'AESS-all'!O18</f>
        <v>1</v>
      </c>
      <c r="P18" t="str">
        <f>'AESS-all'!P18</f>
        <v>Methanobacterium_aarhusense_(T)_H2-LR_(AY386124)</v>
      </c>
      <c r="Q18">
        <f>'AESS-all'!Q18</f>
        <v>99.6</v>
      </c>
      <c r="R18">
        <f>'AESS-all'!R18</f>
        <v>1</v>
      </c>
      <c r="S18" s="49">
        <f>'AESS-all'!S18/'AESS-all'!S$1</f>
        <v>2.3311653495582441E-5</v>
      </c>
      <c r="T18" s="50">
        <f>'AESS-all'!T18/'AESS-all'!T$1</f>
        <v>0</v>
      </c>
      <c r="U18" s="50">
        <f>'AESS-all'!U18/'AESS-all'!U$1</f>
        <v>0</v>
      </c>
      <c r="V18" s="51">
        <f>'AESS-all'!V18/'AESS-all'!V$1</f>
        <v>0</v>
      </c>
      <c r="W18" s="49">
        <f>'AESS-all'!W18/'AESS-all'!W$1</f>
        <v>6.7443073179210847E-2</v>
      </c>
      <c r="X18" s="50">
        <f>'AESS-all'!X18/'AESS-all'!X$1</f>
        <v>1.7099949520444219E-2</v>
      </c>
      <c r="Y18" s="50">
        <f>'AESS-all'!Y18/'AESS-all'!Y$1</f>
        <v>7.2638530002871085E-2</v>
      </c>
      <c r="Z18" s="51">
        <f>'AESS-all'!Z18/'AESS-all'!Z$1</f>
        <v>7.5099942889777269E-2</v>
      </c>
      <c r="AA18" s="49">
        <f>'AESS-all'!AA18/'AESS-all'!AA$1</f>
        <v>2.00711090721413E-4</v>
      </c>
      <c r="AB18" s="50">
        <f>'AESS-all'!AB18/'AESS-all'!AB$1</f>
        <v>0</v>
      </c>
      <c r="AC18" s="50">
        <f>'AESS-all'!AC18/'AESS-all'!AC$1</f>
        <v>0</v>
      </c>
      <c r="AD18" s="51">
        <f>'AESS-all'!AD18/'AESS-all'!AD$1</f>
        <v>0</v>
      </c>
    </row>
    <row r="19" spans="1:30" x14ac:dyDescent="0.35">
      <c r="A19" t="str">
        <f>'AESS-all'!A19</f>
        <v>OTU_15</v>
      </c>
      <c r="B19">
        <f>'AESS-all'!B19</f>
        <v>3652</v>
      </c>
      <c r="C19" t="str">
        <f>'AESS-all'!C19</f>
        <v>Root</v>
      </c>
      <c r="D19" t="str">
        <f>'AESS-all'!D19</f>
        <v>Bacteria</v>
      </c>
      <c r="E19" t="str">
        <f>'AESS-all'!E19</f>
        <v>Firmicutes</v>
      </c>
      <c r="F19" t="str">
        <f>'AESS-all'!F19</f>
        <v>.</v>
      </c>
      <c r="G19" t="str">
        <f>'AESS-all'!G19</f>
        <v>Clostridia</v>
      </c>
      <c r="H19" t="str">
        <f>'AESS-all'!H19</f>
        <v>.</v>
      </c>
      <c r="I19" t="str">
        <f>'AESS-all'!I19</f>
        <v>Clostridiales</v>
      </c>
      <c r="J19" t="str">
        <f>'AESS-all'!J19</f>
        <v>.</v>
      </c>
      <c r="K19" t="str">
        <f>'AESS-all'!K19</f>
        <v>.</v>
      </c>
      <c r="L19" t="str">
        <f>'AESS-all'!L19</f>
        <v>.</v>
      </c>
      <c r="M19" t="str">
        <f>'AESS-all'!M19</f>
        <v>.</v>
      </c>
      <c r="N19" t="str">
        <f>'AESS-all'!N19</f>
        <v>.</v>
      </c>
      <c r="O19">
        <f>'AESS-all'!O19</f>
        <v>0.89</v>
      </c>
      <c r="P19" t="str">
        <f>'AESS-all'!P19</f>
        <v>Desulfotomaculum_acetoxidans_(T)_DSM_771_(Y11566)</v>
      </c>
      <c r="Q19">
        <f>'AESS-all'!Q19</f>
        <v>90.9</v>
      </c>
      <c r="R19">
        <f>'AESS-all'!R19</f>
        <v>1</v>
      </c>
      <c r="S19" s="49">
        <f>'AESS-all'!S19/'AESS-all'!S$1</f>
        <v>1.3986992097349466E-4</v>
      </c>
      <c r="T19" s="50">
        <f>'AESS-all'!T19/'AESS-all'!T$1</f>
        <v>0</v>
      </c>
      <c r="U19" s="50">
        <f>'AESS-all'!U19/'AESS-all'!U$1</f>
        <v>0</v>
      </c>
      <c r="V19" s="51">
        <f>'AESS-all'!V19/'AESS-all'!V$1</f>
        <v>0</v>
      </c>
      <c r="W19" s="49">
        <f>'AESS-all'!W19/'AESS-all'!W$1</f>
        <v>5.3515557100643145E-2</v>
      </c>
      <c r="X19" s="50">
        <f>'AESS-all'!X19/'AESS-all'!X$1</f>
        <v>7.4268046441191324E-2</v>
      </c>
      <c r="Y19" s="50">
        <f>'AESS-all'!Y19/'AESS-all'!Y$1</f>
        <v>0</v>
      </c>
      <c r="Z19" s="51">
        <f>'AESS-all'!Z19/'AESS-all'!Z$1</f>
        <v>0</v>
      </c>
      <c r="AA19" s="49">
        <f>'AESS-all'!AA19/'AESS-all'!AA$1</f>
        <v>1.7203807776121116E-4</v>
      </c>
      <c r="AB19" s="50">
        <f>'AESS-all'!AB19/'AESS-all'!AB$1</f>
        <v>0</v>
      </c>
      <c r="AC19" s="50">
        <f>'AESS-all'!AC19/'AESS-all'!AC$1</f>
        <v>0</v>
      </c>
      <c r="AD19" s="51">
        <f>'AESS-all'!AD19/'AESS-all'!AD$1</f>
        <v>0</v>
      </c>
    </row>
    <row r="20" spans="1:30" x14ac:dyDescent="0.35">
      <c r="A20" t="str">
        <f>'AESS-all'!A20</f>
        <v>OTU_19</v>
      </c>
      <c r="B20">
        <f>'AESS-all'!B20</f>
        <v>3012</v>
      </c>
      <c r="C20" t="str">
        <f>'AESS-all'!C20</f>
        <v>Root</v>
      </c>
      <c r="D20" t="str">
        <f>'AESS-all'!D20</f>
        <v>Archaea</v>
      </c>
      <c r="E20" t="str">
        <f>'AESS-all'!E20</f>
        <v>Euryarchaeota</v>
      </c>
      <c r="F20" t="str">
        <f>'AESS-all'!F20</f>
        <v>.</v>
      </c>
      <c r="G20" t="str">
        <f>'AESS-all'!G20</f>
        <v>Methanobacteria</v>
      </c>
      <c r="H20" t="str">
        <f>'AESS-all'!H20</f>
        <v>.</v>
      </c>
      <c r="I20" t="str">
        <f>'AESS-all'!I20</f>
        <v>Methanobacteriales</v>
      </c>
      <c r="J20" t="str">
        <f>'AESS-all'!J20</f>
        <v>.</v>
      </c>
      <c r="K20" t="str">
        <f>'AESS-all'!K20</f>
        <v>Methanobacteriaceae</v>
      </c>
      <c r="L20" t="str">
        <f>'AESS-all'!L20</f>
        <v>.</v>
      </c>
      <c r="M20" t="str">
        <f>'AESS-all'!M20</f>
        <v>Methanothermobacter</v>
      </c>
      <c r="N20" t="str">
        <f>'AESS-all'!N20</f>
        <v>.</v>
      </c>
      <c r="O20">
        <f>'AESS-all'!O20</f>
        <v>1</v>
      </c>
      <c r="P20" t="str">
        <f>'AESS-all'!P20</f>
        <v>Methanothermobacter_thermoflexus_(T)_IDZ,_VKM_B-1963,_DSM_7268_(X99047)</v>
      </c>
      <c r="Q20">
        <f>'AESS-all'!Q20</f>
        <v>100</v>
      </c>
      <c r="R20">
        <f>'AESS-all'!R20</f>
        <v>7</v>
      </c>
      <c r="S20" s="49">
        <f>'AESS-all'!S20/'AESS-all'!S$1</f>
        <v>2.3311653495582441E-5</v>
      </c>
      <c r="T20" s="50">
        <f>'AESS-all'!T20/'AESS-all'!T$1</f>
        <v>0</v>
      </c>
      <c r="U20" s="50">
        <f>'AESS-all'!U20/'AESS-all'!U$1</f>
        <v>0</v>
      </c>
      <c r="V20" s="51">
        <f>'AESS-all'!V20/'AESS-all'!V$1</f>
        <v>0</v>
      </c>
      <c r="W20" s="49">
        <f>'AESS-all'!W20/'AESS-all'!W$1</f>
        <v>5.8339127411785152E-2</v>
      </c>
      <c r="X20" s="50">
        <f>'AESS-all'!X20/'AESS-all'!X$1</f>
        <v>2.0570418980312973E-2</v>
      </c>
      <c r="Y20" s="50">
        <f>'AESS-all'!Y20/'AESS-all'!Y$1</f>
        <v>0</v>
      </c>
      <c r="Z20" s="51">
        <f>'AESS-all'!Z20/'AESS-all'!Z$1</f>
        <v>0</v>
      </c>
      <c r="AA20" s="49">
        <f>'AESS-all'!AA20/'AESS-all'!AA$1</f>
        <v>0</v>
      </c>
      <c r="AB20" s="50">
        <f>'AESS-all'!AB20/'AESS-all'!AB$1</f>
        <v>0</v>
      </c>
      <c r="AC20" s="50">
        <f>'AESS-all'!AC20/'AESS-all'!AC$1</f>
        <v>0</v>
      </c>
      <c r="AD20" s="51">
        <f>'AESS-all'!AD20/'AESS-all'!AD$1</f>
        <v>0</v>
      </c>
    </row>
    <row r="21" spans="1:30" x14ac:dyDescent="0.35">
      <c r="A21" t="str">
        <f>'AESS-all'!A21</f>
        <v>OTU_24</v>
      </c>
      <c r="B21">
        <f>'AESS-all'!B21</f>
        <v>2540</v>
      </c>
      <c r="C21" t="str">
        <f>'AESS-all'!C21</f>
        <v>Root</v>
      </c>
      <c r="D21" t="str">
        <f>'AESS-all'!D21</f>
        <v>Bacteria</v>
      </c>
      <c r="E21" t="str">
        <f>'AESS-all'!E21</f>
        <v>Firmicutes</v>
      </c>
      <c r="F21" t="str">
        <f>'AESS-all'!F21</f>
        <v>.</v>
      </c>
      <c r="G21" t="str">
        <f>'AESS-all'!G21</f>
        <v>Clostridia</v>
      </c>
      <c r="H21" t="str">
        <f>'AESS-all'!H21</f>
        <v>.</v>
      </c>
      <c r="I21" t="str">
        <f>'AESS-all'!I21</f>
        <v>Clostridiales</v>
      </c>
      <c r="J21" t="str">
        <f>'AESS-all'!J21</f>
        <v>.</v>
      </c>
      <c r="K21" t="str">
        <f>'AESS-all'!K21</f>
        <v>Clostridiaceae 2</v>
      </c>
      <c r="L21" t="str">
        <f>'AESS-all'!L21</f>
        <v>.</v>
      </c>
      <c r="M21" t="str">
        <f>'AESS-all'!M21</f>
        <v>Natronincola</v>
      </c>
      <c r="N21" t="str">
        <f>'AESS-all'!N21</f>
        <v>.</v>
      </c>
      <c r="O21">
        <f>'AESS-all'!O21</f>
        <v>0.87</v>
      </c>
      <c r="P21" t="str">
        <f>'AESS-all'!P21</f>
        <v>Natronincola_peptidivorans_(T)_Z-7031_(EF382661)</v>
      </c>
      <c r="Q21">
        <f>'AESS-all'!Q21</f>
        <v>99.2</v>
      </c>
      <c r="R21">
        <f>'AESS-all'!R21</f>
        <v>1</v>
      </c>
      <c r="S21" s="49">
        <f>'AESS-all'!S21/'AESS-all'!S$1</f>
        <v>2.7973984194698933E-4</v>
      </c>
      <c r="T21" s="50">
        <f>'AESS-all'!T21/'AESS-all'!T$1</f>
        <v>0</v>
      </c>
      <c r="U21" s="50">
        <f>'AESS-all'!U21/'AESS-all'!U$1</f>
        <v>0</v>
      </c>
      <c r="V21" s="51">
        <f>'AESS-all'!V21/'AESS-all'!V$1</f>
        <v>0</v>
      </c>
      <c r="W21" s="49">
        <f>'AESS-all'!W21/'AESS-all'!W$1</f>
        <v>1.7382235355466714E-4</v>
      </c>
      <c r="X21" s="50">
        <f>'AESS-all'!X21/'AESS-all'!X$1</f>
        <v>0</v>
      </c>
      <c r="Y21" s="50">
        <f>'AESS-all'!Y21/'AESS-all'!Y$1</f>
        <v>0</v>
      </c>
      <c r="Z21" s="51">
        <f>'AESS-all'!Z21/'AESS-all'!Z$1</f>
        <v>0</v>
      </c>
      <c r="AA21" s="49">
        <f>'AESS-all'!AA21/'AESS-all'!AA$1</f>
        <v>3.7074205757541001E-2</v>
      </c>
      <c r="AB21" s="50">
        <f>'AESS-all'!AB21/'AESS-all'!AB$1</f>
        <v>3.2702984038861904E-2</v>
      </c>
      <c r="AC21" s="50">
        <f>'AESS-all'!AC21/'AESS-all'!AC$1</f>
        <v>0</v>
      </c>
      <c r="AD21" s="51">
        <f>'AESS-all'!AD21/'AESS-all'!AD$1</f>
        <v>4.1375087473757871E-2</v>
      </c>
    </row>
    <row r="22" spans="1:30" x14ac:dyDescent="0.35">
      <c r="A22" t="str">
        <f>'AESS-all'!A22</f>
        <v>OTU_18</v>
      </c>
      <c r="B22">
        <f>'AESS-all'!B22</f>
        <v>2287</v>
      </c>
      <c r="C22" t="str">
        <f>'AESS-all'!C22</f>
        <v>Root</v>
      </c>
      <c r="D22" t="str">
        <f>'AESS-all'!D22</f>
        <v>Bacteria</v>
      </c>
      <c r="E22" t="str">
        <f>'AESS-all'!E22</f>
        <v>.</v>
      </c>
      <c r="F22" t="str">
        <f>'AESS-all'!F22</f>
        <v>.</v>
      </c>
      <c r="G22" t="str">
        <f>'AESS-all'!G22</f>
        <v>.</v>
      </c>
      <c r="H22" t="str">
        <f>'AESS-all'!H22</f>
        <v>.</v>
      </c>
      <c r="I22" t="str">
        <f>'AESS-all'!I22</f>
        <v>.</v>
      </c>
      <c r="J22" t="str">
        <f>'AESS-all'!J22</f>
        <v>.</v>
      </c>
      <c r="K22" t="str">
        <f>'AESS-all'!K22</f>
        <v>.</v>
      </c>
      <c r="L22" t="str">
        <f>'AESS-all'!L22</f>
        <v>.</v>
      </c>
      <c r="M22" t="str">
        <f>'AESS-all'!M22</f>
        <v>.</v>
      </c>
      <c r="N22" t="str">
        <f>'AESS-all'!N22</f>
        <v>.</v>
      </c>
      <c r="O22">
        <f>'AESS-all'!O22</f>
        <v>0.95</v>
      </c>
      <c r="P22" t="str">
        <f>'AESS-all'!P22</f>
        <v>*</v>
      </c>
      <c r="Q22">
        <f>'AESS-all'!Q22</f>
        <v>0</v>
      </c>
      <c r="R22">
        <f>'AESS-all'!R22</f>
        <v>1</v>
      </c>
      <c r="S22" s="49">
        <f>'AESS-all'!S22/'AESS-all'!S$1</f>
        <v>4.6623306991164881E-5</v>
      </c>
      <c r="T22" s="50">
        <f>'AESS-all'!T22/'AESS-all'!T$1</f>
        <v>0</v>
      </c>
      <c r="U22" s="50">
        <f>'AESS-all'!U22/'AESS-all'!U$1</f>
        <v>0</v>
      </c>
      <c r="V22" s="51">
        <f>'AESS-all'!V22/'AESS-all'!V$1</f>
        <v>0</v>
      </c>
      <c r="W22" s="49">
        <f>'AESS-all'!W22/'AESS-all'!W$1</f>
        <v>2.0750043455588389E-2</v>
      </c>
      <c r="X22" s="50">
        <f>'AESS-all'!X22/'AESS-all'!X$1</f>
        <v>3.5083291267036854E-2</v>
      </c>
      <c r="Y22" s="50">
        <f>'AESS-all'!Y22/'AESS-all'!Y$1</f>
        <v>0.13838644846396783</v>
      </c>
      <c r="Z22" s="51">
        <f>'AESS-all'!Z22/'AESS-all'!Z$1</f>
        <v>8.3380925185608218E-2</v>
      </c>
      <c r="AA22" s="49">
        <f>'AESS-all'!AA22/'AESS-all'!AA$1</f>
        <v>0</v>
      </c>
      <c r="AB22" s="50">
        <f>'AESS-all'!AB22/'AESS-all'!AB$1</f>
        <v>0</v>
      </c>
      <c r="AC22" s="50">
        <f>'AESS-all'!AC22/'AESS-all'!AC$1</f>
        <v>0</v>
      </c>
      <c r="AD22" s="51">
        <f>'AESS-all'!AD22/'AESS-all'!AD$1</f>
        <v>0</v>
      </c>
    </row>
    <row r="23" spans="1:30" x14ac:dyDescent="0.35">
      <c r="A23" t="str">
        <f>'AESS-all'!A23</f>
        <v>OTU_17</v>
      </c>
      <c r="B23">
        <f>'AESS-all'!B23</f>
        <v>2245</v>
      </c>
      <c r="C23" t="str">
        <f>'AESS-all'!C23</f>
        <v>Root</v>
      </c>
      <c r="D23" t="str">
        <f>'AESS-all'!D23</f>
        <v>Bacteria</v>
      </c>
      <c r="E23" t="str">
        <f>'AESS-all'!E23</f>
        <v>Firmicutes</v>
      </c>
      <c r="F23" t="str">
        <f>'AESS-all'!F23</f>
        <v>.</v>
      </c>
      <c r="G23" t="str">
        <f>'AESS-all'!G23</f>
        <v>Clostridia</v>
      </c>
      <c r="H23" t="str">
        <f>'AESS-all'!H23</f>
        <v>.</v>
      </c>
      <c r="I23" t="str">
        <f>'AESS-all'!I23</f>
        <v>Clostridiales</v>
      </c>
      <c r="J23" t="str">
        <f>'AESS-all'!J23</f>
        <v>.</v>
      </c>
      <c r="K23" t="str">
        <f>'AESS-all'!K23</f>
        <v>.</v>
      </c>
      <c r="L23" t="str">
        <f>'AESS-all'!L23</f>
        <v>.</v>
      </c>
      <c r="M23" t="str">
        <f>'AESS-all'!M23</f>
        <v>.</v>
      </c>
      <c r="N23" t="str">
        <f>'AESS-all'!N23</f>
        <v>.</v>
      </c>
      <c r="O23">
        <f>'AESS-all'!O23</f>
        <v>0.81</v>
      </c>
      <c r="P23" t="str">
        <f>'AESS-all'!P23</f>
        <v>Caldicoprobacter_guelmensis_(T)_D2C22_(JQ707908)</v>
      </c>
      <c r="Q23">
        <f>'AESS-all'!Q23</f>
        <v>91.3</v>
      </c>
      <c r="R23">
        <f>'AESS-all'!R23</f>
        <v>2</v>
      </c>
      <c r="S23" s="49">
        <f>'AESS-all'!S23/'AESS-all'!S$1</f>
        <v>3.9629810942490149E-4</v>
      </c>
      <c r="T23" s="50">
        <f>'AESS-all'!T23/'AESS-all'!T$1</f>
        <v>0</v>
      </c>
      <c r="U23" s="50">
        <f>'AESS-all'!U23/'AESS-all'!U$1</f>
        <v>0</v>
      </c>
      <c r="V23" s="51">
        <f>'AESS-all'!V23/'AESS-all'!V$1</f>
        <v>0</v>
      </c>
      <c r="W23" s="49">
        <f>'AESS-all'!W23/'AESS-all'!W$1</f>
        <v>1.5209455936033374E-4</v>
      </c>
      <c r="X23" s="50">
        <f>'AESS-all'!X23/'AESS-all'!X$1</f>
        <v>0</v>
      </c>
      <c r="Y23" s="50">
        <f>'AESS-all'!Y23/'AESS-all'!Y$1</f>
        <v>0</v>
      </c>
      <c r="Z23" s="51">
        <f>'AESS-all'!Z23/'AESS-all'!Z$1</f>
        <v>0</v>
      </c>
      <c r="AA23" s="49">
        <f>'AESS-all'!AA23/'AESS-all'!AA$1</f>
        <v>1.3677027182016287E-2</v>
      </c>
      <c r="AB23" s="50">
        <f>'AESS-all'!AB23/'AESS-all'!AB$1</f>
        <v>1.4876821651630812E-2</v>
      </c>
      <c r="AC23" s="50">
        <f>'AESS-all'!AC23/'AESS-all'!AC$1</f>
        <v>8.6988505747126438E-2</v>
      </c>
      <c r="AD23" s="51">
        <f>'AESS-all'!AD23/'AESS-all'!AD$1</f>
        <v>3.9800559832050386E-2</v>
      </c>
    </row>
    <row r="24" spans="1:30" x14ac:dyDescent="0.35">
      <c r="A24" t="str">
        <f>'AESS-all'!A24</f>
        <v>OTU_29</v>
      </c>
      <c r="B24">
        <f>'AESS-all'!B24</f>
        <v>2114</v>
      </c>
      <c r="C24" t="str">
        <f>'AESS-all'!C24</f>
        <v>Root</v>
      </c>
      <c r="D24" t="str">
        <f>'AESS-all'!D24</f>
        <v>Archaea</v>
      </c>
      <c r="E24" t="str">
        <f>'AESS-all'!E24</f>
        <v>Euryarchaeota</v>
      </c>
      <c r="F24" t="str">
        <f>'AESS-all'!F24</f>
        <v>.</v>
      </c>
      <c r="G24" t="str">
        <f>'AESS-all'!G24</f>
        <v>Methanobacteria</v>
      </c>
      <c r="H24" t="str">
        <f>'AESS-all'!H24</f>
        <v>.</v>
      </c>
      <c r="I24" t="str">
        <f>'AESS-all'!I24</f>
        <v>Methanobacteriales</v>
      </c>
      <c r="J24" t="str">
        <f>'AESS-all'!J24</f>
        <v>.</v>
      </c>
      <c r="K24" t="str">
        <f>'AESS-all'!K24</f>
        <v>Methanobacteriaceae</v>
      </c>
      <c r="L24" t="str">
        <f>'AESS-all'!L24</f>
        <v>.</v>
      </c>
      <c r="M24" t="str">
        <f>'AESS-all'!M24</f>
        <v>Methanobacterium</v>
      </c>
      <c r="N24" t="str">
        <f>'AESS-all'!N24</f>
        <v>.</v>
      </c>
      <c r="O24">
        <f>'AESS-all'!O24</f>
        <v>0.9</v>
      </c>
      <c r="P24" t="str">
        <f>'AESS-all'!P24</f>
        <v>Methanobacterium_alcaliphilum_(T)_NBRC_105226_(AB496639)</v>
      </c>
      <c r="Q24">
        <f>'AESS-all'!Q24</f>
        <v>100</v>
      </c>
      <c r="R24">
        <f>'AESS-all'!R24</f>
        <v>2</v>
      </c>
      <c r="S24" s="49">
        <f>'AESS-all'!S24/'AESS-all'!S$1</f>
        <v>4.6623306991164881E-5</v>
      </c>
      <c r="T24" s="50">
        <f>'AESS-all'!T24/'AESS-all'!T$1</f>
        <v>0</v>
      </c>
      <c r="U24" s="50">
        <f>'AESS-all'!U24/'AESS-all'!U$1</f>
        <v>0</v>
      </c>
      <c r="V24" s="51">
        <f>'AESS-all'!V24/'AESS-all'!V$1</f>
        <v>0</v>
      </c>
      <c r="W24" s="49">
        <f>'AESS-all'!W24/'AESS-all'!W$1</f>
        <v>2.5225969059621066E-2</v>
      </c>
      <c r="X24" s="50">
        <f>'AESS-all'!X24/'AESS-all'!X$1</f>
        <v>6.3099444724886425E-3</v>
      </c>
      <c r="Y24" s="50">
        <f>'AESS-all'!Y24/'AESS-all'!Y$1</f>
        <v>0</v>
      </c>
      <c r="Z24" s="51">
        <f>'AESS-all'!Z24/'AESS-all'!Z$1</f>
        <v>0</v>
      </c>
      <c r="AA24" s="49">
        <f>'AESS-all'!AA24/'AESS-all'!AA$1</f>
        <v>1.6802385594678289E-2</v>
      </c>
      <c r="AB24" s="50">
        <f>'AESS-all'!AB24/'AESS-all'!AB$1</f>
        <v>1.1493754337265788E-2</v>
      </c>
      <c r="AC24" s="50">
        <f>'AESS-all'!AC24/'AESS-all'!AC$1</f>
        <v>0</v>
      </c>
      <c r="AD24" s="51">
        <f>'AESS-all'!AD24/'AESS-all'!AD$1</f>
        <v>0</v>
      </c>
    </row>
    <row r="25" spans="1:30" x14ac:dyDescent="0.35">
      <c r="A25" t="str">
        <f>'AESS-all'!A25</f>
        <v>OTU_20</v>
      </c>
      <c r="B25">
        <f>'AESS-all'!B25</f>
        <v>2099</v>
      </c>
      <c r="C25" t="str">
        <f>'AESS-all'!C25</f>
        <v>Root</v>
      </c>
      <c r="D25" t="str">
        <f>'AESS-all'!D25</f>
        <v>Bacteria</v>
      </c>
      <c r="E25" t="str">
        <f>'AESS-all'!E25</f>
        <v>Firmicutes</v>
      </c>
      <c r="F25" t="str">
        <f>'AESS-all'!F25</f>
        <v>.</v>
      </c>
      <c r="G25" t="str">
        <f>'AESS-all'!G25</f>
        <v>Clostridia</v>
      </c>
      <c r="H25" t="str">
        <f>'AESS-all'!H25</f>
        <v>.</v>
      </c>
      <c r="I25" t="str">
        <f>'AESS-all'!I25</f>
        <v>Clostridiales</v>
      </c>
      <c r="J25" t="str">
        <f>'AESS-all'!J25</f>
        <v>.</v>
      </c>
      <c r="K25" t="str">
        <f>'AESS-all'!K25</f>
        <v>.</v>
      </c>
      <c r="L25" t="str">
        <f>'AESS-all'!L25</f>
        <v>.</v>
      </c>
      <c r="M25" t="str">
        <f>'AESS-all'!M25</f>
        <v>.</v>
      </c>
      <c r="N25" t="str">
        <f>'AESS-all'!N25</f>
        <v>.</v>
      </c>
      <c r="O25">
        <f>'AESS-all'!O25</f>
        <v>0.85</v>
      </c>
      <c r="P25" t="str">
        <f>'AESS-all'!P25</f>
        <v>Clostridium_hungatei_(T)_AD;_ATCC_700212_(AF020429)</v>
      </c>
      <c r="Q25">
        <f>'AESS-all'!Q25</f>
        <v>91.3</v>
      </c>
      <c r="R25">
        <f>'AESS-all'!R25</f>
        <v>1</v>
      </c>
      <c r="S25" s="49">
        <f>'AESS-all'!S25/'AESS-all'!S$1</f>
        <v>1.1655826747791221E-4</v>
      </c>
      <c r="T25" s="50">
        <f>'AESS-all'!T25/'AESS-all'!T$1</f>
        <v>0</v>
      </c>
      <c r="U25" s="50">
        <f>'AESS-all'!U25/'AESS-all'!U$1</f>
        <v>0</v>
      </c>
      <c r="V25" s="51">
        <f>'AESS-all'!V25/'AESS-all'!V$1</f>
        <v>0</v>
      </c>
      <c r="W25" s="49">
        <f>'AESS-all'!W25/'AESS-all'!W$1</f>
        <v>1.0863897097166696E-4</v>
      </c>
      <c r="X25" s="50">
        <f>'AESS-all'!X25/'AESS-all'!X$1</f>
        <v>0</v>
      </c>
      <c r="Y25" s="50">
        <f>'AESS-all'!Y25/'AESS-all'!Y$1</f>
        <v>0</v>
      </c>
      <c r="Z25" s="51">
        <f>'AESS-all'!Z25/'AESS-all'!Z$1</f>
        <v>0</v>
      </c>
      <c r="AA25" s="49">
        <f>'AESS-all'!AA25/'AESS-all'!AA$1</f>
        <v>3.222846656726689E-2</v>
      </c>
      <c r="AB25" s="50">
        <f>'AESS-all'!AB25/'AESS-all'!AB$1</f>
        <v>4.1854614850798055E-2</v>
      </c>
      <c r="AC25" s="50">
        <f>'AESS-all'!AC25/'AESS-all'!AC$1</f>
        <v>0</v>
      </c>
      <c r="AD25" s="51">
        <f>'AESS-all'!AD25/'AESS-all'!AD$1</f>
        <v>0</v>
      </c>
    </row>
    <row r="26" spans="1:30" x14ac:dyDescent="0.35">
      <c r="A26" t="str">
        <f>'AESS-all'!A26</f>
        <v>OTU_23</v>
      </c>
      <c r="B26">
        <f>'AESS-all'!B26</f>
        <v>2005</v>
      </c>
      <c r="C26" t="str">
        <f>'AESS-all'!C26</f>
        <v>Root</v>
      </c>
      <c r="D26" t="str">
        <f>'AESS-all'!D26</f>
        <v>Bacteria</v>
      </c>
      <c r="E26" t="str">
        <f>'AESS-all'!E26</f>
        <v>Ignavibacteriae</v>
      </c>
      <c r="F26" t="str">
        <f>'AESS-all'!F26</f>
        <v>.</v>
      </c>
      <c r="G26" t="str">
        <f>'AESS-all'!G26</f>
        <v>Ignavibacteria</v>
      </c>
      <c r="H26" t="str">
        <f>'AESS-all'!H26</f>
        <v>.</v>
      </c>
      <c r="I26" t="str">
        <f>'AESS-all'!I26</f>
        <v>Ignavibacteriales</v>
      </c>
      <c r="J26" t="str">
        <f>'AESS-all'!J26</f>
        <v>.</v>
      </c>
      <c r="K26" t="str">
        <f>'AESS-all'!K26</f>
        <v>Ignavibacteriaceae</v>
      </c>
      <c r="L26" t="str">
        <f>'AESS-all'!L26</f>
        <v>.</v>
      </c>
      <c r="M26" t="str">
        <f>'AESS-all'!M26</f>
        <v>Ignavibacterium</v>
      </c>
      <c r="N26" t="str">
        <f>'AESS-all'!N26</f>
        <v>.</v>
      </c>
      <c r="O26">
        <f>'AESS-all'!O26</f>
        <v>1</v>
      </c>
      <c r="P26" t="str">
        <f>'AESS-all'!P26</f>
        <v>Ignavibacterium_album_(T)_Mat9-16_(AB478415)</v>
      </c>
      <c r="Q26">
        <f>'AESS-all'!Q26</f>
        <v>99.6</v>
      </c>
      <c r="R26">
        <f>'AESS-all'!R26</f>
        <v>1</v>
      </c>
      <c r="S26" s="49">
        <f>'AESS-all'!S26/'AESS-all'!S$1</f>
        <v>2.3311653495582441E-5</v>
      </c>
      <c r="T26" s="50">
        <f>'AESS-all'!T26/'AESS-all'!T$1</f>
        <v>0</v>
      </c>
      <c r="U26" s="50">
        <f>'AESS-all'!U26/'AESS-all'!U$1</f>
        <v>0</v>
      </c>
      <c r="V26" s="51">
        <f>'AESS-all'!V26/'AESS-all'!V$1</f>
        <v>0</v>
      </c>
      <c r="W26" s="49">
        <f>'AESS-all'!W26/'AESS-all'!W$1</f>
        <v>2.3661567877629065E-2</v>
      </c>
      <c r="X26" s="50">
        <f>'AESS-all'!X26/'AESS-all'!X$1</f>
        <v>2.574457344775366E-2</v>
      </c>
      <c r="Y26" s="50">
        <f>'AESS-all'!Y26/'AESS-all'!Y$1</f>
        <v>6.7757680160780931E-2</v>
      </c>
      <c r="Z26" s="51">
        <f>'AESS-all'!Z26/'AESS-all'!Z$1</f>
        <v>7.4814391776127934E-2</v>
      </c>
      <c r="AA26" s="49">
        <f>'AESS-all'!AA26/'AESS-all'!AA$1</f>
        <v>2.5805711664181672E-4</v>
      </c>
      <c r="AB26" s="50">
        <f>'AESS-all'!AB26/'AESS-all'!AB$1</f>
        <v>0</v>
      </c>
      <c r="AC26" s="50">
        <f>'AESS-all'!AC26/'AESS-all'!AC$1</f>
        <v>0</v>
      </c>
      <c r="AD26" s="51">
        <f>'AESS-all'!AD26/'AESS-all'!AD$1</f>
        <v>0</v>
      </c>
    </row>
    <row r="27" spans="1:30" x14ac:dyDescent="0.35">
      <c r="A27" t="str">
        <f>'AESS-all'!A27</f>
        <v>OTU_27</v>
      </c>
      <c r="B27">
        <f>'AESS-all'!B27</f>
        <v>1974</v>
      </c>
      <c r="C27" t="str">
        <f>'AESS-all'!C27</f>
        <v>Root</v>
      </c>
      <c r="D27" t="str">
        <f>'AESS-all'!D27</f>
        <v>Bacteria</v>
      </c>
      <c r="E27" t="str">
        <f>'AESS-all'!E27</f>
        <v>Bacteroidetes</v>
      </c>
      <c r="F27" t="str">
        <f>'AESS-all'!F27</f>
        <v>.</v>
      </c>
      <c r="G27" t="str">
        <f>'AESS-all'!G27</f>
        <v>Bacteroidia</v>
      </c>
      <c r="H27" t="str">
        <f>'AESS-all'!H27</f>
        <v>.</v>
      </c>
      <c r="I27" t="str">
        <f>'AESS-all'!I27</f>
        <v>Bacteroidales</v>
      </c>
      <c r="J27" t="str">
        <f>'AESS-all'!J27</f>
        <v>.</v>
      </c>
      <c r="K27" t="str">
        <f>'AESS-all'!K27</f>
        <v>.</v>
      </c>
      <c r="L27" t="str">
        <f>'AESS-all'!L27</f>
        <v>.</v>
      </c>
      <c r="M27" t="str">
        <f>'AESS-all'!M27</f>
        <v>.</v>
      </c>
      <c r="N27" t="str">
        <f>'AESS-all'!N27</f>
        <v>.</v>
      </c>
      <c r="O27">
        <f>'AESS-all'!O27</f>
        <v>0.61</v>
      </c>
      <c r="P27" t="str">
        <f>'AESS-all'!P27</f>
        <v>Porphyromonas_pogonae_strain_MI_10-1288_(NR_136443.1)</v>
      </c>
      <c r="Q27">
        <f>'AESS-all'!Q27</f>
        <v>86.2</v>
      </c>
      <c r="R27">
        <f>'AESS-all'!R27</f>
        <v>2</v>
      </c>
      <c r="S27" s="49">
        <f>'AESS-all'!S27/'AESS-all'!S$1</f>
        <v>2.4687041051821807E-2</v>
      </c>
      <c r="T27" s="50">
        <f>'AESS-all'!T27/'AESS-all'!T$1</f>
        <v>6.5306122448979594E-3</v>
      </c>
      <c r="U27" s="50">
        <f>'AESS-all'!U27/'AESS-all'!U$1</f>
        <v>5.8563248308172826E-3</v>
      </c>
      <c r="V27" s="51">
        <f>'AESS-all'!V27/'AESS-all'!V$1</f>
        <v>3.6105356614382954E-3</v>
      </c>
      <c r="W27" s="49">
        <f>'AESS-all'!W27/'AESS-all'!W$1</f>
        <v>6.3010603163566833E-4</v>
      </c>
      <c r="X27" s="50">
        <f>'AESS-all'!X27/'AESS-all'!X$1</f>
        <v>0</v>
      </c>
      <c r="Y27" s="50">
        <f>'AESS-all'!Y27/'AESS-all'!Y$1</f>
        <v>0</v>
      </c>
      <c r="Z27" s="51">
        <f>'AESS-all'!Z27/'AESS-all'!Z$1</f>
        <v>0</v>
      </c>
      <c r="AA27" s="49">
        <f>'AESS-all'!AA27/'AESS-all'!AA$1</f>
        <v>1.1153802041518522E-2</v>
      </c>
      <c r="AB27" s="50">
        <f>'AESS-all'!AB27/'AESS-all'!AB$1</f>
        <v>5.5950728660652321E-3</v>
      </c>
      <c r="AC27" s="50">
        <f>'AESS-all'!AC27/'AESS-all'!AC$1</f>
        <v>6.5287356321839084E-3</v>
      </c>
      <c r="AD27" s="51">
        <f>'AESS-all'!AD27/'AESS-all'!AD$1</f>
        <v>5.5108467459762068E-3</v>
      </c>
    </row>
    <row r="28" spans="1:30" x14ac:dyDescent="0.35">
      <c r="A28" t="str">
        <f>'AESS-all'!A28</f>
        <v>OTU_21</v>
      </c>
      <c r="B28">
        <f>'AESS-all'!B28</f>
        <v>1955</v>
      </c>
      <c r="C28" t="str">
        <f>'AESS-all'!C28</f>
        <v>Root</v>
      </c>
      <c r="D28" t="str">
        <f>'AESS-all'!D28</f>
        <v>Bacteria</v>
      </c>
      <c r="E28" t="str">
        <f>'AESS-all'!E28</f>
        <v>Bacteroidetes</v>
      </c>
      <c r="F28" t="str">
        <f>'AESS-all'!F28</f>
        <v>.</v>
      </c>
      <c r="G28" t="str">
        <f>'AESS-all'!G28</f>
        <v>Bacteroidia</v>
      </c>
      <c r="H28" t="str">
        <f>'AESS-all'!H28</f>
        <v>.</v>
      </c>
      <c r="I28" t="str">
        <f>'AESS-all'!I28</f>
        <v>Bacteroidales</v>
      </c>
      <c r="J28" t="str">
        <f>'AESS-all'!J28</f>
        <v>.</v>
      </c>
      <c r="K28" t="str">
        <f>'AESS-all'!K28</f>
        <v>Porphyromonadaceae</v>
      </c>
      <c r="L28" t="str">
        <f>'AESS-all'!L28</f>
        <v>.</v>
      </c>
      <c r="M28" t="str">
        <f>'AESS-all'!M28</f>
        <v>.</v>
      </c>
      <c r="N28" t="str">
        <f>'AESS-all'!N28</f>
        <v>.</v>
      </c>
      <c r="O28">
        <f>'AESS-all'!O28</f>
        <v>0.5</v>
      </c>
      <c r="P28" t="str">
        <f>'AESS-all'!P28</f>
        <v>Pontibacter_sp._JC215_A10_(HG008901)</v>
      </c>
      <c r="Q28">
        <f>'AESS-all'!Q28</f>
        <v>85.8</v>
      </c>
      <c r="R28">
        <f>'AESS-all'!R28</f>
        <v>1</v>
      </c>
      <c r="S28" s="49">
        <f>'AESS-all'!S28/'AESS-all'!S$1</f>
        <v>9.3246613982329762E-5</v>
      </c>
      <c r="T28" s="50">
        <f>'AESS-all'!T28/'AESS-all'!T$1</f>
        <v>0</v>
      </c>
      <c r="U28" s="50">
        <f>'AESS-all'!U28/'AESS-all'!U$1</f>
        <v>0</v>
      </c>
      <c r="V28" s="51">
        <f>'AESS-all'!V28/'AESS-all'!V$1</f>
        <v>0</v>
      </c>
      <c r="W28" s="49">
        <f>'AESS-all'!W28/'AESS-all'!W$1</f>
        <v>4.3455588388666785E-5</v>
      </c>
      <c r="X28" s="50">
        <f>'AESS-all'!X28/'AESS-all'!X$1</f>
        <v>0</v>
      </c>
      <c r="Y28" s="50">
        <f>'AESS-all'!Y28/'AESS-all'!Y$1</f>
        <v>0</v>
      </c>
      <c r="Z28" s="51">
        <f>'AESS-all'!Z28/'AESS-all'!Z$1</f>
        <v>0</v>
      </c>
      <c r="AA28" s="49">
        <f>'AESS-all'!AA28/'AESS-all'!AA$1</f>
        <v>2.6694575065947929E-2</v>
      </c>
      <c r="AB28" s="50">
        <f>'AESS-all'!AB28/'AESS-all'!AB$1</f>
        <v>4.4153365718251215E-2</v>
      </c>
      <c r="AC28" s="50">
        <f>'AESS-all'!AC28/'AESS-all'!AC$1</f>
        <v>0</v>
      </c>
      <c r="AD28" s="51">
        <f>'AESS-all'!AD28/'AESS-all'!AD$1</f>
        <v>0</v>
      </c>
    </row>
    <row r="29" spans="1:30" x14ac:dyDescent="0.35">
      <c r="A29" t="str">
        <f>'AESS-all'!A29</f>
        <v>OTU_22</v>
      </c>
      <c r="B29">
        <f>'AESS-all'!B29</f>
        <v>1941</v>
      </c>
      <c r="C29" t="str">
        <f>'AESS-all'!C29</f>
        <v>Root</v>
      </c>
      <c r="D29" t="str">
        <f>'AESS-all'!D29</f>
        <v>Bacteria</v>
      </c>
      <c r="E29" t="str">
        <f>'AESS-all'!E29</f>
        <v>Proteobacteria</v>
      </c>
      <c r="F29" t="str">
        <f>'AESS-all'!F29</f>
        <v>.</v>
      </c>
      <c r="G29" t="str">
        <f>'AESS-all'!G29</f>
        <v>Deltaproteobacteria</v>
      </c>
      <c r="H29" t="str">
        <f>'AESS-all'!H29</f>
        <v>.</v>
      </c>
      <c r="I29" t="str">
        <f>'AESS-all'!I29</f>
        <v>Desulfovibrionales</v>
      </c>
      <c r="J29" t="str">
        <f>'AESS-all'!J29</f>
        <v>.</v>
      </c>
      <c r="K29" t="str">
        <f>'AESS-all'!K29</f>
        <v>Desulfovibrionaceae</v>
      </c>
      <c r="L29" t="str">
        <f>'AESS-all'!L29</f>
        <v>.</v>
      </c>
      <c r="M29" t="str">
        <f>'AESS-all'!M29</f>
        <v>Desulfovibrio</v>
      </c>
      <c r="N29" t="str">
        <f>'AESS-all'!N29</f>
        <v>.</v>
      </c>
      <c r="O29">
        <f>'AESS-all'!O29</f>
        <v>1</v>
      </c>
      <c r="P29" t="str">
        <f>'AESS-all'!P29</f>
        <v>Desulfovibrio_oxamicus_(T)_DSM_1925_(DQ122124)</v>
      </c>
      <c r="Q29">
        <f>'AESS-all'!Q29</f>
        <v>100</v>
      </c>
      <c r="R29">
        <f>'AESS-all'!R29</f>
        <v>1</v>
      </c>
      <c r="S29" s="49">
        <f>'AESS-all'!S29/'AESS-all'!S$1</f>
        <v>4.4292141641606638E-4</v>
      </c>
      <c r="T29" s="50">
        <f>'AESS-all'!T29/'AESS-all'!T$1</f>
        <v>5.1020408163265311E-4</v>
      </c>
      <c r="U29" s="50">
        <f>'AESS-all'!U29/'AESS-all'!U$1</f>
        <v>0</v>
      </c>
      <c r="V29" s="51">
        <f>'AESS-all'!V29/'AESS-all'!V$1</f>
        <v>0</v>
      </c>
      <c r="W29" s="49">
        <f>'AESS-all'!W29/'AESS-all'!W$1</f>
        <v>4.3455588388666785E-5</v>
      </c>
      <c r="X29" s="50">
        <f>'AESS-all'!X29/'AESS-all'!X$1</f>
        <v>0</v>
      </c>
      <c r="Y29" s="50">
        <f>'AESS-all'!Y29/'AESS-all'!Y$1</f>
        <v>0</v>
      </c>
      <c r="Z29" s="51">
        <f>'AESS-all'!Z29/'AESS-all'!Z$1</f>
        <v>0</v>
      </c>
      <c r="AA29" s="49">
        <f>'AESS-all'!AA29/'AESS-all'!AA$1</f>
        <v>2.4658791145773597E-2</v>
      </c>
      <c r="AB29" s="50">
        <f>'AESS-all'!AB29/'AESS-all'!AB$1</f>
        <v>2.7064538514920196E-2</v>
      </c>
      <c r="AC29" s="50">
        <f>'AESS-all'!AC29/'AESS-all'!AC$1</f>
        <v>3.9172413793103447E-2</v>
      </c>
      <c r="AD29" s="51">
        <f>'AESS-all'!AD29/'AESS-all'!AD$1</f>
        <v>0</v>
      </c>
    </row>
    <row r="30" spans="1:30" x14ac:dyDescent="0.35">
      <c r="A30" t="str">
        <f>'AESS-all'!A30</f>
        <v>OTU_26</v>
      </c>
      <c r="B30">
        <f>'AESS-all'!B30</f>
        <v>1857</v>
      </c>
      <c r="C30" t="str">
        <f>'AESS-all'!C30</f>
        <v>Root</v>
      </c>
      <c r="D30" t="str">
        <f>'AESS-all'!D30</f>
        <v>Bacteria</v>
      </c>
      <c r="E30" t="str">
        <f>'AESS-all'!E30</f>
        <v>Firmicutes</v>
      </c>
      <c r="F30" t="str">
        <f>'AESS-all'!F30</f>
        <v>.</v>
      </c>
      <c r="G30" t="str">
        <f>'AESS-all'!G30</f>
        <v>Negativicutes</v>
      </c>
      <c r="H30" t="str">
        <f>'AESS-all'!H30</f>
        <v>.</v>
      </c>
      <c r="I30" t="str">
        <f>'AESS-all'!I30</f>
        <v>Selenomonadales</v>
      </c>
      <c r="J30" t="str">
        <f>'AESS-all'!J30</f>
        <v>.</v>
      </c>
      <c r="K30" t="str">
        <f>'AESS-all'!K30</f>
        <v>Veillonellaceae</v>
      </c>
      <c r="L30" t="str">
        <f>'AESS-all'!L30</f>
        <v>.</v>
      </c>
      <c r="M30" t="str">
        <f>'AESS-all'!M30</f>
        <v>Sporomusa</v>
      </c>
      <c r="N30" t="str">
        <f>'AESS-all'!N30</f>
        <v>.</v>
      </c>
      <c r="O30">
        <f>'AESS-all'!O30</f>
        <v>0.96</v>
      </c>
      <c r="P30" t="str">
        <f>'AESS-all'!P30</f>
        <v>Sporomusa_ovata_strain_DSM_2662_(NR_117659.1)</v>
      </c>
      <c r="Q30">
        <f>'AESS-all'!Q30</f>
        <v>98</v>
      </c>
      <c r="R30">
        <f>'AESS-all'!R30</f>
        <v>3</v>
      </c>
      <c r="S30" s="49">
        <f>'AESS-all'!S30/'AESS-all'!S$1</f>
        <v>2.3311653495582441E-5</v>
      </c>
      <c r="T30" s="50">
        <f>'AESS-all'!T30/'AESS-all'!T$1</f>
        <v>0</v>
      </c>
      <c r="U30" s="50">
        <f>'AESS-all'!U30/'AESS-all'!U$1</f>
        <v>0</v>
      </c>
      <c r="V30" s="51">
        <f>'AESS-all'!V30/'AESS-all'!V$1</f>
        <v>0</v>
      </c>
      <c r="W30" s="49">
        <f>'AESS-all'!W30/'AESS-all'!W$1</f>
        <v>0</v>
      </c>
      <c r="X30" s="50">
        <f>'AESS-all'!X30/'AESS-all'!X$1</f>
        <v>0</v>
      </c>
      <c r="Y30" s="50">
        <f>'AESS-all'!Y30/'AESS-all'!Y$1</f>
        <v>0</v>
      </c>
      <c r="Z30" s="51">
        <f>'AESS-all'!Z30/'AESS-all'!Z$1</f>
        <v>0</v>
      </c>
      <c r="AA30" s="49">
        <f>'AESS-all'!AA30/'AESS-all'!AA$1</f>
        <v>8.7739419658217684E-3</v>
      </c>
      <c r="AB30" s="50">
        <f>'AESS-all'!AB30/'AESS-all'!AB$1</f>
        <v>7.5902151283830672E-3</v>
      </c>
      <c r="AC30" s="50">
        <f>'AESS-all'!AC30/'AESS-all'!AC$1</f>
        <v>7.4022988505747123E-2</v>
      </c>
      <c r="AD30" s="51">
        <f>'AESS-all'!AD30/'AESS-all'!AD$1</f>
        <v>4.9860041987403778E-2</v>
      </c>
    </row>
    <row r="31" spans="1:30" x14ac:dyDescent="0.35">
      <c r="A31" t="str">
        <f>'AESS-all'!A31</f>
        <v>OTU_28</v>
      </c>
      <c r="B31">
        <f>'AESS-all'!B31</f>
        <v>1822</v>
      </c>
      <c r="C31" t="str">
        <f>'AESS-all'!C31</f>
        <v>Root</v>
      </c>
      <c r="D31" t="str">
        <f>'AESS-all'!D31</f>
        <v>Bacteria</v>
      </c>
      <c r="E31" t="str">
        <f>'AESS-all'!E31</f>
        <v>Firmicutes</v>
      </c>
      <c r="F31" t="str">
        <f>'AESS-all'!F31</f>
        <v>.</v>
      </c>
      <c r="G31" t="str">
        <f>'AESS-all'!G31</f>
        <v>Clostridia</v>
      </c>
      <c r="H31" t="str">
        <f>'AESS-all'!H31</f>
        <v>.</v>
      </c>
      <c r="I31" t="str">
        <f>'AESS-all'!I31</f>
        <v>Clostridiales</v>
      </c>
      <c r="J31" t="str">
        <f>'AESS-all'!J31</f>
        <v>.</v>
      </c>
      <c r="K31" t="str">
        <f>'AESS-all'!K31</f>
        <v>Eubacteriaceae</v>
      </c>
      <c r="L31" t="str">
        <f>'AESS-all'!L31</f>
        <v>.</v>
      </c>
      <c r="M31" t="str">
        <f>'AESS-all'!M31</f>
        <v>Acetobacterium</v>
      </c>
      <c r="N31" t="str">
        <f>'AESS-all'!N31</f>
        <v>.</v>
      </c>
      <c r="O31">
        <f>'AESS-all'!O31</f>
        <v>1</v>
      </c>
      <c r="P31" t="str">
        <f>'AESS-all'!P31</f>
        <v>Acetobacterium_malicum_(T)_DSM_4132_(X96957)</v>
      </c>
      <c r="Q31">
        <f>'AESS-all'!Q31</f>
        <v>100</v>
      </c>
      <c r="R31">
        <f>'AESS-all'!R31</f>
        <v>3</v>
      </c>
      <c r="S31" s="49">
        <f>'AESS-all'!S31/'AESS-all'!S$1</f>
        <v>2.1656526097396087E-2</v>
      </c>
      <c r="T31" s="50">
        <f>'AESS-all'!T31/'AESS-all'!T$1</f>
        <v>1.5510204081632653E-2</v>
      </c>
      <c r="U31" s="50">
        <f>'AESS-all'!U31/'AESS-all'!U$1</f>
        <v>4.8152004164497657E-3</v>
      </c>
      <c r="V31" s="51">
        <f>'AESS-all'!V31/'AESS-all'!V$1</f>
        <v>9.5294465818289431E-3</v>
      </c>
      <c r="W31" s="49">
        <f>'AESS-all'!W31/'AESS-all'!W$1</f>
        <v>3.4764470710933428E-4</v>
      </c>
      <c r="X31" s="50">
        <f>'AESS-all'!X31/'AESS-all'!X$1</f>
        <v>0</v>
      </c>
      <c r="Y31" s="50">
        <f>'AESS-all'!Y31/'AESS-all'!Y$1</f>
        <v>0</v>
      </c>
      <c r="Z31" s="51">
        <f>'AESS-all'!Z31/'AESS-all'!Z$1</f>
        <v>0</v>
      </c>
      <c r="AA31" s="49">
        <f>'AESS-all'!AA31/'AESS-all'!AA$1</f>
        <v>4.3869709829108842E-3</v>
      </c>
      <c r="AB31" s="50">
        <f>'AESS-all'!AB31/'AESS-all'!AB$1</f>
        <v>6.7227619708535736E-3</v>
      </c>
      <c r="AC31" s="50">
        <f>'AESS-all'!AC31/'AESS-all'!AC$1</f>
        <v>6.1609195402298851E-3</v>
      </c>
      <c r="AD31" s="51">
        <f>'AESS-all'!AD31/'AESS-all'!AD$1</f>
        <v>0</v>
      </c>
    </row>
    <row r="32" spans="1:30" x14ac:dyDescent="0.35">
      <c r="A32" t="str">
        <f>'AESS-all'!A32</f>
        <v>OTU_25</v>
      </c>
      <c r="B32">
        <f>'AESS-all'!B32</f>
        <v>1536</v>
      </c>
      <c r="C32" t="str">
        <f>'AESS-all'!C32</f>
        <v>Root</v>
      </c>
      <c r="D32" t="str">
        <f>'AESS-all'!D32</f>
        <v>Bacteria</v>
      </c>
      <c r="E32" t="str">
        <f>'AESS-all'!E32</f>
        <v>Firmicutes</v>
      </c>
      <c r="F32" t="str">
        <f>'AESS-all'!F32</f>
        <v>.</v>
      </c>
      <c r="G32" t="str">
        <f>'AESS-all'!G32</f>
        <v>Clostridia</v>
      </c>
      <c r="H32" t="str">
        <f>'AESS-all'!H32</f>
        <v>.</v>
      </c>
      <c r="I32" t="str">
        <f>'AESS-all'!I32</f>
        <v>.</v>
      </c>
      <c r="J32" t="str">
        <f>'AESS-all'!J32</f>
        <v>.</v>
      </c>
      <c r="K32" t="str">
        <f>'AESS-all'!K32</f>
        <v>.</v>
      </c>
      <c r="L32" t="str">
        <f>'AESS-all'!L32</f>
        <v>.</v>
      </c>
      <c r="M32" t="str">
        <f>'AESS-all'!M32</f>
        <v>.</v>
      </c>
      <c r="N32" t="str">
        <f>'AESS-all'!N32</f>
        <v>.</v>
      </c>
      <c r="O32">
        <f>'AESS-all'!O32</f>
        <v>0.84</v>
      </c>
      <c r="P32" t="str">
        <f>'AESS-all'!P32</f>
        <v>Moorella_humiferrea_(T)_64_FGQ_(GQ872425)</v>
      </c>
      <c r="Q32">
        <f>'AESS-all'!Q32</f>
        <v>88.9</v>
      </c>
      <c r="R32">
        <f>'AESS-all'!R32</f>
        <v>2</v>
      </c>
      <c r="S32" s="49">
        <f>'AESS-all'!S32/'AESS-all'!S$1</f>
        <v>2.3311653495582441E-5</v>
      </c>
      <c r="T32" s="50">
        <f>'AESS-all'!T32/'AESS-all'!T$1</f>
        <v>0</v>
      </c>
      <c r="U32" s="50">
        <f>'AESS-all'!U32/'AESS-all'!U$1</f>
        <v>0</v>
      </c>
      <c r="V32" s="51">
        <f>'AESS-all'!V32/'AESS-all'!V$1</f>
        <v>0</v>
      </c>
      <c r="W32" s="49">
        <f>'AESS-all'!W32/'AESS-all'!W$1</f>
        <v>2.8028854510690074E-3</v>
      </c>
      <c r="X32" s="50">
        <f>'AESS-all'!X32/'AESS-all'!X$1</f>
        <v>5.3445229681978797E-2</v>
      </c>
      <c r="Y32" s="50">
        <f>'AESS-all'!Y32/'AESS-all'!Y$1</f>
        <v>0.16049382716049382</v>
      </c>
      <c r="Z32" s="51">
        <f>'AESS-all'!Z32/'AESS-all'!Z$1</f>
        <v>0</v>
      </c>
      <c r="AA32" s="49">
        <f>'AESS-all'!AA32/'AESS-all'!AA$1</f>
        <v>0</v>
      </c>
      <c r="AB32" s="50">
        <f>'AESS-all'!AB32/'AESS-all'!AB$1</f>
        <v>0</v>
      </c>
      <c r="AC32" s="50">
        <f>'AESS-all'!AC32/'AESS-all'!AC$1</f>
        <v>0</v>
      </c>
      <c r="AD32" s="51">
        <f>'AESS-all'!AD32/'AESS-all'!AD$1</f>
        <v>0</v>
      </c>
    </row>
    <row r="33" spans="1:30" x14ac:dyDescent="0.35">
      <c r="A33" t="str">
        <f>'AESS-all'!A33</f>
        <v>OTU_31</v>
      </c>
      <c r="B33">
        <f>'AESS-all'!B33</f>
        <v>1351</v>
      </c>
      <c r="C33" t="str">
        <f>'AESS-all'!C33</f>
        <v>Root</v>
      </c>
      <c r="D33" t="str">
        <f>'AESS-all'!D33</f>
        <v>Bacteria</v>
      </c>
      <c r="E33" t="str">
        <f>'AESS-all'!E33</f>
        <v>Proteobacteria</v>
      </c>
      <c r="F33" t="str">
        <f>'AESS-all'!F33</f>
        <v>.</v>
      </c>
      <c r="G33" t="str">
        <f>'AESS-all'!G33</f>
        <v>Deltaproteobacteria</v>
      </c>
      <c r="H33" t="str">
        <f>'AESS-all'!H33</f>
        <v>.</v>
      </c>
      <c r="I33" t="str">
        <f>'AESS-all'!I33</f>
        <v>.</v>
      </c>
      <c r="J33" t="str">
        <f>'AESS-all'!J33</f>
        <v>.</v>
      </c>
      <c r="K33" t="str">
        <f>'AESS-all'!K33</f>
        <v>.</v>
      </c>
      <c r="L33" t="str">
        <f>'AESS-all'!L33</f>
        <v>.</v>
      </c>
      <c r="M33" t="str">
        <f>'AESS-all'!M33</f>
        <v>.</v>
      </c>
      <c r="N33" t="str">
        <f>'AESS-all'!N33</f>
        <v>.</v>
      </c>
      <c r="O33">
        <f>'AESS-all'!O33</f>
        <v>0.5</v>
      </c>
      <c r="P33" t="str">
        <f>'AESS-all'!P33</f>
        <v>Thiohalocapsa_marina_(T)_type_strain:_JA142_(AM491592)</v>
      </c>
      <c r="Q33">
        <f>'AESS-all'!Q33</f>
        <v>89.7</v>
      </c>
      <c r="R33">
        <f>'AESS-all'!R33</f>
        <v>1</v>
      </c>
      <c r="S33" s="49">
        <f>'AESS-all'!S33/'AESS-all'!S$1</f>
        <v>7.0867426626570621E-3</v>
      </c>
      <c r="T33" s="50">
        <f>'AESS-all'!T33/'AESS-all'!T$1</f>
        <v>5.0000000000000001E-3</v>
      </c>
      <c r="U33" s="50">
        <f>'AESS-all'!U33/'AESS-all'!U$1</f>
        <v>6.5070275897969806E-3</v>
      </c>
      <c r="V33" s="51">
        <f>'AESS-all'!V33/'AESS-all'!V$1</f>
        <v>5.2915063628292396E-2</v>
      </c>
      <c r="W33" s="49">
        <f>'AESS-all'!W33/'AESS-all'!W$1</f>
        <v>0</v>
      </c>
      <c r="X33" s="50">
        <f>'AESS-all'!X33/'AESS-all'!X$1</f>
        <v>0</v>
      </c>
      <c r="Y33" s="50">
        <f>'AESS-all'!Y33/'AESS-all'!Y$1</f>
        <v>0</v>
      </c>
      <c r="Z33" s="51">
        <f>'AESS-all'!Z33/'AESS-all'!Z$1</f>
        <v>0</v>
      </c>
      <c r="AA33" s="49">
        <f>'AESS-all'!AA33/'AESS-all'!AA$1</f>
        <v>1.4336506480100929E-4</v>
      </c>
      <c r="AB33" s="50">
        <f>'AESS-all'!AB33/'AESS-all'!AB$1</f>
        <v>0</v>
      </c>
      <c r="AC33" s="50">
        <f>'AESS-all'!AC33/'AESS-all'!AC$1</f>
        <v>0</v>
      </c>
      <c r="AD33" s="51">
        <f>'AESS-all'!AD33/'AESS-all'!AD$1</f>
        <v>0</v>
      </c>
    </row>
    <row r="34" spans="1:30" x14ac:dyDescent="0.35">
      <c r="A34" t="str">
        <f>'AESS-all'!A34</f>
        <v>OTU_41</v>
      </c>
      <c r="B34">
        <f>'AESS-all'!B34</f>
        <v>1322</v>
      </c>
      <c r="C34" t="str">
        <f>'AESS-all'!C34</f>
        <v>Root</v>
      </c>
      <c r="D34" t="str">
        <f>'AESS-all'!D34</f>
        <v>Bacteria</v>
      </c>
      <c r="E34" t="str">
        <f>'AESS-all'!E34</f>
        <v>Chloroflexi</v>
      </c>
      <c r="F34" t="str">
        <f>'AESS-all'!F34</f>
        <v>.</v>
      </c>
      <c r="G34" t="str">
        <f>'AESS-all'!G34</f>
        <v>Anaerolineae</v>
      </c>
      <c r="H34" t="str">
        <f>'AESS-all'!H34</f>
        <v>.</v>
      </c>
      <c r="I34" t="str">
        <f>'AESS-all'!I34</f>
        <v>Anaerolineales</v>
      </c>
      <c r="J34" t="str">
        <f>'AESS-all'!J34</f>
        <v>.</v>
      </c>
      <c r="K34" t="str">
        <f>'AESS-all'!K34</f>
        <v>Anaerolineaceae</v>
      </c>
      <c r="L34" t="str">
        <f>'AESS-all'!L34</f>
        <v>.</v>
      </c>
      <c r="M34" t="str">
        <f>'AESS-all'!M34</f>
        <v>Ornatilinea</v>
      </c>
      <c r="N34" t="str">
        <f>'AESS-all'!N34</f>
        <v>.</v>
      </c>
      <c r="O34">
        <f>'AESS-all'!O34</f>
        <v>0.94</v>
      </c>
      <c r="P34" t="str">
        <f>'AESS-all'!P34</f>
        <v>Ornatilinea_apprima_P3M-1_(JQ292916)</v>
      </c>
      <c r="Q34">
        <f>'AESS-all'!Q34</f>
        <v>89.7</v>
      </c>
      <c r="R34">
        <f>'AESS-all'!R34</f>
        <v>1</v>
      </c>
      <c r="S34" s="49">
        <f>'AESS-all'!S34/'AESS-all'!S$1</f>
        <v>1.8556076182483623E-2</v>
      </c>
      <c r="T34" s="50">
        <f>'AESS-all'!T34/'AESS-all'!T$1</f>
        <v>1.2959183673469387E-2</v>
      </c>
      <c r="U34" s="50">
        <f>'AESS-all'!U34/'AESS-all'!U$1</f>
        <v>2.00416449765747E-2</v>
      </c>
      <c r="V34" s="51">
        <f>'AESS-all'!V34/'AESS-all'!V$1</f>
        <v>6.6883693400414321E-3</v>
      </c>
      <c r="W34" s="49">
        <f>'AESS-all'!W34/'AESS-all'!W$1</f>
        <v>6.5183382583000168E-5</v>
      </c>
      <c r="X34" s="50">
        <f>'AESS-all'!X34/'AESS-all'!X$1</f>
        <v>0</v>
      </c>
      <c r="Y34" s="50">
        <f>'AESS-all'!Y34/'AESS-all'!Y$1</f>
        <v>0</v>
      </c>
      <c r="Z34" s="51">
        <f>'AESS-all'!Z34/'AESS-all'!Z$1</f>
        <v>0</v>
      </c>
      <c r="AA34" s="49">
        <f>'AESS-all'!AA34/'AESS-all'!AA$1</f>
        <v>5.7346025920403718E-5</v>
      </c>
      <c r="AB34" s="50">
        <f>'AESS-all'!AB34/'AESS-all'!AB$1</f>
        <v>0</v>
      </c>
      <c r="AC34" s="50">
        <f>'AESS-all'!AC34/'AESS-all'!AC$1</f>
        <v>0</v>
      </c>
      <c r="AD34" s="51">
        <f>'AESS-all'!AD34/'AESS-all'!AD$1</f>
        <v>0</v>
      </c>
    </row>
    <row r="35" spans="1:30" x14ac:dyDescent="0.35">
      <c r="A35" t="str">
        <f>'AESS-all'!A35</f>
        <v>OTU_30</v>
      </c>
      <c r="B35">
        <f>'AESS-all'!B35</f>
        <v>1295</v>
      </c>
      <c r="C35" t="str">
        <f>'AESS-all'!C35</f>
        <v>Root</v>
      </c>
      <c r="D35" t="str">
        <f>'AESS-all'!D35</f>
        <v>Bacteria</v>
      </c>
      <c r="E35" t="str">
        <f>'AESS-all'!E35</f>
        <v>Firmicutes</v>
      </c>
      <c r="F35" t="str">
        <f>'AESS-all'!F35</f>
        <v>.</v>
      </c>
      <c r="G35" t="str">
        <f>'AESS-all'!G35</f>
        <v>Clostridia</v>
      </c>
      <c r="H35" t="str">
        <f>'AESS-all'!H35</f>
        <v>.</v>
      </c>
      <c r="I35" t="str">
        <f>'AESS-all'!I35</f>
        <v>.</v>
      </c>
      <c r="J35" t="str">
        <f>'AESS-all'!J35</f>
        <v>.</v>
      </c>
      <c r="K35" t="str">
        <f>'AESS-all'!K35</f>
        <v>.</v>
      </c>
      <c r="L35" t="str">
        <f>'AESS-all'!L35</f>
        <v>.</v>
      </c>
      <c r="M35" t="str">
        <f>'AESS-all'!M35</f>
        <v>.</v>
      </c>
      <c r="N35" t="str">
        <f>'AESS-all'!N35</f>
        <v>.</v>
      </c>
      <c r="O35">
        <f>'AESS-all'!O35</f>
        <v>0.84</v>
      </c>
      <c r="P35" t="str">
        <f>'AESS-all'!P35</f>
        <v>Dethiobacter_alkaliphilus_(T)_AHT_1_(EF422412)</v>
      </c>
      <c r="Q35">
        <f>'AESS-all'!Q35</f>
        <v>89.3</v>
      </c>
      <c r="R35">
        <f>'AESS-all'!R35</f>
        <v>2</v>
      </c>
      <c r="S35" s="49">
        <f>'AESS-all'!S35/'AESS-all'!S$1</f>
        <v>0</v>
      </c>
      <c r="T35" s="50">
        <f>'AESS-all'!T35/'AESS-all'!T$1</f>
        <v>0</v>
      </c>
      <c r="U35" s="50">
        <f>'AESS-all'!U35/'AESS-all'!U$1</f>
        <v>0</v>
      </c>
      <c r="V35" s="51">
        <f>'AESS-all'!V35/'AESS-all'!V$1</f>
        <v>0</v>
      </c>
      <c r="W35" s="49">
        <f>'AESS-all'!W35/'AESS-all'!W$1</f>
        <v>8.6911176777333571E-5</v>
      </c>
      <c r="X35" s="50">
        <f>'AESS-all'!X35/'AESS-all'!X$1</f>
        <v>0</v>
      </c>
      <c r="Y35" s="50">
        <f>'AESS-all'!Y35/'AESS-all'!Y$1</f>
        <v>0</v>
      </c>
      <c r="Z35" s="51">
        <f>'AESS-all'!Z35/'AESS-all'!Z$1</f>
        <v>0</v>
      </c>
      <c r="AA35" s="49">
        <f>'AESS-all'!AA35/'AESS-all'!AA$1</f>
        <v>6.5947929808464272E-4</v>
      </c>
      <c r="AB35" s="50">
        <f>'AESS-all'!AB35/'AESS-all'!AB$1</f>
        <v>8.2408049965301876E-4</v>
      </c>
      <c r="AC35" s="50">
        <f>'AESS-all'!AC35/'AESS-all'!AC$1</f>
        <v>0</v>
      </c>
      <c r="AD35" s="51">
        <f>'AESS-all'!AD35/'AESS-all'!AD$1</f>
        <v>0.10925472358292512</v>
      </c>
    </row>
    <row r="36" spans="1:30" x14ac:dyDescent="0.35">
      <c r="A36" t="str">
        <f>'AESS-all'!A36</f>
        <v>OTU_33</v>
      </c>
      <c r="B36">
        <f>'AESS-all'!B36</f>
        <v>1244</v>
      </c>
      <c r="C36" t="str">
        <f>'AESS-all'!C36</f>
        <v>Root</v>
      </c>
      <c r="D36" t="str">
        <f>'AESS-all'!D36</f>
        <v>Bacteria</v>
      </c>
      <c r="E36" t="str">
        <f>'AESS-all'!E36</f>
        <v>Proteobacteria</v>
      </c>
      <c r="F36" t="str">
        <f>'AESS-all'!F36</f>
        <v>.</v>
      </c>
      <c r="G36" t="str">
        <f>'AESS-all'!G36</f>
        <v>Deltaproteobacteria</v>
      </c>
      <c r="H36" t="str">
        <f>'AESS-all'!H36</f>
        <v>.</v>
      </c>
      <c r="I36" t="str">
        <f>'AESS-all'!I36</f>
        <v>Syntrophobacterales</v>
      </c>
      <c r="J36" t="str">
        <f>'AESS-all'!J36</f>
        <v>.</v>
      </c>
      <c r="K36" t="str">
        <f>'AESS-all'!K36</f>
        <v>Syntrophobacteraceae</v>
      </c>
      <c r="L36" t="str">
        <f>'AESS-all'!L36</f>
        <v>.</v>
      </c>
      <c r="M36" t="str">
        <f>'AESS-all'!M36</f>
        <v>Syntrophobacter</v>
      </c>
      <c r="N36" t="str">
        <f>'AESS-all'!N36</f>
        <v>.</v>
      </c>
      <c r="O36">
        <f>'AESS-all'!O36</f>
        <v>1</v>
      </c>
      <c r="P36" t="str">
        <f>'AESS-all'!P36</f>
        <v>Syntrophobacter_sulfatireducens_(T)_TB8106_(AY651787)</v>
      </c>
      <c r="Q36">
        <f>'AESS-all'!Q36</f>
        <v>100</v>
      </c>
      <c r="R36">
        <f>'AESS-all'!R36</f>
        <v>1</v>
      </c>
      <c r="S36" s="49">
        <f>'AESS-all'!S36/'AESS-all'!S$1</f>
        <v>5.1052521155325551E-3</v>
      </c>
      <c r="T36" s="50">
        <f>'AESS-all'!T36/'AESS-all'!T$1</f>
        <v>3.3163265306122448E-3</v>
      </c>
      <c r="U36" s="50">
        <f>'AESS-all'!U36/'AESS-all'!U$1</f>
        <v>0</v>
      </c>
      <c r="V36" s="51">
        <f>'AESS-all'!V36/'AESS-all'!V$1</f>
        <v>1.1245930748742231E-2</v>
      </c>
      <c r="W36" s="49">
        <f>'AESS-all'!W36/'AESS-all'!W$1</f>
        <v>3.6937250130366766E-4</v>
      </c>
      <c r="X36" s="50">
        <f>'AESS-all'!X36/'AESS-all'!X$1</f>
        <v>0</v>
      </c>
      <c r="Y36" s="50">
        <f>'AESS-all'!Y36/'AESS-all'!Y$1</f>
        <v>0</v>
      </c>
      <c r="Z36" s="51">
        <f>'AESS-all'!Z36/'AESS-all'!Z$1</f>
        <v>0</v>
      </c>
      <c r="AA36" s="49">
        <f>'AESS-all'!AA36/'AESS-all'!AA$1</f>
        <v>7.2829452918912723E-3</v>
      </c>
      <c r="AB36" s="50">
        <f>'AESS-all'!AB36/'AESS-all'!AB$1</f>
        <v>6.0287994448299789E-3</v>
      </c>
      <c r="AC36" s="50">
        <f>'AESS-all'!AC36/'AESS-all'!AC$1</f>
        <v>1.710344827586207E-2</v>
      </c>
      <c r="AD36" s="51">
        <f>'AESS-all'!AD36/'AESS-all'!AD$1</f>
        <v>1.5220433869839048E-2</v>
      </c>
    </row>
    <row r="37" spans="1:30" x14ac:dyDescent="0.35">
      <c r="A37" t="str">
        <f>'AESS-all'!A37</f>
        <v>OTU_36</v>
      </c>
      <c r="B37">
        <f>'AESS-all'!B37</f>
        <v>1224</v>
      </c>
      <c r="C37" t="str">
        <f>'AESS-all'!C37</f>
        <v>Root</v>
      </c>
      <c r="D37" t="str">
        <f>'AESS-all'!D37</f>
        <v>Bacteria</v>
      </c>
      <c r="E37" t="str">
        <f>'AESS-all'!E37</f>
        <v>Nitrospirae</v>
      </c>
      <c r="F37" t="str">
        <f>'AESS-all'!F37</f>
        <v>.</v>
      </c>
      <c r="G37" t="str">
        <f>'AESS-all'!G37</f>
        <v>Nitrospira</v>
      </c>
      <c r="H37" t="str">
        <f>'AESS-all'!H37</f>
        <v>.</v>
      </c>
      <c r="I37" t="str">
        <f>'AESS-all'!I37</f>
        <v>Nitrospirales</v>
      </c>
      <c r="J37" t="str">
        <f>'AESS-all'!J37</f>
        <v>.</v>
      </c>
      <c r="K37" t="str">
        <f>'AESS-all'!K37</f>
        <v>Nitrospiraceae</v>
      </c>
      <c r="L37" t="str">
        <f>'AESS-all'!L37</f>
        <v>.</v>
      </c>
      <c r="M37" t="str">
        <f>'AESS-all'!M37</f>
        <v>Thermodesulfovibrio</v>
      </c>
      <c r="N37" t="str">
        <f>'AESS-all'!N37</f>
        <v>.</v>
      </c>
      <c r="O37">
        <f>'AESS-all'!O37</f>
        <v>1</v>
      </c>
      <c r="P37" t="str">
        <f>'AESS-all'!P37</f>
        <v>Thermodesulfovibrio_aggregans_(T)_TGE-P1_(AB021302)</v>
      </c>
      <c r="Q37">
        <f>'AESS-all'!Q37</f>
        <v>96.4</v>
      </c>
      <c r="R37">
        <f>'AESS-all'!R37</f>
        <v>1</v>
      </c>
      <c r="S37" s="49">
        <f>'AESS-all'!S37/'AESS-all'!S$1</f>
        <v>4.6623306991164881E-5</v>
      </c>
      <c r="T37" s="50">
        <f>'AESS-all'!T37/'AESS-all'!T$1</f>
        <v>0</v>
      </c>
      <c r="U37" s="50">
        <f>'AESS-all'!U37/'AESS-all'!U$1</f>
        <v>0</v>
      </c>
      <c r="V37" s="51">
        <f>'AESS-all'!V37/'AESS-all'!V$1</f>
        <v>0</v>
      </c>
      <c r="W37" s="49">
        <f>'AESS-all'!W37/'AESS-all'!W$1</f>
        <v>1.568746740830871E-2</v>
      </c>
      <c r="X37" s="50">
        <f>'AESS-all'!X37/'AESS-all'!X$1</f>
        <v>2.7763755678950026E-2</v>
      </c>
      <c r="Y37" s="50">
        <f>'AESS-all'!Y37/'AESS-all'!Y$1</f>
        <v>1.6939420040195233E-2</v>
      </c>
      <c r="Z37" s="51">
        <f>'AESS-all'!Z37/'AESS-all'!Z$1</f>
        <v>0</v>
      </c>
      <c r="AA37" s="49">
        <f>'AESS-all'!AA37/'AESS-all'!AA$1</f>
        <v>2.8673012960201859E-5</v>
      </c>
      <c r="AB37" s="50">
        <f>'AESS-all'!AB37/'AESS-all'!AB$1</f>
        <v>0</v>
      </c>
      <c r="AC37" s="50">
        <f>'AESS-all'!AC37/'AESS-all'!AC$1</f>
        <v>0</v>
      </c>
      <c r="AD37" s="51">
        <f>'AESS-all'!AD37/'AESS-all'!AD$1</f>
        <v>0</v>
      </c>
    </row>
    <row r="38" spans="1:30" x14ac:dyDescent="0.35">
      <c r="A38" t="str">
        <f>'AESS-all'!A38</f>
        <v>OTU_32</v>
      </c>
      <c r="B38">
        <f>'AESS-all'!B38</f>
        <v>1182</v>
      </c>
      <c r="C38" t="str">
        <f>'AESS-all'!C38</f>
        <v>Root</v>
      </c>
      <c r="D38" t="str">
        <f>'AESS-all'!D38</f>
        <v>Bacteria</v>
      </c>
      <c r="E38" t="str">
        <f>'AESS-all'!E38</f>
        <v>Synergistetes</v>
      </c>
      <c r="F38" t="str">
        <f>'AESS-all'!F38</f>
        <v>.</v>
      </c>
      <c r="G38" t="str">
        <f>'AESS-all'!G38</f>
        <v>Synergistia</v>
      </c>
      <c r="H38" t="str">
        <f>'AESS-all'!H38</f>
        <v>.</v>
      </c>
      <c r="I38" t="str">
        <f>'AESS-all'!I38</f>
        <v>Synergistales</v>
      </c>
      <c r="J38" t="str">
        <f>'AESS-all'!J38</f>
        <v>.</v>
      </c>
      <c r="K38" t="str">
        <f>'AESS-all'!K38</f>
        <v>Synergistaceae</v>
      </c>
      <c r="L38" t="str">
        <f>'AESS-all'!L38</f>
        <v>.</v>
      </c>
      <c r="M38" t="str">
        <f>'AESS-all'!M38</f>
        <v>Aminiphilus</v>
      </c>
      <c r="N38" t="str">
        <f>'AESS-all'!N38</f>
        <v>.</v>
      </c>
      <c r="O38">
        <f>'AESS-all'!O38</f>
        <v>1</v>
      </c>
      <c r="P38" t="str">
        <f>'AESS-all'!P38</f>
        <v>Aminiphilus_circumscriptus_(T)_ILE-2_(AY642589)</v>
      </c>
      <c r="Q38">
        <f>'AESS-all'!Q38</f>
        <v>95.6</v>
      </c>
      <c r="R38">
        <f>'AESS-all'!R38</f>
        <v>1</v>
      </c>
      <c r="S38" s="49">
        <f>'AESS-all'!S38/'AESS-all'!S$1</f>
        <v>0</v>
      </c>
      <c r="T38" s="50">
        <f>'AESS-all'!T38/'AESS-all'!T$1</f>
        <v>0</v>
      </c>
      <c r="U38" s="50">
        <f>'AESS-all'!U38/'AESS-all'!U$1</f>
        <v>0</v>
      </c>
      <c r="V38" s="51">
        <f>'AESS-all'!V38/'AESS-all'!V$1</f>
        <v>0</v>
      </c>
      <c r="W38" s="49">
        <f>'AESS-all'!W38/'AESS-all'!W$1</f>
        <v>0</v>
      </c>
      <c r="X38" s="50">
        <f>'AESS-all'!X38/'AESS-all'!X$1</f>
        <v>0</v>
      </c>
      <c r="Y38" s="50">
        <f>'AESS-all'!Y38/'AESS-all'!Y$1</f>
        <v>0</v>
      </c>
      <c r="Z38" s="51">
        <f>'AESS-all'!Z38/'AESS-all'!Z$1</f>
        <v>0</v>
      </c>
      <c r="AA38" s="49">
        <f>'AESS-all'!AA38/'AESS-all'!AA$1</f>
        <v>0</v>
      </c>
      <c r="AB38" s="50">
        <f>'AESS-all'!AB38/'AESS-all'!AB$1</f>
        <v>1.7349063150589867E-4</v>
      </c>
      <c r="AC38" s="50">
        <f>'AESS-all'!AC38/'AESS-all'!AC$1</f>
        <v>0.10832183908045977</v>
      </c>
      <c r="AD38" s="51">
        <f>'AESS-all'!AD38/'AESS-all'!AD$1</f>
        <v>0</v>
      </c>
    </row>
    <row r="39" spans="1:30" x14ac:dyDescent="0.35">
      <c r="A39" t="str">
        <f>'AESS-all'!A39</f>
        <v>OTU_34</v>
      </c>
      <c r="B39">
        <f>'AESS-all'!B39</f>
        <v>1063</v>
      </c>
      <c r="C39" t="str">
        <f>'AESS-all'!C39</f>
        <v>Root</v>
      </c>
      <c r="D39" t="str">
        <f>'AESS-all'!D39</f>
        <v>Bacteria</v>
      </c>
      <c r="E39" t="str">
        <f>'AESS-all'!E39</f>
        <v>Firmicutes</v>
      </c>
      <c r="F39" t="str">
        <f>'AESS-all'!F39</f>
        <v>.</v>
      </c>
      <c r="G39" t="str">
        <f>'AESS-all'!G39</f>
        <v>Clostridia</v>
      </c>
      <c r="H39" t="str">
        <f>'AESS-all'!H39</f>
        <v>.</v>
      </c>
      <c r="I39" t="str">
        <f>'AESS-all'!I39</f>
        <v>Clostridiales</v>
      </c>
      <c r="J39" t="str">
        <f>'AESS-all'!J39</f>
        <v>.</v>
      </c>
      <c r="K39" t="str">
        <f>'AESS-all'!K39</f>
        <v>Ruminococcaceae</v>
      </c>
      <c r="L39" t="str">
        <f>'AESS-all'!L39</f>
        <v>.</v>
      </c>
      <c r="M39" t="str">
        <f>'AESS-all'!M39</f>
        <v>Clostridium III</v>
      </c>
      <c r="N39" t="str">
        <f>'AESS-all'!N39</f>
        <v>.</v>
      </c>
      <c r="O39">
        <f>'AESS-all'!O39</f>
        <v>0.95</v>
      </c>
      <c r="P39" t="str">
        <f>'AESS-all'!P39</f>
        <v>Clostridium_sufflavum_(T)_CDT-1_(AB267266)</v>
      </c>
      <c r="Q39">
        <f>'AESS-all'!Q39</f>
        <v>97.2</v>
      </c>
      <c r="R39">
        <f>'AESS-all'!R39</f>
        <v>3</v>
      </c>
      <c r="S39" s="49">
        <f>'AESS-all'!S39/'AESS-all'!S$1</f>
        <v>3.0305149544257172E-4</v>
      </c>
      <c r="T39" s="50">
        <f>'AESS-all'!T39/'AESS-all'!T$1</f>
        <v>7.1428571428571429E-4</v>
      </c>
      <c r="U39" s="50">
        <f>'AESS-all'!U39/'AESS-all'!U$1</f>
        <v>0</v>
      </c>
      <c r="V39" s="51">
        <f>'AESS-all'!V39/'AESS-all'!V$1</f>
        <v>5.901154187629476E-2</v>
      </c>
      <c r="W39" s="49">
        <f>'AESS-all'!W39/'AESS-all'!W$1</f>
        <v>0</v>
      </c>
      <c r="X39" s="50">
        <f>'AESS-all'!X39/'AESS-all'!X$1</f>
        <v>0</v>
      </c>
      <c r="Y39" s="50">
        <f>'AESS-all'!Y39/'AESS-all'!Y$1</f>
        <v>0</v>
      </c>
      <c r="Z39" s="51">
        <f>'AESS-all'!Z39/'AESS-all'!Z$1</f>
        <v>0</v>
      </c>
      <c r="AA39" s="49">
        <f>'AESS-all'!AA39/'AESS-all'!AA$1</f>
        <v>7.741713499254502E-4</v>
      </c>
      <c r="AB39" s="50">
        <f>'AESS-all'!AB39/'AESS-all'!AB$1</f>
        <v>5.2047189451769602E-4</v>
      </c>
      <c r="AC39" s="50">
        <f>'AESS-all'!AC39/'AESS-all'!AC$1</f>
        <v>0</v>
      </c>
      <c r="AD39" s="51">
        <f>'AESS-all'!AD39/'AESS-all'!AD$1</f>
        <v>0</v>
      </c>
    </row>
    <row r="40" spans="1:30" x14ac:dyDescent="0.35">
      <c r="A40" t="str">
        <f>'AESS-all'!A40</f>
        <v>OTU_35</v>
      </c>
      <c r="B40">
        <f>'AESS-all'!B40</f>
        <v>1005</v>
      </c>
      <c r="C40" t="str">
        <f>'AESS-all'!C40</f>
        <v>Root</v>
      </c>
      <c r="D40" t="str">
        <f>'AESS-all'!D40</f>
        <v>Bacteria</v>
      </c>
      <c r="E40" t="str">
        <f>'AESS-all'!E40</f>
        <v>Bacteroidetes</v>
      </c>
      <c r="F40" t="str">
        <f>'AESS-all'!F40</f>
        <v>.</v>
      </c>
      <c r="G40" t="str">
        <f>'AESS-all'!G40</f>
        <v>Bacteroidia</v>
      </c>
      <c r="H40" t="str">
        <f>'AESS-all'!H40</f>
        <v>.</v>
      </c>
      <c r="I40" t="str">
        <f>'AESS-all'!I40</f>
        <v>Bacteroidales</v>
      </c>
      <c r="J40" t="str">
        <f>'AESS-all'!J40</f>
        <v>.</v>
      </c>
      <c r="K40" t="str">
        <f>'AESS-all'!K40</f>
        <v>Bacteroidaceae</v>
      </c>
      <c r="L40" t="str">
        <f>'AESS-all'!L40</f>
        <v>.</v>
      </c>
      <c r="M40" t="str">
        <f>'AESS-all'!M40</f>
        <v>Anaerorhabdus</v>
      </c>
      <c r="N40" t="str">
        <f>'AESS-all'!N40</f>
        <v>.</v>
      </c>
      <c r="O40">
        <f>'AESS-all'!O40</f>
        <v>0.6</v>
      </c>
      <c r="P40" t="str">
        <f>'AESS-all'!P40</f>
        <v>Dielma_fastidiosa_strain_JC13_(NR_125593.1)</v>
      </c>
      <c r="Q40">
        <f>'AESS-all'!Q40</f>
        <v>92.5</v>
      </c>
      <c r="R40">
        <f>'AESS-all'!R40</f>
        <v>1</v>
      </c>
      <c r="S40" s="49">
        <f>'AESS-all'!S40/'AESS-all'!S$1</f>
        <v>0</v>
      </c>
      <c r="T40" s="50">
        <f>'AESS-all'!T40/'AESS-all'!T$1</f>
        <v>0</v>
      </c>
      <c r="U40" s="50">
        <f>'AESS-all'!U40/'AESS-all'!U$1</f>
        <v>0</v>
      </c>
      <c r="V40" s="51">
        <f>'AESS-all'!V40/'AESS-all'!V$1</f>
        <v>0</v>
      </c>
      <c r="W40" s="49">
        <f>'AESS-all'!W40/'AESS-all'!W$1</f>
        <v>0</v>
      </c>
      <c r="X40" s="50">
        <f>'AESS-all'!X40/'AESS-all'!X$1</f>
        <v>0</v>
      </c>
      <c r="Y40" s="50">
        <f>'AESS-all'!Y40/'AESS-all'!Y$1</f>
        <v>0</v>
      </c>
      <c r="Z40" s="51">
        <f>'AESS-all'!Z40/'AESS-all'!Z$1</f>
        <v>0</v>
      </c>
      <c r="AA40" s="49">
        <f>'AESS-all'!AA40/'AESS-all'!AA$1</f>
        <v>9.1753641472645949E-4</v>
      </c>
      <c r="AB40" s="50">
        <f>'AESS-all'!AB40/'AESS-all'!AB$1</f>
        <v>7.7203331020124916E-3</v>
      </c>
      <c r="AC40" s="50">
        <f>'AESS-all'!AC40/'AESS-all'!AC$1</f>
        <v>4.2850574712643676E-2</v>
      </c>
      <c r="AD40" s="51">
        <f>'AESS-all'!AD40/'AESS-all'!AD$1</f>
        <v>2.8778866340097971E-2</v>
      </c>
    </row>
    <row r="41" spans="1:30" x14ac:dyDescent="0.35">
      <c r="A41" t="str">
        <f>'AESS-all'!A41</f>
        <v>OTU_39</v>
      </c>
      <c r="B41">
        <f>'AESS-all'!B41</f>
        <v>973</v>
      </c>
      <c r="C41" t="str">
        <f>'AESS-all'!C41</f>
        <v>Root</v>
      </c>
      <c r="D41" t="str">
        <f>'AESS-all'!D41</f>
        <v>Bacteria</v>
      </c>
      <c r="E41" t="str">
        <f>'AESS-all'!E41</f>
        <v>Proteobacteria</v>
      </c>
      <c r="F41" t="str">
        <f>'AESS-all'!F41</f>
        <v>.</v>
      </c>
      <c r="G41" t="str">
        <f>'AESS-all'!G41</f>
        <v>Deltaproteobacteria</v>
      </c>
      <c r="H41" t="str">
        <f>'AESS-all'!H41</f>
        <v>.</v>
      </c>
      <c r="I41" t="str">
        <f>'AESS-all'!I41</f>
        <v>Desulfovibrionales</v>
      </c>
      <c r="J41" t="str">
        <f>'AESS-all'!J41</f>
        <v>.</v>
      </c>
      <c r="K41" t="str">
        <f>'AESS-all'!K41</f>
        <v>Desulfovibrionaceae</v>
      </c>
      <c r="L41" t="str">
        <f>'AESS-all'!L41</f>
        <v>.</v>
      </c>
      <c r="M41" t="str">
        <f>'AESS-all'!M41</f>
        <v>Desulfovibrio</v>
      </c>
      <c r="N41" t="str">
        <f>'AESS-all'!N41</f>
        <v>.</v>
      </c>
      <c r="O41">
        <f>'AESS-all'!O41</f>
        <v>1</v>
      </c>
      <c r="P41" t="str">
        <f>'AESS-all'!P41</f>
        <v>Desulfovibrio_alkalitolerans_(T)_RT2_(AY649785)</v>
      </c>
      <c r="Q41">
        <f>'AESS-all'!Q41</f>
        <v>99.2</v>
      </c>
      <c r="R41">
        <f>'AESS-all'!R41</f>
        <v>1</v>
      </c>
      <c r="S41" s="49">
        <f>'AESS-all'!S41/'AESS-all'!S$1</f>
        <v>2.5176585775229035E-3</v>
      </c>
      <c r="T41" s="50">
        <f>'AESS-all'!T41/'AESS-all'!T$1</f>
        <v>1.173469387755102E-3</v>
      </c>
      <c r="U41" s="50">
        <f>'AESS-all'!U41/'AESS-all'!U$1</f>
        <v>1.0411244143675169E-3</v>
      </c>
      <c r="V41" s="51">
        <f>'AESS-all'!V41/'AESS-all'!V$1</f>
        <v>7.6353950873039363E-3</v>
      </c>
      <c r="W41" s="49">
        <f>'AESS-all'!W41/'AESS-all'!W$1</f>
        <v>8.6911176777333571E-5</v>
      </c>
      <c r="X41" s="50">
        <f>'AESS-all'!X41/'AESS-all'!X$1</f>
        <v>0</v>
      </c>
      <c r="Y41" s="50">
        <f>'AESS-all'!Y41/'AESS-all'!Y$1</f>
        <v>0</v>
      </c>
      <c r="Z41" s="51">
        <f>'AESS-all'!Z41/'AESS-all'!Z$1</f>
        <v>0</v>
      </c>
      <c r="AA41" s="49">
        <f>'AESS-all'!AA41/'AESS-all'!AA$1</f>
        <v>1.2300722559926596E-2</v>
      </c>
      <c r="AB41" s="50">
        <f>'AESS-all'!AB41/'AESS-all'!AB$1</f>
        <v>9.9757113115891733E-4</v>
      </c>
      <c r="AC41" s="50">
        <f>'AESS-all'!AC41/'AESS-all'!AC$1</f>
        <v>1.2413793103448275E-2</v>
      </c>
      <c r="AD41" s="51">
        <f>'AESS-all'!AD41/'AESS-all'!AD$1</f>
        <v>9.9720083974807559E-3</v>
      </c>
    </row>
    <row r="42" spans="1:30" x14ac:dyDescent="0.35">
      <c r="A42" t="str">
        <f>'AESS-all'!A42</f>
        <v>OTU_38</v>
      </c>
      <c r="B42">
        <f>'AESS-all'!B42</f>
        <v>944</v>
      </c>
      <c r="C42" t="str">
        <f>'AESS-all'!C42</f>
        <v>Root</v>
      </c>
      <c r="D42" t="str">
        <f>'AESS-all'!D42</f>
        <v>Bacteria</v>
      </c>
      <c r="E42" t="str">
        <f>'AESS-all'!E42</f>
        <v>Proteobacteria</v>
      </c>
      <c r="F42" t="str">
        <f>'AESS-all'!F42</f>
        <v>.</v>
      </c>
      <c r="G42" t="str">
        <f>'AESS-all'!G42</f>
        <v>Alphaproteobacteria</v>
      </c>
      <c r="H42" t="str">
        <f>'AESS-all'!H42</f>
        <v>.</v>
      </c>
      <c r="I42" t="str">
        <f>'AESS-all'!I42</f>
        <v>Rhodospirillales</v>
      </c>
      <c r="J42" t="str">
        <f>'AESS-all'!J42</f>
        <v>.</v>
      </c>
      <c r="K42" t="str">
        <f>'AESS-all'!K42</f>
        <v>Rhodospirillaceae</v>
      </c>
      <c r="L42" t="str">
        <f>'AESS-all'!L42</f>
        <v>.</v>
      </c>
      <c r="M42" t="str">
        <f>'AESS-all'!M42</f>
        <v>.</v>
      </c>
      <c r="N42" t="str">
        <f>'AESS-all'!N42</f>
        <v>.</v>
      </c>
      <c r="O42">
        <f>'AESS-all'!O42</f>
        <v>0.67</v>
      </c>
      <c r="P42" t="str">
        <f>'AESS-all'!P42</f>
        <v>Magnetospira_thiophila_(T)_MMS-1_(EU861390)</v>
      </c>
      <c r="Q42">
        <f>'AESS-all'!Q42</f>
        <v>90.1</v>
      </c>
      <c r="R42">
        <f>'AESS-all'!R42</f>
        <v>1</v>
      </c>
      <c r="S42" s="49">
        <f>'AESS-all'!S42/'AESS-all'!S$1</f>
        <v>1.3986992097349466E-4</v>
      </c>
      <c r="T42" s="50">
        <f>'AESS-all'!T42/'AESS-all'!T$1</f>
        <v>0</v>
      </c>
      <c r="U42" s="50">
        <f>'AESS-all'!U42/'AESS-all'!U$1</f>
        <v>0</v>
      </c>
      <c r="V42" s="51">
        <f>'AESS-all'!V42/'AESS-all'!V$1</f>
        <v>4.7351287363125186E-4</v>
      </c>
      <c r="W42" s="49">
        <f>'AESS-all'!W42/'AESS-all'!W$1</f>
        <v>1.0863897097166696E-4</v>
      </c>
      <c r="X42" s="50">
        <f>'AESS-all'!X42/'AESS-all'!X$1</f>
        <v>0</v>
      </c>
      <c r="Y42" s="50">
        <f>'AESS-all'!Y42/'AESS-all'!Y$1</f>
        <v>0</v>
      </c>
      <c r="Z42" s="51">
        <f>'AESS-all'!Z42/'AESS-all'!Z$1</f>
        <v>0</v>
      </c>
      <c r="AA42" s="49">
        <f>'AESS-all'!AA42/'AESS-all'!AA$1</f>
        <v>8.3151737584585394E-3</v>
      </c>
      <c r="AB42" s="50">
        <f>'AESS-all'!AB42/'AESS-all'!AB$1</f>
        <v>1.236120749479528E-2</v>
      </c>
      <c r="AC42" s="50">
        <f>'AESS-all'!AC42/'AESS-all'!AC$1</f>
        <v>1.857471264367816E-2</v>
      </c>
      <c r="AD42" s="51">
        <f>'AESS-all'!AD42/'AESS-all'!AD$1</f>
        <v>1.2946116165150455E-2</v>
      </c>
    </row>
    <row r="43" spans="1:30" x14ac:dyDescent="0.35">
      <c r="A43" t="str">
        <f>'AESS-all'!A43</f>
        <v>OTU_37</v>
      </c>
      <c r="B43">
        <f>'AESS-all'!B43</f>
        <v>910</v>
      </c>
      <c r="C43" t="str">
        <f>'AESS-all'!C43</f>
        <v>Root</v>
      </c>
      <c r="D43" t="str">
        <f>'AESS-all'!D43</f>
        <v>Bacteria</v>
      </c>
      <c r="E43" t="str">
        <f>'AESS-all'!E43</f>
        <v>Firmicutes</v>
      </c>
      <c r="F43" t="str">
        <f>'AESS-all'!F43</f>
        <v>.</v>
      </c>
      <c r="G43" t="str">
        <f>'AESS-all'!G43</f>
        <v>Clostridia</v>
      </c>
      <c r="H43" t="str">
        <f>'AESS-all'!H43</f>
        <v>.</v>
      </c>
      <c r="I43" t="str">
        <f>'AESS-all'!I43</f>
        <v>Clostridiales</v>
      </c>
      <c r="J43" t="str">
        <f>'AESS-all'!J43</f>
        <v>.</v>
      </c>
      <c r="K43" t="str">
        <f>'AESS-all'!K43</f>
        <v>Peptococcaceae 1</v>
      </c>
      <c r="L43" t="str">
        <f>'AESS-all'!L43</f>
        <v>.</v>
      </c>
      <c r="M43" t="str">
        <f>'AESS-all'!M43</f>
        <v>Desulfitibacter</v>
      </c>
      <c r="N43" t="str">
        <f>'AESS-all'!N43</f>
        <v>.</v>
      </c>
      <c r="O43">
        <f>'AESS-all'!O43</f>
        <v>0.61</v>
      </c>
      <c r="P43" t="str">
        <f>'AESS-all'!P43</f>
        <v>Desulfitibacter_alkalitolerans_(T)_sk.kt5_(AY538171)</v>
      </c>
      <c r="Q43">
        <f>'AESS-all'!Q43</f>
        <v>92.1</v>
      </c>
      <c r="R43">
        <f>'AESS-all'!R43</f>
        <v>1</v>
      </c>
      <c r="S43" s="49">
        <f>'AESS-all'!S43/'AESS-all'!S$1</f>
        <v>0</v>
      </c>
      <c r="T43" s="50">
        <f>'AESS-all'!T43/'AESS-all'!T$1</f>
        <v>0</v>
      </c>
      <c r="U43" s="50">
        <f>'AESS-all'!U43/'AESS-all'!U$1</f>
        <v>0</v>
      </c>
      <c r="V43" s="51">
        <f>'AESS-all'!V43/'AESS-all'!V$1</f>
        <v>0</v>
      </c>
      <c r="W43" s="49">
        <f>'AESS-all'!W43/'AESS-all'!W$1</f>
        <v>2.1727794194333393E-5</v>
      </c>
      <c r="X43" s="50">
        <f>'AESS-all'!X43/'AESS-all'!X$1</f>
        <v>0</v>
      </c>
      <c r="Y43" s="50">
        <f>'AESS-all'!Y43/'AESS-all'!Y$1</f>
        <v>0</v>
      </c>
      <c r="Z43" s="51">
        <f>'AESS-all'!Z43/'AESS-all'!Z$1</f>
        <v>0</v>
      </c>
      <c r="AA43" s="49">
        <f>'AESS-all'!AA43/'AESS-all'!AA$1</f>
        <v>3.7274916848262414E-4</v>
      </c>
      <c r="AB43" s="50">
        <f>'AESS-all'!AB43/'AESS-all'!AB$1</f>
        <v>2.6023594725884801E-4</v>
      </c>
      <c r="AC43" s="50">
        <f>'AESS-all'!AC43/'AESS-all'!AC$1</f>
        <v>2.2160919540229886E-2</v>
      </c>
      <c r="AD43" s="51">
        <f>'AESS-all'!AD43/'AESS-all'!AD$1</f>
        <v>5.6770468859342199E-2</v>
      </c>
    </row>
    <row r="44" spans="1:30" x14ac:dyDescent="0.35">
      <c r="A44" t="str">
        <f>'AESS-all'!A44</f>
        <v>OTU_40</v>
      </c>
      <c r="B44">
        <f>'AESS-all'!B44</f>
        <v>866</v>
      </c>
      <c r="C44" t="str">
        <f>'AESS-all'!C44</f>
        <v>Root</v>
      </c>
      <c r="D44" t="str">
        <f>'AESS-all'!D44</f>
        <v>Bacteria</v>
      </c>
      <c r="E44" t="str">
        <f>'AESS-all'!E44</f>
        <v>Firmicutes</v>
      </c>
      <c r="F44" t="str">
        <f>'AESS-all'!F44</f>
        <v>.</v>
      </c>
      <c r="G44" t="str">
        <f>'AESS-all'!G44</f>
        <v>Clostridia</v>
      </c>
      <c r="H44" t="str">
        <f>'AESS-all'!H44</f>
        <v>.</v>
      </c>
      <c r="I44" t="str">
        <f>'AESS-all'!I44</f>
        <v>Clostridiales</v>
      </c>
      <c r="J44" t="str">
        <f>'AESS-all'!J44</f>
        <v>.</v>
      </c>
      <c r="K44" t="str">
        <f>'AESS-all'!K44</f>
        <v>Peptococcaceae 2</v>
      </c>
      <c r="L44" t="str">
        <f>'AESS-all'!L44</f>
        <v>.</v>
      </c>
      <c r="M44" t="str">
        <f>'AESS-all'!M44</f>
        <v>Pelotomaculum</v>
      </c>
      <c r="N44" t="str">
        <f>'AESS-all'!N44</f>
        <v>.</v>
      </c>
      <c r="O44">
        <f>'AESS-all'!O44</f>
        <v>0.95</v>
      </c>
      <c r="P44" t="str">
        <f>'AESS-all'!P44</f>
        <v>Pelotomaculum_propionicicum_(T)_MGP_(AB154390)</v>
      </c>
      <c r="Q44">
        <f>'AESS-all'!Q44</f>
        <v>99.2</v>
      </c>
      <c r="R44">
        <f>'AESS-all'!R44</f>
        <v>1</v>
      </c>
      <c r="S44" s="49">
        <f>'AESS-all'!S44/'AESS-all'!S$1</f>
        <v>9.3246613982329762E-5</v>
      </c>
      <c r="T44" s="50">
        <f>'AESS-all'!T44/'AESS-all'!T$1</f>
        <v>0</v>
      </c>
      <c r="U44" s="50">
        <f>'AESS-all'!U44/'AESS-all'!U$1</f>
        <v>0</v>
      </c>
      <c r="V44" s="51">
        <f>'AESS-all'!V44/'AESS-all'!V$1</f>
        <v>0</v>
      </c>
      <c r="W44" s="49">
        <f>'AESS-all'!W44/'AESS-all'!W$1</f>
        <v>4.0848253085346772E-3</v>
      </c>
      <c r="X44" s="50">
        <f>'AESS-all'!X44/'AESS-all'!X$1</f>
        <v>4.2276627965673903E-3</v>
      </c>
      <c r="Y44" s="50">
        <f>'AESS-all'!Y44/'AESS-all'!Y$1</f>
        <v>1.2345679012345678E-2</v>
      </c>
      <c r="Z44" s="51">
        <f>'AESS-all'!Z44/'AESS-all'!Z$1</f>
        <v>0.16105082809822957</v>
      </c>
      <c r="AA44" s="49">
        <f>'AESS-all'!AA44/'AESS-all'!AA$1</f>
        <v>0</v>
      </c>
      <c r="AB44" s="50">
        <f>'AESS-all'!AB44/'AESS-all'!AB$1</f>
        <v>0</v>
      </c>
      <c r="AC44" s="50">
        <f>'AESS-all'!AC44/'AESS-all'!AC$1</f>
        <v>0</v>
      </c>
      <c r="AD44" s="51">
        <f>'AESS-all'!AD44/'AESS-all'!AD$1</f>
        <v>0</v>
      </c>
    </row>
    <row r="45" spans="1:30" x14ac:dyDescent="0.35">
      <c r="A45" t="str">
        <f>'AESS-all'!A45</f>
        <v>OTU_49</v>
      </c>
      <c r="B45">
        <f>'AESS-all'!B45</f>
        <v>774</v>
      </c>
      <c r="C45" t="str">
        <f>'AESS-all'!C45</f>
        <v>Root</v>
      </c>
      <c r="D45" t="str">
        <f>'AESS-all'!D45</f>
        <v>Bacteria</v>
      </c>
      <c r="E45" t="str">
        <f>'AESS-all'!E45</f>
        <v>Firmicutes</v>
      </c>
      <c r="F45" t="str">
        <f>'AESS-all'!F45</f>
        <v>.</v>
      </c>
      <c r="G45" t="str">
        <f>'AESS-all'!G45</f>
        <v>Clostridia</v>
      </c>
      <c r="H45" t="str">
        <f>'AESS-all'!H45</f>
        <v>.</v>
      </c>
      <c r="I45" t="str">
        <f>'AESS-all'!I45</f>
        <v>Natranaerobiales</v>
      </c>
      <c r="J45" t="str">
        <f>'AESS-all'!J45</f>
        <v>.</v>
      </c>
      <c r="K45" t="str">
        <f>'AESS-all'!K45</f>
        <v>Natranaerobiaceae</v>
      </c>
      <c r="L45" t="str">
        <f>'AESS-all'!L45</f>
        <v>.</v>
      </c>
      <c r="M45" t="str">
        <f>'AESS-all'!M45</f>
        <v>Dethiobacter</v>
      </c>
      <c r="N45" t="str">
        <f>'AESS-all'!N45</f>
        <v>.</v>
      </c>
      <c r="O45">
        <f>'AESS-all'!O45</f>
        <v>0.95</v>
      </c>
      <c r="P45" t="str">
        <f>'AESS-all'!P45</f>
        <v>Dethiobacter_alkaliphilus_(T)_AHT_1_(EF422412)</v>
      </c>
      <c r="Q45">
        <f>'AESS-all'!Q45</f>
        <v>96</v>
      </c>
      <c r="R45">
        <f>'AESS-all'!R45</f>
        <v>1</v>
      </c>
      <c r="S45" s="49">
        <f>'AESS-all'!S45/'AESS-all'!S$1</f>
        <v>9.3246613982329762E-5</v>
      </c>
      <c r="T45" s="50">
        <f>'AESS-all'!T45/'AESS-all'!T$1</f>
        <v>0</v>
      </c>
      <c r="U45" s="50">
        <f>'AESS-all'!U45/'AESS-all'!U$1</f>
        <v>0</v>
      </c>
      <c r="V45" s="51">
        <f>'AESS-all'!V45/'AESS-all'!V$1</f>
        <v>0</v>
      </c>
      <c r="W45" s="49">
        <f>'AESS-all'!W45/'AESS-all'!W$1</f>
        <v>9.3429515035633581E-4</v>
      </c>
      <c r="X45" s="50">
        <f>'AESS-all'!X45/'AESS-all'!X$1</f>
        <v>5.3003533568904597E-3</v>
      </c>
      <c r="Y45" s="50">
        <f>'AESS-all'!Y45/'AESS-all'!Y$1</f>
        <v>5.1679586563307496E-3</v>
      </c>
      <c r="Z45" s="51">
        <f>'AESS-all'!Z45/'AESS-all'!Z$1</f>
        <v>4.1976013706453458E-2</v>
      </c>
      <c r="AA45" s="49">
        <f>'AESS-all'!AA45/'AESS-all'!AA$1</f>
        <v>3.3260695033834153E-3</v>
      </c>
      <c r="AB45" s="50">
        <f>'AESS-all'!AB45/'AESS-all'!AB$1</f>
        <v>4.2938931297709926E-3</v>
      </c>
      <c r="AC45" s="50">
        <f>'AESS-all'!AC45/'AESS-all'!AC$1</f>
        <v>1.4712643678160919E-3</v>
      </c>
      <c r="AD45" s="51">
        <f>'AESS-all'!AD45/'AESS-all'!AD$1</f>
        <v>2.1606018194541637E-2</v>
      </c>
    </row>
    <row r="46" spans="1:30" x14ac:dyDescent="0.35">
      <c r="A46" t="str">
        <f>'AESS-all'!A46</f>
        <v>OTU_42</v>
      </c>
      <c r="B46">
        <f>'AESS-all'!B46</f>
        <v>749</v>
      </c>
      <c r="C46" t="str">
        <f>'AESS-all'!C46</f>
        <v>Root</v>
      </c>
      <c r="D46" t="str">
        <f>'AESS-all'!D46</f>
        <v>Bacteria</v>
      </c>
      <c r="E46" t="str">
        <f>'AESS-all'!E46</f>
        <v>Bacteroidetes</v>
      </c>
      <c r="F46" t="str">
        <f>'AESS-all'!F46</f>
        <v>.</v>
      </c>
      <c r="G46" t="str">
        <f>'AESS-all'!G46</f>
        <v>Bacteroidia</v>
      </c>
      <c r="H46" t="str">
        <f>'AESS-all'!H46</f>
        <v>.</v>
      </c>
      <c r="I46" t="str">
        <f>'AESS-all'!I46</f>
        <v>Bacteroidales</v>
      </c>
      <c r="J46" t="str">
        <f>'AESS-all'!J46</f>
        <v>.</v>
      </c>
      <c r="K46" t="str">
        <f>'AESS-all'!K46</f>
        <v>Prolixibacteraceae</v>
      </c>
      <c r="L46" t="str">
        <f>'AESS-all'!L46</f>
        <v>.</v>
      </c>
      <c r="M46" t="str">
        <f>'AESS-all'!M46</f>
        <v>.</v>
      </c>
      <c r="N46" t="str">
        <f>'AESS-all'!N46</f>
        <v>.</v>
      </c>
      <c r="O46">
        <f>'AESS-all'!O46</f>
        <v>0.87</v>
      </c>
      <c r="P46" t="str">
        <f>'AESS-all'!P46</f>
        <v>Sunxiuqinia_faeciviva_(T)_JAM-BA0302_(AB362263)</v>
      </c>
      <c r="Q46">
        <f>'AESS-all'!Q46</f>
        <v>91.7</v>
      </c>
      <c r="R46">
        <f>'AESS-all'!R46</f>
        <v>1</v>
      </c>
      <c r="S46" s="49">
        <f>'AESS-all'!S46/'AESS-all'!S$1</f>
        <v>1.2355176352658694E-3</v>
      </c>
      <c r="T46" s="50">
        <f>'AESS-all'!T46/'AESS-all'!T$1</f>
        <v>6.6326530612244902E-4</v>
      </c>
      <c r="U46" s="50">
        <f>'AESS-all'!U46/'AESS-all'!U$1</f>
        <v>1.9521082769390942E-3</v>
      </c>
      <c r="V46" s="51">
        <f>'AESS-all'!V46/'AESS-all'!V$1</f>
        <v>3.1370227878070437E-3</v>
      </c>
      <c r="W46" s="49">
        <f>'AESS-all'!W46/'AESS-all'!W$1</f>
        <v>2.4117851555710062E-3</v>
      </c>
      <c r="X46" s="50">
        <f>'AESS-all'!X46/'AESS-all'!X$1</f>
        <v>5.1741544674406862E-3</v>
      </c>
      <c r="Y46" s="50">
        <f>'AESS-all'!Y46/'AESS-all'!Y$1</f>
        <v>1.5216767154751652E-2</v>
      </c>
      <c r="Z46" s="51">
        <f>'AESS-all'!Z46/'AESS-all'!Z$1</f>
        <v>1.770416904625928E-2</v>
      </c>
      <c r="AA46" s="49">
        <f>'AESS-all'!AA46/'AESS-all'!AA$1</f>
        <v>3.4120885422640212E-3</v>
      </c>
      <c r="AB46" s="50">
        <f>'AESS-all'!AB46/'AESS-all'!AB$1</f>
        <v>8.1540596807772384E-3</v>
      </c>
      <c r="AC46" s="50">
        <f>'AESS-all'!AC46/'AESS-all'!AC$1</f>
        <v>0</v>
      </c>
      <c r="AD46" s="51">
        <f>'AESS-all'!AD46/'AESS-all'!AD$1</f>
        <v>0</v>
      </c>
    </row>
    <row r="47" spans="1:30" x14ac:dyDescent="0.35">
      <c r="A47" t="str">
        <f>'AESS-all'!A47</f>
        <v>OTU_44</v>
      </c>
      <c r="B47">
        <f>'AESS-all'!B47</f>
        <v>604</v>
      </c>
      <c r="C47" t="str">
        <f>'AESS-all'!C47</f>
        <v>Root</v>
      </c>
      <c r="D47" t="str">
        <f>'AESS-all'!D47</f>
        <v>Bacteria</v>
      </c>
      <c r="E47" t="str">
        <f>'AESS-all'!E47</f>
        <v>Synergistetes</v>
      </c>
      <c r="F47" t="str">
        <f>'AESS-all'!F47</f>
        <v>.</v>
      </c>
      <c r="G47" t="str">
        <f>'AESS-all'!G47</f>
        <v>Synergistia</v>
      </c>
      <c r="H47" t="str">
        <f>'AESS-all'!H47</f>
        <v>.</v>
      </c>
      <c r="I47" t="str">
        <f>'AESS-all'!I47</f>
        <v>Synergistales</v>
      </c>
      <c r="J47" t="str">
        <f>'AESS-all'!J47</f>
        <v>.</v>
      </c>
      <c r="K47" t="str">
        <f>'AESS-all'!K47</f>
        <v>Synergistaceae</v>
      </c>
      <c r="L47" t="str">
        <f>'AESS-all'!L47</f>
        <v>.</v>
      </c>
      <c r="M47" t="str">
        <f>'AESS-all'!M47</f>
        <v>Aminiphilus</v>
      </c>
      <c r="N47" t="str">
        <f>'AESS-all'!N47</f>
        <v>.</v>
      </c>
      <c r="O47">
        <f>'AESS-all'!O47</f>
        <v>1</v>
      </c>
      <c r="P47" t="str">
        <f>'AESS-all'!P47</f>
        <v>Aminiphilus_circumscriptus_(T)_ILE-2_(AY642589)</v>
      </c>
      <c r="Q47">
        <f>'AESS-all'!Q47</f>
        <v>99.6</v>
      </c>
      <c r="R47">
        <f>'AESS-all'!R47</f>
        <v>1</v>
      </c>
      <c r="S47" s="49">
        <f>'AESS-all'!S47/'AESS-all'!S$1</f>
        <v>4.7788889665944002E-3</v>
      </c>
      <c r="T47" s="50">
        <f>'AESS-all'!T47/'AESS-all'!T$1</f>
        <v>4.183673469387755E-3</v>
      </c>
      <c r="U47" s="50">
        <f>'AESS-all'!U47/'AESS-all'!U$1</f>
        <v>6.8974492451847995E-3</v>
      </c>
      <c r="V47" s="51">
        <f>'AESS-all'!V47/'AESS-all'!V$1</f>
        <v>1.5329979283811778E-2</v>
      </c>
      <c r="W47" s="49">
        <f>'AESS-all'!W47/'AESS-all'!W$1</f>
        <v>4.3455588388666785E-5</v>
      </c>
      <c r="X47" s="50">
        <f>'AESS-all'!X47/'AESS-all'!X$1</f>
        <v>0</v>
      </c>
      <c r="Y47" s="50">
        <f>'AESS-all'!Y47/'AESS-all'!Y$1</f>
        <v>0</v>
      </c>
      <c r="Z47" s="51">
        <f>'AESS-all'!Z47/'AESS-all'!Z$1</f>
        <v>0</v>
      </c>
      <c r="AA47" s="49">
        <f>'AESS-all'!AA47/'AESS-all'!AA$1</f>
        <v>8.6019038880605581E-5</v>
      </c>
      <c r="AB47" s="50">
        <f>'AESS-all'!AB47/'AESS-all'!AB$1</f>
        <v>0</v>
      </c>
      <c r="AC47" s="50">
        <f>'AESS-all'!AC47/'AESS-all'!AC$1</f>
        <v>0</v>
      </c>
      <c r="AD47" s="51">
        <f>'AESS-all'!AD47/'AESS-all'!AD$1</f>
        <v>0</v>
      </c>
    </row>
    <row r="48" spans="1:30" x14ac:dyDescent="0.35">
      <c r="A48" t="str">
        <f>'AESS-all'!A48</f>
        <v>OTU_43</v>
      </c>
      <c r="B48">
        <f>'AESS-all'!B48</f>
        <v>601</v>
      </c>
      <c r="C48" t="str">
        <f>'AESS-all'!C48</f>
        <v>Root</v>
      </c>
      <c r="D48" t="str">
        <f>'AESS-all'!D48</f>
        <v>Bacteria</v>
      </c>
      <c r="E48" t="str">
        <f>'AESS-all'!E48</f>
        <v>Synergistetes</v>
      </c>
      <c r="F48" t="str">
        <f>'AESS-all'!F48</f>
        <v>.</v>
      </c>
      <c r="G48" t="str">
        <f>'AESS-all'!G48</f>
        <v>Synergistia</v>
      </c>
      <c r="H48" t="str">
        <f>'AESS-all'!H48</f>
        <v>.</v>
      </c>
      <c r="I48" t="str">
        <f>'AESS-all'!I48</f>
        <v>Synergistales</v>
      </c>
      <c r="J48" t="str">
        <f>'AESS-all'!J48</f>
        <v>.</v>
      </c>
      <c r="K48" t="str">
        <f>'AESS-all'!K48</f>
        <v>Synergistaceae</v>
      </c>
      <c r="L48" t="str">
        <f>'AESS-all'!L48</f>
        <v>.</v>
      </c>
      <c r="M48" t="str">
        <f>'AESS-all'!M48</f>
        <v>Aminivibrio</v>
      </c>
      <c r="N48" t="str">
        <f>'AESS-all'!N48</f>
        <v>.</v>
      </c>
      <c r="O48">
        <f>'AESS-all'!O48</f>
        <v>0.68</v>
      </c>
      <c r="P48" t="str">
        <f>'AESS-all'!P48</f>
        <v>Aminivibrio_pyruvatiphilus_4F6E_(AB623229)</v>
      </c>
      <c r="Q48">
        <f>'AESS-all'!Q48</f>
        <v>91.7</v>
      </c>
      <c r="R48">
        <f>'AESS-all'!R48</f>
        <v>1</v>
      </c>
      <c r="S48" s="49">
        <f>'AESS-all'!S48/'AESS-all'!S$1</f>
        <v>2.9838916474345524E-3</v>
      </c>
      <c r="T48" s="50">
        <f>'AESS-all'!T48/'AESS-all'!T$1</f>
        <v>3.1632653061224492E-3</v>
      </c>
      <c r="U48" s="50">
        <f>'AESS-all'!U48/'AESS-all'!U$1</f>
        <v>7.8084331077563768E-4</v>
      </c>
      <c r="V48" s="51">
        <f>'AESS-all'!V48/'AESS-all'!V$1</f>
        <v>2.3853211009174313E-2</v>
      </c>
      <c r="W48" s="49">
        <f>'AESS-all'!W48/'AESS-all'!W$1</f>
        <v>4.3455588388666785E-5</v>
      </c>
      <c r="X48" s="50">
        <f>'AESS-all'!X48/'AESS-all'!X$1</f>
        <v>0</v>
      </c>
      <c r="Y48" s="50">
        <f>'AESS-all'!Y48/'AESS-all'!Y$1</f>
        <v>0</v>
      </c>
      <c r="Z48" s="51">
        <f>'AESS-all'!Z48/'AESS-all'!Z$1</f>
        <v>0</v>
      </c>
      <c r="AA48" s="49">
        <f>'AESS-all'!AA48/'AESS-all'!AA$1</f>
        <v>0</v>
      </c>
      <c r="AB48" s="50">
        <f>'AESS-all'!AB48/'AESS-all'!AB$1</f>
        <v>0</v>
      </c>
      <c r="AC48" s="50">
        <f>'AESS-all'!AC48/'AESS-all'!AC$1</f>
        <v>0</v>
      </c>
      <c r="AD48" s="51">
        <f>'AESS-all'!AD48/'AESS-all'!AD$1</f>
        <v>0</v>
      </c>
    </row>
    <row r="49" spans="1:30" x14ac:dyDescent="0.35">
      <c r="A49" t="str">
        <f>'AESS-all'!A49</f>
        <v>OTU_45</v>
      </c>
      <c r="B49">
        <f>'AESS-all'!B49</f>
        <v>563</v>
      </c>
      <c r="C49" t="str">
        <f>'AESS-all'!C49</f>
        <v>Root</v>
      </c>
      <c r="D49" t="str">
        <f>'AESS-all'!D49</f>
        <v>Bacteria</v>
      </c>
      <c r="E49" t="str">
        <f>'AESS-all'!E49</f>
        <v>Proteobacteria</v>
      </c>
      <c r="F49" t="str">
        <f>'AESS-all'!F49</f>
        <v>.</v>
      </c>
      <c r="G49" t="str">
        <f>'AESS-all'!G49</f>
        <v>Deltaproteobacteria</v>
      </c>
      <c r="H49" t="str">
        <f>'AESS-all'!H49</f>
        <v>.</v>
      </c>
      <c r="I49" t="str">
        <f>'AESS-all'!I49</f>
        <v>Syntrophobacterales</v>
      </c>
      <c r="J49" t="str">
        <f>'AESS-all'!J49</f>
        <v>.</v>
      </c>
      <c r="K49" t="str">
        <f>'AESS-all'!K49</f>
        <v>Syntrophaceae</v>
      </c>
      <c r="L49" t="str">
        <f>'AESS-all'!L49</f>
        <v>.</v>
      </c>
      <c r="M49" t="str">
        <f>'AESS-all'!M49</f>
        <v>Smithella</v>
      </c>
      <c r="N49" t="str">
        <f>'AESS-all'!N49</f>
        <v>.</v>
      </c>
      <c r="O49">
        <f>'AESS-all'!O49</f>
        <v>0.97</v>
      </c>
      <c r="P49" t="str">
        <f>'AESS-all'!P49</f>
        <v>Smithella_propionica_(T)_LYP_(AF126282)</v>
      </c>
      <c r="Q49">
        <f>'AESS-all'!Q49</f>
        <v>98</v>
      </c>
      <c r="R49">
        <f>'AESS-all'!R49</f>
        <v>1</v>
      </c>
      <c r="S49" s="49">
        <f>'AESS-all'!S49/'AESS-all'!S$1</f>
        <v>1.6318157446907708E-4</v>
      </c>
      <c r="T49" s="50">
        <f>'AESS-all'!T49/'AESS-all'!T$1</f>
        <v>0</v>
      </c>
      <c r="U49" s="50">
        <f>'AESS-all'!U49/'AESS-all'!U$1</f>
        <v>0</v>
      </c>
      <c r="V49" s="51">
        <f>'AESS-all'!V49/'AESS-all'!V$1</f>
        <v>0</v>
      </c>
      <c r="W49" s="49">
        <f>'AESS-all'!W49/'AESS-all'!W$1</f>
        <v>4.7149313401703462E-3</v>
      </c>
      <c r="X49" s="50">
        <f>'AESS-all'!X49/'AESS-all'!X$1</f>
        <v>4.1014639071176176E-3</v>
      </c>
      <c r="Y49" s="50">
        <f>'AESS-all'!Y49/'AESS-all'!Y$1</f>
        <v>0</v>
      </c>
      <c r="Z49" s="51">
        <f>'AESS-all'!Z49/'AESS-all'!Z$1</f>
        <v>0</v>
      </c>
      <c r="AA49" s="49">
        <f>'AESS-all'!AA49/'AESS-all'!AA$1</f>
        <v>2.3511870627365523E-3</v>
      </c>
      <c r="AB49" s="50">
        <f>'AESS-all'!AB49/'AESS-all'!AB$1</f>
        <v>1.0843164469118668E-3</v>
      </c>
      <c r="AC49" s="50">
        <f>'AESS-all'!AC49/'AESS-all'!AC$1</f>
        <v>7.0804597701149422E-3</v>
      </c>
      <c r="AD49" s="51">
        <f>'AESS-all'!AD49/'AESS-all'!AD$1</f>
        <v>7.8726382085374386E-3</v>
      </c>
    </row>
    <row r="50" spans="1:30" x14ac:dyDescent="0.35">
      <c r="A50" t="str">
        <f>'AESS-all'!A50</f>
        <v>OTU_50</v>
      </c>
      <c r="B50">
        <f>'AESS-all'!B50</f>
        <v>472</v>
      </c>
      <c r="C50" t="str">
        <f>'AESS-all'!C50</f>
        <v>Root</v>
      </c>
      <c r="D50" t="str">
        <f>'AESS-all'!D50</f>
        <v>Bacteria</v>
      </c>
      <c r="E50" t="str">
        <f>'AESS-all'!E50</f>
        <v>.</v>
      </c>
      <c r="F50" t="str">
        <f>'AESS-all'!F50</f>
        <v>.</v>
      </c>
      <c r="G50" t="str">
        <f>'AESS-all'!G50</f>
        <v>.</v>
      </c>
      <c r="H50" t="str">
        <f>'AESS-all'!H50</f>
        <v>.</v>
      </c>
      <c r="I50" t="str">
        <f>'AESS-all'!I50</f>
        <v>.</v>
      </c>
      <c r="J50" t="str">
        <f>'AESS-all'!J50</f>
        <v>.</v>
      </c>
      <c r="K50" t="str">
        <f>'AESS-all'!K50</f>
        <v>.</v>
      </c>
      <c r="L50" t="str">
        <f>'AESS-all'!L50</f>
        <v>.</v>
      </c>
      <c r="M50" t="str">
        <f>'AESS-all'!M50</f>
        <v>.</v>
      </c>
      <c r="N50" t="str">
        <f>'AESS-all'!N50</f>
        <v>.</v>
      </c>
      <c r="O50">
        <f>'AESS-all'!O50</f>
        <v>0.92</v>
      </c>
      <c r="P50" t="str">
        <f>'AESS-all'!P50</f>
        <v>*</v>
      </c>
      <c r="Q50">
        <f>'AESS-all'!Q50</f>
        <v>0</v>
      </c>
      <c r="R50">
        <f>'AESS-all'!R50</f>
        <v>1</v>
      </c>
      <c r="S50" s="49">
        <f>'AESS-all'!S50/'AESS-all'!S$1</f>
        <v>0</v>
      </c>
      <c r="T50" s="50">
        <f>'AESS-all'!T50/'AESS-all'!T$1</f>
        <v>0</v>
      </c>
      <c r="U50" s="50">
        <f>'AESS-all'!U50/'AESS-all'!U$1</f>
        <v>0</v>
      </c>
      <c r="V50" s="51">
        <f>'AESS-all'!V50/'AESS-all'!V$1</f>
        <v>0</v>
      </c>
      <c r="W50" s="49">
        <f>'AESS-all'!W50/'AESS-all'!W$1</f>
        <v>5.6274986963323484E-3</v>
      </c>
      <c r="X50" s="50">
        <f>'AESS-all'!X50/'AESS-all'!X$1</f>
        <v>1.3313982836951035E-2</v>
      </c>
      <c r="Y50" s="50">
        <f>'AESS-all'!Y50/'AESS-all'!Y$1</f>
        <v>0</v>
      </c>
      <c r="Z50" s="51">
        <f>'AESS-all'!Z50/'AESS-all'!Z$1</f>
        <v>0</v>
      </c>
      <c r="AA50" s="49">
        <f>'AESS-all'!AA50/'AESS-all'!AA$1</f>
        <v>5.7346025920403718E-5</v>
      </c>
      <c r="AB50" s="50">
        <f>'AESS-all'!AB50/'AESS-all'!AB$1</f>
        <v>0</v>
      </c>
      <c r="AC50" s="50">
        <f>'AESS-all'!AC50/'AESS-all'!AC$1</f>
        <v>0</v>
      </c>
      <c r="AD50" s="51">
        <f>'AESS-all'!AD50/'AESS-all'!AD$1</f>
        <v>0</v>
      </c>
    </row>
    <row r="51" spans="1:30" x14ac:dyDescent="0.35">
      <c r="A51" t="str">
        <f>'AESS-all'!A51</f>
        <v>OTU_172</v>
      </c>
      <c r="B51">
        <f>'AESS-all'!B51</f>
        <v>461</v>
      </c>
      <c r="C51" t="str">
        <f>'AESS-all'!C51</f>
        <v>Root</v>
      </c>
      <c r="D51" t="str">
        <f>'AESS-all'!D51</f>
        <v>Bacteria</v>
      </c>
      <c r="E51" t="str">
        <f>'AESS-all'!E51</f>
        <v>Bacteroidetes</v>
      </c>
      <c r="F51" t="str">
        <f>'AESS-all'!F51</f>
        <v>.</v>
      </c>
      <c r="G51" t="str">
        <f>'AESS-all'!G51</f>
        <v>Bacteroidia</v>
      </c>
      <c r="H51" t="str">
        <f>'AESS-all'!H51</f>
        <v>.</v>
      </c>
      <c r="I51" t="str">
        <f>'AESS-all'!I51</f>
        <v>Bacteroidales</v>
      </c>
      <c r="J51" t="str">
        <f>'AESS-all'!J51</f>
        <v>.</v>
      </c>
      <c r="K51" t="str">
        <f>'AESS-all'!K51</f>
        <v>.</v>
      </c>
      <c r="L51" t="str">
        <f>'AESS-all'!L51</f>
        <v>.</v>
      </c>
      <c r="M51" t="str">
        <f>'AESS-all'!M51</f>
        <v>.</v>
      </c>
      <c r="N51" t="str">
        <f>'AESS-all'!N51</f>
        <v>.</v>
      </c>
      <c r="O51">
        <f>'AESS-all'!O51</f>
        <v>0.57999999999999996</v>
      </c>
      <c r="P51" t="str">
        <f>'AESS-all'!P51</f>
        <v>Pontibacter_niistensis_(T)_NII-0905_(FJ897494)</v>
      </c>
      <c r="Q51">
        <f>'AESS-all'!Q51</f>
        <v>85.4</v>
      </c>
      <c r="R51">
        <f>'AESS-all'!R51</f>
        <v>2</v>
      </c>
      <c r="S51" s="49">
        <f>'AESS-all'!S51/'AESS-all'!S$1</f>
        <v>2.3311653495582441E-5</v>
      </c>
      <c r="T51" s="50">
        <f>'AESS-all'!T51/'AESS-all'!T$1</f>
        <v>0</v>
      </c>
      <c r="U51" s="50">
        <f>'AESS-all'!U51/'AESS-all'!U$1</f>
        <v>0</v>
      </c>
      <c r="V51" s="51">
        <f>'AESS-all'!V51/'AESS-all'!V$1</f>
        <v>0</v>
      </c>
      <c r="W51" s="49">
        <f>'AESS-all'!W51/'AESS-all'!W$1</f>
        <v>5.8447766382756826E-3</v>
      </c>
      <c r="X51" s="50">
        <f>'AESS-all'!X51/'AESS-all'!X$1</f>
        <v>6.3099444724886425E-3</v>
      </c>
      <c r="Y51" s="50">
        <f>'AESS-all'!Y51/'AESS-all'!Y$1</f>
        <v>7.4648291702555268E-3</v>
      </c>
      <c r="Z51" s="51">
        <f>'AESS-all'!Z51/'AESS-all'!Z$1</f>
        <v>1.8560822387207309E-2</v>
      </c>
      <c r="AA51" s="49">
        <f>'AESS-all'!AA51/'AESS-all'!AA$1</f>
        <v>0</v>
      </c>
      <c r="AB51" s="50">
        <f>'AESS-all'!AB51/'AESS-all'!AB$1</f>
        <v>0</v>
      </c>
      <c r="AC51" s="50">
        <f>'AESS-all'!AC51/'AESS-all'!AC$1</f>
        <v>0</v>
      </c>
      <c r="AD51" s="51">
        <f>'AESS-all'!AD51/'AESS-all'!AD$1</f>
        <v>0</v>
      </c>
    </row>
    <row r="52" spans="1:30" x14ac:dyDescent="0.35">
      <c r="A52" t="str">
        <f>'AESS-all'!A52</f>
        <v>OTU_46</v>
      </c>
      <c r="B52">
        <f>'AESS-all'!B52</f>
        <v>447</v>
      </c>
      <c r="C52" t="str">
        <f>'AESS-all'!C52</f>
        <v>Root</v>
      </c>
      <c r="D52" t="str">
        <f>'AESS-all'!D52</f>
        <v>Bacteria</v>
      </c>
      <c r="E52" t="str">
        <f>'AESS-all'!E52</f>
        <v>Proteobacteria</v>
      </c>
      <c r="F52" t="str">
        <f>'AESS-all'!F52</f>
        <v>.</v>
      </c>
      <c r="G52" t="str">
        <f>'AESS-all'!G52</f>
        <v>Gammaproteobacteria</v>
      </c>
      <c r="H52" t="str">
        <f>'AESS-all'!H52</f>
        <v>.</v>
      </c>
      <c r="I52" t="str">
        <f>'AESS-all'!I52</f>
        <v>Pseudomonadales</v>
      </c>
      <c r="J52" t="str">
        <f>'AESS-all'!J52</f>
        <v>.</v>
      </c>
      <c r="K52" t="str">
        <f>'AESS-all'!K52</f>
        <v>Pseudomonadaceae</v>
      </c>
      <c r="L52" t="str">
        <f>'AESS-all'!L52</f>
        <v>.</v>
      </c>
      <c r="M52" t="str">
        <f>'AESS-all'!M52</f>
        <v>Pseudomonas</v>
      </c>
      <c r="N52" t="str">
        <f>'AESS-all'!N52</f>
        <v>.</v>
      </c>
      <c r="O52">
        <f>'AESS-all'!O52</f>
        <v>0.99</v>
      </c>
      <c r="P52" t="str">
        <f>'AESS-all'!P52</f>
        <v>Pseudomonas_songnenensis_strain_NEAU-ST5-5_(NR_148295.1)</v>
      </c>
      <c r="Q52">
        <f>'AESS-all'!Q52</f>
        <v>100</v>
      </c>
      <c r="R52">
        <f>'AESS-all'!R52</f>
        <v>2</v>
      </c>
      <c r="S52" s="49">
        <f>'AESS-all'!S52/'AESS-all'!S$1</f>
        <v>1.3986992097349466E-4</v>
      </c>
      <c r="T52" s="50">
        <f>'AESS-all'!T52/'AESS-all'!T$1</f>
        <v>0</v>
      </c>
      <c r="U52" s="50">
        <f>'AESS-all'!U52/'AESS-all'!U$1</f>
        <v>0</v>
      </c>
      <c r="V52" s="51">
        <f>'AESS-all'!V52/'AESS-all'!V$1</f>
        <v>0</v>
      </c>
      <c r="W52" s="49">
        <f>'AESS-all'!W52/'AESS-all'!W$1</f>
        <v>2.1727794194333393E-5</v>
      </c>
      <c r="X52" s="50">
        <f>'AESS-all'!X52/'AESS-all'!X$1</f>
        <v>0</v>
      </c>
      <c r="Y52" s="50">
        <f>'AESS-all'!Y52/'AESS-all'!Y$1</f>
        <v>0</v>
      </c>
      <c r="Z52" s="51">
        <f>'AESS-all'!Z52/'AESS-all'!Z$1</f>
        <v>0</v>
      </c>
      <c r="AA52" s="49">
        <f>'AESS-all'!AA52/'AESS-all'!AA$1</f>
        <v>3.9568757885078566E-3</v>
      </c>
      <c r="AB52" s="50">
        <f>'AESS-all'!AB52/'AESS-all'!AB$1</f>
        <v>5.4649548924358086E-3</v>
      </c>
      <c r="AC52" s="50">
        <f>'AESS-all'!AC52/'AESS-all'!AC$1</f>
        <v>9.3793103448275867E-3</v>
      </c>
      <c r="AD52" s="51">
        <f>'AESS-all'!AD52/'AESS-all'!AD$1</f>
        <v>6.4730580825752273E-3</v>
      </c>
    </row>
    <row r="53" spans="1:30" x14ac:dyDescent="0.35">
      <c r="A53" t="str">
        <f>'AESS-all'!A53</f>
        <v>OTU_65</v>
      </c>
      <c r="B53">
        <f>'AESS-all'!B53</f>
        <v>441</v>
      </c>
      <c r="C53" t="str">
        <f>'AESS-all'!C53</f>
        <v>Root</v>
      </c>
      <c r="D53" t="str">
        <f>'AESS-all'!D53</f>
        <v>Bacteria</v>
      </c>
      <c r="E53" t="str">
        <f>'AESS-all'!E53</f>
        <v>Proteobacteria</v>
      </c>
      <c r="F53" t="str">
        <f>'AESS-all'!F53</f>
        <v>.</v>
      </c>
      <c r="G53" t="str">
        <f>'AESS-all'!G53</f>
        <v>Deltaproteobacteria</v>
      </c>
      <c r="H53" t="str">
        <f>'AESS-all'!H53</f>
        <v>.</v>
      </c>
      <c r="I53" t="str">
        <f>'AESS-all'!I53</f>
        <v>Syntrophobacterales</v>
      </c>
      <c r="J53" t="str">
        <f>'AESS-all'!J53</f>
        <v>.</v>
      </c>
      <c r="K53" t="str">
        <f>'AESS-all'!K53</f>
        <v>Syntrophaceae</v>
      </c>
      <c r="L53" t="str">
        <f>'AESS-all'!L53</f>
        <v>.</v>
      </c>
      <c r="M53" t="str">
        <f>'AESS-all'!M53</f>
        <v>Smithella</v>
      </c>
      <c r="N53" t="str">
        <f>'AESS-all'!N53</f>
        <v>.</v>
      </c>
      <c r="O53">
        <f>'AESS-all'!O53</f>
        <v>0.77</v>
      </c>
      <c r="P53" t="str">
        <f>'AESS-all'!P53</f>
        <v>Smithella_propionica_(T)_LYP_(AF126282)</v>
      </c>
      <c r="Q53">
        <f>'AESS-all'!Q53</f>
        <v>97.6</v>
      </c>
      <c r="R53">
        <f>'AESS-all'!R53</f>
        <v>1</v>
      </c>
      <c r="S53" s="49">
        <f>'AESS-all'!S53/'AESS-all'!S$1</f>
        <v>1.9581788936289253E-3</v>
      </c>
      <c r="T53" s="50">
        <f>'AESS-all'!T53/'AESS-all'!T$1</f>
        <v>1.6836734693877551E-3</v>
      </c>
      <c r="U53" s="50">
        <f>'AESS-all'!U53/'AESS-all'!U$1</f>
        <v>0</v>
      </c>
      <c r="V53" s="51">
        <f>'AESS-all'!V53/'AESS-all'!V$1</f>
        <v>1.5921870375850845E-2</v>
      </c>
      <c r="W53" s="49">
        <f>'AESS-all'!W53/'AESS-all'!W$1</f>
        <v>6.5183382583000168E-5</v>
      </c>
      <c r="X53" s="50">
        <f>'AESS-all'!X53/'AESS-all'!X$1</f>
        <v>0</v>
      </c>
      <c r="Y53" s="50">
        <f>'AESS-all'!Y53/'AESS-all'!Y$1</f>
        <v>0</v>
      </c>
      <c r="Z53" s="51">
        <f>'AESS-all'!Z53/'AESS-all'!Z$1</f>
        <v>0</v>
      </c>
      <c r="AA53" s="49">
        <f>'AESS-all'!AA53/'AESS-all'!AA$1</f>
        <v>7.741713499254502E-4</v>
      </c>
      <c r="AB53" s="50">
        <f>'AESS-all'!AB53/'AESS-all'!AB$1</f>
        <v>1.0843164469118668E-3</v>
      </c>
      <c r="AC53" s="50">
        <f>'AESS-all'!AC53/'AESS-all'!AC$1</f>
        <v>0</v>
      </c>
      <c r="AD53" s="51">
        <f>'AESS-all'!AD53/'AESS-all'!AD$1</f>
        <v>0</v>
      </c>
    </row>
    <row r="54" spans="1:30" x14ac:dyDescent="0.35">
      <c r="A54" t="str">
        <f>'AESS-all'!A54</f>
        <v>OTU_48</v>
      </c>
      <c r="B54">
        <f>'AESS-all'!B54</f>
        <v>425</v>
      </c>
      <c r="C54" t="str">
        <f>'AESS-all'!C54</f>
        <v>Root</v>
      </c>
      <c r="D54" t="str">
        <f>'AESS-all'!D54</f>
        <v>Bacteria</v>
      </c>
      <c r="E54" t="str">
        <f>'AESS-all'!E54</f>
        <v>Firmicutes</v>
      </c>
      <c r="F54" t="str">
        <f>'AESS-all'!F54</f>
        <v>.</v>
      </c>
      <c r="G54" t="str">
        <f>'AESS-all'!G54</f>
        <v>Clostridia</v>
      </c>
      <c r="H54" t="str">
        <f>'AESS-all'!H54</f>
        <v>.</v>
      </c>
      <c r="I54" t="str">
        <f>'AESS-all'!I54</f>
        <v>Clostridiales</v>
      </c>
      <c r="J54" t="str">
        <f>'AESS-all'!J54</f>
        <v>.</v>
      </c>
      <c r="K54" t="str">
        <f>'AESS-all'!K54</f>
        <v>Syntrophomonadaceae</v>
      </c>
      <c r="L54" t="str">
        <f>'AESS-all'!L54</f>
        <v>.</v>
      </c>
      <c r="M54" t="str">
        <f>'AESS-all'!M54</f>
        <v>Syntrophomonas</v>
      </c>
      <c r="N54" t="str">
        <f>'AESS-all'!N54</f>
        <v>.</v>
      </c>
      <c r="O54">
        <f>'AESS-all'!O54</f>
        <v>1</v>
      </c>
      <c r="P54" t="str">
        <f>'AESS-all'!P54</f>
        <v>Syntrophomonas_bryantii_type_strain:_DSM_3014_(HE654006)</v>
      </c>
      <c r="Q54">
        <f>'AESS-all'!Q54</f>
        <v>96.8</v>
      </c>
      <c r="R54">
        <f>'AESS-all'!R54</f>
        <v>1</v>
      </c>
      <c r="S54" s="49">
        <f>'AESS-all'!S54/'AESS-all'!S$1</f>
        <v>1.2355176352658694E-3</v>
      </c>
      <c r="T54" s="50">
        <f>'AESS-all'!T54/'AESS-all'!T$1</f>
        <v>1.0714285714285715E-3</v>
      </c>
      <c r="U54" s="50">
        <f>'AESS-all'!U54/'AESS-all'!U$1</f>
        <v>0</v>
      </c>
      <c r="V54" s="51">
        <f>'AESS-all'!V54/'AESS-all'!V$1</f>
        <v>7.1026931044687776E-4</v>
      </c>
      <c r="W54" s="49">
        <f>'AESS-all'!W54/'AESS-all'!W$1</f>
        <v>8.6911176777333571E-5</v>
      </c>
      <c r="X54" s="50">
        <f>'AESS-all'!X54/'AESS-all'!X$1</f>
        <v>0</v>
      </c>
      <c r="Y54" s="50">
        <f>'AESS-all'!Y54/'AESS-all'!Y$1</f>
        <v>0</v>
      </c>
      <c r="Z54" s="51">
        <f>'AESS-all'!Z54/'AESS-all'!Z$1</f>
        <v>0</v>
      </c>
      <c r="AA54" s="49">
        <f>'AESS-all'!AA54/'AESS-all'!AA$1</f>
        <v>1.7490537905723133E-3</v>
      </c>
      <c r="AB54" s="50">
        <f>'AESS-all'!AB54/'AESS-all'!AB$1</f>
        <v>2.9927133934767522E-3</v>
      </c>
      <c r="AC54" s="50">
        <f>'AESS-all'!AC54/'AESS-all'!AC$1</f>
        <v>0</v>
      </c>
      <c r="AD54" s="51">
        <f>'AESS-all'!AD54/'AESS-all'!AD$1</f>
        <v>1.7932120363890833E-2</v>
      </c>
    </row>
    <row r="55" spans="1:30" x14ac:dyDescent="0.35">
      <c r="A55" t="str">
        <f>'AESS-all'!A55</f>
        <v>OTU_47</v>
      </c>
      <c r="B55">
        <f>'AESS-all'!B55</f>
        <v>409</v>
      </c>
      <c r="C55" t="str">
        <f>'AESS-all'!C55</f>
        <v>Root</v>
      </c>
      <c r="D55" t="str">
        <f>'AESS-all'!D55</f>
        <v>Archaea</v>
      </c>
      <c r="E55" t="str">
        <f>'AESS-all'!E55</f>
        <v>Euryarchaeota</v>
      </c>
      <c r="F55" t="str">
        <f>'AESS-all'!F55</f>
        <v>.</v>
      </c>
      <c r="G55" t="str">
        <f>'AESS-all'!G55</f>
        <v>Methanomicrobia</v>
      </c>
      <c r="H55" t="str">
        <f>'AESS-all'!H55</f>
        <v>.</v>
      </c>
      <c r="I55" t="str">
        <f>'AESS-all'!I55</f>
        <v>Methanomicrobiales</v>
      </c>
      <c r="J55" t="str">
        <f>'AESS-all'!J55</f>
        <v>.</v>
      </c>
      <c r="K55" t="str">
        <f>'AESS-all'!K55</f>
        <v>Methanospirillaceae</v>
      </c>
      <c r="L55" t="str">
        <f>'AESS-all'!L55</f>
        <v>.</v>
      </c>
      <c r="M55" t="str">
        <f>'AESS-all'!M55</f>
        <v>Methanospirillum</v>
      </c>
      <c r="N55" t="str">
        <f>'AESS-all'!N55</f>
        <v>.</v>
      </c>
      <c r="O55">
        <f>'AESS-all'!O55</f>
        <v>1</v>
      </c>
      <c r="P55" t="str">
        <f>'AESS-all'!P55</f>
        <v>Methanospirillum_hungatei_strain_JF-1_(NR_074177.1)</v>
      </c>
      <c r="Q55">
        <f>'AESS-all'!Q55</f>
        <v>98.4</v>
      </c>
      <c r="R55">
        <f>'AESS-all'!R55</f>
        <v>2</v>
      </c>
      <c r="S55" s="49">
        <f>'AESS-all'!S55/'AESS-all'!S$1</f>
        <v>1.5618807842040236E-3</v>
      </c>
      <c r="T55" s="50">
        <f>'AESS-all'!T55/'AESS-all'!T$1</f>
        <v>6.8877551020408165E-3</v>
      </c>
      <c r="U55" s="50">
        <f>'AESS-all'!U55/'AESS-all'!U$1</f>
        <v>0</v>
      </c>
      <c r="V55" s="51">
        <f>'AESS-all'!V55/'AESS-all'!V$1</f>
        <v>1.2192956496004735E-2</v>
      </c>
      <c r="W55" s="49">
        <f>'AESS-all'!W55/'AESS-all'!W$1</f>
        <v>0</v>
      </c>
      <c r="X55" s="50">
        <f>'AESS-all'!X55/'AESS-all'!X$1</f>
        <v>0</v>
      </c>
      <c r="Y55" s="50">
        <f>'AESS-all'!Y55/'AESS-all'!Y$1</f>
        <v>0</v>
      </c>
      <c r="Z55" s="51">
        <f>'AESS-all'!Z55/'AESS-all'!Z$1</f>
        <v>0</v>
      </c>
      <c r="AA55" s="49">
        <f>'AESS-all'!AA55/'AESS-all'!AA$1</f>
        <v>2.8673012960201859E-5</v>
      </c>
      <c r="AB55" s="50">
        <f>'AESS-all'!AB55/'AESS-all'!AB$1</f>
        <v>0</v>
      </c>
      <c r="AC55" s="50">
        <f>'AESS-all'!AC55/'AESS-all'!AC$1</f>
        <v>0</v>
      </c>
      <c r="AD55" s="51">
        <f>'AESS-all'!AD55/'AESS-all'!AD$1</f>
        <v>0</v>
      </c>
    </row>
    <row r="56" spans="1:30" x14ac:dyDescent="0.35">
      <c r="A56" t="str">
        <f>'AESS-all'!A56</f>
        <v>OTU_51</v>
      </c>
      <c r="B56">
        <f>'AESS-all'!B56</f>
        <v>397</v>
      </c>
      <c r="C56" t="str">
        <f>'AESS-all'!C56</f>
        <v>Root</v>
      </c>
      <c r="D56" t="str">
        <f>'AESS-all'!D56</f>
        <v>Bacteria</v>
      </c>
      <c r="E56" t="str">
        <f>'AESS-all'!E56</f>
        <v>Firmicutes</v>
      </c>
      <c r="F56" t="str">
        <f>'AESS-all'!F56</f>
        <v>.</v>
      </c>
      <c r="G56" t="str">
        <f>'AESS-all'!G56</f>
        <v>Clostridia</v>
      </c>
      <c r="H56" t="str">
        <f>'AESS-all'!H56</f>
        <v>.</v>
      </c>
      <c r="I56" t="str">
        <f>'AESS-all'!I56</f>
        <v>Clostridiales</v>
      </c>
      <c r="J56" t="str">
        <f>'AESS-all'!J56</f>
        <v>.</v>
      </c>
      <c r="K56" t="str">
        <f>'AESS-all'!K56</f>
        <v>Clostridiales_Incertae Sedis XI</v>
      </c>
      <c r="L56" t="str">
        <f>'AESS-all'!L56</f>
        <v>.</v>
      </c>
      <c r="M56" t="str">
        <f>'AESS-all'!M56</f>
        <v>.</v>
      </c>
      <c r="N56" t="str">
        <f>'AESS-all'!N56</f>
        <v>.</v>
      </c>
      <c r="O56">
        <f>'AESS-all'!O56</f>
        <v>0.77</v>
      </c>
      <c r="P56" t="str">
        <f>'AESS-all'!P56</f>
        <v>Dethiosulfatibacter_aminovorans_(T)_C/G2_(=_JCM_13356,_=_NBRC_101112,_=_DSM_17477)_(AB218661)</v>
      </c>
      <c r="Q56">
        <f>'AESS-all'!Q56</f>
        <v>94.8</v>
      </c>
      <c r="R56">
        <f>'AESS-all'!R56</f>
        <v>1</v>
      </c>
      <c r="S56" s="49">
        <f>'AESS-all'!S56/'AESS-all'!S$1</f>
        <v>5.3616803039839619E-3</v>
      </c>
      <c r="T56" s="50">
        <f>'AESS-all'!T56/'AESS-all'!T$1</f>
        <v>5.8673469387755103E-3</v>
      </c>
      <c r="U56" s="50">
        <f>'AESS-all'!U56/'AESS-all'!U$1</f>
        <v>0</v>
      </c>
      <c r="V56" s="51">
        <f>'AESS-all'!V56/'AESS-all'!V$1</f>
        <v>2.9002663509914177E-3</v>
      </c>
      <c r="W56" s="49">
        <f>'AESS-all'!W56/'AESS-all'!W$1</f>
        <v>0</v>
      </c>
      <c r="X56" s="50">
        <f>'AESS-all'!X56/'AESS-all'!X$1</f>
        <v>0</v>
      </c>
      <c r="Y56" s="50">
        <f>'AESS-all'!Y56/'AESS-all'!Y$1</f>
        <v>0</v>
      </c>
      <c r="Z56" s="51">
        <f>'AESS-all'!Z56/'AESS-all'!Z$1</f>
        <v>0</v>
      </c>
      <c r="AA56" s="49">
        <f>'AESS-all'!AA56/'AESS-all'!AA$1</f>
        <v>8.6019038880605581E-5</v>
      </c>
      <c r="AB56" s="50">
        <f>'AESS-all'!AB56/'AESS-all'!AB$1</f>
        <v>0</v>
      </c>
      <c r="AC56" s="50">
        <f>'AESS-all'!AC56/'AESS-all'!AC$1</f>
        <v>0</v>
      </c>
      <c r="AD56" s="51">
        <f>'AESS-all'!AD56/'AESS-all'!AD$1</f>
        <v>0</v>
      </c>
    </row>
    <row r="57" spans="1:30" x14ac:dyDescent="0.35">
      <c r="A57" t="str">
        <f>'AESS-all'!A57</f>
        <v>OTU_52</v>
      </c>
      <c r="B57">
        <f>'AESS-all'!B57</f>
        <v>316</v>
      </c>
      <c r="C57" t="str">
        <f>'AESS-all'!C57</f>
        <v>Root</v>
      </c>
      <c r="D57" t="str">
        <f>'AESS-all'!D57</f>
        <v>Bacteria</v>
      </c>
      <c r="E57" t="str">
        <f>'AESS-all'!E57</f>
        <v>.</v>
      </c>
      <c r="F57" t="str">
        <f>'AESS-all'!F57</f>
        <v>.</v>
      </c>
      <c r="G57" t="str">
        <f>'AESS-all'!G57</f>
        <v>.</v>
      </c>
      <c r="H57" t="str">
        <f>'AESS-all'!H57</f>
        <v>.</v>
      </c>
      <c r="I57" t="str">
        <f>'AESS-all'!I57</f>
        <v>.</v>
      </c>
      <c r="J57" t="str">
        <f>'AESS-all'!J57</f>
        <v>.</v>
      </c>
      <c r="K57" t="str">
        <f>'AESS-all'!K57</f>
        <v>.</v>
      </c>
      <c r="L57" t="str">
        <f>'AESS-all'!L57</f>
        <v>.</v>
      </c>
      <c r="M57" t="str">
        <f>'AESS-all'!M57</f>
        <v>.</v>
      </c>
      <c r="N57" t="str">
        <f>'AESS-all'!N57</f>
        <v>.</v>
      </c>
      <c r="O57">
        <f>'AESS-all'!O57</f>
        <v>1</v>
      </c>
      <c r="P57" t="str">
        <f>'AESS-all'!P57</f>
        <v>uncultured_bacterium_KF-JG30-18_(AJ295656)</v>
      </c>
      <c r="Q57">
        <f>'AESS-all'!Q57</f>
        <v>90.1</v>
      </c>
      <c r="R57">
        <f>'AESS-all'!R57</f>
        <v>1</v>
      </c>
      <c r="S57" s="49">
        <f>'AESS-all'!S57/'AESS-all'!S$1</f>
        <v>0</v>
      </c>
      <c r="T57" s="50">
        <f>'AESS-all'!T57/'AESS-all'!T$1</f>
        <v>0</v>
      </c>
      <c r="U57" s="50">
        <f>'AESS-all'!U57/'AESS-all'!U$1</f>
        <v>0</v>
      </c>
      <c r="V57" s="51">
        <f>'AESS-all'!V57/'AESS-all'!V$1</f>
        <v>0</v>
      </c>
      <c r="W57" s="49">
        <f>'AESS-all'!W57/'AESS-all'!W$1</f>
        <v>9.5602294455066918E-4</v>
      </c>
      <c r="X57" s="50">
        <f>'AESS-all'!X57/'AESS-all'!X$1</f>
        <v>1.7667844522968198E-3</v>
      </c>
      <c r="Y57" s="50">
        <f>'AESS-all'!Y57/'AESS-all'!Y$1</f>
        <v>6.6035027275337353E-3</v>
      </c>
      <c r="Z57" s="51">
        <f>'AESS-all'!Z57/'AESS-all'!Z$1</f>
        <v>6.3106796116504854E-2</v>
      </c>
      <c r="AA57" s="49">
        <f>'AESS-all'!AA57/'AESS-all'!AA$1</f>
        <v>0</v>
      </c>
      <c r="AB57" s="50">
        <f>'AESS-all'!AB57/'AESS-all'!AB$1</f>
        <v>0</v>
      </c>
      <c r="AC57" s="50">
        <f>'AESS-all'!AC57/'AESS-all'!AC$1</f>
        <v>0</v>
      </c>
      <c r="AD57" s="51">
        <f>'AESS-all'!AD57/'AESS-all'!AD$1</f>
        <v>0</v>
      </c>
    </row>
    <row r="58" spans="1:30" x14ac:dyDescent="0.35">
      <c r="A58" t="str">
        <f>'AESS-all'!A58</f>
        <v>OTU_67</v>
      </c>
      <c r="B58">
        <f>'AESS-all'!B58</f>
        <v>315</v>
      </c>
      <c r="C58" t="str">
        <f>'AESS-all'!C58</f>
        <v>Root</v>
      </c>
      <c r="D58" t="str">
        <f>'AESS-all'!D58</f>
        <v>Bacteria</v>
      </c>
      <c r="E58" t="str">
        <f>'AESS-all'!E58</f>
        <v>Chloroflexi</v>
      </c>
      <c r="F58" t="str">
        <f>'AESS-all'!F58</f>
        <v>.</v>
      </c>
      <c r="G58" t="str">
        <f>'AESS-all'!G58</f>
        <v>Anaerolineae</v>
      </c>
      <c r="H58" t="str">
        <f>'AESS-all'!H58</f>
        <v>.</v>
      </c>
      <c r="I58" t="str">
        <f>'AESS-all'!I58</f>
        <v>Anaerolineales</v>
      </c>
      <c r="J58" t="str">
        <f>'AESS-all'!J58</f>
        <v>.</v>
      </c>
      <c r="K58" t="str">
        <f>'AESS-all'!K58</f>
        <v>Anaerolineaceae</v>
      </c>
      <c r="L58" t="str">
        <f>'AESS-all'!L58</f>
        <v>.</v>
      </c>
      <c r="M58" t="str">
        <f>'AESS-all'!M58</f>
        <v>Bellilinea</v>
      </c>
      <c r="N58" t="str">
        <f>'AESS-all'!N58</f>
        <v>.</v>
      </c>
      <c r="O58">
        <f>'AESS-all'!O58</f>
        <v>1</v>
      </c>
      <c r="P58" t="str">
        <f>'AESS-all'!P58</f>
        <v>Bellilinea_caldifistulae_(T)_GOMI-1_(AB243672)</v>
      </c>
      <c r="Q58">
        <f>'AESS-all'!Q58</f>
        <v>98.8</v>
      </c>
      <c r="R58">
        <f>'AESS-all'!R58</f>
        <v>1</v>
      </c>
      <c r="S58" s="49">
        <f>'AESS-all'!S58/'AESS-all'!S$1</f>
        <v>4.6623306991164881E-5</v>
      </c>
      <c r="T58" s="50">
        <f>'AESS-all'!T58/'AESS-all'!T$1</f>
        <v>0</v>
      </c>
      <c r="U58" s="50">
        <f>'AESS-all'!U58/'AESS-all'!U$1</f>
        <v>0</v>
      </c>
      <c r="V58" s="51">
        <f>'AESS-all'!V58/'AESS-all'!V$1</f>
        <v>0</v>
      </c>
      <c r="W58" s="49">
        <f>'AESS-all'!W58/'AESS-all'!W$1</f>
        <v>2.0206848600730055E-3</v>
      </c>
      <c r="X58" s="50">
        <f>'AESS-all'!X58/'AESS-all'!X$1</f>
        <v>3.0287733467945482E-3</v>
      </c>
      <c r="Y58" s="50">
        <f>'AESS-all'!Y58/'AESS-all'!Y$1</f>
        <v>0</v>
      </c>
      <c r="Z58" s="51">
        <f>'AESS-all'!Z58/'AESS-all'!Z$1</f>
        <v>5.7110222729868645E-3</v>
      </c>
      <c r="AA58" s="49">
        <f>'AESS-all'!AA58/'AESS-all'!AA$1</f>
        <v>1.4623236609702947E-3</v>
      </c>
      <c r="AB58" s="50">
        <f>'AESS-all'!AB58/'AESS-all'!AB$1</f>
        <v>2.1686328938237335E-3</v>
      </c>
      <c r="AC58" s="50">
        <f>'AESS-all'!AC58/'AESS-all'!AC$1</f>
        <v>2.1149425287356324E-3</v>
      </c>
      <c r="AD58" s="51">
        <f>'AESS-all'!AD58/'AESS-all'!AD$1</f>
        <v>2.4492652204338699E-3</v>
      </c>
    </row>
    <row r="59" spans="1:30" x14ac:dyDescent="0.35">
      <c r="A59" t="str">
        <f>'AESS-all'!A59</f>
        <v>OTU_53</v>
      </c>
      <c r="B59">
        <f>'AESS-all'!B59</f>
        <v>276</v>
      </c>
      <c r="C59" t="str">
        <f>'AESS-all'!C59</f>
        <v>Root</v>
      </c>
      <c r="D59" t="str">
        <f>'AESS-all'!D59</f>
        <v>Bacteria</v>
      </c>
      <c r="E59" t="str">
        <f>'AESS-all'!E59</f>
        <v>Firmicutes</v>
      </c>
      <c r="F59" t="str">
        <f>'AESS-all'!F59</f>
        <v>.</v>
      </c>
      <c r="G59" t="str">
        <f>'AESS-all'!G59</f>
        <v>Clostridia</v>
      </c>
      <c r="H59" t="str">
        <f>'AESS-all'!H59</f>
        <v>.</v>
      </c>
      <c r="I59" t="str">
        <f>'AESS-all'!I59</f>
        <v>Clostridiales</v>
      </c>
      <c r="J59" t="str">
        <f>'AESS-all'!J59</f>
        <v>.</v>
      </c>
      <c r="K59" t="str">
        <f>'AESS-all'!K59</f>
        <v>Clostridiaceae 1</v>
      </c>
      <c r="L59" t="str">
        <f>'AESS-all'!L59</f>
        <v>.</v>
      </c>
      <c r="M59" t="str">
        <f>'AESS-all'!M59</f>
        <v>Clostridium sensu stricto</v>
      </c>
      <c r="N59" t="str">
        <f>'AESS-all'!N59</f>
        <v>.</v>
      </c>
      <c r="O59">
        <f>'AESS-all'!O59</f>
        <v>1</v>
      </c>
      <c r="P59" t="str">
        <f>'AESS-all'!P59</f>
        <v>Clostridium_luticellarii_strain_FW431_(NR_145907.1)</v>
      </c>
      <c r="Q59">
        <f>'AESS-all'!Q59</f>
        <v>98.4</v>
      </c>
      <c r="R59">
        <f>'AESS-all'!R59</f>
        <v>1</v>
      </c>
      <c r="S59" s="49">
        <f>'AESS-all'!S59/'AESS-all'!S$1</f>
        <v>0</v>
      </c>
      <c r="T59" s="50">
        <f>'AESS-all'!T59/'AESS-all'!T$1</f>
        <v>0</v>
      </c>
      <c r="U59" s="50">
        <f>'AESS-all'!U59/'AESS-all'!U$1</f>
        <v>0</v>
      </c>
      <c r="V59" s="51">
        <f>'AESS-all'!V59/'AESS-all'!V$1</f>
        <v>0</v>
      </c>
      <c r="W59" s="49">
        <f>'AESS-all'!W59/'AESS-all'!W$1</f>
        <v>0</v>
      </c>
      <c r="X59" s="50">
        <f>'AESS-all'!X59/'AESS-all'!X$1</f>
        <v>0</v>
      </c>
      <c r="Y59" s="50">
        <f>'AESS-all'!Y59/'AESS-all'!Y$1</f>
        <v>0</v>
      </c>
      <c r="Z59" s="51">
        <f>'AESS-all'!Z59/'AESS-all'!Z$1</f>
        <v>0</v>
      </c>
      <c r="AA59" s="49">
        <f>'AESS-all'!AA59/'AESS-all'!AA$1</f>
        <v>1.5196696868906984E-3</v>
      </c>
      <c r="AB59" s="50">
        <f>'AESS-all'!AB59/'AESS-all'!AB$1</f>
        <v>2.7324774462179043E-3</v>
      </c>
      <c r="AC59" s="50">
        <f>'AESS-all'!AC59/'AESS-all'!AC$1</f>
        <v>5.5172413793103444E-3</v>
      </c>
      <c r="AD59" s="51">
        <f>'AESS-all'!AD59/'AESS-all'!AD$1</f>
        <v>8.74737578726382E-3</v>
      </c>
    </row>
    <row r="60" spans="1:30" x14ac:dyDescent="0.35">
      <c r="A60" t="str">
        <f>'AESS-all'!A60</f>
        <v>OTU_54</v>
      </c>
      <c r="B60">
        <f>'AESS-all'!B60</f>
        <v>275</v>
      </c>
      <c r="C60" t="str">
        <f>'AESS-all'!C60</f>
        <v>Root</v>
      </c>
      <c r="D60" t="str">
        <f>'AESS-all'!D60</f>
        <v>Bacteria</v>
      </c>
      <c r="E60" t="str">
        <f>'AESS-all'!E60</f>
        <v>Firmicutes</v>
      </c>
      <c r="F60" t="str">
        <f>'AESS-all'!F60</f>
        <v>.</v>
      </c>
      <c r="G60" t="str">
        <f>'AESS-all'!G60</f>
        <v>Clostridia</v>
      </c>
      <c r="H60" t="str">
        <f>'AESS-all'!H60</f>
        <v>.</v>
      </c>
      <c r="I60" t="str">
        <f>'AESS-all'!I60</f>
        <v>Clostridiales</v>
      </c>
      <c r="J60" t="str">
        <f>'AESS-all'!J60</f>
        <v>.</v>
      </c>
      <c r="K60" t="str">
        <f>'AESS-all'!K60</f>
        <v>Ruminococcaceae</v>
      </c>
      <c r="L60" t="str">
        <f>'AESS-all'!L60</f>
        <v>.</v>
      </c>
      <c r="M60" t="str">
        <f>'AESS-all'!M60</f>
        <v>Ercella</v>
      </c>
      <c r="N60" t="str">
        <f>'AESS-all'!N60</f>
        <v>.</v>
      </c>
      <c r="O60">
        <f>'AESS-all'!O60</f>
        <v>0.84</v>
      </c>
      <c r="P60" t="str">
        <f>'AESS-all'!P60</f>
        <v>Ruminococcaceae_bacterium_ZWB_4_(HG003571)</v>
      </c>
      <c r="Q60">
        <f>'AESS-all'!Q60</f>
        <v>96</v>
      </c>
      <c r="R60">
        <f>'AESS-all'!R60</f>
        <v>1</v>
      </c>
      <c r="S60" s="49">
        <f>'AESS-all'!S60/'AESS-all'!S$1</f>
        <v>3.9396694407534327E-3</v>
      </c>
      <c r="T60" s="50">
        <f>'AESS-all'!T60/'AESS-all'!T$1</f>
        <v>2.3979591836734695E-3</v>
      </c>
      <c r="U60" s="50">
        <f>'AESS-all'!U60/'AESS-all'!U$1</f>
        <v>4.034357105674128E-3</v>
      </c>
      <c r="V60" s="51">
        <f>'AESS-all'!V60/'AESS-all'!V$1</f>
        <v>1.4797277300976619E-3</v>
      </c>
      <c r="W60" s="49">
        <f>'AESS-all'!W60/'AESS-all'!W$1</f>
        <v>4.3455588388666785E-5</v>
      </c>
      <c r="X60" s="50">
        <f>'AESS-all'!X60/'AESS-all'!X$1</f>
        <v>0</v>
      </c>
      <c r="Y60" s="50">
        <f>'AESS-all'!Y60/'AESS-all'!Y$1</f>
        <v>0</v>
      </c>
      <c r="Z60" s="51">
        <f>'AESS-all'!Z60/'AESS-all'!Z$1</f>
        <v>0</v>
      </c>
      <c r="AA60" s="49">
        <f>'AESS-all'!AA60/'AESS-all'!AA$1</f>
        <v>2.8673012960201859E-5</v>
      </c>
      <c r="AB60" s="50">
        <f>'AESS-all'!AB60/'AESS-all'!AB$1</f>
        <v>0</v>
      </c>
      <c r="AC60" s="50">
        <f>'AESS-all'!AC60/'AESS-all'!AC$1</f>
        <v>0</v>
      </c>
      <c r="AD60" s="51">
        <f>'AESS-all'!AD60/'AESS-all'!AD$1</f>
        <v>0</v>
      </c>
    </row>
    <row r="61" spans="1:30" x14ac:dyDescent="0.35">
      <c r="A61" t="str">
        <f>'AESS-all'!A61</f>
        <v>OTU_55</v>
      </c>
      <c r="B61">
        <f>'AESS-all'!B61</f>
        <v>265</v>
      </c>
      <c r="C61" t="str">
        <f>'AESS-all'!C61</f>
        <v>Root</v>
      </c>
      <c r="D61" t="str">
        <f>'AESS-all'!D61</f>
        <v>Bacteria</v>
      </c>
      <c r="E61" t="str">
        <f>'AESS-all'!E61</f>
        <v>Firmicutes</v>
      </c>
      <c r="F61" t="str">
        <f>'AESS-all'!F61</f>
        <v>.</v>
      </c>
      <c r="G61" t="str">
        <f>'AESS-all'!G61</f>
        <v>Clostridia</v>
      </c>
      <c r="H61" t="str">
        <f>'AESS-all'!H61</f>
        <v>.</v>
      </c>
      <c r="I61" t="str">
        <f>'AESS-all'!I61</f>
        <v>Clostridiales</v>
      </c>
      <c r="J61" t="str">
        <f>'AESS-all'!J61</f>
        <v>.</v>
      </c>
      <c r="K61" t="str">
        <f>'AESS-all'!K61</f>
        <v>Peptococcaceae 1</v>
      </c>
      <c r="L61" t="str">
        <f>'AESS-all'!L61</f>
        <v>.</v>
      </c>
      <c r="M61" t="str">
        <f>'AESS-all'!M61</f>
        <v>Desulfitobacterium</v>
      </c>
      <c r="N61" t="str">
        <f>'AESS-all'!N61</f>
        <v>.</v>
      </c>
      <c r="O61">
        <f>'AESS-all'!O61</f>
        <v>0.9</v>
      </c>
      <c r="P61" t="str">
        <f>'AESS-all'!P61</f>
        <v>Desulfitobacterium_metallireducens_(T)_853-15A_(AF297871)</v>
      </c>
      <c r="Q61">
        <f>'AESS-all'!Q61</f>
        <v>97.6</v>
      </c>
      <c r="R61">
        <f>'AESS-all'!R61</f>
        <v>1</v>
      </c>
      <c r="S61" s="49">
        <f>'AESS-all'!S61/'AESS-all'!S$1</f>
        <v>0</v>
      </c>
      <c r="T61" s="50">
        <f>'AESS-all'!T61/'AESS-all'!T$1</f>
        <v>0</v>
      </c>
      <c r="U61" s="50">
        <f>'AESS-all'!U61/'AESS-all'!U$1</f>
        <v>0</v>
      </c>
      <c r="V61" s="51">
        <f>'AESS-all'!V61/'AESS-all'!V$1</f>
        <v>0</v>
      </c>
      <c r="W61" s="49">
        <f>'AESS-all'!W61/'AESS-all'!W$1</f>
        <v>2.1727794194333393E-5</v>
      </c>
      <c r="X61" s="50">
        <f>'AESS-all'!X61/'AESS-all'!X$1</f>
        <v>0</v>
      </c>
      <c r="Y61" s="50">
        <f>'AESS-all'!Y61/'AESS-all'!Y$1</f>
        <v>0</v>
      </c>
      <c r="Z61" s="51">
        <f>'AESS-all'!Z61/'AESS-all'!Z$1</f>
        <v>0</v>
      </c>
      <c r="AA61" s="49">
        <f>'AESS-all'!AA61/'AESS-all'!AA$1</f>
        <v>4.1862598921894711E-3</v>
      </c>
      <c r="AB61" s="50">
        <f>'AESS-all'!AB61/'AESS-all'!AB$1</f>
        <v>5.1179736294240108E-3</v>
      </c>
      <c r="AC61" s="50">
        <f>'AESS-all'!AC61/'AESS-all'!AC$1</f>
        <v>0</v>
      </c>
      <c r="AD61" s="51">
        <f>'AESS-all'!AD61/'AESS-all'!AD$1</f>
        <v>0</v>
      </c>
    </row>
    <row r="62" spans="1:30" x14ac:dyDescent="0.35">
      <c r="A62" t="str">
        <f>'AESS-all'!A62</f>
        <v>OTU_57</v>
      </c>
      <c r="B62">
        <f>'AESS-all'!B62</f>
        <v>257</v>
      </c>
      <c r="C62" t="str">
        <f>'AESS-all'!C62</f>
        <v>Root</v>
      </c>
      <c r="D62" t="str">
        <f>'AESS-all'!D62</f>
        <v>Bacteria</v>
      </c>
      <c r="E62" t="str">
        <f>'AESS-all'!E62</f>
        <v>Firmicutes</v>
      </c>
      <c r="F62" t="str">
        <f>'AESS-all'!F62</f>
        <v>.</v>
      </c>
      <c r="G62" t="str">
        <f>'AESS-all'!G62</f>
        <v>Clostridia</v>
      </c>
      <c r="H62" t="str">
        <f>'AESS-all'!H62</f>
        <v>.</v>
      </c>
      <c r="I62" t="str">
        <f>'AESS-all'!I62</f>
        <v>Clostridiales</v>
      </c>
      <c r="J62" t="str">
        <f>'AESS-all'!J62</f>
        <v>.</v>
      </c>
      <c r="K62" t="str">
        <f>'AESS-all'!K62</f>
        <v>Peptococcaceae 1</v>
      </c>
      <c r="L62" t="str">
        <f>'AESS-all'!L62</f>
        <v>.</v>
      </c>
      <c r="M62" t="str">
        <f>'AESS-all'!M62</f>
        <v>Desulfitibacter</v>
      </c>
      <c r="N62" t="str">
        <f>'AESS-all'!N62</f>
        <v>.</v>
      </c>
      <c r="O62">
        <f>'AESS-all'!O62</f>
        <v>1</v>
      </c>
      <c r="P62" t="str">
        <f>'AESS-all'!P62</f>
        <v>Desulfitibacter_alkalitolerans_(T)_sk.kt5_(AY538171)</v>
      </c>
      <c r="Q62">
        <f>'AESS-all'!Q62</f>
        <v>98.8</v>
      </c>
      <c r="R62">
        <f>'AESS-all'!R62</f>
        <v>1</v>
      </c>
      <c r="S62" s="49">
        <f>'AESS-all'!S62/'AESS-all'!S$1</f>
        <v>0</v>
      </c>
      <c r="T62" s="50">
        <f>'AESS-all'!T62/'AESS-all'!T$1</f>
        <v>0</v>
      </c>
      <c r="U62" s="50">
        <f>'AESS-all'!U62/'AESS-all'!U$1</f>
        <v>0</v>
      </c>
      <c r="V62" s="51">
        <f>'AESS-all'!V62/'AESS-all'!V$1</f>
        <v>0</v>
      </c>
      <c r="W62" s="49">
        <f>'AESS-all'!W62/'AESS-all'!W$1</f>
        <v>4.3455588388666785E-5</v>
      </c>
      <c r="X62" s="50">
        <f>'AESS-all'!X62/'AESS-all'!X$1</f>
        <v>0</v>
      </c>
      <c r="Y62" s="50">
        <f>'AESS-all'!Y62/'AESS-all'!Y$1</f>
        <v>0</v>
      </c>
      <c r="Z62" s="51">
        <f>'AESS-all'!Z62/'AESS-all'!Z$1</f>
        <v>0</v>
      </c>
      <c r="AA62" s="49">
        <f>'AESS-all'!AA62/'AESS-all'!AA$1</f>
        <v>5.1898153457965359E-3</v>
      </c>
      <c r="AB62" s="50">
        <f>'AESS-all'!AB62/'AESS-all'!AB$1</f>
        <v>3.2095766828591256E-3</v>
      </c>
      <c r="AC62" s="50">
        <f>'AESS-all'!AC62/'AESS-all'!AC$1</f>
        <v>0</v>
      </c>
      <c r="AD62" s="51">
        <f>'AESS-all'!AD62/'AESS-all'!AD$1</f>
        <v>0</v>
      </c>
    </row>
    <row r="63" spans="1:30" x14ac:dyDescent="0.35">
      <c r="A63" t="str">
        <f>'AESS-all'!A63</f>
        <v>OTU_58</v>
      </c>
      <c r="B63">
        <f>'AESS-all'!B63</f>
        <v>242</v>
      </c>
      <c r="C63" t="str">
        <f>'AESS-all'!C63</f>
        <v>Root</v>
      </c>
      <c r="D63" t="str">
        <f>'AESS-all'!D63</f>
        <v>Bacteria</v>
      </c>
      <c r="E63" t="str">
        <f>'AESS-all'!E63</f>
        <v>Bacteroidetes</v>
      </c>
      <c r="F63" t="str">
        <f>'AESS-all'!F63</f>
        <v>.</v>
      </c>
      <c r="G63" t="str">
        <f>'AESS-all'!G63</f>
        <v>.</v>
      </c>
      <c r="H63" t="str">
        <f>'AESS-all'!H63</f>
        <v>.</v>
      </c>
      <c r="I63" t="str">
        <f>'AESS-all'!I63</f>
        <v>.</v>
      </c>
      <c r="J63" t="str">
        <f>'AESS-all'!J63</f>
        <v>.</v>
      </c>
      <c r="K63" t="str">
        <f>'AESS-all'!K63</f>
        <v>.</v>
      </c>
      <c r="L63" t="str">
        <f>'AESS-all'!L63</f>
        <v>.</v>
      </c>
      <c r="M63" t="str">
        <f>'AESS-all'!M63</f>
        <v>.</v>
      </c>
      <c r="N63" t="str">
        <f>'AESS-all'!N63</f>
        <v>.</v>
      </c>
      <c r="O63">
        <f>'AESS-all'!O63</f>
        <v>1</v>
      </c>
      <c r="P63" t="str">
        <f>'AESS-all'!P63</f>
        <v>Marivirga_sericea_(T)_IFO_15983_(AB078081)</v>
      </c>
      <c r="Q63">
        <f>'AESS-all'!Q63</f>
        <v>87</v>
      </c>
      <c r="R63">
        <f>'AESS-all'!R63</f>
        <v>3</v>
      </c>
      <c r="S63" s="49">
        <f>'AESS-all'!S63/'AESS-all'!S$1</f>
        <v>2.9139566869478052E-3</v>
      </c>
      <c r="T63" s="50">
        <f>'AESS-all'!T63/'AESS-all'!T$1</f>
        <v>2.9591836734693877E-3</v>
      </c>
      <c r="U63" s="50">
        <f>'AESS-all'!U63/'AESS-all'!U$1</f>
        <v>1.1712649661634565E-3</v>
      </c>
      <c r="V63" s="51">
        <f>'AESS-all'!V63/'AESS-all'!V$1</f>
        <v>2.4267534773601655E-3</v>
      </c>
      <c r="W63" s="49">
        <f>'AESS-all'!W63/'AESS-all'!W$1</f>
        <v>1.7382235355466714E-4</v>
      </c>
      <c r="X63" s="50">
        <f>'AESS-all'!X63/'AESS-all'!X$1</f>
        <v>0</v>
      </c>
      <c r="Y63" s="50">
        <f>'AESS-all'!Y63/'AESS-all'!Y$1</f>
        <v>0</v>
      </c>
      <c r="Z63" s="51">
        <f>'AESS-all'!Z63/'AESS-all'!Z$1</f>
        <v>0</v>
      </c>
      <c r="AA63" s="49">
        <f>'AESS-all'!AA63/'AESS-all'!AA$1</f>
        <v>2.8673012960201859E-5</v>
      </c>
      <c r="AB63" s="50">
        <f>'AESS-all'!AB63/'AESS-all'!AB$1</f>
        <v>0</v>
      </c>
      <c r="AC63" s="50">
        <f>'AESS-all'!AC63/'AESS-all'!AC$1</f>
        <v>0</v>
      </c>
      <c r="AD63" s="51">
        <f>'AESS-all'!AD63/'AESS-all'!AD$1</f>
        <v>0</v>
      </c>
    </row>
    <row r="64" spans="1:30" x14ac:dyDescent="0.35">
      <c r="A64" t="str">
        <f>'AESS-all'!A64</f>
        <v>OTU_59</v>
      </c>
      <c r="B64">
        <f>'AESS-all'!B64</f>
        <v>232</v>
      </c>
      <c r="C64" t="str">
        <f>'AESS-all'!C64</f>
        <v>Root</v>
      </c>
      <c r="D64" t="str">
        <f>'AESS-all'!D64</f>
        <v>Bacteria</v>
      </c>
      <c r="E64" t="str">
        <f>'AESS-all'!E64</f>
        <v>.</v>
      </c>
      <c r="F64" t="str">
        <f>'AESS-all'!F64</f>
        <v>.</v>
      </c>
      <c r="G64" t="str">
        <f>'AESS-all'!G64</f>
        <v>.</v>
      </c>
      <c r="H64" t="str">
        <f>'AESS-all'!H64</f>
        <v>.</v>
      </c>
      <c r="I64" t="str">
        <f>'AESS-all'!I64</f>
        <v>.</v>
      </c>
      <c r="J64" t="str">
        <f>'AESS-all'!J64</f>
        <v>.</v>
      </c>
      <c r="K64" t="str">
        <f>'AESS-all'!K64</f>
        <v>.</v>
      </c>
      <c r="L64" t="str">
        <f>'AESS-all'!L64</f>
        <v>.</v>
      </c>
      <c r="M64" t="str">
        <f>'AESS-all'!M64</f>
        <v>.</v>
      </c>
      <c r="N64" t="str">
        <f>'AESS-all'!N64</f>
        <v>.</v>
      </c>
      <c r="O64">
        <f>'AESS-all'!O64</f>
        <v>0.94</v>
      </c>
      <c r="P64" t="str">
        <f>'AESS-all'!P64</f>
        <v>*</v>
      </c>
      <c r="Q64">
        <f>'AESS-all'!Q64</f>
        <v>0</v>
      </c>
      <c r="R64">
        <f>'AESS-all'!R64</f>
        <v>1</v>
      </c>
      <c r="S64" s="49">
        <f>'AESS-all'!S64/'AESS-all'!S$1</f>
        <v>3.7531762127887731E-3</v>
      </c>
      <c r="T64" s="50">
        <f>'AESS-all'!T64/'AESS-all'!T$1</f>
        <v>3.5714285714285713E-3</v>
      </c>
      <c r="U64" s="50">
        <f>'AESS-all'!U64/'AESS-all'!U$1</f>
        <v>0</v>
      </c>
      <c r="V64" s="51">
        <f>'AESS-all'!V64/'AESS-all'!V$1</f>
        <v>0</v>
      </c>
      <c r="W64" s="49">
        <f>'AESS-all'!W64/'AESS-all'!W$1</f>
        <v>2.1727794194333393E-5</v>
      </c>
      <c r="X64" s="50">
        <f>'AESS-all'!X64/'AESS-all'!X$1</f>
        <v>0</v>
      </c>
      <c r="Y64" s="50">
        <f>'AESS-all'!Y64/'AESS-all'!Y$1</f>
        <v>0</v>
      </c>
      <c r="Z64" s="51">
        <f>'AESS-all'!Z64/'AESS-all'!Z$1</f>
        <v>0</v>
      </c>
      <c r="AA64" s="49">
        <f>'AESS-all'!AA64/'AESS-all'!AA$1</f>
        <v>0</v>
      </c>
      <c r="AB64" s="50">
        <f>'AESS-all'!AB64/'AESS-all'!AB$1</f>
        <v>0</v>
      </c>
      <c r="AC64" s="50">
        <f>'AESS-all'!AC64/'AESS-all'!AC$1</f>
        <v>0</v>
      </c>
      <c r="AD64" s="51">
        <f>'AESS-all'!AD64/'AESS-all'!AD$1</f>
        <v>0</v>
      </c>
    </row>
    <row r="65" spans="1:30" x14ac:dyDescent="0.35">
      <c r="A65" t="str">
        <f>'AESS-all'!A65</f>
        <v>OTU_56</v>
      </c>
      <c r="B65">
        <f>'AESS-all'!B65</f>
        <v>230</v>
      </c>
      <c r="C65" t="str">
        <f>'AESS-all'!C65</f>
        <v>Root</v>
      </c>
      <c r="D65" t="str">
        <f>'AESS-all'!D65</f>
        <v>Bacteria</v>
      </c>
      <c r="E65" t="str">
        <f>'AESS-all'!E65</f>
        <v>Proteobacteria</v>
      </c>
      <c r="F65" t="str">
        <f>'AESS-all'!F65</f>
        <v>.</v>
      </c>
      <c r="G65" t="str">
        <f>'AESS-all'!G65</f>
        <v>Deltaproteobacteria</v>
      </c>
      <c r="H65" t="str">
        <f>'AESS-all'!H65</f>
        <v>.</v>
      </c>
      <c r="I65" t="str">
        <f>'AESS-all'!I65</f>
        <v>Desulfovibrionales</v>
      </c>
      <c r="J65" t="str">
        <f>'AESS-all'!J65</f>
        <v>.</v>
      </c>
      <c r="K65" t="str">
        <f>'AESS-all'!K65</f>
        <v>Desulfomicrobiaceae</v>
      </c>
      <c r="L65" t="str">
        <f>'AESS-all'!L65</f>
        <v>.</v>
      </c>
      <c r="M65" t="str">
        <f>'AESS-all'!M65</f>
        <v>Desulfomicrobium</v>
      </c>
      <c r="N65" t="str">
        <f>'AESS-all'!N65</f>
        <v>.</v>
      </c>
      <c r="O65">
        <f>'AESS-all'!O65</f>
        <v>1</v>
      </c>
      <c r="P65" t="str">
        <f>'AESS-all'!P65</f>
        <v>Desulfomicrobium_salsuginis_strain_ADR21_(NR_132593.1)</v>
      </c>
      <c r="Q65">
        <f>'AESS-all'!Q65</f>
        <v>98.8</v>
      </c>
      <c r="R65">
        <f>'AESS-all'!R65</f>
        <v>2</v>
      </c>
      <c r="S65" s="49">
        <f>'AESS-all'!S65/'AESS-all'!S$1</f>
        <v>5.8279133738956099E-4</v>
      </c>
      <c r="T65" s="50">
        <f>'AESS-all'!T65/'AESS-all'!T$1</f>
        <v>4.0816326530612246E-4</v>
      </c>
      <c r="U65" s="50">
        <f>'AESS-all'!U65/'AESS-all'!U$1</f>
        <v>0</v>
      </c>
      <c r="V65" s="51">
        <f>'AESS-all'!V65/'AESS-all'!V$1</f>
        <v>1.1423498076353952E-2</v>
      </c>
      <c r="W65" s="49">
        <f>'AESS-all'!W65/'AESS-all'!W$1</f>
        <v>0</v>
      </c>
      <c r="X65" s="50">
        <f>'AESS-all'!X65/'AESS-all'!X$1</f>
        <v>0</v>
      </c>
      <c r="Y65" s="50">
        <f>'AESS-all'!Y65/'AESS-all'!Y$1</f>
        <v>0</v>
      </c>
      <c r="Z65" s="51">
        <f>'AESS-all'!Z65/'AESS-all'!Z$1</f>
        <v>0</v>
      </c>
      <c r="AA65" s="49">
        <f>'AESS-all'!AA65/'AESS-all'!AA$1</f>
        <v>1.1469205184080744E-4</v>
      </c>
      <c r="AB65" s="50">
        <f>'AESS-all'!AB65/'AESS-all'!AB$1</f>
        <v>0</v>
      </c>
      <c r="AC65" s="50">
        <f>'AESS-all'!AC65/'AESS-all'!AC$1</f>
        <v>0</v>
      </c>
      <c r="AD65" s="51">
        <f>'AESS-all'!AD65/'AESS-all'!AD$1</f>
        <v>0</v>
      </c>
    </row>
    <row r="66" spans="1:30" x14ac:dyDescent="0.35">
      <c r="A66" t="str">
        <f>'AESS-all'!A66</f>
        <v>OTU_63</v>
      </c>
      <c r="B66">
        <f>'AESS-all'!B66</f>
        <v>212</v>
      </c>
      <c r="C66" t="str">
        <f>'AESS-all'!C66</f>
        <v>Root</v>
      </c>
      <c r="D66" t="str">
        <f>'AESS-all'!D66</f>
        <v>Bacteria</v>
      </c>
      <c r="E66" t="str">
        <f>'AESS-all'!E66</f>
        <v>Bacteroidetes</v>
      </c>
      <c r="F66" t="str">
        <f>'AESS-all'!F66</f>
        <v>.</v>
      </c>
      <c r="G66" t="str">
        <f>'AESS-all'!G66</f>
        <v>Bacteroidia</v>
      </c>
      <c r="H66" t="str">
        <f>'AESS-all'!H66</f>
        <v>.</v>
      </c>
      <c r="I66" t="str">
        <f>'AESS-all'!I66</f>
        <v>Bacteroidales</v>
      </c>
      <c r="J66" t="str">
        <f>'AESS-all'!J66</f>
        <v>.</v>
      </c>
      <c r="K66" t="str">
        <f>'AESS-all'!K66</f>
        <v>Porphyromonadaceae</v>
      </c>
      <c r="L66" t="str">
        <f>'AESS-all'!L66</f>
        <v>.</v>
      </c>
      <c r="M66" t="str">
        <f>'AESS-all'!M66</f>
        <v>Acetobacteroides</v>
      </c>
      <c r="N66" t="str">
        <f>'AESS-all'!N66</f>
        <v>.</v>
      </c>
      <c r="O66">
        <f>'AESS-all'!O66</f>
        <v>0.54</v>
      </c>
      <c r="P66" t="str">
        <f>'AESS-all'!P66</f>
        <v>Olivibacter_sitiensis_(T)_AW-6_(DQ421387)</v>
      </c>
      <c r="Q66">
        <f>'AESS-all'!Q66</f>
        <v>86.2</v>
      </c>
      <c r="R66">
        <f>'AESS-all'!R66</f>
        <v>1</v>
      </c>
      <c r="S66" s="49">
        <f>'AESS-all'!S66/'AESS-all'!S$1</f>
        <v>4.0795393617269271E-3</v>
      </c>
      <c r="T66" s="50">
        <f>'AESS-all'!T66/'AESS-all'!T$1</f>
        <v>1.6836734693877551E-3</v>
      </c>
      <c r="U66" s="50">
        <f>'AESS-all'!U66/'AESS-all'!U$1</f>
        <v>0</v>
      </c>
      <c r="V66" s="51">
        <f>'AESS-all'!V66/'AESS-all'!V$1</f>
        <v>0</v>
      </c>
      <c r="W66" s="49">
        <f>'AESS-all'!W66/'AESS-all'!W$1</f>
        <v>0</v>
      </c>
      <c r="X66" s="50">
        <f>'AESS-all'!X66/'AESS-all'!X$1</f>
        <v>0</v>
      </c>
      <c r="Y66" s="50">
        <f>'AESS-all'!Y66/'AESS-all'!Y$1</f>
        <v>0</v>
      </c>
      <c r="Z66" s="51">
        <f>'AESS-all'!Z66/'AESS-all'!Z$1</f>
        <v>0</v>
      </c>
      <c r="AA66" s="49">
        <f>'AESS-all'!AA66/'AESS-all'!AA$1</f>
        <v>1.1469205184080744E-4</v>
      </c>
      <c r="AB66" s="50">
        <f>'AESS-all'!AB66/'AESS-all'!AB$1</f>
        <v>0</v>
      </c>
      <c r="AC66" s="50">
        <f>'AESS-all'!AC66/'AESS-all'!AC$1</f>
        <v>0</v>
      </c>
      <c r="AD66" s="51">
        <f>'AESS-all'!AD66/'AESS-all'!AD$1</f>
        <v>0</v>
      </c>
    </row>
    <row r="67" spans="1:30" x14ac:dyDescent="0.35">
      <c r="A67" t="str">
        <f>'AESS-all'!A67</f>
        <v>OTU_60</v>
      </c>
      <c r="B67">
        <f>'AESS-all'!B67</f>
        <v>201</v>
      </c>
      <c r="C67" t="str">
        <f>'AESS-all'!C67</f>
        <v>Root</v>
      </c>
      <c r="D67" t="str">
        <f>'AESS-all'!D67</f>
        <v>Bacteria</v>
      </c>
      <c r="E67" t="str">
        <f>'AESS-all'!E67</f>
        <v>Bacteroidetes</v>
      </c>
      <c r="F67" t="str">
        <f>'AESS-all'!F67</f>
        <v>.</v>
      </c>
      <c r="G67" t="str">
        <f>'AESS-all'!G67</f>
        <v>Bacteroidia</v>
      </c>
      <c r="H67" t="str">
        <f>'AESS-all'!H67</f>
        <v>.</v>
      </c>
      <c r="I67" t="str">
        <f>'AESS-all'!I67</f>
        <v>Bacteroidales</v>
      </c>
      <c r="J67" t="str">
        <f>'AESS-all'!J67</f>
        <v>.</v>
      </c>
      <c r="K67" t="str">
        <f>'AESS-all'!K67</f>
        <v>Porphyromonadaceae</v>
      </c>
      <c r="L67" t="str">
        <f>'AESS-all'!L67</f>
        <v>.</v>
      </c>
      <c r="M67" t="str">
        <f>'AESS-all'!M67</f>
        <v>Petrimonas</v>
      </c>
      <c r="N67" t="str">
        <f>'AESS-all'!N67</f>
        <v>.</v>
      </c>
      <c r="O67">
        <f>'AESS-all'!O67</f>
        <v>1</v>
      </c>
      <c r="P67" t="str">
        <f>'AESS-all'!P67</f>
        <v>Petrimonas_sulfuriphila_(T)_BN3_(AY570690)</v>
      </c>
      <c r="Q67">
        <f>'AESS-all'!Q67</f>
        <v>100</v>
      </c>
      <c r="R67">
        <f>'AESS-all'!R67</f>
        <v>1</v>
      </c>
      <c r="S67" s="49">
        <f>'AESS-all'!S67/'AESS-all'!S$1</f>
        <v>2.4244119635405737E-3</v>
      </c>
      <c r="T67" s="50">
        <f>'AESS-all'!T67/'AESS-all'!T$1</f>
        <v>8.1632653061224493E-4</v>
      </c>
      <c r="U67" s="50">
        <f>'AESS-all'!U67/'AESS-all'!U$1</f>
        <v>2.0822488287350338E-3</v>
      </c>
      <c r="V67" s="51">
        <f>'AESS-all'!V67/'AESS-all'!V$1</f>
        <v>3.8472920982539215E-3</v>
      </c>
      <c r="W67" s="49">
        <f>'AESS-all'!W67/'AESS-all'!W$1</f>
        <v>0</v>
      </c>
      <c r="X67" s="50">
        <f>'AESS-all'!X67/'AESS-all'!X$1</f>
        <v>0</v>
      </c>
      <c r="Y67" s="50">
        <f>'AESS-all'!Y67/'AESS-all'!Y$1</f>
        <v>0</v>
      </c>
      <c r="Z67" s="51">
        <f>'AESS-all'!Z67/'AESS-all'!Z$1</f>
        <v>0</v>
      </c>
      <c r="AA67" s="49">
        <f>'AESS-all'!AA67/'AESS-all'!AA$1</f>
        <v>0</v>
      </c>
      <c r="AB67" s="50">
        <f>'AESS-all'!AB67/'AESS-all'!AB$1</f>
        <v>0</v>
      </c>
      <c r="AC67" s="50">
        <f>'AESS-all'!AC67/'AESS-all'!AC$1</f>
        <v>0</v>
      </c>
      <c r="AD67" s="51">
        <f>'AESS-all'!AD67/'AESS-all'!AD$1</f>
        <v>0</v>
      </c>
    </row>
    <row r="68" spans="1:30" x14ac:dyDescent="0.35">
      <c r="A68" t="str">
        <f>'AESS-all'!A68</f>
        <v>OTU_61</v>
      </c>
      <c r="B68">
        <f>'AESS-all'!B68</f>
        <v>193</v>
      </c>
      <c r="C68" t="str">
        <f>'AESS-all'!C68</f>
        <v>Root</v>
      </c>
      <c r="D68" t="str">
        <f>'AESS-all'!D68</f>
        <v>Bacteria</v>
      </c>
      <c r="E68" t="str">
        <f>'AESS-all'!E68</f>
        <v>Chloroflexi</v>
      </c>
      <c r="F68" t="str">
        <f>'AESS-all'!F68</f>
        <v>.</v>
      </c>
      <c r="G68" t="str">
        <f>'AESS-all'!G68</f>
        <v>Anaerolineae</v>
      </c>
      <c r="H68" t="str">
        <f>'AESS-all'!H68</f>
        <v>.</v>
      </c>
      <c r="I68" t="str">
        <f>'AESS-all'!I68</f>
        <v>Anaerolineales</v>
      </c>
      <c r="J68" t="str">
        <f>'AESS-all'!J68</f>
        <v>.</v>
      </c>
      <c r="K68" t="str">
        <f>'AESS-all'!K68</f>
        <v>Anaerolineaceae</v>
      </c>
      <c r="L68" t="str">
        <f>'AESS-all'!L68</f>
        <v>.</v>
      </c>
      <c r="M68" t="str">
        <f>'AESS-all'!M68</f>
        <v>.</v>
      </c>
      <c r="N68" t="str">
        <f>'AESS-all'!N68</f>
        <v>.</v>
      </c>
      <c r="O68">
        <f>'AESS-all'!O68</f>
        <v>0.69</v>
      </c>
      <c r="P68" t="str">
        <f>'AESS-all'!P68</f>
        <v>Thermanaerothrix_daxensis_strain_GNS-1_(NR_117865.1)</v>
      </c>
      <c r="Q68">
        <f>'AESS-all'!Q68</f>
        <v>87.4</v>
      </c>
      <c r="R68">
        <f>'AESS-all'!R68</f>
        <v>2</v>
      </c>
      <c r="S68" s="49">
        <f>'AESS-all'!S68/'AESS-all'!S$1</f>
        <v>0</v>
      </c>
      <c r="T68" s="50">
        <f>'AESS-all'!T68/'AESS-all'!T$1</f>
        <v>0</v>
      </c>
      <c r="U68" s="50">
        <f>'AESS-all'!U68/'AESS-all'!U$1</f>
        <v>0</v>
      </c>
      <c r="V68" s="51">
        <f>'AESS-all'!V68/'AESS-all'!V$1</f>
        <v>0</v>
      </c>
      <c r="W68" s="49">
        <f>'AESS-all'!W68/'AESS-all'!W$1</f>
        <v>1.5209455936033374E-3</v>
      </c>
      <c r="X68" s="50">
        <f>'AESS-all'!X68/'AESS-all'!X$1</f>
        <v>4.9848561332660269E-3</v>
      </c>
      <c r="Y68" s="50">
        <f>'AESS-all'!Y68/'AESS-all'!Y$1</f>
        <v>0</v>
      </c>
      <c r="Z68" s="51">
        <f>'AESS-all'!Z68/'AESS-all'!Z$1</f>
        <v>1.2564249000571102E-2</v>
      </c>
      <c r="AA68" s="49">
        <f>'AESS-all'!AA68/'AESS-all'!AA$1</f>
        <v>0</v>
      </c>
      <c r="AB68" s="50">
        <f>'AESS-all'!AB68/'AESS-all'!AB$1</f>
        <v>0</v>
      </c>
      <c r="AC68" s="50">
        <f>'AESS-all'!AC68/'AESS-all'!AC$1</f>
        <v>0</v>
      </c>
      <c r="AD68" s="51">
        <f>'AESS-all'!AD68/'AESS-all'!AD$1</f>
        <v>0</v>
      </c>
    </row>
    <row r="69" spans="1:30" x14ac:dyDescent="0.35">
      <c r="A69" t="str">
        <f>'AESS-all'!A69</f>
        <v>OTU_195</v>
      </c>
      <c r="B69">
        <f>'AESS-all'!B69</f>
        <v>192</v>
      </c>
      <c r="C69" t="str">
        <f>'AESS-all'!C69</f>
        <v>Root</v>
      </c>
      <c r="D69" t="str">
        <f>'AESS-all'!D69</f>
        <v>Bacteria</v>
      </c>
      <c r="E69" t="str">
        <f>'AESS-all'!E69</f>
        <v>Firmicutes</v>
      </c>
      <c r="F69" t="str">
        <f>'AESS-all'!F69</f>
        <v>.</v>
      </c>
      <c r="G69" t="str">
        <f>'AESS-all'!G69</f>
        <v>Clostridia</v>
      </c>
      <c r="H69" t="str">
        <f>'AESS-all'!H69</f>
        <v>.</v>
      </c>
      <c r="I69" t="str">
        <f>'AESS-all'!I69</f>
        <v>Clostridiales</v>
      </c>
      <c r="J69" t="str">
        <f>'AESS-all'!J69</f>
        <v>.</v>
      </c>
      <c r="K69" t="str">
        <f>'AESS-all'!K69</f>
        <v>.</v>
      </c>
      <c r="L69" t="str">
        <f>'AESS-all'!L69</f>
        <v>.</v>
      </c>
      <c r="M69" t="str">
        <f>'AESS-all'!M69</f>
        <v>.</v>
      </c>
      <c r="N69" t="str">
        <f>'AESS-all'!N69</f>
        <v>.</v>
      </c>
      <c r="O69">
        <f>'AESS-all'!O69</f>
        <v>0.7</v>
      </c>
      <c r="P69" t="str">
        <f>'AESS-all'!P69</f>
        <v>Caldicoprobacter_algeriensis_TH7C1_(GU216701)</v>
      </c>
      <c r="Q69">
        <f>'AESS-all'!Q69</f>
        <v>92.1</v>
      </c>
      <c r="R69">
        <f>'AESS-all'!R69</f>
        <v>2</v>
      </c>
      <c r="S69" s="49">
        <f>'AESS-all'!S69/'AESS-all'!S$1</f>
        <v>0</v>
      </c>
      <c r="T69" s="50">
        <f>'AESS-all'!T69/'AESS-all'!T$1</f>
        <v>0</v>
      </c>
      <c r="U69" s="50">
        <f>'AESS-all'!U69/'AESS-all'!U$1</f>
        <v>0</v>
      </c>
      <c r="V69" s="51">
        <f>'AESS-all'!V69/'AESS-all'!V$1</f>
        <v>0</v>
      </c>
      <c r="W69" s="49">
        <f>'AESS-all'!W69/'AESS-all'!W$1</f>
        <v>2.8680688336520078E-3</v>
      </c>
      <c r="X69" s="50">
        <f>'AESS-all'!X69/'AESS-all'!X$1</f>
        <v>3.7859666834931852E-3</v>
      </c>
      <c r="Y69" s="50">
        <f>'AESS-all'!Y69/'AESS-all'!Y$1</f>
        <v>0</v>
      </c>
      <c r="Z69" s="51">
        <f>'AESS-all'!Z69/'AESS-all'!Z$1</f>
        <v>0</v>
      </c>
      <c r="AA69" s="49">
        <f>'AESS-all'!AA69/'AESS-all'!AA$1</f>
        <v>0</v>
      </c>
      <c r="AB69" s="50">
        <f>'AESS-all'!AB69/'AESS-all'!AB$1</f>
        <v>0</v>
      </c>
      <c r="AC69" s="50">
        <f>'AESS-all'!AC69/'AESS-all'!AC$1</f>
        <v>0</v>
      </c>
      <c r="AD69" s="51">
        <f>'AESS-all'!AD69/'AESS-all'!AD$1</f>
        <v>0</v>
      </c>
    </row>
    <row r="70" spans="1:30" x14ac:dyDescent="0.35">
      <c r="A70" t="str">
        <f>'AESS-all'!A70</f>
        <v>OTU_64</v>
      </c>
      <c r="B70">
        <f>'AESS-all'!B70</f>
        <v>184</v>
      </c>
      <c r="C70" t="str">
        <f>'AESS-all'!C70</f>
        <v>Root</v>
      </c>
      <c r="D70" t="str">
        <f>'AESS-all'!D70</f>
        <v>Bacteria</v>
      </c>
      <c r="E70" t="str">
        <f>'AESS-all'!E70</f>
        <v>Nitrospirae</v>
      </c>
      <c r="F70" t="str">
        <f>'AESS-all'!F70</f>
        <v>.</v>
      </c>
      <c r="G70" t="str">
        <f>'AESS-all'!G70</f>
        <v>Nitrospira</v>
      </c>
      <c r="H70" t="str">
        <f>'AESS-all'!H70</f>
        <v>.</v>
      </c>
      <c r="I70" t="str">
        <f>'AESS-all'!I70</f>
        <v>Nitrospirales</v>
      </c>
      <c r="J70" t="str">
        <f>'AESS-all'!J70</f>
        <v>.</v>
      </c>
      <c r="K70" t="str">
        <f>'AESS-all'!K70</f>
        <v>Nitrospiraceae</v>
      </c>
      <c r="L70" t="str">
        <f>'AESS-all'!L70</f>
        <v>.</v>
      </c>
      <c r="M70" t="str">
        <f>'AESS-all'!M70</f>
        <v>Thermodesulfovibrio</v>
      </c>
      <c r="N70" t="str">
        <f>'AESS-all'!N70</f>
        <v>.</v>
      </c>
      <c r="O70">
        <f>'AESS-all'!O70</f>
        <v>1</v>
      </c>
      <c r="P70" t="str">
        <f>'AESS-all'!P70</f>
        <v>Thermodesulfovibrio_yellowstonii_(T)_YP87_(AB231858)</v>
      </c>
      <c r="Q70">
        <f>'AESS-all'!Q70</f>
        <v>100</v>
      </c>
      <c r="R70">
        <f>'AESS-all'!R70</f>
        <v>1</v>
      </c>
      <c r="S70" s="49">
        <f>'AESS-all'!S70/'AESS-all'!S$1</f>
        <v>0</v>
      </c>
      <c r="T70" s="50">
        <f>'AESS-all'!T70/'AESS-all'!T$1</f>
        <v>0</v>
      </c>
      <c r="U70" s="50">
        <f>'AESS-all'!U70/'AESS-all'!U$1</f>
        <v>0</v>
      </c>
      <c r="V70" s="51">
        <f>'AESS-all'!V70/'AESS-all'!V$1</f>
        <v>0</v>
      </c>
      <c r="W70" s="49">
        <f>'AESS-all'!W70/'AESS-all'!W$1</f>
        <v>2.3248739787936727E-3</v>
      </c>
      <c r="X70" s="50">
        <f>'AESS-all'!X70/'AESS-all'!X$1</f>
        <v>4.8586572438162542E-3</v>
      </c>
      <c r="Y70" s="50">
        <f>'AESS-all'!Y70/'AESS-all'!Y$1</f>
        <v>0</v>
      </c>
      <c r="Z70" s="51">
        <f>'AESS-all'!Z70/'AESS-all'!Z$1</f>
        <v>0</v>
      </c>
      <c r="AA70" s="49">
        <f>'AESS-all'!AA70/'AESS-all'!AA$1</f>
        <v>0</v>
      </c>
      <c r="AB70" s="50">
        <f>'AESS-all'!AB70/'AESS-all'!AB$1</f>
        <v>0</v>
      </c>
      <c r="AC70" s="50">
        <f>'AESS-all'!AC70/'AESS-all'!AC$1</f>
        <v>0</v>
      </c>
      <c r="AD70" s="51">
        <f>'AESS-all'!AD70/'AESS-all'!AD$1</f>
        <v>0</v>
      </c>
    </row>
    <row r="71" spans="1:30" x14ac:dyDescent="0.35">
      <c r="A71" t="str">
        <f>'AESS-all'!A71</f>
        <v>OTU_62</v>
      </c>
      <c r="B71">
        <f>'AESS-all'!B71</f>
        <v>178</v>
      </c>
      <c r="C71" t="str">
        <f>'AESS-all'!C71</f>
        <v>Root</v>
      </c>
      <c r="D71" t="str">
        <f>'AESS-all'!D71</f>
        <v>Bacteria</v>
      </c>
      <c r="E71" t="str">
        <f>'AESS-all'!E71</f>
        <v>Spirochaetes</v>
      </c>
      <c r="F71" t="str">
        <f>'AESS-all'!F71</f>
        <v>.</v>
      </c>
      <c r="G71" t="str">
        <f>'AESS-all'!G71</f>
        <v>Spirochaetia</v>
      </c>
      <c r="H71" t="str">
        <f>'AESS-all'!H71</f>
        <v>.</v>
      </c>
      <c r="I71" t="str">
        <f>'AESS-all'!I71</f>
        <v>Spirochaetales</v>
      </c>
      <c r="J71" t="str">
        <f>'AESS-all'!J71</f>
        <v>.</v>
      </c>
      <c r="K71" t="str">
        <f>'AESS-all'!K71</f>
        <v>Spirochaetaceae</v>
      </c>
      <c r="L71" t="str">
        <f>'AESS-all'!L71</f>
        <v>.</v>
      </c>
      <c r="M71" t="str">
        <f>'AESS-all'!M71</f>
        <v>Spirochaeta</v>
      </c>
      <c r="N71" t="str">
        <f>'AESS-all'!N71</f>
        <v>.</v>
      </c>
      <c r="O71">
        <f>'AESS-all'!O71</f>
        <v>0.51</v>
      </c>
      <c r="P71" t="str">
        <f>'AESS-all'!P71</f>
        <v>Spirochaeta_smaragdinae_(T)_SEBR_4228;_DSM_11293_(U80597)</v>
      </c>
      <c r="Q71">
        <f>'AESS-all'!Q71</f>
        <v>88.1</v>
      </c>
      <c r="R71">
        <f>'AESS-all'!R71</f>
        <v>1</v>
      </c>
      <c r="S71" s="49">
        <f>'AESS-all'!S71/'AESS-all'!S$1</f>
        <v>9.3246613982329762E-5</v>
      </c>
      <c r="T71" s="50">
        <f>'AESS-all'!T71/'AESS-all'!T$1</f>
        <v>0</v>
      </c>
      <c r="U71" s="50">
        <f>'AESS-all'!U71/'AESS-all'!U$1</f>
        <v>0</v>
      </c>
      <c r="V71" s="51">
        <f>'AESS-all'!V71/'AESS-all'!V$1</f>
        <v>0</v>
      </c>
      <c r="W71" s="49">
        <f>'AESS-all'!W71/'AESS-all'!W$1</f>
        <v>0</v>
      </c>
      <c r="X71" s="50">
        <f>'AESS-all'!X71/'AESS-all'!X$1</f>
        <v>0</v>
      </c>
      <c r="Y71" s="50">
        <f>'AESS-all'!Y71/'AESS-all'!Y$1</f>
        <v>0</v>
      </c>
      <c r="Z71" s="51">
        <f>'AESS-all'!Z71/'AESS-all'!Z$1</f>
        <v>0</v>
      </c>
      <c r="AA71" s="49">
        <f>'AESS-all'!AA71/'AESS-all'!AA$1</f>
        <v>1.7490537905723133E-3</v>
      </c>
      <c r="AB71" s="50">
        <f>'AESS-all'!AB71/'AESS-all'!AB$1</f>
        <v>2.2987508674531575E-3</v>
      </c>
      <c r="AC71" s="50">
        <f>'AESS-all'!AC71/'AESS-all'!AC$1</f>
        <v>2.6666666666666666E-3</v>
      </c>
      <c r="AD71" s="51">
        <f>'AESS-all'!AD71/'AESS-all'!AD$1</f>
        <v>2.7116864940517843E-3</v>
      </c>
    </row>
    <row r="72" spans="1:30" x14ac:dyDescent="0.35">
      <c r="A72" t="str">
        <f>'AESS-all'!A72</f>
        <v>OTU_74</v>
      </c>
      <c r="B72">
        <f>'AESS-all'!B72</f>
        <v>175</v>
      </c>
      <c r="C72" t="str">
        <f>'AESS-all'!C72</f>
        <v>Root</v>
      </c>
      <c r="D72" t="str">
        <f>'AESS-all'!D72</f>
        <v>Bacteria</v>
      </c>
      <c r="E72" t="str">
        <f>'AESS-all'!E72</f>
        <v>Proteobacteria</v>
      </c>
      <c r="F72" t="str">
        <f>'AESS-all'!F72</f>
        <v>.</v>
      </c>
      <c r="G72" t="str">
        <f>'AESS-all'!G72</f>
        <v>Deltaproteobacteria</v>
      </c>
      <c r="H72" t="str">
        <f>'AESS-all'!H72</f>
        <v>.</v>
      </c>
      <c r="I72" t="str">
        <f>'AESS-all'!I72</f>
        <v>.</v>
      </c>
      <c r="J72" t="str">
        <f>'AESS-all'!J72</f>
        <v>.</v>
      </c>
      <c r="K72" t="str">
        <f>'AESS-all'!K72</f>
        <v>Syntrophorhabdaceae</v>
      </c>
      <c r="L72" t="str">
        <f>'AESS-all'!L72</f>
        <v>.</v>
      </c>
      <c r="M72" t="str">
        <f>'AESS-all'!M72</f>
        <v>Syntrophorhabdus</v>
      </c>
      <c r="N72" t="str">
        <f>'AESS-all'!N72</f>
        <v>.</v>
      </c>
      <c r="O72">
        <f>'AESS-all'!O72</f>
        <v>1</v>
      </c>
      <c r="P72" t="str">
        <f>'AESS-all'!P72</f>
        <v>Syntrophorhabdus_aromaticivorans_(T)_UI_(AB212873)</v>
      </c>
      <c r="Q72">
        <f>'AESS-all'!Q72</f>
        <v>97.2</v>
      </c>
      <c r="R72">
        <f>'AESS-all'!R72</f>
        <v>1</v>
      </c>
      <c r="S72" s="49">
        <f>'AESS-all'!S72/'AESS-all'!S$1</f>
        <v>5.8279133738956099E-4</v>
      </c>
      <c r="T72" s="50">
        <f>'AESS-all'!T72/'AESS-all'!T$1</f>
        <v>1.5306122448979591E-4</v>
      </c>
      <c r="U72" s="50">
        <f>'AESS-all'!U72/'AESS-all'!U$1</f>
        <v>0</v>
      </c>
      <c r="V72" s="51">
        <f>'AESS-all'!V72/'AESS-all'!V$1</f>
        <v>0</v>
      </c>
      <c r="W72" s="49">
        <f>'AESS-all'!W72/'AESS-all'!W$1</f>
        <v>1.0212063271336693E-3</v>
      </c>
      <c r="X72" s="50">
        <f>'AESS-all'!X72/'AESS-all'!X$1</f>
        <v>1.1988894497728421E-3</v>
      </c>
      <c r="Y72" s="50">
        <f>'AESS-all'!Y72/'AESS-all'!Y$1</f>
        <v>0</v>
      </c>
      <c r="Z72" s="51">
        <f>'AESS-all'!Z72/'AESS-all'!Z$1</f>
        <v>0</v>
      </c>
      <c r="AA72" s="49">
        <f>'AESS-all'!AA72/'AESS-all'!AA$1</f>
        <v>7.1682532400504646E-4</v>
      </c>
      <c r="AB72" s="50">
        <f>'AESS-all'!AB72/'AESS-all'!AB$1</f>
        <v>2.4288688410825814E-3</v>
      </c>
      <c r="AC72" s="50">
        <f>'AESS-all'!AC72/'AESS-all'!AC$1</f>
        <v>0</v>
      </c>
      <c r="AD72" s="51">
        <f>'AESS-all'!AD72/'AESS-all'!AD$1</f>
        <v>0</v>
      </c>
    </row>
    <row r="73" spans="1:30" x14ac:dyDescent="0.35">
      <c r="A73" t="str">
        <f>'AESS-all'!A73</f>
        <v>OTU_69</v>
      </c>
      <c r="B73">
        <f>'AESS-all'!B73</f>
        <v>157</v>
      </c>
      <c r="C73" t="str">
        <f>'AESS-all'!C73</f>
        <v>Root</v>
      </c>
      <c r="D73" t="str">
        <f>'AESS-all'!D73</f>
        <v>Bacteria</v>
      </c>
      <c r="E73" t="str">
        <f>'AESS-all'!E73</f>
        <v>Firmicutes</v>
      </c>
      <c r="F73" t="str">
        <f>'AESS-all'!F73</f>
        <v>.</v>
      </c>
      <c r="G73" t="str">
        <f>'AESS-all'!G73</f>
        <v>.</v>
      </c>
      <c r="H73" t="str">
        <f>'AESS-all'!H73</f>
        <v>.</v>
      </c>
      <c r="I73" t="str">
        <f>'AESS-all'!I73</f>
        <v>.</v>
      </c>
      <c r="J73" t="str">
        <f>'AESS-all'!J73</f>
        <v>.</v>
      </c>
      <c r="K73" t="str">
        <f>'AESS-all'!K73</f>
        <v>.</v>
      </c>
      <c r="L73" t="str">
        <f>'AESS-all'!L73</f>
        <v>.</v>
      </c>
      <c r="M73" t="str">
        <f>'AESS-all'!M73</f>
        <v>.</v>
      </c>
      <c r="N73" t="str">
        <f>'AESS-all'!N73</f>
        <v>.</v>
      </c>
      <c r="O73">
        <f>'AESS-all'!O73</f>
        <v>0.96</v>
      </c>
      <c r="P73" t="str">
        <f>'AESS-all'!P73</f>
        <v>Clostridium_thermocellum_(T)_ATCC_27405_(CP000568)</v>
      </c>
      <c r="Q73">
        <f>'AESS-all'!Q73</f>
        <v>92.5</v>
      </c>
      <c r="R73">
        <f>'AESS-all'!R73</f>
        <v>5</v>
      </c>
      <c r="S73" s="49">
        <f>'AESS-all'!S73/'AESS-all'!S$1</f>
        <v>0</v>
      </c>
      <c r="T73" s="50">
        <f>'AESS-all'!T73/'AESS-all'!T$1</f>
        <v>0</v>
      </c>
      <c r="U73" s="50">
        <f>'AESS-all'!U73/'AESS-all'!U$1</f>
        <v>0</v>
      </c>
      <c r="V73" s="51">
        <f>'AESS-all'!V73/'AESS-all'!V$1</f>
        <v>0</v>
      </c>
      <c r="W73" s="49">
        <f>'AESS-all'!W73/'AESS-all'!W$1</f>
        <v>4.3455588388666785E-5</v>
      </c>
      <c r="X73" s="50">
        <f>'AESS-all'!X73/'AESS-all'!X$1</f>
        <v>0</v>
      </c>
      <c r="Y73" s="50">
        <f>'AESS-all'!Y73/'AESS-all'!Y$1</f>
        <v>0</v>
      </c>
      <c r="Z73" s="51">
        <f>'AESS-all'!Z73/'AESS-all'!Z$1</f>
        <v>0</v>
      </c>
      <c r="AA73" s="49">
        <f>'AESS-all'!AA73/'AESS-all'!AA$1</f>
        <v>3.0393393737813967E-3</v>
      </c>
      <c r="AB73" s="50">
        <f>'AESS-all'!AB73/'AESS-all'!AB$1</f>
        <v>2.125260235947259E-3</v>
      </c>
      <c r="AC73" s="50">
        <f>'AESS-all'!AC73/'AESS-all'!AC$1</f>
        <v>0</v>
      </c>
      <c r="AD73" s="51">
        <f>'AESS-all'!AD73/'AESS-all'!AD$1</f>
        <v>0</v>
      </c>
    </row>
    <row r="74" spans="1:30" x14ac:dyDescent="0.35">
      <c r="A74" t="str">
        <f>'AESS-all'!A74</f>
        <v>OTU_70</v>
      </c>
      <c r="B74">
        <f>'AESS-all'!B74</f>
        <v>148</v>
      </c>
      <c r="C74" t="str">
        <f>'AESS-all'!C74</f>
        <v>Root</v>
      </c>
      <c r="D74" t="str">
        <f>'AESS-all'!D74</f>
        <v>Bacteria</v>
      </c>
      <c r="E74" t="str">
        <f>'AESS-all'!E74</f>
        <v>Chloroflexi</v>
      </c>
      <c r="F74" t="str">
        <f>'AESS-all'!F74</f>
        <v>.</v>
      </c>
      <c r="G74" t="str">
        <f>'AESS-all'!G74</f>
        <v>Anaerolineae</v>
      </c>
      <c r="H74" t="str">
        <f>'AESS-all'!H74</f>
        <v>.</v>
      </c>
      <c r="I74" t="str">
        <f>'AESS-all'!I74</f>
        <v>Anaerolineales</v>
      </c>
      <c r="J74" t="str">
        <f>'AESS-all'!J74</f>
        <v>.</v>
      </c>
      <c r="K74" t="str">
        <f>'AESS-all'!K74</f>
        <v>Anaerolineaceae</v>
      </c>
      <c r="L74" t="str">
        <f>'AESS-all'!L74</f>
        <v>.</v>
      </c>
      <c r="M74" t="str">
        <f>'AESS-all'!M74</f>
        <v>Ornatilinea</v>
      </c>
      <c r="N74" t="str">
        <f>'AESS-all'!N74</f>
        <v>.</v>
      </c>
      <c r="O74">
        <f>'AESS-all'!O74</f>
        <v>1</v>
      </c>
      <c r="P74" t="str">
        <f>'AESS-all'!P74</f>
        <v>Ornatilinea_apprima_P3M-1_(JQ292916)</v>
      </c>
      <c r="Q74">
        <f>'AESS-all'!Q74</f>
        <v>99.6</v>
      </c>
      <c r="R74">
        <f>'AESS-all'!R74</f>
        <v>1</v>
      </c>
      <c r="S74" s="49">
        <f>'AESS-all'!S74/'AESS-all'!S$1</f>
        <v>2.5409702310184861E-3</v>
      </c>
      <c r="T74" s="50">
        <f>'AESS-all'!T74/'AESS-all'!T$1</f>
        <v>1.7346938775510204E-3</v>
      </c>
      <c r="U74" s="50">
        <f>'AESS-all'!U74/'AESS-all'!U$1</f>
        <v>0</v>
      </c>
      <c r="V74" s="51">
        <f>'AESS-all'!V74/'AESS-all'!V$1</f>
        <v>0</v>
      </c>
      <c r="W74" s="49">
        <f>'AESS-all'!W74/'AESS-all'!W$1</f>
        <v>4.3455588388666785E-5</v>
      </c>
      <c r="X74" s="50">
        <f>'AESS-all'!X74/'AESS-all'!X$1</f>
        <v>0</v>
      </c>
      <c r="Y74" s="50">
        <f>'AESS-all'!Y74/'AESS-all'!Y$1</f>
        <v>0</v>
      </c>
      <c r="Z74" s="51">
        <f>'AESS-all'!Z74/'AESS-all'!Z$1</f>
        <v>0</v>
      </c>
      <c r="AA74" s="49">
        <f>'AESS-all'!AA74/'AESS-all'!AA$1</f>
        <v>8.6019038880605581E-5</v>
      </c>
      <c r="AB74" s="50">
        <f>'AESS-all'!AB74/'AESS-all'!AB$1</f>
        <v>0</v>
      </c>
      <c r="AC74" s="50">
        <f>'AESS-all'!AC74/'AESS-all'!AC$1</f>
        <v>0</v>
      </c>
      <c r="AD74" s="51">
        <f>'AESS-all'!AD74/'AESS-all'!AD$1</f>
        <v>0</v>
      </c>
    </row>
    <row r="75" spans="1:30" x14ac:dyDescent="0.35">
      <c r="A75" t="str">
        <f>'AESS-all'!A75</f>
        <v>OTU_68</v>
      </c>
      <c r="B75">
        <f>'AESS-all'!B75</f>
        <v>134</v>
      </c>
      <c r="C75" t="str">
        <f>'AESS-all'!C75</f>
        <v>Root</v>
      </c>
      <c r="D75" t="str">
        <f>'AESS-all'!D75</f>
        <v>Bacteria</v>
      </c>
      <c r="E75" t="str">
        <f>'AESS-all'!E75</f>
        <v>Firmicutes</v>
      </c>
      <c r="F75" t="str">
        <f>'AESS-all'!F75</f>
        <v>.</v>
      </c>
      <c r="G75" t="str">
        <f>'AESS-all'!G75</f>
        <v>Clostridia</v>
      </c>
      <c r="H75" t="str">
        <f>'AESS-all'!H75</f>
        <v>.</v>
      </c>
      <c r="I75" t="str">
        <f>'AESS-all'!I75</f>
        <v>Clostridiales</v>
      </c>
      <c r="J75" t="str">
        <f>'AESS-all'!J75</f>
        <v>.</v>
      </c>
      <c r="K75" t="str">
        <f>'AESS-all'!K75</f>
        <v>Clostridiales_Incertae Sedis III</v>
      </c>
      <c r="L75" t="str">
        <f>'AESS-all'!L75</f>
        <v>.</v>
      </c>
      <c r="M75" t="str">
        <f>'AESS-all'!M75</f>
        <v>Tepidanaerobacter</v>
      </c>
      <c r="N75" t="str">
        <f>'AESS-all'!N75</f>
        <v>.</v>
      </c>
      <c r="O75">
        <f>'AESS-all'!O75</f>
        <v>0.99</v>
      </c>
      <c r="P75" t="str">
        <f>'AESS-all'!P75</f>
        <v>Tepidanaerobacter_syntrophicus_(T)_JL_(AB106353)</v>
      </c>
      <c r="Q75">
        <f>'AESS-all'!Q75</f>
        <v>95.7</v>
      </c>
      <c r="R75">
        <f>'AESS-all'!R75</f>
        <v>1</v>
      </c>
      <c r="S75" s="49">
        <f>'AESS-all'!S75/'AESS-all'!S$1</f>
        <v>0</v>
      </c>
      <c r="T75" s="50">
        <f>'AESS-all'!T75/'AESS-all'!T$1</f>
        <v>0</v>
      </c>
      <c r="U75" s="50">
        <f>'AESS-all'!U75/'AESS-all'!U$1</f>
        <v>0</v>
      </c>
      <c r="V75" s="51">
        <f>'AESS-all'!V75/'AESS-all'!V$1</f>
        <v>0</v>
      </c>
      <c r="W75" s="49">
        <f>'AESS-all'!W75/'AESS-all'!W$1</f>
        <v>0</v>
      </c>
      <c r="X75" s="50">
        <f>'AESS-all'!X75/'AESS-all'!X$1</f>
        <v>0</v>
      </c>
      <c r="Y75" s="50">
        <f>'AESS-all'!Y75/'AESS-all'!Y$1</f>
        <v>0</v>
      </c>
      <c r="Z75" s="51">
        <f>'AESS-all'!Z75/'AESS-all'!Z$1</f>
        <v>0</v>
      </c>
      <c r="AA75" s="49">
        <f>'AESS-all'!AA75/'AESS-all'!AA$1</f>
        <v>9.1753641472645949E-4</v>
      </c>
      <c r="AB75" s="50">
        <f>'AESS-all'!AB75/'AESS-all'!AB$1</f>
        <v>1.7349063150589867E-3</v>
      </c>
      <c r="AC75" s="50">
        <f>'AESS-all'!AC75/'AESS-all'!AC$1</f>
        <v>5.7011494252873565E-3</v>
      </c>
      <c r="AD75" s="51">
        <f>'AESS-all'!AD75/'AESS-all'!AD$1</f>
        <v>0</v>
      </c>
    </row>
    <row r="76" spans="1:30" x14ac:dyDescent="0.35">
      <c r="A76" t="str">
        <f>'AESS-all'!A76</f>
        <v>OTU_66</v>
      </c>
      <c r="B76">
        <f>'AESS-all'!B76</f>
        <v>129</v>
      </c>
      <c r="C76" t="str">
        <f>'AESS-all'!C76</f>
        <v>Root</v>
      </c>
      <c r="D76" t="str">
        <f>'AESS-all'!D76</f>
        <v>Bacteria</v>
      </c>
      <c r="E76" t="str">
        <f>'AESS-all'!E76</f>
        <v>Firmicutes</v>
      </c>
      <c r="F76" t="str">
        <f>'AESS-all'!F76</f>
        <v>.</v>
      </c>
      <c r="G76" t="str">
        <f>'AESS-all'!G76</f>
        <v>Clostridia</v>
      </c>
      <c r="H76" t="str">
        <f>'AESS-all'!H76</f>
        <v>.</v>
      </c>
      <c r="I76" t="str">
        <f>'AESS-all'!I76</f>
        <v>Clostridiales</v>
      </c>
      <c r="J76" t="str">
        <f>'AESS-all'!J76</f>
        <v>.</v>
      </c>
      <c r="K76" t="str">
        <f>'AESS-all'!K76</f>
        <v>.</v>
      </c>
      <c r="L76" t="str">
        <f>'AESS-all'!L76</f>
        <v>.</v>
      </c>
      <c r="M76" t="str">
        <f>'AESS-all'!M76</f>
        <v>.</v>
      </c>
      <c r="N76" t="str">
        <f>'AESS-all'!N76</f>
        <v>.</v>
      </c>
      <c r="O76">
        <f>'AESS-all'!O76</f>
        <v>0.69</v>
      </c>
      <c r="P76" t="str">
        <f>'AESS-all'!P76</f>
        <v>Paenibacillus_phyllosphaerae_(T)_PALXIL04_(AY598818)</v>
      </c>
      <c r="Q76">
        <f>'AESS-all'!Q76</f>
        <v>88.5</v>
      </c>
      <c r="R76">
        <f>'AESS-all'!R76</f>
        <v>1</v>
      </c>
      <c r="S76" s="49">
        <f>'AESS-all'!S76/'AESS-all'!S$1</f>
        <v>0</v>
      </c>
      <c r="T76" s="50">
        <f>'AESS-all'!T76/'AESS-all'!T$1</f>
        <v>0</v>
      </c>
      <c r="U76" s="50">
        <f>'AESS-all'!U76/'AESS-all'!U$1</f>
        <v>0</v>
      </c>
      <c r="V76" s="51">
        <f>'AESS-all'!V76/'AESS-all'!V$1</f>
        <v>7.6353950873039363E-3</v>
      </c>
      <c r="W76" s="49">
        <f>'AESS-all'!W76/'AESS-all'!W$1</f>
        <v>0</v>
      </c>
      <c r="X76" s="50">
        <f>'AESS-all'!X76/'AESS-all'!X$1</f>
        <v>0</v>
      </c>
      <c r="Y76" s="50">
        <f>'AESS-all'!Y76/'AESS-all'!Y$1</f>
        <v>0</v>
      </c>
      <c r="Z76" s="51">
        <f>'AESS-all'!Z76/'AESS-all'!Z$1</f>
        <v>0</v>
      </c>
      <c r="AA76" s="49">
        <f>'AESS-all'!AA76/'AESS-all'!AA$1</f>
        <v>0</v>
      </c>
      <c r="AB76" s="50">
        <f>'AESS-all'!AB76/'AESS-all'!AB$1</f>
        <v>0</v>
      </c>
      <c r="AC76" s="50">
        <f>'AESS-all'!AC76/'AESS-all'!AC$1</f>
        <v>0</v>
      </c>
      <c r="AD76" s="51">
        <f>'AESS-all'!AD76/'AESS-all'!AD$1</f>
        <v>0</v>
      </c>
    </row>
    <row r="77" spans="1:30" x14ac:dyDescent="0.35">
      <c r="A77" t="str">
        <f>'AESS-all'!A77</f>
        <v>OTU_76</v>
      </c>
      <c r="B77">
        <f>'AESS-all'!B77</f>
        <v>127</v>
      </c>
      <c r="C77" t="str">
        <f>'AESS-all'!C77</f>
        <v>Root</v>
      </c>
      <c r="D77" t="str">
        <f>'AESS-all'!D77</f>
        <v>Bacteria</v>
      </c>
      <c r="E77" t="str">
        <f>'AESS-all'!E77</f>
        <v>Proteobacteria</v>
      </c>
      <c r="F77" t="str">
        <f>'AESS-all'!F77</f>
        <v>.</v>
      </c>
      <c r="G77" t="str">
        <f>'AESS-all'!G77</f>
        <v>Betaproteobacteria</v>
      </c>
      <c r="H77" t="str">
        <f>'AESS-all'!H77</f>
        <v>.</v>
      </c>
      <c r="I77" t="str">
        <f>'AESS-all'!I77</f>
        <v>Rhodocyclales</v>
      </c>
      <c r="J77" t="str">
        <f>'AESS-all'!J77</f>
        <v>.</v>
      </c>
      <c r="K77" t="str">
        <f>'AESS-all'!K77</f>
        <v>Rhodocyclaceae</v>
      </c>
      <c r="L77" t="str">
        <f>'AESS-all'!L77</f>
        <v>.</v>
      </c>
      <c r="M77" t="str">
        <f>'AESS-all'!M77</f>
        <v>Thauera</v>
      </c>
      <c r="N77" t="str">
        <f>'AESS-all'!N77</f>
        <v>.</v>
      </c>
      <c r="O77">
        <f>'AESS-all'!O77</f>
        <v>0.98</v>
      </c>
      <c r="P77" t="str">
        <f>'AESS-all'!P77</f>
        <v>Azoarcus_olearius_DQS-4_(EF158388)</v>
      </c>
      <c r="Q77">
        <f>'AESS-all'!Q77</f>
        <v>99.2</v>
      </c>
      <c r="R77">
        <f>'AESS-all'!R77</f>
        <v>1</v>
      </c>
      <c r="S77" s="49">
        <f>'AESS-all'!S77/'AESS-all'!S$1</f>
        <v>1.6551273981863534E-3</v>
      </c>
      <c r="T77" s="50">
        <f>'AESS-all'!T77/'AESS-all'!T$1</f>
        <v>9.1836734693877546E-4</v>
      </c>
      <c r="U77" s="50">
        <f>'AESS-all'!U77/'AESS-all'!U$1</f>
        <v>1.9521082769390942E-3</v>
      </c>
      <c r="V77" s="51">
        <f>'AESS-all'!V77/'AESS-all'!V$1</f>
        <v>0</v>
      </c>
      <c r="W77" s="49">
        <f>'AESS-all'!W77/'AESS-all'!W$1</f>
        <v>2.1727794194333392E-4</v>
      </c>
      <c r="X77" s="50">
        <f>'AESS-all'!X77/'AESS-all'!X$1</f>
        <v>0</v>
      </c>
      <c r="Y77" s="50">
        <f>'AESS-all'!Y77/'AESS-all'!Y$1</f>
        <v>0</v>
      </c>
      <c r="Z77" s="51">
        <f>'AESS-all'!Z77/'AESS-all'!Z$1</f>
        <v>0</v>
      </c>
      <c r="AA77" s="49">
        <f>'AESS-all'!AA77/'AESS-all'!AA$1</f>
        <v>3.7274916848262414E-4</v>
      </c>
      <c r="AB77" s="50">
        <f>'AESS-all'!AB77/'AESS-all'!AB$1</f>
        <v>0</v>
      </c>
      <c r="AC77" s="50">
        <f>'AESS-all'!AC77/'AESS-all'!AC$1</f>
        <v>0</v>
      </c>
      <c r="AD77" s="51">
        <f>'AESS-all'!AD77/'AESS-all'!AD$1</f>
        <v>0</v>
      </c>
    </row>
    <row r="78" spans="1:30" x14ac:dyDescent="0.35">
      <c r="A78" t="str">
        <f>'AESS-all'!A78</f>
        <v>OTU_72</v>
      </c>
      <c r="B78">
        <f>'AESS-all'!B78</f>
        <v>125</v>
      </c>
      <c r="C78" t="str">
        <f>'AESS-all'!C78</f>
        <v>Root</v>
      </c>
      <c r="D78" t="str">
        <f>'AESS-all'!D78</f>
        <v>Bacteria</v>
      </c>
      <c r="E78" t="str">
        <f>'AESS-all'!E78</f>
        <v>Proteobacteria</v>
      </c>
      <c r="F78" t="str">
        <f>'AESS-all'!F78</f>
        <v>.</v>
      </c>
      <c r="G78" t="str">
        <f>'AESS-all'!G78</f>
        <v>Deltaproteobacteria</v>
      </c>
      <c r="H78" t="str">
        <f>'AESS-all'!H78</f>
        <v>.</v>
      </c>
      <c r="I78" t="str">
        <f>'AESS-all'!I78</f>
        <v>.</v>
      </c>
      <c r="J78" t="str">
        <f>'AESS-all'!J78</f>
        <v>.</v>
      </c>
      <c r="K78" t="str">
        <f>'AESS-all'!K78</f>
        <v>Syntrophorhabdaceae</v>
      </c>
      <c r="L78" t="str">
        <f>'AESS-all'!L78</f>
        <v>.</v>
      </c>
      <c r="M78" t="str">
        <f>'AESS-all'!M78</f>
        <v>Syntrophorhabdus</v>
      </c>
      <c r="N78" t="str">
        <f>'AESS-all'!N78</f>
        <v>.</v>
      </c>
      <c r="O78">
        <f>'AESS-all'!O78</f>
        <v>0.99</v>
      </c>
      <c r="P78" t="str">
        <f>'AESS-all'!P78</f>
        <v>Syntrophorhabdus_aromaticivorans_(T)_UI_(AB212873)</v>
      </c>
      <c r="Q78">
        <f>'AESS-all'!Q78</f>
        <v>94.9</v>
      </c>
      <c r="R78">
        <f>'AESS-all'!R78</f>
        <v>1</v>
      </c>
      <c r="S78" s="49">
        <f>'AESS-all'!S78/'AESS-all'!S$1</f>
        <v>1.6318157446907708E-4</v>
      </c>
      <c r="T78" s="50">
        <f>'AESS-all'!T78/'AESS-all'!T$1</f>
        <v>0</v>
      </c>
      <c r="U78" s="50">
        <f>'AESS-all'!U78/'AESS-all'!U$1</f>
        <v>0</v>
      </c>
      <c r="V78" s="51">
        <f>'AESS-all'!V78/'AESS-all'!V$1</f>
        <v>0</v>
      </c>
      <c r="W78" s="49">
        <f>'AESS-all'!W78/'AESS-all'!W$1</f>
        <v>4.3455588388666785E-5</v>
      </c>
      <c r="X78" s="50">
        <f>'AESS-all'!X78/'AESS-all'!X$1</f>
        <v>0</v>
      </c>
      <c r="Y78" s="50">
        <f>'AESS-all'!Y78/'AESS-all'!Y$1</f>
        <v>0</v>
      </c>
      <c r="Z78" s="51">
        <f>'AESS-all'!Z78/'AESS-all'!Z$1</f>
        <v>0</v>
      </c>
      <c r="AA78" s="49">
        <f>'AESS-all'!AA78/'AESS-all'!AA$1</f>
        <v>2.3511870627365523E-3</v>
      </c>
      <c r="AB78" s="50">
        <f>'AESS-all'!AB78/'AESS-all'!AB$1</f>
        <v>1.4746703678001388E-3</v>
      </c>
      <c r="AC78" s="50">
        <f>'AESS-all'!AC78/'AESS-all'!AC$1</f>
        <v>0</v>
      </c>
      <c r="AD78" s="51">
        <f>'AESS-all'!AD78/'AESS-all'!AD$1</f>
        <v>0</v>
      </c>
    </row>
    <row r="79" spans="1:30" x14ac:dyDescent="0.35">
      <c r="A79" t="str">
        <f>'AESS-all'!A79</f>
        <v>OTU_75</v>
      </c>
      <c r="B79">
        <f>'AESS-all'!B79</f>
        <v>118</v>
      </c>
      <c r="C79" t="str">
        <f>'AESS-all'!C79</f>
        <v>Root</v>
      </c>
      <c r="D79" t="str">
        <f>'AESS-all'!D79</f>
        <v>Bacteria</v>
      </c>
      <c r="E79" t="str">
        <f>'AESS-all'!E79</f>
        <v>Proteobacteria</v>
      </c>
      <c r="F79" t="str">
        <f>'AESS-all'!F79</f>
        <v>.</v>
      </c>
      <c r="G79" t="str">
        <f>'AESS-all'!G79</f>
        <v>Deltaproteobacteria</v>
      </c>
      <c r="H79" t="str">
        <f>'AESS-all'!H79</f>
        <v>.</v>
      </c>
      <c r="I79" t="str">
        <f>'AESS-all'!I79</f>
        <v>Desulfuromonadales</v>
      </c>
      <c r="J79" t="str">
        <f>'AESS-all'!J79</f>
        <v>.</v>
      </c>
      <c r="K79" t="str">
        <f>'AESS-all'!K79</f>
        <v>Geobacteraceae</v>
      </c>
      <c r="L79" t="str">
        <f>'AESS-all'!L79</f>
        <v>.</v>
      </c>
      <c r="M79" t="str">
        <f>'AESS-all'!M79</f>
        <v>Geoalkalibacter</v>
      </c>
      <c r="N79" t="str">
        <f>'AESS-all'!N79</f>
        <v>.</v>
      </c>
      <c r="O79">
        <f>'AESS-all'!O79</f>
        <v>0.94</v>
      </c>
      <c r="P79" t="str">
        <f>'AESS-all'!P79</f>
        <v>Geoalkalibacter_ferrihydriticus_(T)_Z-0531_(DQ309326)</v>
      </c>
      <c r="Q79">
        <f>'AESS-all'!Q79</f>
        <v>96.8</v>
      </c>
      <c r="R79">
        <f>'AESS-all'!R79</f>
        <v>1</v>
      </c>
      <c r="S79" s="49">
        <f>'AESS-all'!S79/'AESS-all'!S$1</f>
        <v>9.3246613982329762E-5</v>
      </c>
      <c r="T79" s="50">
        <f>'AESS-all'!T79/'AESS-all'!T$1</f>
        <v>0</v>
      </c>
      <c r="U79" s="50">
        <f>'AESS-all'!U79/'AESS-all'!U$1</f>
        <v>0</v>
      </c>
      <c r="V79" s="51">
        <f>'AESS-all'!V79/'AESS-all'!V$1</f>
        <v>0</v>
      </c>
      <c r="W79" s="49">
        <f>'AESS-all'!W79/'AESS-all'!W$1</f>
        <v>4.3455588388666785E-5</v>
      </c>
      <c r="X79" s="50">
        <f>'AESS-all'!X79/'AESS-all'!X$1</f>
        <v>0</v>
      </c>
      <c r="Y79" s="50">
        <f>'AESS-all'!Y79/'AESS-all'!Y$1</f>
        <v>0</v>
      </c>
      <c r="Z79" s="51">
        <f>'AESS-all'!Z79/'AESS-all'!Z$1</f>
        <v>0</v>
      </c>
      <c r="AA79" s="49">
        <f>'AESS-all'!AA79/'AESS-all'!AA$1</f>
        <v>1.7490537905723133E-3</v>
      </c>
      <c r="AB79" s="50">
        <f>'AESS-all'!AB79/'AESS-all'!AB$1</f>
        <v>2.212005551700208E-3</v>
      </c>
      <c r="AC79" s="50">
        <f>'AESS-all'!AC79/'AESS-all'!AC$1</f>
        <v>0</v>
      </c>
      <c r="AD79" s="51">
        <f>'AESS-all'!AD79/'AESS-all'!AD$1</f>
        <v>0</v>
      </c>
    </row>
    <row r="80" spans="1:30" x14ac:dyDescent="0.35">
      <c r="A80" t="str">
        <f>'AESS-all'!A80</f>
        <v>OTU_212</v>
      </c>
      <c r="B80">
        <f>'AESS-all'!B80</f>
        <v>114</v>
      </c>
      <c r="C80" t="str">
        <f>'AESS-all'!C80</f>
        <v>Root</v>
      </c>
      <c r="D80" t="str">
        <f>'AESS-all'!D80</f>
        <v>Bacteria</v>
      </c>
      <c r="E80" t="str">
        <f>'AESS-all'!E80</f>
        <v>Firmicutes</v>
      </c>
      <c r="F80" t="str">
        <f>'AESS-all'!F80</f>
        <v>.</v>
      </c>
      <c r="G80" t="str">
        <f>'AESS-all'!G80</f>
        <v>Clostridia</v>
      </c>
      <c r="H80" t="str">
        <f>'AESS-all'!H80</f>
        <v>.</v>
      </c>
      <c r="I80" t="str">
        <f>'AESS-all'!I80</f>
        <v>Natranaerobiales</v>
      </c>
      <c r="J80" t="str">
        <f>'AESS-all'!J80</f>
        <v>.</v>
      </c>
      <c r="K80" t="str">
        <f>'AESS-all'!K80</f>
        <v>Natranaerobiaceae</v>
      </c>
      <c r="L80" t="str">
        <f>'AESS-all'!L80</f>
        <v>.</v>
      </c>
      <c r="M80" t="str">
        <f>'AESS-all'!M80</f>
        <v>Dethiobacter</v>
      </c>
      <c r="N80" t="str">
        <f>'AESS-all'!N80</f>
        <v>.</v>
      </c>
      <c r="O80">
        <f>'AESS-all'!O80</f>
        <v>0.84</v>
      </c>
      <c r="P80" t="str">
        <f>'AESS-all'!P80</f>
        <v>Dethiobacter_alkaliphilus_(T)_AHT_1_(EF422412)</v>
      </c>
      <c r="Q80">
        <f>'AESS-all'!Q80</f>
        <v>95.3</v>
      </c>
      <c r="R80">
        <f>'AESS-all'!R80</f>
        <v>1</v>
      </c>
      <c r="S80" s="49">
        <f>'AESS-all'!S80/'AESS-all'!S$1</f>
        <v>2.3311653495582441E-5</v>
      </c>
      <c r="T80" s="50">
        <f>'AESS-all'!T80/'AESS-all'!T$1</f>
        <v>0</v>
      </c>
      <c r="U80" s="50">
        <f>'AESS-all'!U80/'AESS-all'!U$1</f>
        <v>0</v>
      </c>
      <c r="V80" s="51">
        <f>'AESS-all'!V80/'AESS-all'!V$1</f>
        <v>0</v>
      </c>
      <c r="W80" s="49">
        <f>'AESS-all'!W80/'AESS-all'!W$1</f>
        <v>1.3688510342430038E-3</v>
      </c>
      <c r="X80" s="50">
        <f>'AESS-all'!X80/'AESS-all'!X$1</f>
        <v>1.8929833417465926E-3</v>
      </c>
      <c r="Y80" s="50">
        <f>'AESS-all'!Y80/'AESS-all'!Y$1</f>
        <v>0</v>
      </c>
      <c r="Z80" s="51">
        <f>'AESS-all'!Z80/'AESS-all'!Z$1</f>
        <v>0</v>
      </c>
      <c r="AA80" s="49">
        <f>'AESS-all'!AA80/'AESS-all'!AA$1</f>
        <v>4.3009519440302788E-4</v>
      </c>
      <c r="AB80" s="50">
        <f>'AESS-all'!AB80/'AESS-all'!AB$1</f>
        <v>2.1686328938237334E-4</v>
      </c>
      <c r="AC80" s="50">
        <f>'AESS-all'!AC80/'AESS-all'!AC$1</f>
        <v>0</v>
      </c>
      <c r="AD80" s="51">
        <f>'AESS-all'!AD80/'AESS-all'!AD$1</f>
        <v>0</v>
      </c>
    </row>
    <row r="81" spans="1:30" x14ac:dyDescent="0.35">
      <c r="A81" t="str">
        <f>'AESS-all'!A81</f>
        <v>OTU_71</v>
      </c>
      <c r="B81">
        <f>'AESS-all'!B81</f>
        <v>111</v>
      </c>
      <c r="C81" t="str">
        <f>'AESS-all'!C81</f>
        <v>Root</v>
      </c>
      <c r="D81" t="str">
        <f>'AESS-all'!D81</f>
        <v>Bacteria</v>
      </c>
      <c r="E81" t="str">
        <f>'AESS-all'!E81</f>
        <v>Bacteroidetes</v>
      </c>
      <c r="F81" t="str">
        <f>'AESS-all'!F81</f>
        <v>.</v>
      </c>
      <c r="G81" t="str">
        <f>'AESS-all'!G81</f>
        <v>.</v>
      </c>
      <c r="H81" t="str">
        <f>'AESS-all'!H81</f>
        <v>.</v>
      </c>
      <c r="I81" t="str">
        <f>'AESS-all'!I81</f>
        <v>.</v>
      </c>
      <c r="J81" t="str">
        <f>'AESS-all'!J81</f>
        <v>.</v>
      </c>
      <c r="K81" t="str">
        <f>'AESS-all'!K81</f>
        <v>.</v>
      </c>
      <c r="L81" t="str">
        <f>'AESS-all'!L81</f>
        <v>.</v>
      </c>
      <c r="M81" t="str">
        <f>'AESS-all'!M81</f>
        <v>.</v>
      </c>
      <c r="N81" t="str">
        <f>'AESS-all'!N81</f>
        <v>.</v>
      </c>
      <c r="O81">
        <f>'AESS-all'!O81</f>
        <v>0.96</v>
      </c>
      <c r="P81" t="str">
        <f>'AESS-all'!P81</f>
        <v>Crocinitomix_catalasitica_(T)_IFO_15977_(AB078042)</v>
      </c>
      <c r="Q81">
        <f>'AESS-all'!Q81</f>
        <v>88.1</v>
      </c>
      <c r="R81">
        <f>'AESS-all'!R81</f>
        <v>4</v>
      </c>
      <c r="S81" s="49">
        <f>'AESS-all'!S81/'AESS-all'!S$1</f>
        <v>8.8584283283213276E-4</v>
      </c>
      <c r="T81" s="50">
        <f>'AESS-all'!T81/'AESS-all'!T$1</f>
        <v>1.8877551020408164E-3</v>
      </c>
      <c r="U81" s="50">
        <f>'AESS-all'!U81/'AESS-all'!U$1</f>
        <v>7.8084331077563768E-4</v>
      </c>
      <c r="V81" s="51">
        <f>'AESS-all'!V81/'AESS-all'!V$1</f>
        <v>1.6572950577093816E-3</v>
      </c>
      <c r="W81" s="49">
        <f>'AESS-all'!W81/'AESS-all'!W$1</f>
        <v>4.3455588388666785E-5</v>
      </c>
      <c r="X81" s="50">
        <f>'AESS-all'!X81/'AESS-all'!X$1</f>
        <v>0</v>
      </c>
      <c r="Y81" s="50">
        <f>'AESS-all'!Y81/'AESS-all'!Y$1</f>
        <v>0</v>
      </c>
      <c r="Z81" s="51">
        <f>'AESS-all'!Z81/'AESS-all'!Z$1</f>
        <v>0</v>
      </c>
      <c r="AA81" s="49">
        <f>'AESS-all'!AA81/'AESS-all'!AA$1</f>
        <v>0</v>
      </c>
      <c r="AB81" s="50">
        <f>'AESS-all'!AB81/'AESS-all'!AB$1</f>
        <v>0</v>
      </c>
      <c r="AC81" s="50">
        <f>'AESS-all'!AC81/'AESS-all'!AC$1</f>
        <v>0</v>
      </c>
      <c r="AD81" s="51">
        <f>'AESS-all'!AD81/'AESS-all'!AD$1</f>
        <v>0</v>
      </c>
    </row>
    <row r="82" spans="1:30" x14ac:dyDescent="0.35">
      <c r="A82" t="str">
        <f>'AESS-all'!A82</f>
        <v>OTU_78</v>
      </c>
      <c r="B82">
        <f>'AESS-all'!B82</f>
        <v>101</v>
      </c>
      <c r="C82" t="str">
        <f>'AESS-all'!C82</f>
        <v>Root</v>
      </c>
      <c r="D82" t="str">
        <f>'AESS-all'!D82</f>
        <v>Bacteria</v>
      </c>
      <c r="E82" t="str">
        <f>'AESS-all'!E82</f>
        <v>Firmicutes</v>
      </c>
      <c r="F82" t="str">
        <f>'AESS-all'!F82</f>
        <v>.</v>
      </c>
      <c r="G82" t="str">
        <f>'AESS-all'!G82</f>
        <v>Clostridia</v>
      </c>
      <c r="H82" t="str">
        <f>'AESS-all'!H82</f>
        <v>.</v>
      </c>
      <c r="I82" t="str">
        <f>'AESS-all'!I82</f>
        <v>.</v>
      </c>
      <c r="J82" t="str">
        <f>'AESS-all'!J82</f>
        <v>.</v>
      </c>
      <c r="K82" t="str">
        <f>'AESS-all'!K82</f>
        <v>.</v>
      </c>
      <c r="L82" t="str">
        <f>'AESS-all'!L82</f>
        <v>.</v>
      </c>
      <c r="M82" t="str">
        <f>'AESS-all'!M82</f>
        <v>.</v>
      </c>
      <c r="N82" t="str">
        <f>'AESS-all'!N82</f>
        <v>.</v>
      </c>
      <c r="O82">
        <f>'AESS-all'!O82</f>
        <v>0.65</v>
      </c>
      <c r="P82" t="str">
        <f>'AESS-all'!P82</f>
        <v>Dethiobacter_alkaliphilus_(T)_AHT_1_(EF422412)</v>
      </c>
      <c r="Q82">
        <f>'AESS-all'!Q82</f>
        <v>91.7</v>
      </c>
      <c r="R82">
        <f>'AESS-all'!R82</f>
        <v>1</v>
      </c>
      <c r="S82" s="49">
        <f>'AESS-all'!S82/'AESS-all'!S$1</f>
        <v>0</v>
      </c>
      <c r="T82" s="50">
        <f>'AESS-all'!T82/'AESS-all'!T$1</f>
        <v>0</v>
      </c>
      <c r="U82" s="50">
        <f>'AESS-all'!U82/'AESS-all'!U$1</f>
        <v>0</v>
      </c>
      <c r="V82" s="51">
        <f>'AESS-all'!V82/'AESS-all'!V$1</f>
        <v>0</v>
      </c>
      <c r="W82" s="49">
        <f>'AESS-all'!W82/'AESS-all'!W$1</f>
        <v>1.2602120632713367E-3</v>
      </c>
      <c r="X82" s="50">
        <f>'AESS-all'!X82/'AESS-all'!X$1</f>
        <v>2.5870772337203431E-3</v>
      </c>
      <c r="Y82" s="50">
        <f>'AESS-all'!Y82/'AESS-all'!Y$1</f>
        <v>0</v>
      </c>
      <c r="Z82" s="51">
        <f>'AESS-all'!Z82/'AESS-all'!Z$1</f>
        <v>0</v>
      </c>
      <c r="AA82" s="49">
        <f>'AESS-all'!AA82/'AESS-all'!AA$1</f>
        <v>5.7346025920403718E-5</v>
      </c>
      <c r="AB82" s="50">
        <f>'AESS-all'!AB82/'AESS-all'!AB$1</f>
        <v>0</v>
      </c>
      <c r="AC82" s="50">
        <f>'AESS-all'!AC82/'AESS-all'!AC$1</f>
        <v>0</v>
      </c>
      <c r="AD82" s="51">
        <f>'AESS-all'!AD82/'AESS-all'!AD$1</f>
        <v>0</v>
      </c>
    </row>
    <row r="83" spans="1:30" x14ac:dyDescent="0.35">
      <c r="A83" t="str">
        <f>'AESS-all'!A83</f>
        <v>OTU_73</v>
      </c>
      <c r="B83">
        <f>'AESS-all'!B83</f>
        <v>92</v>
      </c>
      <c r="C83" t="str">
        <f>'AESS-all'!C83</f>
        <v>Root</v>
      </c>
      <c r="D83" t="str">
        <f>'AESS-all'!D83</f>
        <v>Bacteria</v>
      </c>
      <c r="E83" t="str">
        <f>'AESS-all'!E83</f>
        <v>.</v>
      </c>
      <c r="F83" t="str">
        <f>'AESS-all'!F83</f>
        <v>.</v>
      </c>
      <c r="G83" t="str">
        <f>'AESS-all'!G83</f>
        <v>.</v>
      </c>
      <c r="H83" t="str">
        <f>'AESS-all'!H83</f>
        <v>.</v>
      </c>
      <c r="I83" t="str">
        <f>'AESS-all'!I83</f>
        <v>.</v>
      </c>
      <c r="J83" t="str">
        <f>'AESS-all'!J83</f>
        <v>.</v>
      </c>
      <c r="K83" t="str">
        <f>'AESS-all'!K83</f>
        <v>.</v>
      </c>
      <c r="L83" t="str">
        <f>'AESS-all'!L83</f>
        <v>.</v>
      </c>
      <c r="M83" t="str">
        <f>'AESS-all'!M83</f>
        <v>.</v>
      </c>
      <c r="N83" t="str">
        <f>'AESS-all'!N83</f>
        <v>.</v>
      </c>
      <c r="O83">
        <f>'AESS-all'!O83</f>
        <v>0.99</v>
      </c>
      <c r="P83" t="str">
        <f>'AESS-all'!P83</f>
        <v>*</v>
      </c>
      <c r="Q83">
        <f>'AESS-all'!Q83</f>
        <v>0</v>
      </c>
      <c r="R83">
        <f>'AESS-all'!R83</f>
        <v>1</v>
      </c>
      <c r="S83" s="49">
        <f>'AESS-all'!S83/'AESS-all'!S$1</f>
        <v>0</v>
      </c>
      <c r="T83" s="50">
        <f>'AESS-all'!T83/'AESS-all'!T$1</f>
        <v>0</v>
      </c>
      <c r="U83" s="50">
        <f>'AESS-all'!U83/'AESS-all'!U$1</f>
        <v>0</v>
      </c>
      <c r="V83" s="51">
        <f>'AESS-all'!V83/'AESS-all'!V$1</f>
        <v>0</v>
      </c>
      <c r="W83" s="49">
        <f>'AESS-all'!W83/'AESS-all'!W$1</f>
        <v>0</v>
      </c>
      <c r="X83" s="50">
        <f>'AESS-all'!X83/'AESS-all'!X$1</f>
        <v>0</v>
      </c>
      <c r="Y83" s="50">
        <f>'AESS-all'!Y83/'AESS-all'!Y$1</f>
        <v>0</v>
      </c>
      <c r="Z83" s="51">
        <f>'AESS-all'!Z83/'AESS-all'!Z$1</f>
        <v>0</v>
      </c>
      <c r="AA83" s="49">
        <f>'AESS-all'!AA83/'AESS-all'!AA$1</f>
        <v>3.1540314256222045E-4</v>
      </c>
      <c r="AB83" s="50">
        <f>'AESS-all'!AB83/'AESS-all'!AB$1</f>
        <v>1.7349063150589867E-3</v>
      </c>
      <c r="AC83" s="50">
        <f>'AESS-all'!AC83/'AESS-all'!AC$1</f>
        <v>2.1149425287356324E-3</v>
      </c>
      <c r="AD83" s="51">
        <f>'AESS-all'!AD83/'AESS-all'!AD$1</f>
        <v>1.5745276417074878E-3</v>
      </c>
    </row>
    <row r="84" spans="1:30" x14ac:dyDescent="0.35">
      <c r="A84" t="str">
        <f>'AESS-all'!A84</f>
        <v>OTU_79</v>
      </c>
      <c r="B84">
        <f>'AESS-all'!B84</f>
        <v>92</v>
      </c>
      <c r="C84" t="str">
        <f>'AESS-all'!C84</f>
        <v>Root</v>
      </c>
      <c r="D84" t="str">
        <f>'AESS-all'!D84</f>
        <v>Bacteria</v>
      </c>
      <c r="E84" t="str">
        <f>'AESS-all'!E84</f>
        <v>Proteobacteria</v>
      </c>
      <c r="F84" t="str">
        <f>'AESS-all'!F84</f>
        <v>.</v>
      </c>
      <c r="G84" t="str">
        <f>'AESS-all'!G84</f>
        <v>Deltaproteobacteria</v>
      </c>
      <c r="H84" t="str">
        <f>'AESS-all'!H84</f>
        <v>.</v>
      </c>
      <c r="I84" t="str">
        <f>'AESS-all'!I84</f>
        <v>Syntrophobacterales</v>
      </c>
      <c r="J84" t="str">
        <f>'AESS-all'!J84</f>
        <v>.</v>
      </c>
      <c r="K84" t="str">
        <f>'AESS-all'!K84</f>
        <v>Syntrophaceae</v>
      </c>
      <c r="L84" t="str">
        <f>'AESS-all'!L84</f>
        <v>.</v>
      </c>
      <c r="M84" t="str">
        <f>'AESS-all'!M84</f>
        <v>Smithella</v>
      </c>
      <c r="N84" t="str">
        <f>'AESS-all'!N84</f>
        <v>.</v>
      </c>
      <c r="O84">
        <f>'AESS-all'!O84</f>
        <v>0.57999999999999996</v>
      </c>
      <c r="P84" t="str">
        <f>'AESS-all'!P84</f>
        <v>Smithella_propionica_(T)_LYP_(AF126282)</v>
      </c>
      <c r="Q84">
        <f>'AESS-all'!Q84</f>
        <v>92.5</v>
      </c>
      <c r="R84">
        <f>'AESS-all'!R84</f>
        <v>2</v>
      </c>
      <c r="S84" s="49">
        <f>'AESS-all'!S84/'AESS-all'!S$1</f>
        <v>1.3753875562393641E-3</v>
      </c>
      <c r="T84" s="50">
        <f>'AESS-all'!T84/'AESS-all'!T$1</f>
        <v>1.6326530612244899E-3</v>
      </c>
      <c r="U84" s="50">
        <f>'AESS-all'!U84/'AESS-all'!U$1</f>
        <v>0</v>
      </c>
      <c r="V84" s="51">
        <f>'AESS-all'!V84/'AESS-all'!V$1</f>
        <v>0</v>
      </c>
      <c r="W84" s="49">
        <f>'AESS-all'!W84/'AESS-all'!W$1</f>
        <v>2.1727794194333393E-5</v>
      </c>
      <c r="X84" s="50">
        <f>'AESS-all'!X84/'AESS-all'!X$1</f>
        <v>0</v>
      </c>
      <c r="Y84" s="50">
        <f>'AESS-all'!Y84/'AESS-all'!Y$1</f>
        <v>0</v>
      </c>
      <c r="Z84" s="51">
        <f>'AESS-all'!Z84/'AESS-all'!Z$1</f>
        <v>0</v>
      </c>
      <c r="AA84" s="49">
        <f>'AESS-all'!AA84/'AESS-all'!AA$1</f>
        <v>0</v>
      </c>
      <c r="AB84" s="50">
        <f>'AESS-all'!AB84/'AESS-all'!AB$1</f>
        <v>0</v>
      </c>
      <c r="AC84" s="50">
        <f>'AESS-all'!AC84/'AESS-all'!AC$1</f>
        <v>0</v>
      </c>
      <c r="AD84" s="51">
        <f>'AESS-all'!AD84/'AESS-all'!AD$1</f>
        <v>0</v>
      </c>
    </row>
    <row r="85" spans="1:30" x14ac:dyDescent="0.35">
      <c r="A85" t="str">
        <f>'AESS-all'!A85</f>
        <v>OTU_80</v>
      </c>
      <c r="B85">
        <f>'AESS-all'!B85</f>
        <v>86</v>
      </c>
      <c r="C85" t="str">
        <f>'AESS-all'!C85</f>
        <v>Root</v>
      </c>
      <c r="D85" t="str">
        <f>'AESS-all'!D85</f>
        <v>Bacteria</v>
      </c>
      <c r="E85" t="str">
        <f>'AESS-all'!E85</f>
        <v>Firmicutes</v>
      </c>
      <c r="F85" t="str">
        <f>'AESS-all'!F85</f>
        <v>.</v>
      </c>
      <c r="G85" t="str">
        <f>'AESS-all'!G85</f>
        <v>Clostridia</v>
      </c>
      <c r="H85" t="str">
        <f>'AESS-all'!H85</f>
        <v>.</v>
      </c>
      <c r="I85" t="str">
        <f>'AESS-all'!I85</f>
        <v>.</v>
      </c>
      <c r="J85" t="str">
        <f>'AESS-all'!J85</f>
        <v>.</v>
      </c>
      <c r="K85" t="str">
        <f>'AESS-all'!K85</f>
        <v>.</v>
      </c>
      <c r="L85" t="str">
        <f>'AESS-all'!L85</f>
        <v>.</v>
      </c>
      <c r="M85" t="str">
        <f>'AESS-all'!M85</f>
        <v>.</v>
      </c>
      <c r="N85" t="str">
        <f>'AESS-all'!N85</f>
        <v>.</v>
      </c>
      <c r="O85">
        <f>'AESS-all'!O85</f>
        <v>0.67</v>
      </c>
      <c r="P85" t="str">
        <f>'AESS-all'!P85</f>
        <v>Desulfotomaculum_kuznetsovii_strain_17_(NR_115129.1)</v>
      </c>
      <c r="Q85">
        <f>'AESS-all'!Q85</f>
        <v>89.7</v>
      </c>
      <c r="R85">
        <f>'AESS-all'!R85</f>
        <v>2</v>
      </c>
      <c r="S85" s="49">
        <f>'AESS-all'!S85/'AESS-all'!S$1</f>
        <v>0</v>
      </c>
      <c r="T85" s="50">
        <f>'AESS-all'!T85/'AESS-all'!T$1</f>
        <v>0</v>
      </c>
      <c r="U85" s="50">
        <f>'AESS-all'!U85/'AESS-all'!U$1</f>
        <v>0</v>
      </c>
      <c r="V85" s="51">
        <f>'AESS-all'!V85/'AESS-all'!V$1</f>
        <v>0</v>
      </c>
      <c r="W85" s="49">
        <f>'AESS-all'!W85/'AESS-all'!W$1</f>
        <v>1.0863897097166697E-3</v>
      </c>
      <c r="X85" s="50">
        <f>'AESS-all'!X85/'AESS-all'!X$1</f>
        <v>2.2084805653710248E-3</v>
      </c>
      <c r="Y85" s="50">
        <f>'AESS-all'!Y85/'AESS-all'!Y$1</f>
        <v>0</v>
      </c>
      <c r="Z85" s="51">
        <f>'AESS-all'!Z85/'AESS-all'!Z$1</f>
        <v>0</v>
      </c>
      <c r="AA85" s="49">
        <f>'AESS-all'!AA85/'AESS-all'!AA$1</f>
        <v>2.8673012960201859E-5</v>
      </c>
      <c r="AB85" s="50">
        <f>'AESS-all'!AB85/'AESS-all'!AB$1</f>
        <v>0</v>
      </c>
      <c r="AC85" s="50">
        <f>'AESS-all'!AC85/'AESS-all'!AC$1</f>
        <v>0</v>
      </c>
      <c r="AD85" s="51">
        <f>'AESS-all'!AD85/'AESS-all'!AD$1</f>
        <v>0</v>
      </c>
    </row>
    <row r="86" spans="1:30" x14ac:dyDescent="0.35">
      <c r="A86" t="str">
        <f>'AESS-all'!A86</f>
        <v>OTU_77</v>
      </c>
      <c r="B86">
        <f>'AESS-all'!B86</f>
        <v>84</v>
      </c>
      <c r="C86" t="str">
        <f>'AESS-all'!C86</f>
        <v>Root</v>
      </c>
      <c r="D86" t="str">
        <f>'AESS-all'!D86</f>
        <v>Bacteria</v>
      </c>
      <c r="E86" t="str">
        <f>'AESS-all'!E86</f>
        <v>Chloroflexi</v>
      </c>
      <c r="F86" t="str">
        <f>'AESS-all'!F86</f>
        <v>.</v>
      </c>
      <c r="G86" t="str">
        <f>'AESS-all'!G86</f>
        <v>Anaerolineae</v>
      </c>
      <c r="H86" t="str">
        <f>'AESS-all'!H86</f>
        <v>.</v>
      </c>
      <c r="I86" t="str">
        <f>'AESS-all'!I86</f>
        <v>Anaerolineales</v>
      </c>
      <c r="J86" t="str">
        <f>'AESS-all'!J86</f>
        <v>.</v>
      </c>
      <c r="K86" t="str">
        <f>'AESS-all'!K86</f>
        <v>Anaerolineaceae</v>
      </c>
      <c r="L86" t="str">
        <f>'AESS-all'!L86</f>
        <v>.</v>
      </c>
      <c r="M86" t="str">
        <f>'AESS-all'!M86</f>
        <v>.</v>
      </c>
      <c r="N86" t="str">
        <f>'AESS-all'!N86</f>
        <v>.</v>
      </c>
      <c r="O86">
        <f>'AESS-all'!O86</f>
        <v>0.99</v>
      </c>
      <c r="P86" t="str">
        <f>'AESS-all'!P86</f>
        <v>Leptolinea_tardivitalis_(T)_YMTK-2_(AB109438)</v>
      </c>
      <c r="Q86">
        <f>'AESS-all'!Q86</f>
        <v>93.7</v>
      </c>
      <c r="R86">
        <f>'AESS-all'!R86</f>
        <v>1</v>
      </c>
      <c r="S86" s="49">
        <f>'AESS-all'!S86/'AESS-all'!S$1</f>
        <v>0</v>
      </c>
      <c r="T86" s="50">
        <f>'AESS-all'!T86/'AESS-all'!T$1</f>
        <v>0</v>
      </c>
      <c r="U86" s="50">
        <f>'AESS-all'!U86/'AESS-all'!U$1</f>
        <v>0</v>
      </c>
      <c r="V86" s="51">
        <f>'AESS-all'!V86/'AESS-all'!V$1</f>
        <v>0</v>
      </c>
      <c r="W86" s="49">
        <f>'AESS-all'!W86/'AESS-all'!W$1</f>
        <v>6.3010603163566833E-4</v>
      </c>
      <c r="X86" s="50">
        <f>'AESS-all'!X86/'AESS-all'!X$1</f>
        <v>2.3346794548207974E-3</v>
      </c>
      <c r="Y86" s="50">
        <f>'AESS-all'!Y86/'AESS-all'!Y$1</f>
        <v>5.1679586563307496E-3</v>
      </c>
      <c r="Z86" s="51">
        <f>'AESS-all'!Z86/'AESS-all'!Z$1</f>
        <v>0</v>
      </c>
      <c r="AA86" s="49">
        <f>'AESS-all'!AA86/'AESS-all'!AA$1</f>
        <v>0</v>
      </c>
      <c r="AB86" s="50">
        <f>'AESS-all'!AB86/'AESS-all'!AB$1</f>
        <v>0</v>
      </c>
      <c r="AC86" s="50">
        <f>'AESS-all'!AC86/'AESS-all'!AC$1</f>
        <v>0</v>
      </c>
      <c r="AD86" s="51">
        <f>'AESS-all'!AD86/'AESS-all'!AD$1</f>
        <v>0</v>
      </c>
    </row>
    <row r="87" spans="1:30" x14ac:dyDescent="0.35">
      <c r="A87" t="str">
        <f>'AESS-all'!A87</f>
        <v>OTU_85</v>
      </c>
      <c r="B87">
        <f>'AESS-all'!B87</f>
        <v>83</v>
      </c>
      <c r="C87" t="str">
        <f>'AESS-all'!C87</f>
        <v>Root</v>
      </c>
      <c r="D87" t="str">
        <f>'AESS-all'!D87</f>
        <v>Bacteria</v>
      </c>
      <c r="E87" t="str">
        <f>'AESS-all'!E87</f>
        <v>Proteobacteria</v>
      </c>
      <c r="F87" t="str">
        <f>'AESS-all'!F87</f>
        <v>.</v>
      </c>
      <c r="G87" t="str">
        <f>'AESS-all'!G87</f>
        <v>Deltaproteobacteria</v>
      </c>
      <c r="H87" t="str">
        <f>'AESS-all'!H87</f>
        <v>.</v>
      </c>
      <c r="I87" t="str">
        <f>'AESS-all'!I87</f>
        <v>Syntrophobacterales</v>
      </c>
      <c r="J87" t="str">
        <f>'AESS-all'!J87</f>
        <v>.</v>
      </c>
      <c r="K87" t="str">
        <f>'AESS-all'!K87</f>
        <v>Syntrophaceae</v>
      </c>
      <c r="L87" t="str">
        <f>'AESS-all'!L87</f>
        <v>.</v>
      </c>
      <c r="M87" t="str">
        <f>'AESS-all'!M87</f>
        <v>Syntrophus</v>
      </c>
      <c r="N87" t="str">
        <f>'AESS-all'!N87</f>
        <v>.</v>
      </c>
      <c r="O87">
        <f>'AESS-all'!O87</f>
        <v>0.75</v>
      </c>
      <c r="P87" t="str">
        <f>'AESS-all'!P87</f>
        <v>Smithella_propionica_(T)_LYP_(AF126282)</v>
      </c>
      <c r="Q87">
        <f>'AESS-all'!Q87</f>
        <v>95.3</v>
      </c>
      <c r="R87">
        <f>'AESS-all'!R87</f>
        <v>1</v>
      </c>
      <c r="S87" s="49">
        <f>'AESS-all'!S87/'AESS-all'!S$1</f>
        <v>1.2588292887614518E-3</v>
      </c>
      <c r="T87" s="50">
        <f>'AESS-all'!T87/'AESS-all'!T$1</f>
        <v>1.2244897959183673E-3</v>
      </c>
      <c r="U87" s="50">
        <f>'AESS-all'!U87/'AESS-all'!U$1</f>
        <v>0</v>
      </c>
      <c r="V87" s="51">
        <f>'AESS-all'!V87/'AESS-all'!V$1</f>
        <v>0</v>
      </c>
      <c r="W87" s="49">
        <f>'AESS-all'!W87/'AESS-all'!W$1</f>
        <v>6.5183382583000168E-5</v>
      </c>
      <c r="X87" s="50">
        <f>'AESS-all'!X87/'AESS-all'!X$1</f>
        <v>0</v>
      </c>
      <c r="Y87" s="50">
        <f>'AESS-all'!Y87/'AESS-all'!Y$1</f>
        <v>0</v>
      </c>
      <c r="Z87" s="51">
        <f>'AESS-all'!Z87/'AESS-all'!Z$1</f>
        <v>0</v>
      </c>
      <c r="AA87" s="49">
        <f>'AESS-all'!AA87/'AESS-all'!AA$1</f>
        <v>5.7346025920403718E-5</v>
      </c>
      <c r="AB87" s="50">
        <f>'AESS-all'!AB87/'AESS-all'!AB$1</f>
        <v>0</v>
      </c>
      <c r="AC87" s="50">
        <f>'AESS-all'!AC87/'AESS-all'!AC$1</f>
        <v>0</v>
      </c>
      <c r="AD87" s="51">
        <f>'AESS-all'!AD87/'AESS-all'!AD$1</f>
        <v>0</v>
      </c>
    </row>
    <row r="88" spans="1:30" x14ac:dyDescent="0.35">
      <c r="A88" t="str">
        <f>'AESS-all'!A88</f>
        <v>OTU_82</v>
      </c>
      <c r="B88">
        <f>'AESS-all'!B88</f>
        <v>79</v>
      </c>
      <c r="C88" t="str">
        <f>'AESS-all'!C88</f>
        <v>Root</v>
      </c>
      <c r="D88" t="str">
        <f>'AESS-all'!D88</f>
        <v>Bacteria</v>
      </c>
      <c r="E88" t="str">
        <f>'AESS-all'!E88</f>
        <v>Actinobacteria</v>
      </c>
      <c r="F88" t="str">
        <f>'AESS-all'!F88</f>
        <v>.</v>
      </c>
      <c r="G88" t="str">
        <f>'AESS-all'!G88</f>
        <v>Actinobacteria</v>
      </c>
      <c r="H88" t="str">
        <f>'AESS-all'!H88</f>
        <v>Coriobacteridae</v>
      </c>
      <c r="I88" t="str">
        <f>'AESS-all'!I88</f>
        <v>Coriobacteriales</v>
      </c>
      <c r="J88" t="str">
        <f>'AESS-all'!J88</f>
        <v>Coriobacterineae</v>
      </c>
      <c r="K88" t="str">
        <f>'AESS-all'!K88</f>
        <v>Coriobacteriaceae</v>
      </c>
      <c r="L88" t="str">
        <f>'AESS-all'!L88</f>
        <v>.</v>
      </c>
      <c r="M88" t="str">
        <f>'AESS-all'!M88</f>
        <v>.</v>
      </c>
      <c r="N88" t="str">
        <f>'AESS-all'!N88</f>
        <v>.</v>
      </c>
      <c r="O88">
        <f>'AESS-all'!O88</f>
        <v>0.59</v>
      </c>
      <c r="P88" t="str">
        <f>'AESS-all'!P88</f>
        <v>Atopobium_vaginae_(T)_CCUG_38953_(Y17195)</v>
      </c>
      <c r="Q88">
        <f>'AESS-all'!Q88</f>
        <v>88.5</v>
      </c>
      <c r="R88">
        <f>'AESS-all'!R88</f>
        <v>1</v>
      </c>
      <c r="S88" s="49">
        <f>'AESS-all'!S88/'AESS-all'!S$1</f>
        <v>1.1888943282747045E-3</v>
      </c>
      <c r="T88" s="50">
        <f>'AESS-all'!T88/'AESS-all'!T$1</f>
        <v>0</v>
      </c>
      <c r="U88" s="50">
        <f>'AESS-all'!U88/'AESS-all'!U$1</f>
        <v>0</v>
      </c>
      <c r="V88" s="51">
        <f>'AESS-all'!V88/'AESS-all'!V$1</f>
        <v>0</v>
      </c>
      <c r="W88" s="49">
        <f>'AESS-all'!W88/'AESS-all'!W$1</f>
        <v>3.0418911872066748E-4</v>
      </c>
      <c r="X88" s="50">
        <f>'AESS-all'!X88/'AESS-all'!X$1</f>
        <v>0</v>
      </c>
      <c r="Y88" s="50">
        <f>'AESS-all'!Y88/'AESS-all'!Y$1</f>
        <v>0</v>
      </c>
      <c r="Z88" s="51">
        <f>'AESS-all'!Z88/'AESS-all'!Z$1</f>
        <v>0</v>
      </c>
      <c r="AA88" s="49">
        <f>'AESS-all'!AA88/'AESS-all'!AA$1</f>
        <v>4.0142218144282601E-4</v>
      </c>
      <c r="AB88" s="50">
        <f>'AESS-all'!AB88/'AESS-all'!AB$1</f>
        <v>0</v>
      </c>
      <c r="AC88" s="50">
        <f>'AESS-all'!AC88/'AESS-all'!AC$1</f>
        <v>0</v>
      </c>
      <c r="AD88" s="51">
        <f>'AESS-all'!AD88/'AESS-all'!AD$1</f>
        <v>0</v>
      </c>
    </row>
    <row r="89" spans="1:30" x14ac:dyDescent="0.35">
      <c r="A89" t="str">
        <f>'AESS-all'!A89</f>
        <v>OTU_81</v>
      </c>
      <c r="B89">
        <f>'AESS-all'!B89</f>
        <v>78</v>
      </c>
      <c r="C89" t="str">
        <f>'AESS-all'!C89</f>
        <v>Root</v>
      </c>
      <c r="D89" t="str">
        <f>'AESS-all'!D89</f>
        <v>Bacteria</v>
      </c>
      <c r="E89" t="str">
        <f>'AESS-all'!E89</f>
        <v>Firmicutes</v>
      </c>
      <c r="F89" t="str">
        <f>'AESS-all'!F89</f>
        <v>.</v>
      </c>
      <c r="G89" t="str">
        <f>'AESS-all'!G89</f>
        <v>Clostridia</v>
      </c>
      <c r="H89" t="str">
        <f>'AESS-all'!H89</f>
        <v>.</v>
      </c>
      <c r="I89" t="str">
        <f>'AESS-all'!I89</f>
        <v>Clostridiales</v>
      </c>
      <c r="J89" t="str">
        <f>'AESS-all'!J89</f>
        <v>.</v>
      </c>
      <c r="K89" t="str">
        <f>'AESS-all'!K89</f>
        <v>.</v>
      </c>
      <c r="L89" t="str">
        <f>'AESS-all'!L89</f>
        <v>.</v>
      </c>
      <c r="M89" t="str">
        <f>'AESS-all'!M89</f>
        <v>.</v>
      </c>
      <c r="N89" t="str">
        <f>'AESS-all'!N89</f>
        <v>.</v>
      </c>
      <c r="O89">
        <f>'AESS-all'!O89</f>
        <v>0.73</v>
      </c>
      <c r="P89" t="str">
        <f>'AESS-all'!P89</f>
        <v>*</v>
      </c>
      <c r="Q89">
        <f>'AESS-all'!Q89</f>
        <v>0</v>
      </c>
      <c r="R89">
        <f>'AESS-all'!R89</f>
        <v>1</v>
      </c>
      <c r="S89" s="49">
        <f>'AESS-all'!S89/'AESS-all'!S$1</f>
        <v>1.002401100310045E-3</v>
      </c>
      <c r="T89" s="50">
        <f>'AESS-all'!T89/'AESS-all'!T$1</f>
        <v>1.7857142857142857E-3</v>
      </c>
      <c r="U89" s="50">
        <f>'AESS-all'!U89/'AESS-all'!U$1</f>
        <v>0</v>
      </c>
      <c r="V89" s="51">
        <f>'AESS-all'!V89/'AESS-all'!V$1</f>
        <v>0</v>
      </c>
      <c r="W89" s="49">
        <f>'AESS-all'!W89/'AESS-all'!W$1</f>
        <v>0</v>
      </c>
      <c r="X89" s="50">
        <f>'AESS-all'!X89/'AESS-all'!X$1</f>
        <v>0</v>
      </c>
      <c r="Y89" s="50">
        <f>'AESS-all'!Y89/'AESS-all'!Y$1</f>
        <v>0</v>
      </c>
      <c r="Z89" s="51">
        <f>'AESS-all'!Z89/'AESS-all'!Z$1</f>
        <v>0</v>
      </c>
      <c r="AA89" s="49">
        <f>'AESS-all'!AA89/'AESS-all'!AA$1</f>
        <v>0</v>
      </c>
      <c r="AB89" s="50">
        <f>'AESS-all'!AB89/'AESS-all'!AB$1</f>
        <v>0</v>
      </c>
      <c r="AC89" s="50">
        <f>'AESS-all'!AC89/'AESS-all'!AC$1</f>
        <v>0</v>
      </c>
      <c r="AD89" s="51">
        <f>'AESS-all'!AD89/'AESS-all'!AD$1</f>
        <v>0</v>
      </c>
    </row>
    <row r="90" spans="1:30" x14ac:dyDescent="0.35">
      <c r="A90" t="str">
        <f>'AESS-all'!A90</f>
        <v>OTU_84</v>
      </c>
      <c r="B90">
        <f>'AESS-all'!B90</f>
        <v>75</v>
      </c>
      <c r="C90" t="str">
        <f>'AESS-all'!C90</f>
        <v>Root</v>
      </c>
      <c r="D90" t="str">
        <f>'AESS-all'!D90</f>
        <v>Bacteria</v>
      </c>
      <c r="E90" t="str">
        <f>'AESS-all'!E90</f>
        <v>Firmicutes</v>
      </c>
      <c r="F90" t="str">
        <f>'AESS-all'!F90</f>
        <v>.</v>
      </c>
      <c r="G90" t="str">
        <f>'AESS-all'!G90</f>
        <v>Clostridia</v>
      </c>
      <c r="H90" t="str">
        <f>'AESS-all'!H90</f>
        <v>.</v>
      </c>
      <c r="I90" t="str">
        <f>'AESS-all'!I90</f>
        <v>Clostridiales</v>
      </c>
      <c r="J90" t="str">
        <f>'AESS-all'!J90</f>
        <v>.</v>
      </c>
      <c r="K90" t="str">
        <f>'AESS-all'!K90</f>
        <v>Ruminococcaceae</v>
      </c>
      <c r="L90" t="str">
        <f>'AESS-all'!L90</f>
        <v>.</v>
      </c>
      <c r="M90" t="str">
        <f>'AESS-all'!M90</f>
        <v>Ercella</v>
      </c>
      <c r="N90" t="str">
        <f>'AESS-all'!N90</f>
        <v>.</v>
      </c>
      <c r="O90">
        <f>'AESS-all'!O90</f>
        <v>0.99</v>
      </c>
      <c r="P90" t="str">
        <f>'AESS-all'!P90</f>
        <v>Ruminococcaceae_bacterium_ZWB_4_(HG003571)</v>
      </c>
      <c r="Q90">
        <f>'AESS-all'!Q90</f>
        <v>100</v>
      </c>
      <c r="R90">
        <f>'AESS-all'!R90</f>
        <v>1</v>
      </c>
      <c r="S90" s="49">
        <f>'AESS-all'!S90/'AESS-all'!S$1</f>
        <v>9.3246613982329762E-5</v>
      </c>
      <c r="T90" s="50">
        <f>'AESS-all'!T90/'AESS-all'!T$1</f>
        <v>0</v>
      </c>
      <c r="U90" s="50">
        <f>'AESS-all'!U90/'AESS-all'!U$1</f>
        <v>0</v>
      </c>
      <c r="V90" s="51">
        <f>'AESS-all'!V90/'AESS-all'!V$1</f>
        <v>0</v>
      </c>
      <c r="W90" s="49">
        <f>'AESS-all'!W90/'AESS-all'!W$1</f>
        <v>2.1727794194333393E-5</v>
      </c>
      <c r="X90" s="50">
        <f>'AESS-all'!X90/'AESS-all'!X$1</f>
        <v>0</v>
      </c>
      <c r="Y90" s="50">
        <f>'AESS-all'!Y90/'AESS-all'!Y$1</f>
        <v>0</v>
      </c>
      <c r="Z90" s="51">
        <f>'AESS-all'!Z90/'AESS-all'!Z$1</f>
        <v>0</v>
      </c>
      <c r="AA90" s="49">
        <f>'AESS-all'!AA90/'AESS-all'!AA$1</f>
        <v>1.3189585961692854E-3</v>
      </c>
      <c r="AB90" s="50">
        <f>'AESS-all'!AB90/'AESS-all'!AB$1</f>
        <v>1.040943789035392E-3</v>
      </c>
      <c r="AC90" s="50">
        <f>'AESS-all'!AC90/'AESS-all'!AC$1</f>
        <v>0</v>
      </c>
      <c r="AD90" s="51">
        <f>'AESS-all'!AD90/'AESS-all'!AD$1</f>
        <v>0</v>
      </c>
    </row>
    <row r="91" spans="1:30" x14ac:dyDescent="0.35">
      <c r="A91" t="str">
        <f>'AESS-all'!A91</f>
        <v>OTU_83</v>
      </c>
      <c r="B91">
        <f>'AESS-all'!B91</f>
        <v>71</v>
      </c>
      <c r="C91" t="str">
        <f>'AESS-all'!C91</f>
        <v>Root</v>
      </c>
      <c r="D91" t="str">
        <f>'AESS-all'!D91</f>
        <v>Bacteria</v>
      </c>
      <c r="E91" t="str">
        <f>'AESS-all'!E91</f>
        <v>Chloroflexi</v>
      </c>
      <c r="F91" t="str">
        <f>'AESS-all'!F91</f>
        <v>.</v>
      </c>
      <c r="G91" t="str">
        <f>'AESS-all'!G91</f>
        <v>Anaerolineae</v>
      </c>
      <c r="H91" t="str">
        <f>'AESS-all'!H91</f>
        <v>.</v>
      </c>
      <c r="I91" t="str">
        <f>'AESS-all'!I91</f>
        <v>Anaerolineales</v>
      </c>
      <c r="J91" t="str">
        <f>'AESS-all'!J91</f>
        <v>.</v>
      </c>
      <c r="K91" t="str">
        <f>'AESS-all'!K91</f>
        <v>Anaerolineaceae</v>
      </c>
      <c r="L91" t="str">
        <f>'AESS-all'!L91</f>
        <v>.</v>
      </c>
      <c r="M91" t="str">
        <f>'AESS-all'!M91</f>
        <v>.</v>
      </c>
      <c r="N91" t="str">
        <f>'AESS-all'!N91</f>
        <v>.</v>
      </c>
      <c r="O91">
        <f>'AESS-all'!O91</f>
        <v>0.63</v>
      </c>
      <c r="P91" t="str">
        <f>'AESS-all'!P91</f>
        <v>Longilinea_arvoryzae_(T)_KOME-1_(AB243673)</v>
      </c>
      <c r="Q91">
        <f>'AESS-all'!Q91</f>
        <v>86.6</v>
      </c>
      <c r="R91">
        <f>'AESS-all'!R91</f>
        <v>2</v>
      </c>
      <c r="S91" s="49">
        <f>'AESS-all'!S91/'AESS-all'!S$1</f>
        <v>0</v>
      </c>
      <c r="T91" s="50">
        <f>'AESS-all'!T91/'AESS-all'!T$1</f>
        <v>0</v>
      </c>
      <c r="U91" s="50">
        <f>'AESS-all'!U91/'AESS-all'!U$1</f>
        <v>0</v>
      </c>
      <c r="V91" s="51">
        <f>'AESS-all'!V91/'AESS-all'!V$1</f>
        <v>0</v>
      </c>
      <c r="W91" s="49">
        <f>'AESS-all'!W91/'AESS-all'!W$1</f>
        <v>2.1727794194333393E-5</v>
      </c>
      <c r="X91" s="50">
        <f>'AESS-all'!X91/'AESS-all'!X$1</f>
        <v>0</v>
      </c>
      <c r="Y91" s="50">
        <f>'AESS-all'!Y91/'AESS-all'!Y$1</f>
        <v>0</v>
      </c>
      <c r="Z91" s="51">
        <f>'AESS-all'!Z91/'AESS-all'!Z$1</f>
        <v>0</v>
      </c>
      <c r="AA91" s="49">
        <f>'AESS-all'!AA91/'AESS-all'!AA$1</f>
        <v>6.3080628512444091E-4</v>
      </c>
      <c r="AB91" s="50">
        <f>'AESS-all'!AB91/'AESS-all'!AB$1</f>
        <v>1.5180430256766136E-3</v>
      </c>
      <c r="AC91" s="50">
        <f>'AESS-all'!AC91/'AESS-all'!AC$1</f>
        <v>5.5172413793103451E-4</v>
      </c>
      <c r="AD91" s="51">
        <f>'AESS-all'!AD91/'AESS-all'!AD$1</f>
        <v>6.1231630510846747E-4</v>
      </c>
    </row>
    <row r="92" spans="1:30" x14ac:dyDescent="0.35">
      <c r="A92" t="str">
        <f>'AESS-all'!A92</f>
        <v>OTU_201</v>
      </c>
      <c r="B92">
        <f>'AESS-all'!B92</f>
        <v>65</v>
      </c>
      <c r="C92" t="str">
        <f>'AESS-all'!C92</f>
        <v>Root</v>
      </c>
      <c r="D92" t="str">
        <f>'AESS-all'!D92</f>
        <v>Bacteria</v>
      </c>
      <c r="E92" t="str">
        <f>'AESS-all'!E92</f>
        <v>Synergistetes</v>
      </c>
      <c r="F92" t="str">
        <f>'AESS-all'!F92</f>
        <v>.</v>
      </c>
      <c r="G92" t="str">
        <f>'AESS-all'!G92</f>
        <v>Synergistia</v>
      </c>
      <c r="H92" t="str">
        <f>'AESS-all'!H92</f>
        <v>.</v>
      </c>
      <c r="I92" t="str">
        <f>'AESS-all'!I92</f>
        <v>Synergistales</v>
      </c>
      <c r="J92" t="str">
        <f>'AESS-all'!J92</f>
        <v>.</v>
      </c>
      <c r="K92" t="str">
        <f>'AESS-all'!K92</f>
        <v>Synergistaceae</v>
      </c>
      <c r="L92" t="str">
        <f>'AESS-all'!L92</f>
        <v>.</v>
      </c>
      <c r="M92" t="str">
        <f>'AESS-all'!M92</f>
        <v>Aminivibrio</v>
      </c>
      <c r="N92" t="str">
        <f>'AESS-all'!N92</f>
        <v>.</v>
      </c>
      <c r="O92">
        <f>'AESS-all'!O92</f>
        <v>0.91</v>
      </c>
      <c r="P92" t="str">
        <f>'AESS-all'!P92</f>
        <v>Aminivibrio_pyruvatiphilus_4F6E_(AB623229)</v>
      </c>
      <c r="Q92">
        <f>'AESS-all'!Q92</f>
        <v>91.7</v>
      </c>
      <c r="R92">
        <f>'AESS-all'!R92</f>
        <v>1</v>
      </c>
      <c r="S92" s="49">
        <f>'AESS-all'!S92/'AESS-all'!S$1</f>
        <v>1.3986992097349464E-3</v>
      </c>
      <c r="T92" s="50">
        <f>'AESS-all'!T92/'AESS-all'!T$1</f>
        <v>2.5510204081632655E-4</v>
      </c>
      <c r="U92" s="50">
        <f>'AESS-all'!U92/'AESS-all'!U$1</f>
        <v>0</v>
      </c>
      <c r="V92" s="51">
        <f>'AESS-all'!V92/'AESS-all'!V$1</f>
        <v>0</v>
      </c>
      <c r="W92" s="49">
        <f>'AESS-all'!W92/'AESS-all'!W$1</f>
        <v>0</v>
      </c>
      <c r="X92" s="50">
        <f>'AESS-all'!X92/'AESS-all'!X$1</f>
        <v>0</v>
      </c>
      <c r="Y92" s="50">
        <f>'AESS-all'!Y92/'AESS-all'!Y$1</f>
        <v>0</v>
      </c>
      <c r="Z92" s="51">
        <f>'AESS-all'!Z92/'AESS-all'!Z$1</f>
        <v>0</v>
      </c>
      <c r="AA92" s="49">
        <f>'AESS-all'!AA92/'AESS-all'!AA$1</f>
        <v>0</v>
      </c>
      <c r="AB92" s="50">
        <f>'AESS-all'!AB92/'AESS-all'!AB$1</f>
        <v>0</v>
      </c>
      <c r="AC92" s="50">
        <f>'AESS-all'!AC92/'AESS-all'!AC$1</f>
        <v>0</v>
      </c>
      <c r="AD92" s="51">
        <f>'AESS-all'!AD92/'AESS-all'!AD$1</f>
        <v>0</v>
      </c>
    </row>
    <row r="93" spans="1:30" x14ac:dyDescent="0.35">
      <c r="A93" t="str">
        <f>'AESS-all'!A93</f>
        <v>OTU_87</v>
      </c>
      <c r="B93">
        <f>'AESS-all'!B93</f>
        <v>63</v>
      </c>
      <c r="C93" t="str">
        <f>'AESS-all'!C93</f>
        <v>Root</v>
      </c>
      <c r="D93" t="str">
        <f>'AESS-all'!D93</f>
        <v>Bacteria</v>
      </c>
      <c r="E93" t="str">
        <f>'AESS-all'!E93</f>
        <v>Firmicutes</v>
      </c>
      <c r="F93" t="str">
        <f>'AESS-all'!F93</f>
        <v>.</v>
      </c>
      <c r="G93" t="str">
        <f>'AESS-all'!G93</f>
        <v>Clostridia</v>
      </c>
      <c r="H93" t="str">
        <f>'AESS-all'!H93</f>
        <v>.</v>
      </c>
      <c r="I93" t="str">
        <f>'AESS-all'!I93</f>
        <v>Clostridiales</v>
      </c>
      <c r="J93" t="str">
        <f>'AESS-all'!J93</f>
        <v>.</v>
      </c>
      <c r="K93" t="str">
        <f>'AESS-all'!K93</f>
        <v>.</v>
      </c>
      <c r="L93" t="str">
        <f>'AESS-all'!L93</f>
        <v>.</v>
      </c>
      <c r="M93" t="str">
        <f>'AESS-all'!M93</f>
        <v>.</v>
      </c>
      <c r="N93" t="str">
        <f>'AESS-all'!N93</f>
        <v>.</v>
      </c>
      <c r="O93">
        <f>'AESS-all'!O93</f>
        <v>0.52</v>
      </c>
      <c r="P93" t="str">
        <f>'AESS-all'!P93</f>
        <v>Desulfotomaculum_varum_RH04-3_(GU126374)</v>
      </c>
      <c r="Q93">
        <f>'AESS-all'!Q93</f>
        <v>88.2</v>
      </c>
      <c r="R93">
        <f>'AESS-all'!R93</f>
        <v>1</v>
      </c>
      <c r="S93" s="49">
        <f>'AESS-all'!S93/'AESS-all'!S$1</f>
        <v>4.6623306991164881E-5</v>
      </c>
      <c r="T93" s="50">
        <f>'AESS-all'!T93/'AESS-all'!T$1</f>
        <v>0</v>
      </c>
      <c r="U93" s="50">
        <f>'AESS-all'!U93/'AESS-all'!U$1</f>
        <v>0</v>
      </c>
      <c r="V93" s="51">
        <f>'AESS-all'!V93/'AESS-all'!V$1</f>
        <v>0</v>
      </c>
      <c r="W93" s="49">
        <f>'AESS-all'!W93/'AESS-all'!W$1</f>
        <v>0</v>
      </c>
      <c r="X93" s="50">
        <f>'AESS-all'!X93/'AESS-all'!X$1</f>
        <v>0</v>
      </c>
      <c r="Y93" s="50">
        <f>'AESS-all'!Y93/'AESS-all'!Y$1</f>
        <v>0</v>
      </c>
      <c r="Z93" s="51">
        <f>'AESS-all'!Z93/'AESS-all'!Z$1</f>
        <v>0</v>
      </c>
      <c r="AA93" s="49">
        <f>'AESS-all'!AA93/'AESS-all'!AA$1</f>
        <v>1.1182475054478725E-3</v>
      </c>
      <c r="AB93" s="50">
        <f>'AESS-all'!AB93/'AESS-all'!AB$1</f>
        <v>4.7709923664122136E-4</v>
      </c>
      <c r="AC93" s="50">
        <f>'AESS-all'!AC93/'AESS-all'!AC$1</f>
        <v>1.0114942528735632E-3</v>
      </c>
      <c r="AD93" s="51">
        <f>'AESS-all'!AD93/'AESS-all'!AD$1</f>
        <v>0</v>
      </c>
    </row>
    <row r="94" spans="1:30" x14ac:dyDescent="0.35">
      <c r="A94" t="str">
        <f>'AESS-all'!A94</f>
        <v>OTU_90</v>
      </c>
      <c r="B94">
        <f>'AESS-all'!B94</f>
        <v>61</v>
      </c>
      <c r="C94" t="str">
        <f>'AESS-all'!C94</f>
        <v>Root</v>
      </c>
      <c r="D94" t="str">
        <f>'AESS-all'!D94</f>
        <v>Archaea</v>
      </c>
      <c r="E94" t="str">
        <f>'AESS-all'!E94</f>
        <v>Euryarchaeota</v>
      </c>
      <c r="F94" t="str">
        <f>'AESS-all'!F94</f>
        <v>.</v>
      </c>
      <c r="G94" t="str">
        <f>'AESS-all'!G94</f>
        <v>Methanobacteria</v>
      </c>
      <c r="H94" t="str">
        <f>'AESS-all'!H94</f>
        <v>.</v>
      </c>
      <c r="I94" t="str">
        <f>'AESS-all'!I94</f>
        <v>Methanobacteriales</v>
      </c>
      <c r="J94" t="str">
        <f>'AESS-all'!J94</f>
        <v>.</v>
      </c>
      <c r="K94" t="str">
        <f>'AESS-all'!K94</f>
        <v>Methanobacteriaceae</v>
      </c>
      <c r="L94" t="str">
        <f>'AESS-all'!L94</f>
        <v>.</v>
      </c>
      <c r="M94" t="str">
        <f>'AESS-all'!M94</f>
        <v>Methanobacterium</v>
      </c>
      <c r="N94" t="str">
        <f>'AESS-all'!N94</f>
        <v>.</v>
      </c>
      <c r="O94">
        <f>'AESS-all'!O94</f>
        <v>1</v>
      </c>
      <c r="P94" t="str">
        <f>'AESS-all'!P94</f>
        <v>Methanobacterium_formicicum_(T)_DSM_1535_(AF169245)</v>
      </c>
      <c r="Q94">
        <f>'AESS-all'!Q94</f>
        <v>99.6</v>
      </c>
      <c r="R94">
        <f>'AESS-all'!R94</f>
        <v>1</v>
      </c>
      <c r="S94" s="49">
        <f>'AESS-all'!S94/'AESS-all'!S$1</f>
        <v>2.3311653495582441E-4</v>
      </c>
      <c r="T94" s="50">
        <f>'AESS-all'!T94/'AESS-all'!T$1</f>
        <v>0</v>
      </c>
      <c r="U94" s="50">
        <f>'AESS-all'!U94/'AESS-all'!U$1</f>
        <v>0</v>
      </c>
      <c r="V94" s="51">
        <f>'AESS-all'!V94/'AESS-all'!V$1</f>
        <v>0</v>
      </c>
      <c r="W94" s="49">
        <f>'AESS-all'!W94/'AESS-all'!W$1</f>
        <v>3.9110029549800103E-4</v>
      </c>
      <c r="X94" s="50">
        <f>'AESS-all'!X94/'AESS-all'!X$1</f>
        <v>0</v>
      </c>
      <c r="Y94" s="50">
        <f>'AESS-all'!Y94/'AESS-all'!Y$1</f>
        <v>0</v>
      </c>
      <c r="Z94" s="51">
        <f>'AESS-all'!Z94/'AESS-all'!Z$1</f>
        <v>0</v>
      </c>
      <c r="AA94" s="49">
        <f>'AESS-all'!AA94/'AESS-all'!AA$1</f>
        <v>9.4620942768666131E-4</v>
      </c>
      <c r="AB94" s="50">
        <f>'AESS-all'!AB94/'AESS-all'!AB$1</f>
        <v>0</v>
      </c>
      <c r="AC94" s="50">
        <f>'AESS-all'!AC94/'AESS-all'!AC$1</f>
        <v>0</v>
      </c>
      <c r="AD94" s="51">
        <f>'AESS-all'!AD94/'AESS-all'!AD$1</f>
        <v>0</v>
      </c>
    </row>
    <row r="95" spans="1:30" x14ac:dyDescent="0.35">
      <c r="A95" t="str">
        <f>'AESS-all'!A95</f>
        <v>OTU_86</v>
      </c>
      <c r="B95">
        <f>'AESS-all'!B95</f>
        <v>60</v>
      </c>
      <c r="C95" t="str">
        <f>'AESS-all'!C95</f>
        <v>Root</v>
      </c>
      <c r="D95" t="str">
        <f>'AESS-all'!D95</f>
        <v>Bacteria</v>
      </c>
      <c r="E95" t="str">
        <f>'AESS-all'!E95</f>
        <v>Firmicutes</v>
      </c>
      <c r="F95" t="str">
        <f>'AESS-all'!F95</f>
        <v>.</v>
      </c>
      <c r="G95" t="str">
        <f>'AESS-all'!G95</f>
        <v>Negativicutes</v>
      </c>
      <c r="H95" t="str">
        <f>'AESS-all'!H95</f>
        <v>.</v>
      </c>
      <c r="I95" t="str">
        <f>'AESS-all'!I95</f>
        <v>Selenomonadales</v>
      </c>
      <c r="J95" t="str">
        <f>'AESS-all'!J95</f>
        <v>.</v>
      </c>
      <c r="K95" t="str">
        <f>'AESS-all'!K95</f>
        <v>Veillonellaceae</v>
      </c>
      <c r="L95" t="str">
        <f>'AESS-all'!L95</f>
        <v>.</v>
      </c>
      <c r="M95" t="str">
        <f>'AESS-all'!M95</f>
        <v>.</v>
      </c>
      <c r="N95" t="str">
        <f>'AESS-all'!N95</f>
        <v>.</v>
      </c>
      <c r="O95">
        <f>'AESS-all'!O95</f>
        <v>0.83</v>
      </c>
      <c r="P95" t="str">
        <f>'AESS-all'!P95</f>
        <v>Veillonella_magna_(T)_lac18_(EU096495)</v>
      </c>
      <c r="Q95">
        <f>'AESS-all'!Q95</f>
        <v>89.3</v>
      </c>
      <c r="R95">
        <f>'AESS-all'!R95</f>
        <v>1</v>
      </c>
      <c r="S95" s="49">
        <f>'AESS-all'!S95/'AESS-all'!S$1</f>
        <v>1.1655826747791221E-4</v>
      </c>
      <c r="T95" s="50">
        <f>'AESS-all'!T95/'AESS-all'!T$1</f>
        <v>0</v>
      </c>
      <c r="U95" s="50">
        <f>'AESS-all'!U95/'AESS-all'!U$1</f>
        <v>0</v>
      </c>
      <c r="V95" s="51">
        <f>'AESS-all'!V95/'AESS-all'!V$1</f>
        <v>0</v>
      </c>
      <c r="W95" s="49">
        <f>'AESS-all'!W95/'AESS-all'!W$1</f>
        <v>0</v>
      </c>
      <c r="X95" s="50">
        <f>'AESS-all'!X95/'AESS-all'!X$1</f>
        <v>0</v>
      </c>
      <c r="Y95" s="50">
        <f>'AESS-all'!Y95/'AESS-all'!Y$1</f>
        <v>0</v>
      </c>
      <c r="Z95" s="51">
        <f>'AESS-all'!Z95/'AESS-all'!Z$1</f>
        <v>0</v>
      </c>
      <c r="AA95" s="49">
        <f>'AESS-all'!AA95/'AESS-all'!AA$1</f>
        <v>8.0284436288565202E-4</v>
      </c>
      <c r="AB95" s="50">
        <f>'AESS-all'!AB95/'AESS-all'!AB$1</f>
        <v>1.171061762664816E-3</v>
      </c>
      <c r="AC95" s="50">
        <f>'AESS-all'!AC95/'AESS-all'!AC$1</f>
        <v>0</v>
      </c>
      <c r="AD95" s="51">
        <f>'AESS-all'!AD95/'AESS-all'!AD$1</f>
        <v>0</v>
      </c>
    </row>
    <row r="96" spans="1:30" x14ac:dyDescent="0.35">
      <c r="A96" t="str">
        <f>'AESS-all'!A96</f>
        <v>OTU_91</v>
      </c>
      <c r="B96">
        <f>'AESS-all'!B96</f>
        <v>53</v>
      </c>
      <c r="C96" t="str">
        <f>'AESS-all'!C96</f>
        <v>Root</v>
      </c>
      <c r="D96" t="str">
        <f>'AESS-all'!D96</f>
        <v>Bacteria</v>
      </c>
      <c r="E96" t="str">
        <f>'AESS-all'!E96</f>
        <v>Proteobacteria</v>
      </c>
      <c r="F96" t="str">
        <f>'AESS-all'!F96</f>
        <v>.</v>
      </c>
      <c r="G96" t="str">
        <f>'AESS-all'!G96</f>
        <v>Alphaproteobacteria</v>
      </c>
      <c r="H96" t="str">
        <f>'AESS-all'!H96</f>
        <v>.</v>
      </c>
      <c r="I96" t="str">
        <f>'AESS-all'!I96</f>
        <v>Sphingomonadales</v>
      </c>
      <c r="J96" t="str">
        <f>'AESS-all'!J96</f>
        <v>.</v>
      </c>
      <c r="K96" t="str">
        <f>'AESS-all'!K96</f>
        <v>Sphingomonadaceae</v>
      </c>
      <c r="L96" t="str">
        <f>'AESS-all'!L96</f>
        <v>.</v>
      </c>
      <c r="M96" t="str">
        <f>'AESS-all'!M96</f>
        <v>Sphingomonas</v>
      </c>
      <c r="N96" t="str">
        <f>'AESS-all'!N96</f>
        <v>.</v>
      </c>
      <c r="O96">
        <f>'AESS-all'!O96</f>
        <v>1</v>
      </c>
      <c r="P96" t="str">
        <f>'AESS-all'!P96</f>
        <v>Sphingomonas_ginsenosidimutans_(T)_Gsoil_1429_(HM204925)</v>
      </c>
      <c r="Q96">
        <f>'AESS-all'!Q96</f>
        <v>100</v>
      </c>
      <c r="R96">
        <f>'AESS-all'!R96</f>
        <v>1</v>
      </c>
      <c r="S96" s="49">
        <f>'AESS-all'!S96/'AESS-all'!S$1</f>
        <v>0</v>
      </c>
      <c r="T96" s="50">
        <f>'AESS-all'!T96/'AESS-all'!T$1</f>
        <v>0</v>
      </c>
      <c r="U96" s="50">
        <f>'AESS-all'!U96/'AESS-all'!U$1</f>
        <v>0</v>
      </c>
      <c r="V96" s="51">
        <f>'AESS-all'!V96/'AESS-all'!V$1</f>
        <v>4.7351287363125186E-4</v>
      </c>
      <c r="W96" s="49">
        <f>'AESS-all'!W96/'AESS-all'!W$1</f>
        <v>0</v>
      </c>
      <c r="X96" s="50">
        <f>'AESS-all'!X96/'AESS-all'!X$1</f>
        <v>0</v>
      </c>
      <c r="Y96" s="50">
        <f>'AESS-all'!Y96/'AESS-all'!Y$1</f>
        <v>0</v>
      </c>
      <c r="Z96" s="51">
        <f>'AESS-all'!Z96/'AESS-all'!Z$1</f>
        <v>0</v>
      </c>
      <c r="AA96" s="49">
        <f>'AESS-all'!AA96/'AESS-all'!AA$1</f>
        <v>0</v>
      </c>
      <c r="AB96" s="50">
        <f>'AESS-all'!AB96/'AESS-all'!AB$1</f>
        <v>1.9517696044413601E-3</v>
      </c>
      <c r="AC96" s="50">
        <f>'AESS-all'!AC96/'AESS-all'!AC$1</f>
        <v>0</v>
      </c>
      <c r="AD96" s="51">
        <f>'AESS-all'!AD96/'AESS-all'!AD$1</f>
        <v>0</v>
      </c>
    </row>
    <row r="97" spans="1:30" x14ac:dyDescent="0.35">
      <c r="A97" t="str">
        <f>'AESS-all'!A97</f>
        <v>OTU_89</v>
      </c>
      <c r="B97">
        <f>'AESS-all'!B97</f>
        <v>52</v>
      </c>
      <c r="C97" t="str">
        <f>'AESS-all'!C97</f>
        <v>Root</v>
      </c>
      <c r="D97" t="str">
        <f>'AESS-all'!D97</f>
        <v>Bacteria</v>
      </c>
      <c r="E97" t="str">
        <f>'AESS-all'!E97</f>
        <v>Firmicutes</v>
      </c>
      <c r="F97" t="str">
        <f>'AESS-all'!F97</f>
        <v>.</v>
      </c>
      <c r="G97" t="str">
        <f>'AESS-all'!G97</f>
        <v>Clostridia</v>
      </c>
      <c r="H97" t="str">
        <f>'AESS-all'!H97</f>
        <v>.</v>
      </c>
      <c r="I97" t="str">
        <f>'AESS-all'!I97</f>
        <v>Clostridiales</v>
      </c>
      <c r="J97" t="str">
        <f>'AESS-all'!J97</f>
        <v>.</v>
      </c>
      <c r="K97" t="str">
        <f>'AESS-all'!K97</f>
        <v>.</v>
      </c>
      <c r="L97" t="str">
        <f>'AESS-all'!L97</f>
        <v>.</v>
      </c>
      <c r="M97" t="str">
        <f>'AESS-all'!M97</f>
        <v>.</v>
      </c>
      <c r="N97" t="str">
        <f>'AESS-all'!N97</f>
        <v>.</v>
      </c>
      <c r="O97">
        <f>'AESS-all'!O97</f>
        <v>0.94</v>
      </c>
      <c r="P97" t="str">
        <f>'AESS-all'!P97</f>
        <v>Clostridium_putrificum_(T)_DSM_1734_(X73442)</v>
      </c>
      <c r="Q97">
        <f>'AESS-all'!Q97</f>
        <v>92.1</v>
      </c>
      <c r="R97">
        <f>'AESS-all'!R97</f>
        <v>1</v>
      </c>
      <c r="S97" s="49">
        <f>'AESS-all'!S97/'AESS-all'!S$1</f>
        <v>5.3616803039839621E-4</v>
      </c>
      <c r="T97" s="50">
        <f>'AESS-all'!T97/'AESS-all'!T$1</f>
        <v>1.173469387755102E-3</v>
      </c>
      <c r="U97" s="50">
        <f>'AESS-all'!U97/'AESS-all'!U$1</f>
        <v>0</v>
      </c>
      <c r="V97" s="51">
        <f>'AESS-all'!V97/'AESS-all'!V$1</f>
        <v>0</v>
      </c>
      <c r="W97" s="49">
        <f>'AESS-all'!W97/'AESS-all'!W$1</f>
        <v>8.6911176777333571E-5</v>
      </c>
      <c r="X97" s="50">
        <f>'AESS-all'!X97/'AESS-all'!X$1</f>
        <v>0</v>
      </c>
      <c r="Y97" s="50">
        <f>'AESS-all'!Y97/'AESS-all'!Y$1</f>
        <v>0</v>
      </c>
      <c r="Z97" s="51">
        <f>'AESS-all'!Z97/'AESS-all'!Z$1</f>
        <v>0</v>
      </c>
      <c r="AA97" s="49">
        <f>'AESS-all'!AA97/'AESS-all'!AA$1</f>
        <v>5.7346025920403718E-5</v>
      </c>
      <c r="AB97" s="50">
        <f>'AESS-all'!AB97/'AESS-all'!AB$1</f>
        <v>0</v>
      </c>
      <c r="AC97" s="50">
        <f>'AESS-all'!AC97/'AESS-all'!AC$1</f>
        <v>0</v>
      </c>
      <c r="AD97" s="51">
        <f>'AESS-all'!AD97/'AESS-all'!AD$1</f>
        <v>0</v>
      </c>
    </row>
    <row r="98" spans="1:30" x14ac:dyDescent="0.35">
      <c r="A98" t="str">
        <f>'AESS-all'!A98</f>
        <v>OTU_88</v>
      </c>
      <c r="B98">
        <f>'AESS-all'!B98</f>
        <v>52</v>
      </c>
      <c r="C98" t="str">
        <f>'AESS-all'!C98</f>
        <v>Root</v>
      </c>
      <c r="D98" t="str">
        <f>'AESS-all'!D98</f>
        <v>Bacteria</v>
      </c>
      <c r="E98" t="str">
        <f>'AESS-all'!E98</f>
        <v>Acidobacteria</v>
      </c>
      <c r="F98" t="str">
        <f>'AESS-all'!F98</f>
        <v>.</v>
      </c>
      <c r="G98" t="str">
        <f>'AESS-all'!G98</f>
        <v>Acidobacteria_Gp3</v>
      </c>
      <c r="H98" t="str">
        <f>'AESS-all'!H98</f>
        <v>.</v>
      </c>
      <c r="I98" t="str">
        <f>'AESS-all'!I98</f>
        <v>.</v>
      </c>
      <c r="J98" t="str">
        <f>'AESS-all'!J98</f>
        <v>.</v>
      </c>
      <c r="K98" t="str">
        <f>'AESS-all'!K98</f>
        <v>.</v>
      </c>
      <c r="L98" t="str">
        <f>'AESS-all'!L98</f>
        <v>.</v>
      </c>
      <c r="M98" t="str">
        <f>'AESS-all'!M98</f>
        <v>Gp3</v>
      </c>
      <c r="N98" t="str">
        <f>'AESS-all'!N98</f>
        <v>.</v>
      </c>
      <c r="O98">
        <f>'AESS-all'!O98</f>
        <v>0.69</v>
      </c>
      <c r="P98" t="str">
        <f>'AESS-all'!P98</f>
        <v>Acidobacteria_bacterium_P105_(KJ461654)</v>
      </c>
      <c r="Q98">
        <f>'AESS-all'!Q98</f>
        <v>96</v>
      </c>
      <c r="R98">
        <f>'AESS-all'!R98</f>
        <v>1</v>
      </c>
      <c r="S98" s="49">
        <f>'AESS-all'!S98/'AESS-all'!S$1</f>
        <v>0</v>
      </c>
      <c r="T98" s="50">
        <f>'AESS-all'!T98/'AESS-all'!T$1</f>
        <v>0</v>
      </c>
      <c r="U98" s="50">
        <f>'AESS-all'!U98/'AESS-all'!U$1</f>
        <v>0</v>
      </c>
      <c r="V98" s="51">
        <f>'AESS-all'!V98/'AESS-all'!V$1</f>
        <v>0</v>
      </c>
      <c r="W98" s="49">
        <f>'AESS-all'!W98/'AESS-all'!W$1</f>
        <v>6.7356162002433508E-4</v>
      </c>
      <c r="X98" s="50">
        <f>'AESS-all'!X98/'AESS-all'!X$1</f>
        <v>1.3250883392226149E-3</v>
      </c>
      <c r="Y98" s="50">
        <f>'AESS-all'!Y98/'AESS-all'!Y$1</f>
        <v>0</v>
      </c>
      <c r="Z98" s="51">
        <f>'AESS-all'!Z98/'AESS-all'!Z$1</f>
        <v>0</v>
      </c>
      <c r="AA98" s="49">
        <f>'AESS-all'!AA98/'AESS-all'!AA$1</f>
        <v>0</v>
      </c>
      <c r="AB98" s="50">
        <f>'AESS-all'!AB98/'AESS-all'!AB$1</f>
        <v>0</v>
      </c>
      <c r="AC98" s="50">
        <f>'AESS-all'!AC98/'AESS-all'!AC$1</f>
        <v>0</v>
      </c>
      <c r="AD98" s="51">
        <f>'AESS-all'!AD98/'AESS-all'!AD$1</f>
        <v>0</v>
      </c>
    </row>
    <row r="99" spans="1:30" x14ac:dyDescent="0.35">
      <c r="A99" t="str">
        <f>'AESS-all'!A99</f>
        <v>OTU_100</v>
      </c>
      <c r="B99">
        <f>'AESS-all'!B99</f>
        <v>47</v>
      </c>
      <c r="C99" t="str">
        <f>'AESS-all'!C99</f>
        <v>Root</v>
      </c>
      <c r="D99" t="str">
        <f>'AESS-all'!D99</f>
        <v>Bacteria</v>
      </c>
      <c r="E99" t="str">
        <f>'AESS-all'!E99</f>
        <v>Proteobacteria</v>
      </c>
      <c r="F99" t="str">
        <f>'AESS-all'!F99</f>
        <v>.</v>
      </c>
      <c r="G99" t="str">
        <f>'AESS-all'!G99</f>
        <v>Alphaproteobacteria</v>
      </c>
      <c r="H99" t="str">
        <f>'AESS-all'!H99</f>
        <v>.</v>
      </c>
      <c r="I99" t="str">
        <f>'AESS-all'!I99</f>
        <v>Rhizobiales</v>
      </c>
      <c r="J99" t="str">
        <f>'AESS-all'!J99</f>
        <v>.</v>
      </c>
      <c r="K99" t="str">
        <f>'AESS-all'!K99</f>
        <v>.</v>
      </c>
      <c r="L99" t="str">
        <f>'AESS-all'!L99</f>
        <v>.</v>
      </c>
      <c r="M99" t="str">
        <f>'AESS-all'!M99</f>
        <v>.</v>
      </c>
      <c r="N99" t="str">
        <f>'AESS-all'!N99</f>
        <v>.</v>
      </c>
      <c r="O99">
        <f>'AESS-all'!O99</f>
        <v>0.63</v>
      </c>
      <c r="P99" t="str">
        <f>'AESS-all'!P99</f>
        <v>Pedomicrobium_manganicum_(T)_ATCC_33121_(GU269549)</v>
      </c>
      <c r="Q99">
        <f>'AESS-all'!Q99</f>
        <v>92.1</v>
      </c>
      <c r="R99">
        <f>'AESS-all'!R99</f>
        <v>3</v>
      </c>
      <c r="S99" s="49">
        <f>'AESS-all'!S99/'AESS-all'!S$1</f>
        <v>4.6623306991164882E-4</v>
      </c>
      <c r="T99" s="50">
        <f>'AESS-all'!T99/'AESS-all'!T$1</f>
        <v>5.6122448979591837E-4</v>
      </c>
      <c r="U99" s="50">
        <f>'AESS-all'!U99/'AESS-all'!U$1</f>
        <v>0</v>
      </c>
      <c r="V99" s="51">
        <f>'AESS-all'!V99/'AESS-all'!V$1</f>
        <v>8.2864752885469079E-4</v>
      </c>
      <c r="W99" s="49">
        <f>'AESS-all'!W99/'AESS-all'!W$1</f>
        <v>2.1727794194333393E-5</v>
      </c>
      <c r="X99" s="50">
        <f>'AESS-all'!X99/'AESS-all'!X$1</f>
        <v>0</v>
      </c>
      <c r="Y99" s="50">
        <f>'AESS-all'!Y99/'AESS-all'!Y$1</f>
        <v>0</v>
      </c>
      <c r="Z99" s="51">
        <f>'AESS-all'!Z99/'AESS-all'!Z$1</f>
        <v>0</v>
      </c>
      <c r="AA99" s="49">
        <f>'AESS-all'!AA99/'AESS-all'!AA$1</f>
        <v>2.8673012960201859E-5</v>
      </c>
      <c r="AB99" s="50">
        <f>'AESS-all'!AB99/'AESS-all'!AB$1</f>
        <v>0</v>
      </c>
      <c r="AC99" s="50">
        <f>'AESS-all'!AC99/'AESS-all'!AC$1</f>
        <v>0</v>
      </c>
      <c r="AD99" s="51">
        <f>'AESS-all'!AD99/'AESS-all'!AD$1</f>
        <v>0</v>
      </c>
    </row>
    <row r="100" spans="1:30" x14ac:dyDescent="0.35">
      <c r="A100" t="str">
        <f>'AESS-all'!A100</f>
        <v>OTU_103</v>
      </c>
      <c r="B100">
        <f>'AESS-all'!B100</f>
        <v>45</v>
      </c>
      <c r="C100" t="str">
        <f>'AESS-all'!C100</f>
        <v>Root</v>
      </c>
      <c r="D100" t="str">
        <f>'AESS-all'!D100</f>
        <v>Bacteria</v>
      </c>
      <c r="E100" t="str">
        <f>'AESS-all'!E100</f>
        <v>Firmicutes</v>
      </c>
      <c r="F100" t="str">
        <f>'AESS-all'!F100</f>
        <v>.</v>
      </c>
      <c r="G100" t="str">
        <f>'AESS-all'!G100</f>
        <v>Clostridia</v>
      </c>
      <c r="H100" t="str">
        <f>'AESS-all'!H100</f>
        <v>.</v>
      </c>
      <c r="I100" t="str">
        <f>'AESS-all'!I100</f>
        <v>Clostridiales</v>
      </c>
      <c r="J100" t="str">
        <f>'AESS-all'!J100</f>
        <v>.</v>
      </c>
      <c r="K100" t="str">
        <f>'AESS-all'!K100</f>
        <v>.</v>
      </c>
      <c r="L100" t="str">
        <f>'AESS-all'!L100</f>
        <v>.</v>
      </c>
      <c r="M100" t="str">
        <f>'AESS-all'!M100</f>
        <v>.</v>
      </c>
      <c r="N100" t="str">
        <f>'AESS-all'!N100</f>
        <v>.</v>
      </c>
      <c r="O100">
        <f>'AESS-all'!O100</f>
        <v>0.84</v>
      </c>
      <c r="P100" t="str">
        <f>'AESS-all'!P100</f>
        <v>Gracilibacter_thermotolerans_(T)_JW/YJL-S1_(DQ117465)</v>
      </c>
      <c r="Q100">
        <f>'AESS-all'!Q100</f>
        <v>90.5</v>
      </c>
      <c r="R100">
        <f>'AESS-all'!R100</f>
        <v>1</v>
      </c>
      <c r="S100" s="49">
        <f>'AESS-all'!S100/'AESS-all'!S$1</f>
        <v>4.1960976292048394E-4</v>
      </c>
      <c r="T100" s="50">
        <f>'AESS-all'!T100/'AESS-all'!T$1</f>
        <v>0</v>
      </c>
      <c r="U100" s="50">
        <f>'AESS-all'!U100/'AESS-all'!U$1</f>
        <v>0</v>
      </c>
      <c r="V100" s="51">
        <f>'AESS-all'!V100/'AESS-all'!V$1</f>
        <v>0</v>
      </c>
      <c r="W100" s="49">
        <f>'AESS-all'!W100/'AESS-all'!W$1</f>
        <v>0</v>
      </c>
      <c r="X100" s="50">
        <f>'AESS-all'!X100/'AESS-all'!X$1</f>
        <v>0</v>
      </c>
      <c r="Y100" s="50">
        <f>'AESS-all'!Y100/'AESS-all'!Y$1</f>
        <v>0</v>
      </c>
      <c r="Z100" s="51">
        <f>'AESS-all'!Z100/'AESS-all'!Z$1</f>
        <v>0</v>
      </c>
      <c r="AA100" s="49">
        <f>'AESS-all'!AA100/'AESS-all'!AA$1</f>
        <v>4.0142218144282601E-4</v>
      </c>
      <c r="AB100" s="50">
        <f>'AESS-all'!AB100/'AESS-all'!AB$1</f>
        <v>5.6384455239417075E-4</v>
      </c>
      <c r="AC100" s="50">
        <f>'AESS-all'!AC100/'AESS-all'!AC$1</f>
        <v>0</v>
      </c>
      <c r="AD100" s="51">
        <f>'AESS-all'!AD100/'AESS-all'!AD$1</f>
        <v>0</v>
      </c>
    </row>
    <row r="101" spans="1:30" x14ac:dyDescent="0.35">
      <c r="A101" t="str">
        <f>'AESS-all'!A101</f>
        <v>OTU_106</v>
      </c>
      <c r="B101">
        <f>'AESS-all'!B101</f>
        <v>44</v>
      </c>
      <c r="C101" t="str">
        <f>'AESS-all'!C101</f>
        <v>Root</v>
      </c>
      <c r="D101" t="str">
        <f>'AESS-all'!D101</f>
        <v>Bacteria</v>
      </c>
      <c r="E101" t="str">
        <f>'AESS-all'!E101</f>
        <v>Bacteroidetes</v>
      </c>
      <c r="F101" t="str">
        <f>'AESS-all'!F101</f>
        <v>.</v>
      </c>
      <c r="G101" t="str">
        <f>'AESS-all'!G101</f>
        <v>Bacteroidia</v>
      </c>
      <c r="H101" t="str">
        <f>'AESS-all'!H101</f>
        <v>.</v>
      </c>
      <c r="I101" t="str">
        <f>'AESS-all'!I101</f>
        <v>Bacteroidales</v>
      </c>
      <c r="J101" t="str">
        <f>'AESS-all'!J101</f>
        <v>.</v>
      </c>
      <c r="K101" t="str">
        <f>'AESS-all'!K101</f>
        <v>Porphyromonadaceae</v>
      </c>
      <c r="L101" t="str">
        <f>'AESS-all'!L101</f>
        <v>.</v>
      </c>
      <c r="M101" t="str">
        <f>'AESS-all'!M101</f>
        <v>Proteiniphilum</v>
      </c>
      <c r="N101" t="str">
        <f>'AESS-all'!N101</f>
        <v>.</v>
      </c>
      <c r="O101">
        <f>'AESS-all'!O101</f>
        <v>0.88</v>
      </c>
      <c r="P101" t="str">
        <f>'AESS-all'!P101</f>
        <v>Proteiniphilum_acetatigenes_(T)_TB107_(AY742226)</v>
      </c>
      <c r="Q101">
        <f>'AESS-all'!Q101</f>
        <v>98</v>
      </c>
      <c r="R101">
        <f>'AESS-all'!R101</f>
        <v>1</v>
      </c>
      <c r="S101" s="49">
        <f>'AESS-all'!S101/'AESS-all'!S$1</f>
        <v>6.2941464438072588E-4</v>
      </c>
      <c r="T101" s="50">
        <f>'AESS-all'!T101/'AESS-all'!T$1</f>
        <v>3.0612244897959182E-4</v>
      </c>
      <c r="U101" s="50">
        <f>'AESS-all'!U101/'AESS-all'!U$1</f>
        <v>0</v>
      </c>
      <c r="V101" s="51">
        <f>'AESS-all'!V101/'AESS-all'!V$1</f>
        <v>0</v>
      </c>
      <c r="W101" s="49">
        <f>'AESS-all'!W101/'AESS-all'!W$1</f>
        <v>8.6911176777333571E-5</v>
      </c>
      <c r="X101" s="50">
        <f>'AESS-all'!X101/'AESS-all'!X$1</f>
        <v>0</v>
      </c>
      <c r="Y101" s="50">
        <f>'AESS-all'!Y101/'AESS-all'!Y$1</f>
        <v>0</v>
      </c>
      <c r="Z101" s="51">
        <f>'AESS-all'!Z101/'AESS-all'!Z$1</f>
        <v>0</v>
      </c>
      <c r="AA101" s="49">
        <f>'AESS-all'!AA101/'AESS-all'!AA$1</f>
        <v>2.00711090721413E-4</v>
      </c>
      <c r="AB101" s="50">
        <f>'AESS-all'!AB101/'AESS-all'!AB$1</f>
        <v>0</v>
      </c>
      <c r="AC101" s="50">
        <f>'AESS-all'!AC101/'AESS-all'!AC$1</f>
        <v>0</v>
      </c>
      <c r="AD101" s="51">
        <f>'AESS-all'!AD101/'AESS-all'!AD$1</f>
        <v>0</v>
      </c>
    </row>
    <row r="102" spans="1:30" x14ac:dyDescent="0.35">
      <c r="A102" t="str">
        <f>'AESS-all'!A102</f>
        <v>OTU_98</v>
      </c>
      <c r="B102">
        <f>'AESS-all'!B102</f>
        <v>42</v>
      </c>
      <c r="C102" t="str">
        <f>'AESS-all'!C102</f>
        <v>Root</v>
      </c>
      <c r="D102" t="str">
        <f>'AESS-all'!D102</f>
        <v>Bacteria</v>
      </c>
      <c r="E102" t="str">
        <f>'AESS-all'!E102</f>
        <v>Actinobacteria</v>
      </c>
      <c r="F102" t="str">
        <f>'AESS-all'!F102</f>
        <v>.</v>
      </c>
      <c r="G102" t="str">
        <f>'AESS-all'!G102</f>
        <v>Actinobacteria</v>
      </c>
      <c r="H102" t="str">
        <f>'AESS-all'!H102</f>
        <v>Coriobacteridae</v>
      </c>
      <c r="I102" t="str">
        <f>'AESS-all'!I102</f>
        <v>Coriobacteriales</v>
      </c>
      <c r="J102" t="str">
        <f>'AESS-all'!J102</f>
        <v>Coriobacterineae</v>
      </c>
      <c r="K102" t="str">
        <f>'AESS-all'!K102</f>
        <v>Coriobacteriaceae</v>
      </c>
      <c r="L102" t="str">
        <f>'AESS-all'!L102</f>
        <v>.</v>
      </c>
      <c r="M102" t="str">
        <f>'AESS-all'!M102</f>
        <v>.</v>
      </c>
      <c r="N102" t="str">
        <f>'AESS-all'!N102</f>
        <v>.</v>
      </c>
      <c r="O102">
        <f>'AESS-all'!O102</f>
        <v>0.5</v>
      </c>
      <c r="P102" t="str">
        <f>'AESS-all'!P102</f>
        <v>Olegusella_massiliensis_strain_KHD7_(NR_146815.1)</v>
      </c>
      <c r="Q102">
        <f>'AESS-all'!Q102</f>
        <v>89.7</v>
      </c>
      <c r="R102">
        <f>'AESS-all'!R102</f>
        <v>1</v>
      </c>
      <c r="S102" s="49">
        <f>'AESS-all'!S102/'AESS-all'!S$1</f>
        <v>0</v>
      </c>
      <c r="T102" s="50">
        <f>'AESS-all'!T102/'AESS-all'!T$1</f>
        <v>0</v>
      </c>
      <c r="U102" s="50">
        <f>'AESS-all'!U102/'AESS-all'!U$1</f>
        <v>0</v>
      </c>
      <c r="V102" s="51">
        <f>'AESS-all'!V102/'AESS-all'!V$1</f>
        <v>0</v>
      </c>
      <c r="W102" s="49">
        <f>'AESS-all'!W102/'AESS-all'!W$1</f>
        <v>4.3455588388666784E-4</v>
      </c>
      <c r="X102" s="50">
        <f>'AESS-all'!X102/'AESS-all'!X$1</f>
        <v>1.3250883392226149E-3</v>
      </c>
      <c r="Y102" s="50">
        <f>'AESS-all'!Y102/'AESS-all'!Y$1</f>
        <v>0</v>
      </c>
      <c r="Z102" s="51">
        <f>'AESS-all'!Z102/'AESS-all'!Z$1</f>
        <v>0</v>
      </c>
      <c r="AA102" s="49">
        <f>'AESS-all'!AA102/'AESS-all'!AA$1</f>
        <v>2.8673012960201859E-5</v>
      </c>
      <c r="AB102" s="50">
        <f>'AESS-all'!AB102/'AESS-all'!AB$1</f>
        <v>0</v>
      </c>
      <c r="AC102" s="50">
        <f>'AESS-all'!AC102/'AESS-all'!AC$1</f>
        <v>0</v>
      </c>
      <c r="AD102" s="51">
        <f>'AESS-all'!AD102/'AESS-all'!AD$1</f>
        <v>0</v>
      </c>
    </row>
    <row r="103" spans="1:30" x14ac:dyDescent="0.35">
      <c r="A103" t="str">
        <f>'AESS-all'!A103</f>
        <v>OTU_105</v>
      </c>
      <c r="B103">
        <f>'AESS-all'!B103</f>
        <v>41</v>
      </c>
      <c r="C103" t="str">
        <f>'AESS-all'!C103</f>
        <v>Root</v>
      </c>
      <c r="D103" t="str">
        <f>'AESS-all'!D103</f>
        <v>Bacteria</v>
      </c>
      <c r="E103" t="str">
        <f>'AESS-all'!E103</f>
        <v>Firmicutes</v>
      </c>
      <c r="F103" t="str">
        <f>'AESS-all'!F103</f>
        <v>.</v>
      </c>
      <c r="G103" t="str">
        <f>'AESS-all'!G103</f>
        <v>Clostridia</v>
      </c>
      <c r="H103" t="str">
        <f>'AESS-all'!H103</f>
        <v>.</v>
      </c>
      <c r="I103" t="str">
        <f>'AESS-all'!I103</f>
        <v>Clostridiales</v>
      </c>
      <c r="J103" t="str">
        <f>'AESS-all'!J103</f>
        <v>.</v>
      </c>
      <c r="K103" t="str">
        <f>'AESS-all'!K103</f>
        <v>Ruminococcaceae</v>
      </c>
      <c r="L103" t="str">
        <f>'AESS-all'!L103</f>
        <v>.</v>
      </c>
      <c r="M103" t="str">
        <f>'AESS-all'!M103</f>
        <v>Clostridium III</v>
      </c>
      <c r="N103" t="str">
        <f>'AESS-all'!N103</f>
        <v>.</v>
      </c>
      <c r="O103">
        <f>'AESS-all'!O103</f>
        <v>0.54</v>
      </c>
      <c r="P103" t="str">
        <f>'AESS-all'!P103</f>
        <v>Clostridium_hungatei_(T)_AD;_ATCC_700212_(AF020429)</v>
      </c>
      <c r="Q103">
        <f>'AESS-all'!Q103</f>
        <v>94.9</v>
      </c>
      <c r="R103">
        <f>'AESS-all'!R103</f>
        <v>2</v>
      </c>
      <c r="S103" s="49">
        <f>'AESS-all'!S103/'AESS-all'!S$1</f>
        <v>7.459729118586381E-4</v>
      </c>
      <c r="T103" s="50">
        <f>'AESS-all'!T103/'AESS-all'!T$1</f>
        <v>4.5918367346938773E-4</v>
      </c>
      <c r="U103" s="50">
        <f>'AESS-all'!U103/'AESS-all'!U$1</f>
        <v>0</v>
      </c>
      <c r="V103" s="51">
        <f>'AESS-all'!V103/'AESS-all'!V$1</f>
        <v>0</v>
      </c>
      <c r="W103" s="49">
        <f>'AESS-all'!W103/'AESS-all'!W$1</f>
        <v>0</v>
      </c>
      <c r="X103" s="50">
        <f>'AESS-all'!X103/'AESS-all'!X$1</f>
        <v>0</v>
      </c>
      <c r="Y103" s="50">
        <f>'AESS-all'!Y103/'AESS-all'!Y$1</f>
        <v>0</v>
      </c>
      <c r="Z103" s="51">
        <f>'AESS-all'!Z103/'AESS-all'!Z$1</f>
        <v>0</v>
      </c>
      <c r="AA103" s="49">
        <f>'AESS-all'!AA103/'AESS-all'!AA$1</f>
        <v>0</v>
      </c>
      <c r="AB103" s="50">
        <f>'AESS-all'!AB103/'AESS-all'!AB$1</f>
        <v>0</v>
      </c>
      <c r="AC103" s="50">
        <f>'AESS-all'!AC103/'AESS-all'!AC$1</f>
        <v>0</v>
      </c>
      <c r="AD103" s="51">
        <f>'AESS-all'!AD103/'AESS-all'!AD$1</f>
        <v>0</v>
      </c>
    </row>
    <row r="104" spans="1:30" x14ac:dyDescent="0.35">
      <c r="A104" t="str">
        <f>'AESS-all'!A104</f>
        <v>OTU_94</v>
      </c>
      <c r="B104">
        <f>'AESS-all'!B104</f>
        <v>41</v>
      </c>
      <c r="C104" t="str">
        <f>'AESS-all'!C104</f>
        <v>Root</v>
      </c>
      <c r="D104" t="str">
        <f>'AESS-all'!D104</f>
        <v>Bacteria</v>
      </c>
      <c r="E104" t="str">
        <f>'AESS-all'!E104</f>
        <v>Firmicutes</v>
      </c>
      <c r="F104" t="str">
        <f>'AESS-all'!F104</f>
        <v>.</v>
      </c>
      <c r="G104" t="str">
        <f>'AESS-all'!G104</f>
        <v>Clostridia</v>
      </c>
      <c r="H104" t="str">
        <f>'AESS-all'!H104</f>
        <v>.</v>
      </c>
      <c r="I104" t="str">
        <f>'AESS-all'!I104</f>
        <v>Natranaerobiales</v>
      </c>
      <c r="J104" t="str">
        <f>'AESS-all'!J104</f>
        <v>.</v>
      </c>
      <c r="K104" t="str">
        <f>'AESS-all'!K104</f>
        <v>Natranaerobiaceae</v>
      </c>
      <c r="L104" t="str">
        <f>'AESS-all'!L104</f>
        <v>.</v>
      </c>
      <c r="M104" t="str">
        <f>'AESS-all'!M104</f>
        <v>Dethiobacter</v>
      </c>
      <c r="N104" t="str">
        <f>'AESS-all'!N104</f>
        <v>.</v>
      </c>
      <c r="O104">
        <f>'AESS-all'!O104</f>
        <v>0.57999999999999996</v>
      </c>
      <c r="P104" t="str">
        <f>'AESS-all'!P104</f>
        <v>Dethiobacter_alkaliphilus_(T)_AHT_1_(EF422412)</v>
      </c>
      <c r="Q104">
        <f>'AESS-all'!Q104</f>
        <v>89.7</v>
      </c>
      <c r="R104">
        <f>'AESS-all'!R104</f>
        <v>1</v>
      </c>
      <c r="S104" s="49">
        <f>'AESS-all'!S104/'AESS-all'!S$1</f>
        <v>3.496748024337366E-4</v>
      </c>
      <c r="T104" s="50">
        <f>'AESS-all'!T104/'AESS-all'!T$1</f>
        <v>0</v>
      </c>
      <c r="U104" s="50">
        <f>'AESS-all'!U104/'AESS-all'!U$1</f>
        <v>0</v>
      </c>
      <c r="V104" s="51">
        <f>'AESS-all'!V104/'AESS-all'!V$1</f>
        <v>0</v>
      </c>
      <c r="W104" s="49">
        <f>'AESS-all'!W104/'AESS-all'!W$1</f>
        <v>3.0418911872066748E-4</v>
      </c>
      <c r="X104" s="50">
        <f>'AESS-all'!X104/'AESS-all'!X$1</f>
        <v>0</v>
      </c>
      <c r="Y104" s="50">
        <f>'AESS-all'!Y104/'AESS-all'!Y$1</f>
        <v>0</v>
      </c>
      <c r="Z104" s="51">
        <f>'AESS-all'!Z104/'AESS-all'!Z$1</f>
        <v>0</v>
      </c>
      <c r="AA104" s="49">
        <f>'AESS-all'!AA104/'AESS-all'!AA$1</f>
        <v>3.4407615552242232E-4</v>
      </c>
      <c r="AB104" s="50">
        <f>'AESS-all'!AB104/'AESS-all'!AB$1</f>
        <v>0</v>
      </c>
      <c r="AC104" s="50">
        <f>'AESS-all'!AC104/'AESS-all'!AC$1</f>
        <v>0</v>
      </c>
      <c r="AD104" s="51">
        <f>'AESS-all'!AD104/'AESS-all'!AD$1</f>
        <v>0</v>
      </c>
    </row>
    <row r="105" spans="1:30" x14ac:dyDescent="0.35">
      <c r="A105" t="str">
        <f>'AESS-all'!A105</f>
        <v>OTU_92</v>
      </c>
      <c r="B105">
        <f>'AESS-all'!B105</f>
        <v>38</v>
      </c>
      <c r="C105" t="str">
        <f>'AESS-all'!C105</f>
        <v>Root</v>
      </c>
      <c r="D105" t="str">
        <f>'AESS-all'!D105</f>
        <v>Bacteria</v>
      </c>
      <c r="E105" t="str">
        <f>'AESS-all'!E105</f>
        <v>Firmicutes</v>
      </c>
      <c r="F105" t="str">
        <f>'AESS-all'!F105</f>
        <v>.</v>
      </c>
      <c r="G105" t="str">
        <f>'AESS-all'!G105</f>
        <v>Clostridia</v>
      </c>
      <c r="H105" t="str">
        <f>'AESS-all'!H105</f>
        <v>.</v>
      </c>
      <c r="I105" t="str">
        <f>'AESS-all'!I105</f>
        <v>Clostridiales</v>
      </c>
      <c r="J105" t="str">
        <f>'AESS-all'!J105</f>
        <v>.</v>
      </c>
      <c r="K105" t="str">
        <f>'AESS-all'!K105</f>
        <v>Clostridiaceae 1</v>
      </c>
      <c r="L105" t="str">
        <f>'AESS-all'!L105</f>
        <v>.</v>
      </c>
      <c r="M105" t="str">
        <f>'AESS-all'!M105</f>
        <v>Clostridium sensu stricto</v>
      </c>
      <c r="N105" t="str">
        <f>'AESS-all'!N105</f>
        <v>.</v>
      </c>
      <c r="O105">
        <f>'AESS-all'!O105</f>
        <v>1</v>
      </c>
      <c r="P105" t="str">
        <f>'AESS-all'!P105</f>
        <v>Clostridium_thermopalmarium_(T)_(X72869)</v>
      </c>
      <c r="Q105">
        <f>'AESS-all'!Q105</f>
        <v>98</v>
      </c>
      <c r="R105">
        <f>'AESS-all'!R105</f>
        <v>1</v>
      </c>
      <c r="S105" s="49">
        <f>'AESS-all'!S105/'AESS-all'!S$1</f>
        <v>0</v>
      </c>
      <c r="T105" s="50">
        <f>'AESS-all'!T105/'AESS-all'!T$1</f>
        <v>0</v>
      </c>
      <c r="U105" s="50">
        <f>'AESS-all'!U105/'AESS-all'!U$1</f>
        <v>0</v>
      </c>
      <c r="V105" s="51">
        <f>'AESS-all'!V105/'AESS-all'!V$1</f>
        <v>0</v>
      </c>
      <c r="W105" s="49">
        <f>'AESS-all'!W105/'AESS-all'!W$1</f>
        <v>0</v>
      </c>
      <c r="X105" s="50">
        <f>'AESS-all'!X105/'AESS-all'!X$1</f>
        <v>0</v>
      </c>
      <c r="Y105" s="50">
        <f>'AESS-all'!Y105/'AESS-all'!Y$1</f>
        <v>0</v>
      </c>
      <c r="Z105" s="51">
        <f>'AESS-all'!Z105/'AESS-all'!Z$1</f>
        <v>0</v>
      </c>
      <c r="AA105" s="49">
        <f>'AESS-all'!AA105/'AESS-all'!AA$1</f>
        <v>4.8744122032343156E-4</v>
      </c>
      <c r="AB105" s="50">
        <f>'AESS-all'!AB105/'AESS-all'!AB$1</f>
        <v>9.108258154059681E-4</v>
      </c>
      <c r="AC105" s="50">
        <f>'AESS-all'!AC105/'AESS-all'!AC$1</f>
        <v>0</v>
      </c>
      <c r="AD105" s="51">
        <f>'AESS-all'!AD105/'AESS-all'!AD$1</f>
        <v>0</v>
      </c>
    </row>
    <row r="106" spans="1:30" x14ac:dyDescent="0.35">
      <c r="A106" t="str">
        <f>'AESS-all'!A106</f>
        <v>OTU_93</v>
      </c>
      <c r="B106">
        <f>'AESS-all'!B106</f>
        <v>36</v>
      </c>
      <c r="C106" t="str">
        <f>'AESS-all'!C106</f>
        <v>Root</v>
      </c>
      <c r="D106" t="str">
        <f>'AESS-all'!D106</f>
        <v>Archaea</v>
      </c>
      <c r="E106" t="str">
        <f>'AESS-all'!E106</f>
        <v>Euryarchaeota</v>
      </c>
      <c r="F106" t="str">
        <f>'AESS-all'!F106</f>
        <v>.</v>
      </c>
      <c r="G106" t="str">
        <f>'AESS-all'!G106</f>
        <v>Methanomicrobia</v>
      </c>
      <c r="H106" t="str">
        <f>'AESS-all'!H106</f>
        <v>.</v>
      </c>
      <c r="I106" t="str">
        <f>'AESS-all'!I106</f>
        <v>Methanomicrobiales</v>
      </c>
      <c r="J106" t="str">
        <f>'AESS-all'!J106</f>
        <v>.</v>
      </c>
      <c r="K106" t="str">
        <f>'AESS-all'!K106</f>
        <v>Methanoregulaceae</v>
      </c>
      <c r="L106" t="str">
        <f>'AESS-all'!L106</f>
        <v>.</v>
      </c>
      <c r="M106" t="str">
        <f>'AESS-all'!M106</f>
        <v>Methanolinea</v>
      </c>
      <c r="N106" t="str">
        <f>'AESS-all'!N106</f>
        <v>.</v>
      </c>
      <c r="O106">
        <f>'AESS-all'!O106</f>
        <v>0.91</v>
      </c>
      <c r="P106" t="str">
        <f>'AESS-all'!P106</f>
        <v>Methanolinea_mesophila_TNR_(AB447467)</v>
      </c>
      <c r="Q106">
        <f>'AESS-all'!Q106</f>
        <v>96.5</v>
      </c>
      <c r="R106">
        <f>'AESS-all'!R106</f>
        <v>1</v>
      </c>
      <c r="S106" s="49">
        <f>'AESS-all'!S106/'AESS-all'!S$1</f>
        <v>0</v>
      </c>
      <c r="T106" s="50">
        <f>'AESS-all'!T106/'AESS-all'!T$1</f>
        <v>0</v>
      </c>
      <c r="U106" s="50">
        <f>'AESS-all'!U106/'AESS-all'!U$1</f>
        <v>0</v>
      </c>
      <c r="V106" s="51">
        <f>'AESS-all'!V106/'AESS-all'!V$1</f>
        <v>0</v>
      </c>
      <c r="W106" s="49">
        <f>'AESS-all'!W106/'AESS-all'!W$1</f>
        <v>0</v>
      </c>
      <c r="X106" s="50">
        <f>'AESS-all'!X106/'AESS-all'!X$1</f>
        <v>0</v>
      </c>
      <c r="Y106" s="50">
        <f>'AESS-all'!Y106/'AESS-all'!Y$1</f>
        <v>0</v>
      </c>
      <c r="Z106" s="51">
        <f>'AESS-all'!Z106/'AESS-all'!Z$1</f>
        <v>0</v>
      </c>
      <c r="AA106" s="49">
        <f>'AESS-all'!AA106/'AESS-all'!AA$1</f>
        <v>1.7203807776121116E-4</v>
      </c>
      <c r="AB106" s="50">
        <f>'AESS-all'!AB106/'AESS-all'!AB$1</f>
        <v>8.2408049965301876E-4</v>
      </c>
      <c r="AC106" s="50">
        <f>'AESS-all'!AC106/'AESS-all'!AC$1</f>
        <v>1.0114942528735632E-3</v>
      </c>
      <c r="AD106" s="51">
        <f>'AESS-all'!AD106/'AESS-all'!AD$1</f>
        <v>0</v>
      </c>
    </row>
    <row r="107" spans="1:30" x14ac:dyDescent="0.35">
      <c r="A107" t="str">
        <f>'AESS-all'!A107</f>
        <v>OTU_102</v>
      </c>
      <c r="B107">
        <f>'AESS-all'!B107</f>
        <v>35</v>
      </c>
      <c r="C107" t="str">
        <f>'AESS-all'!C107</f>
        <v>Root</v>
      </c>
      <c r="D107" t="str">
        <f>'AESS-all'!D107</f>
        <v>Bacteria</v>
      </c>
      <c r="E107" t="str">
        <f>'AESS-all'!E107</f>
        <v>Bacteroidetes</v>
      </c>
      <c r="F107" t="str">
        <f>'AESS-all'!F107</f>
        <v>.</v>
      </c>
      <c r="G107" t="str">
        <f>'AESS-all'!G107</f>
        <v>Bacteroidia</v>
      </c>
      <c r="H107" t="str">
        <f>'AESS-all'!H107</f>
        <v>.</v>
      </c>
      <c r="I107" t="str">
        <f>'AESS-all'!I107</f>
        <v>Bacteroidales</v>
      </c>
      <c r="J107" t="str">
        <f>'AESS-all'!J107</f>
        <v>.</v>
      </c>
      <c r="K107" t="str">
        <f>'AESS-all'!K107</f>
        <v>Porphyromonadaceae</v>
      </c>
      <c r="L107" t="str">
        <f>'AESS-all'!L107</f>
        <v>.</v>
      </c>
      <c r="M107" t="str">
        <f>'AESS-all'!M107</f>
        <v>Petrimonas</v>
      </c>
      <c r="N107" t="str">
        <f>'AESS-all'!N107</f>
        <v>.</v>
      </c>
      <c r="O107">
        <f>'AESS-all'!O107</f>
        <v>0.95</v>
      </c>
      <c r="P107" t="str">
        <f>'AESS-all'!P107</f>
        <v>Lascolabacillus_massiliensis_strain_SIT8_(NR_144720.1)</v>
      </c>
      <c r="Q107">
        <f>'AESS-all'!Q107</f>
        <v>97.2</v>
      </c>
      <c r="R107">
        <f>'AESS-all'!R107</f>
        <v>1</v>
      </c>
      <c r="S107" s="49">
        <f>'AESS-all'!S107/'AESS-all'!S$1</f>
        <v>6.7603795137189076E-4</v>
      </c>
      <c r="T107" s="50">
        <f>'AESS-all'!T107/'AESS-all'!T$1</f>
        <v>0</v>
      </c>
      <c r="U107" s="50">
        <f>'AESS-all'!U107/'AESS-all'!U$1</f>
        <v>0</v>
      </c>
      <c r="V107" s="51">
        <f>'AESS-all'!V107/'AESS-all'!V$1</f>
        <v>0</v>
      </c>
      <c r="W107" s="49">
        <f>'AESS-all'!W107/'AESS-all'!W$1</f>
        <v>4.3455588388666785E-5</v>
      </c>
      <c r="X107" s="50">
        <f>'AESS-all'!X107/'AESS-all'!X$1</f>
        <v>0</v>
      </c>
      <c r="Y107" s="50">
        <f>'AESS-all'!Y107/'AESS-all'!Y$1</f>
        <v>0</v>
      </c>
      <c r="Z107" s="51">
        <f>'AESS-all'!Z107/'AESS-all'!Z$1</f>
        <v>0</v>
      </c>
      <c r="AA107" s="49">
        <f>'AESS-all'!AA107/'AESS-all'!AA$1</f>
        <v>1.1469205184080744E-4</v>
      </c>
      <c r="AB107" s="50">
        <f>'AESS-all'!AB107/'AESS-all'!AB$1</f>
        <v>0</v>
      </c>
      <c r="AC107" s="50">
        <f>'AESS-all'!AC107/'AESS-all'!AC$1</f>
        <v>0</v>
      </c>
      <c r="AD107" s="51">
        <f>'AESS-all'!AD107/'AESS-all'!AD$1</f>
        <v>0</v>
      </c>
    </row>
    <row r="108" spans="1:30" x14ac:dyDescent="0.35">
      <c r="A108" t="str">
        <f>'AESS-all'!A108</f>
        <v>OTU_99</v>
      </c>
      <c r="B108">
        <f>'AESS-all'!B108</f>
        <v>35</v>
      </c>
      <c r="C108" t="str">
        <f>'AESS-all'!C108</f>
        <v>Root</v>
      </c>
      <c r="D108" t="str">
        <f>'AESS-all'!D108</f>
        <v>Bacteria</v>
      </c>
      <c r="E108" t="str">
        <f>'AESS-all'!E108</f>
        <v>Bacteroidetes</v>
      </c>
      <c r="F108" t="str">
        <f>'AESS-all'!F108</f>
        <v>.</v>
      </c>
      <c r="G108" t="str">
        <f>'AESS-all'!G108</f>
        <v>.</v>
      </c>
      <c r="H108" t="str">
        <f>'AESS-all'!H108</f>
        <v>.</v>
      </c>
      <c r="I108" t="str">
        <f>'AESS-all'!I108</f>
        <v>.</v>
      </c>
      <c r="J108" t="str">
        <f>'AESS-all'!J108</f>
        <v>.</v>
      </c>
      <c r="K108" t="str">
        <f>'AESS-all'!K108</f>
        <v>.</v>
      </c>
      <c r="L108" t="str">
        <f>'AESS-all'!L108</f>
        <v>.</v>
      </c>
      <c r="M108" t="str">
        <f>'AESS-all'!M108</f>
        <v>.</v>
      </c>
      <c r="N108" t="str">
        <f>'AESS-all'!N108</f>
        <v>.</v>
      </c>
      <c r="O108">
        <f>'AESS-all'!O108</f>
        <v>0.99</v>
      </c>
      <c r="P108" t="str">
        <f>'AESS-all'!P108</f>
        <v>Pedobacter_sp._MIC2002_(JX978785)</v>
      </c>
      <c r="Q108">
        <f>'AESS-all'!Q108</f>
        <v>87</v>
      </c>
      <c r="R108">
        <f>'AESS-all'!R108</f>
        <v>1</v>
      </c>
      <c r="S108" s="49">
        <f>'AESS-all'!S108/'AESS-all'!S$1</f>
        <v>3.0305149544257172E-4</v>
      </c>
      <c r="T108" s="50">
        <f>'AESS-all'!T108/'AESS-all'!T$1</f>
        <v>0</v>
      </c>
      <c r="U108" s="50">
        <f>'AESS-all'!U108/'AESS-all'!U$1</f>
        <v>0</v>
      </c>
      <c r="V108" s="51">
        <f>'AESS-all'!V108/'AESS-all'!V$1</f>
        <v>0</v>
      </c>
      <c r="W108" s="49">
        <f>'AESS-all'!W108/'AESS-all'!W$1</f>
        <v>3.9110029549800103E-4</v>
      </c>
      <c r="X108" s="50">
        <f>'AESS-all'!X108/'AESS-all'!X$1</f>
        <v>0</v>
      </c>
      <c r="Y108" s="50">
        <f>'AESS-all'!Y108/'AESS-all'!Y$1</f>
        <v>0</v>
      </c>
      <c r="Z108" s="51">
        <f>'AESS-all'!Z108/'AESS-all'!Z$1</f>
        <v>0</v>
      </c>
      <c r="AA108" s="49">
        <f>'AESS-all'!AA108/'AESS-all'!AA$1</f>
        <v>1.1469205184080744E-4</v>
      </c>
      <c r="AB108" s="50">
        <f>'AESS-all'!AB108/'AESS-all'!AB$1</f>
        <v>0</v>
      </c>
      <c r="AC108" s="50">
        <f>'AESS-all'!AC108/'AESS-all'!AC$1</f>
        <v>0</v>
      </c>
      <c r="AD108" s="51">
        <f>'AESS-all'!AD108/'AESS-all'!AD$1</f>
        <v>0</v>
      </c>
    </row>
    <row r="109" spans="1:30" x14ac:dyDescent="0.35">
      <c r="A109" t="str">
        <f>'AESS-all'!A109</f>
        <v>OTU_97</v>
      </c>
      <c r="B109">
        <f>'AESS-all'!B109</f>
        <v>33</v>
      </c>
      <c r="C109" t="str">
        <f>'AESS-all'!C109</f>
        <v>Root</v>
      </c>
      <c r="D109" t="str">
        <f>'AESS-all'!D109</f>
        <v>Bacteria</v>
      </c>
      <c r="E109" t="str">
        <f>'AESS-all'!E109</f>
        <v>Firmicutes</v>
      </c>
      <c r="F109" t="str">
        <f>'AESS-all'!F109</f>
        <v>.</v>
      </c>
      <c r="G109" t="str">
        <f>'AESS-all'!G109</f>
        <v>Clostridia</v>
      </c>
      <c r="H109" t="str">
        <f>'AESS-all'!H109</f>
        <v>.</v>
      </c>
      <c r="I109" t="str">
        <f>'AESS-all'!I109</f>
        <v>Clostridiales</v>
      </c>
      <c r="J109" t="str">
        <f>'AESS-all'!J109</f>
        <v>.</v>
      </c>
      <c r="K109" t="str">
        <f>'AESS-all'!K109</f>
        <v>Ruminococcaceae</v>
      </c>
      <c r="L109" t="str">
        <f>'AESS-all'!L109</f>
        <v>.</v>
      </c>
      <c r="M109" t="str">
        <f>'AESS-all'!M109</f>
        <v>.</v>
      </c>
      <c r="N109" t="str">
        <f>'AESS-all'!N109</f>
        <v>.</v>
      </c>
      <c r="O109">
        <f>'AESS-all'!O109</f>
        <v>0.5</v>
      </c>
      <c r="P109" t="str">
        <f>'AESS-all'!P109</f>
        <v>Thermincola_carboxydiphila_(T)_2204_(AY603000)</v>
      </c>
      <c r="Q109">
        <f>'AESS-all'!Q109</f>
        <v>89.3</v>
      </c>
      <c r="R109">
        <f>'AESS-all'!R109</f>
        <v>1</v>
      </c>
      <c r="S109" s="49">
        <f>'AESS-all'!S109/'AESS-all'!S$1</f>
        <v>2.0980488146024197E-4</v>
      </c>
      <c r="T109" s="50">
        <f>'AESS-all'!T109/'AESS-all'!T$1</f>
        <v>0</v>
      </c>
      <c r="U109" s="50">
        <f>'AESS-all'!U109/'AESS-all'!U$1</f>
        <v>0</v>
      </c>
      <c r="V109" s="51">
        <f>'AESS-all'!V109/'AESS-all'!V$1</f>
        <v>0</v>
      </c>
      <c r="W109" s="49">
        <f>'AESS-all'!W109/'AESS-all'!W$1</f>
        <v>2.1727794194333392E-4</v>
      </c>
      <c r="X109" s="50">
        <f>'AESS-all'!X109/'AESS-all'!X$1</f>
        <v>0</v>
      </c>
      <c r="Y109" s="50">
        <f>'AESS-all'!Y109/'AESS-all'!Y$1</f>
        <v>0</v>
      </c>
      <c r="Z109" s="51">
        <f>'AESS-all'!Z109/'AESS-all'!Z$1</f>
        <v>0</v>
      </c>
      <c r="AA109" s="49">
        <f>'AESS-all'!AA109/'AESS-all'!AA$1</f>
        <v>4.0142218144282601E-4</v>
      </c>
      <c r="AB109" s="50">
        <f>'AESS-all'!AB109/'AESS-all'!AB$1</f>
        <v>0</v>
      </c>
      <c r="AC109" s="50">
        <f>'AESS-all'!AC109/'AESS-all'!AC$1</f>
        <v>0</v>
      </c>
      <c r="AD109" s="51">
        <f>'AESS-all'!AD109/'AESS-all'!AD$1</f>
        <v>0</v>
      </c>
    </row>
    <row r="110" spans="1:30" x14ac:dyDescent="0.35">
      <c r="A110" t="str">
        <f>'AESS-all'!A110</f>
        <v>OTU_101</v>
      </c>
      <c r="B110">
        <f>'AESS-all'!B110</f>
        <v>33</v>
      </c>
      <c r="C110" t="str">
        <f>'AESS-all'!C110</f>
        <v>Root</v>
      </c>
      <c r="D110" t="str">
        <f>'AESS-all'!D110</f>
        <v>Bacteria</v>
      </c>
      <c r="E110" t="str">
        <f>'AESS-all'!E110</f>
        <v>Firmicutes</v>
      </c>
      <c r="F110" t="str">
        <f>'AESS-all'!F110</f>
        <v>.</v>
      </c>
      <c r="G110" t="str">
        <f>'AESS-all'!G110</f>
        <v>Clostridia</v>
      </c>
      <c r="H110" t="str">
        <f>'AESS-all'!H110</f>
        <v>.</v>
      </c>
      <c r="I110" t="str">
        <f>'AESS-all'!I110</f>
        <v>Clostridiales</v>
      </c>
      <c r="J110" t="str">
        <f>'AESS-all'!J110</f>
        <v>.</v>
      </c>
      <c r="K110" t="str">
        <f>'AESS-all'!K110</f>
        <v>Eubacteriaceae</v>
      </c>
      <c r="L110" t="str">
        <f>'AESS-all'!L110</f>
        <v>.</v>
      </c>
      <c r="M110" t="str">
        <f>'AESS-all'!M110</f>
        <v>Alkalibacter</v>
      </c>
      <c r="N110" t="str">
        <f>'AESS-all'!N110</f>
        <v>.</v>
      </c>
      <c r="O110">
        <f>'AESS-all'!O110</f>
        <v>1</v>
      </c>
      <c r="P110" t="str">
        <f>'AESS-all'!P110</f>
        <v>Alkalibacter_saccharofermentans_(T)_Z-79820_(AY312403)</v>
      </c>
      <c r="Q110">
        <f>'AESS-all'!Q110</f>
        <v>100</v>
      </c>
      <c r="R110">
        <f>'AESS-all'!R110</f>
        <v>1</v>
      </c>
      <c r="S110" s="49">
        <f>'AESS-all'!S110/'AESS-all'!S$1</f>
        <v>4.1960976292048394E-4</v>
      </c>
      <c r="T110" s="50">
        <f>'AESS-all'!T110/'AESS-all'!T$1</f>
        <v>0</v>
      </c>
      <c r="U110" s="50">
        <f>'AESS-all'!U110/'AESS-all'!U$1</f>
        <v>0</v>
      </c>
      <c r="V110" s="51">
        <f>'AESS-all'!V110/'AESS-all'!V$1</f>
        <v>0</v>
      </c>
      <c r="W110" s="49">
        <f>'AESS-all'!W110/'AESS-all'!W$1</f>
        <v>1.9555014774900052E-4</v>
      </c>
      <c r="X110" s="50">
        <f>'AESS-all'!X110/'AESS-all'!X$1</f>
        <v>0</v>
      </c>
      <c r="Y110" s="50">
        <f>'AESS-all'!Y110/'AESS-all'!Y$1</f>
        <v>0</v>
      </c>
      <c r="Z110" s="51">
        <f>'AESS-all'!Z110/'AESS-all'!Z$1</f>
        <v>0</v>
      </c>
      <c r="AA110" s="49">
        <f>'AESS-all'!AA110/'AESS-all'!AA$1</f>
        <v>1.7203807776121116E-4</v>
      </c>
      <c r="AB110" s="50">
        <f>'AESS-all'!AB110/'AESS-all'!AB$1</f>
        <v>0</v>
      </c>
      <c r="AC110" s="50">
        <f>'AESS-all'!AC110/'AESS-all'!AC$1</f>
        <v>0</v>
      </c>
      <c r="AD110" s="51">
        <f>'AESS-all'!AD110/'AESS-all'!AD$1</f>
        <v>0</v>
      </c>
    </row>
    <row r="111" spans="1:30" x14ac:dyDescent="0.35">
      <c r="A111" t="str">
        <f>'AESS-all'!A111</f>
        <v>OTU_113</v>
      </c>
      <c r="B111">
        <f>'AESS-all'!B111</f>
        <v>31</v>
      </c>
      <c r="C111" t="str">
        <f>'AESS-all'!C111</f>
        <v>Root</v>
      </c>
      <c r="D111" t="str">
        <f>'AESS-all'!D111</f>
        <v>Bacteria</v>
      </c>
      <c r="E111" t="str">
        <f>'AESS-all'!E111</f>
        <v>Bacteroidetes</v>
      </c>
      <c r="F111" t="str">
        <f>'AESS-all'!F111</f>
        <v>.</v>
      </c>
      <c r="G111" t="str">
        <f>'AESS-all'!G111</f>
        <v>.</v>
      </c>
      <c r="H111" t="str">
        <f>'AESS-all'!H111</f>
        <v>.</v>
      </c>
      <c r="I111" t="str">
        <f>'AESS-all'!I111</f>
        <v>.</v>
      </c>
      <c r="J111" t="str">
        <f>'AESS-all'!J111</f>
        <v>.</v>
      </c>
      <c r="K111" t="str">
        <f>'AESS-all'!K111</f>
        <v>.</v>
      </c>
      <c r="L111" t="str">
        <f>'AESS-all'!L111</f>
        <v>.</v>
      </c>
      <c r="M111" t="str">
        <f>'AESS-all'!M111</f>
        <v>.</v>
      </c>
      <c r="N111" t="str">
        <f>'AESS-all'!N111</f>
        <v>.</v>
      </c>
      <c r="O111">
        <f>'AESS-all'!O111</f>
        <v>0.99</v>
      </c>
      <c r="P111" t="str">
        <f>'AESS-all'!P111</f>
        <v>Alkalitalea_saponilacus_(T)_SC/BZ-SP2_(HQ191474)</v>
      </c>
      <c r="Q111">
        <f>'AESS-all'!Q111</f>
        <v>88.9</v>
      </c>
      <c r="R111">
        <f>'AESS-all'!R111</f>
        <v>2</v>
      </c>
      <c r="S111" s="49">
        <f>'AESS-all'!S111/'AESS-all'!S$1</f>
        <v>6.9934960486747321E-4</v>
      </c>
      <c r="T111" s="50">
        <f>'AESS-all'!T111/'AESS-all'!T$1</f>
        <v>0</v>
      </c>
      <c r="U111" s="50">
        <f>'AESS-all'!U111/'AESS-all'!U$1</f>
        <v>0</v>
      </c>
      <c r="V111" s="51">
        <f>'AESS-all'!V111/'AESS-all'!V$1</f>
        <v>0</v>
      </c>
      <c r="W111" s="49">
        <f>'AESS-all'!W111/'AESS-all'!W$1</f>
        <v>2.1727794194333393E-5</v>
      </c>
      <c r="X111" s="50">
        <f>'AESS-all'!X111/'AESS-all'!X$1</f>
        <v>0</v>
      </c>
      <c r="Y111" s="50">
        <f>'AESS-all'!Y111/'AESS-all'!Y$1</f>
        <v>0</v>
      </c>
      <c r="Z111" s="51">
        <f>'AESS-all'!Z111/'AESS-all'!Z$1</f>
        <v>0</v>
      </c>
      <c r="AA111" s="49">
        <f>'AESS-all'!AA111/'AESS-all'!AA$1</f>
        <v>0</v>
      </c>
      <c r="AB111" s="50">
        <f>'AESS-all'!AB111/'AESS-all'!AB$1</f>
        <v>0</v>
      </c>
      <c r="AC111" s="50">
        <f>'AESS-all'!AC111/'AESS-all'!AC$1</f>
        <v>0</v>
      </c>
      <c r="AD111" s="51">
        <f>'AESS-all'!AD111/'AESS-all'!AD$1</f>
        <v>0</v>
      </c>
    </row>
    <row r="112" spans="1:30" x14ac:dyDescent="0.35">
      <c r="A112" t="str">
        <f>'AESS-all'!A112</f>
        <v>OTU_95</v>
      </c>
      <c r="B112">
        <f>'AESS-all'!B112</f>
        <v>28</v>
      </c>
      <c r="C112" t="str">
        <f>'AESS-all'!C112</f>
        <v>Root</v>
      </c>
      <c r="D112" t="str">
        <f>'AESS-all'!D112</f>
        <v>Bacteria</v>
      </c>
      <c r="E112" t="str">
        <f>'AESS-all'!E112</f>
        <v>Spirochaetes</v>
      </c>
      <c r="F112" t="str">
        <f>'AESS-all'!F112</f>
        <v>.</v>
      </c>
      <c r="G112" t="str">
        <f>'AESS-all'!G112</f>
        <v>Spirochaetia</v>
      </c>
      <c r="H112" t="str">
        <f>'AESS-all'!H112</f>
        <v>.</v>
      </c>
      <c r="I112" t="str">
        <f>'AESS-all'!I112</f>
        <v>Spirochaetales</v>
      </c>
      <c r="J112" t="str">
        <f>'AESS-all'!J112</f>
        <v>.</v>
      </c>
      <c r="K112" t="str">
        <f>'AESS-all'!K112</f>
        <v>Spirochaetaceae</v>
      </c>
      <c r="L112" t="str">
        <f>'AESS-all'!L112</f>
        <v>.</v>
      </c>
      <c r="M112" t="str">
        <f>'AESS-all'!M112</f>
        <v>Sphaerochaeta</v>
      </c>
      <c r="N112" t="str">
        <f>'AESS-all'!N112</f>
        <v>.</v>
      </c>
      <c r="O112">
        <f>'AESS-all'!O112</f>
        <v>1</v>
      </c>
      <c r="P112" t="str">
        <f>'AESS-all'!P112</f>
        <v>Sphaerochaeta_globus_str._Buddy_(AF357916)</v>
      </c>
      <c r="Q112">
        <f>'AESS-all'!Q112</f>
        <v>98.8</v>
      </c>
      <c r="R112">
        <f>'AESS-all'!R112</f>
        <v>1</v>
      </c>
      <c r="S112" s="49">
        <f>'AESS-all'!S112/'AESS-all'!S$1</f>
        <v>0</v>
      </c>
      <c r="T112" s="50">
        <f>'AESS-all'!T112/'AESS-all'!T$1</f>
        <v>1.0204081632653062E-3</v>
      </c>
      <c r="U112" s="50">
        <f>'AESS-all'!U112/'AESS-all'!U$1</f>
        <v>1.0411244143675169E-3</v>
      </c>
      <c r="V112" s="51">
        <f>'AESS-all'!V112/'AESS-all'!V$1</f>
        <v>0</v>
      </c>
      <c r="W112" s="49">
        <f>'AESS-all'!W112/'AESS-all'!W$1</f>
        <v>0</v>
      </c>
      <c r="X112" s="50">
        <f>'AESS-all'!X112/'AESS-all'!X$1</f>
        <v>0</v>
      </c>
      <c r="Y112" s="50">
        <f>'AESS-all'!Y112/'AESS-all'!Y$1</f>
        <v>0</v>
      </c>
      <c r="Z112" s="51">
        <f>'AESS-all'!Z112/'AESS-all'!Z$1</f>
        <v>0</v>
      </c>
      <c r="AA112" s="49">
        <f>'AESS-all'!AA112/'AESS-all'!AA$1</f>
        <v>0</v>
      </c>
      <c r="AB112" s="50">
        <f>'AESS-all'!AB112/'AESS-all'!AB$1</f>
        <v>0</v>
      </c>
      <c r="AC112" s="50">
        <f>'AESS-all'!AC112/'AESS-all'!AC$1</f>
        <v>0</v>
      </c>
      <c r="AD112" s="51">
        <f>'AESS-all'!AD112/'AESS-all'!AD$1</f>
        <v>0</v>
      </c>
    </row>
    <row r="113" spans="1:30" x14ac:dyDescent="0.35">
      <c r="A113" t="str">
        <f>'AESS-all'!A113</f>
        <v>OTU_96</v>
      </c>
      <c r="B113">
        <f>'AESS-all'!B113</f>
        <v>28</v>
      </c>
      <c r="C113" t="str">
        <f>'AESS-all'!C113</f>
        <v>Root</v>
      </c>
      <c r="D113" t="str">
        <f>'AESS-all'!D113</f>
        <v>Bacteria</v>
      </c>
      <c r="E113" t="str">
        <f>'AESS-all'!E113</f>
        <v>Firmicutes</v>
      </c>
      <c r="F113" t="str">
        <f>'AESS-all'!F113</f>
        <v>.</v>
      </c>
      <c r="G113" t="str">
        <f>'AESS-all'!G113</f>
        <v>Clostridia</v>
      </c>
      <c r="H113" t="str">
        <f>'AESS-all'!H113</f>
        <v>.</v>
      </c>
      <c r="I113" t="str">
        <f>'AESS-all'!I113</f>
        <v>Clostridiales</v>
      </c>
      <c r="J113" t="str">
        <f>'AESS-all'!J113</f>
        <v>.</v>
      </c>
      <c r="K113" t="str">
        <f>'AESS-all'!K113</f>
        <v>Syntrophomonadaceae</v>
      </c>
      <c r="L113" t="str">
        <f>'AESS-all'!L113</f>
        <v>.</v>
      </c>
      <c r="M113" t="str">
        <f>'AESS-all'!M113</f>
        <v>Syntrophomonas</v>
      </c>
      <c r="N113" t="str">
        <f>'AESS-all'!N113</f>
        <v>.</v>
      </c>
      <c r="O113">
        <f>'AESS-all'!O113</f>
        <v>0.94</v>
      </c>
      <c r="P113" t="str">
        <f>'AESS-all'!P113</f>
        <v>Syntrophomonas_zehnderi_(T)_OL-4_(DQ898277)</v>
      </c>
      <c r="Q113">
        <f>'AESS-all'!Q113</f>
        <v>94.5</v>
      </c>
      <c r="R113">
        <f>'AESS-all'!R113</f>
        <v>1</v>
      </c>
      <c r="S113" s="49">
        <f>'AESS-all'!S113/'AESS-all'!S$1</f>
        <v>0</v>
      </c>
      <c r="T113" s="50">
        <f>'AESS-all'!T113/'AESS-all'!T$1</f>
        <v>0</v>
      </c>
      <c r="U113" s="50">
        <f>'AESS-all'!U113/'AESS-all'!U$1</f>
        <v>0</v>
      </c>
      <c r="V113" s="51">
        <f>'AESS-all'!V113/'AESS-all'!V$1</f>
        <v>0</v>
      </c>
      <c r="W113" s="49">
        <f>'AESS-all'!W113/'AESS-all'!W$1</f>
        <v>4.3455588388666785E-5</v>
      </c>
      <c r="X113" s="50">
        <f>'AESS-all'!X113/'AESS-all'!X$1</f>
        <v>0</v>
      </c>
      <c r="Y113" s="50">
        <f>'AESS-all'!Y113/'AESS-all'!Y$1</f>
        <v>0</v>
      </c>
      <c r="Z113" s="51">
        <f>'AESS-all'!Z113/'AESS-all'!Z$1</f>
        <v>0</v>
      </c>
      <c r="AA113" s="49">
        <f>'AESS-all'!AA113/'AESS-all'!AA$1</f>
        <v>5.7346025920403718E-5</v>
      </c>
      <c r="AB113" s="50">
        <f>'AESS-all'!AB113/'AESS-all'!AB$1</f>
        <v>1.040943789035392E-3</v>
      </c>
      <c r="AC113" s="50">
        <f>'AESS-all'!AC113/'AESS-all'!AC$1</f>
        <v>0</v>
      </c>
      <c r="AD113" s="51">
        <f>'AESS-all'!AD113/'AESS-all'!AD$1</f>
        <v>0</v>
      </c>
    </row>
    <row r="114" spans="1:30" x14ac:dyDescent="0.35">
      <c r="A114" t="str">
        <f>'AESS-all'!A114</f>
        <v>OTU_104</v>
      </c>
      <c r="B114">
        <f>'AESS-all'!B114</f>
        <v>28</v>
      </c>
      <c r="C114" t="str">
        <f>'AESS-all'!C114</f>
        <v>Root</v>
      </c>
      <c r="D114" t="str">
        <f>'AESS-all'!D114</f>
        <v>Archaea</v>
      </c>
      <c r="E114" t="str">
        <f>'AESS-all'!E114</f>
        <v>Euryarchaeota</v>
      </c>
      <c r="F114" t="str">
        <f>'AESS-all'!F114</f>
        <v>.</v>
      </c>
      <c r="G114" t="str">
        <f>'AESS-all'!G114</f>
        <v>Methanobacteria</v>
      </c>
      <c r="H114" t="str">
        <f>'AESS-all'!H114</f>
        <v>.</v>
      </c>
      <c r="I114" t="str">
        <f>'AESS-all'!I114</f>
        <v>Methanobacteriales</v>
      </c>
      <c r="J114" t="str">
        <f>'AESS-all'!J114</f>
        <v>.</v>
      </c>
      <c r="K114" t="str">
        <f>'AESS-all'!K114</f>
        <v>.</v>
      </c>
      <c r="L114" t="str">
        <f>'AESS-all'!L114</f>
        <v>.</v>
      </c>
      <c r="M114" t="str">
        <f>'AESS-all'!M114</f>
        <v>.</v>
      </c>
      <c r="N114" t="str">
        <f>'AESS-all'!N114</f>
        <v>.</v>
      </c>
      <c r="O114">
        <f>'AESS-all'!O114</f>
        <v>0.53</v>
      </c>
      <c r="P114" t="str">
        <f>'AESS-all'!P114</f>
        <v>Methanobrevibacter_boviskoreani_JH1_(KC608769)</v>
      </c>
      <c r="Q114">
        <f>'AESS-all'!Q114</f>
        <v>85.8</v>
      </c>
      <c r="R114">
        <f>'AESS-all'!R114</f>
        <v>1</v>
      </c>
      <c r="S114" s="49">
        <f>'AESS-all'!S114/'AESS-all'!S$1</f>
        <v>5.3616803039839621E-4</v>
      </c>
      <c r="T114" s="50">
        <f>'AESS-all'!T114/'AESS-all'!T$1</f>
        <v>0</v>
      </c>
      <c r="U114" s="50">
        <f>'AESS-all'!U114/'AESS-all'!U$1</f>
        <v>5.2056220718375845E-4</v>
      </c>
      <c r="V114" s="51">
        <f>'AESS-all'!V114/'AESS-all'!V$1</f>
        <v>0</v>
      </c>
      <c r="W114" s="49">
        <f>'AESS-all'!W114/'AESS-all'!W$1</f>
        <v>2.1727794194333393E-5</v>
      </c>
      <c r="X114" s="50">
        <f>'AESS-all'!X114/'AESS-all'!X$1</f>
        <v>0</v>
      </c>
      <c r="Y114" s="50">
        <f>'AESS-all'!Y114/'AESS-all'!Y$1</f>
        <v>0</v>
      </c>
      <c r="Z114" s="51">
        <f>'AESS-all'!Z114/'AESS-all'!Z$1</f>
        <v>0</v>
      </c>
      <c r="AA114" s="49">
        <f>'AESS-all'!AA114/'AESS-all'!AA$1</f>
        <v>0</v>
      </c>
      <c r="AB114" s="50">
        <f>'AESS-all'!AB114/'AESS-all'!AB$1</f>
        <v>0</v>
      </c>
      <c r="AC114" s="50">
        <f>'AESS-all'!AC114/'AESS-all'!AC$1</f>
        <v>0</v>
      </c>
      <c r="AD114" s="51">
        <f>'AESS-all'!AD114/'AESS-all'!AD$1</f>
        <v>0</v>
      </c>
    </row>
    <row r="115" spans="1:30" x14ac:dyDescent="0.35">
      <c r="A115" t="str">
        <f>'AESS-all'!A115</f>
        <v>OTU_108</v>
      </c>
      <c r="B115">
        <f>'AESS-all'!B115</f>
        <v>27</v>
      </c>
      <c r="C115" t="str">
        <f>'AESS-all'!C115</f>
        <v>Root</v>
      </c>
      <c r="D115" t="str">
        <f>'AESS-all'!D115</f>
        <v>Bacteria</v>
      </c>
      <c r="E115" t="str">
        <f>'AESS-all'!E115</f>
        <v>Firmicutes</v>
      </c>
      <c r="F115" t="str">
        <f>'AESS-all'!F115</f>
        <v>.</v>
      </c>
      <c r="G115" t="str">
        <f>'AESS-all'!G115</f>
        <v>.</v>
      </c>
      <c r="H115" t="str">
        <f>'AESS-all'!H115</f>
        <v>.</v>
      </c>
      <c r="I115" t="str">
        <f>'AESS-all'!I115</f>
        <v>.</v>
      </c>
      <c r="J115" t="str">
        <f>'AESS-all'!J115</f>
        <v>.</v>
      </c>
      <c r="K115" t="str">
        <f>'AESS-all'!K115</f>
        <v>.</v>
      </c>
      <c r="L115" t="str">
        <f>'AESS-all'!L115</f>
        <v>.</v>
      </c>
      <c r="M115" t="str">
        <f>'AESS-all'!M115</f>
        <v>.</v>
      </c>
      <c r="N115" t="str">
        <f>'AESS-all'!N115</f>
        <v>.</v>
      </c>
      <c r="O115">
        <f>'AESS-all'!O115</f>
        <v>0.96</v>
      </c>
      <c r="P115" t="str">
        <f>'AESS-all'!P115</f>
        <v>Bacillaceae_bacterium_13CC_(JN571119)</v>
      </c>
      <c r="Q115">
        <f>'AESS-all'!Q115</f>
        <v>90.9</v>
      </c>
      <c r="R115">
        <f>'AESS-all'!R115</f>
        <v>1</v>
      </c>
      <c r="S115" s="49">
        <f>'AESS-all'!S115/'AESS-all'!S$1</f>
        <v>2.3311653495582441E-4</v>
      </c>
      <c r="T115" s="50">
        <f>'AESS-all'!T115/'AESS-all'!T$1</f>
        <v>0</v>
      </c>
      <c r="U115" s="50">
        <f>'AESS-all'!U115/'AESS-all'!U$1</f>
        <v>0</v>
      </c>
      <c r="V115" s="51">
        <f>'AESS-all'!V115/'AESS-all'!V$1</f>
        <v>0</v>
      </c>
      <c r="W115" s="49">
        <f>'AESS-all'!W115/'AESS-all'!W$1</f>
        <v>2.1727794194333392E-4</v>
      </c>
      <c r="X115" s="50">
        <f>'AESS-all'!X115/'AESS-all'!X$1</f>
        <v>0</v>
      </c>
      <c r="Y115" s="50">
        <f>'AESS-all'!Y115/'AESS-all'!Y$1</f>
        <v>0</v>
      </c>
      <c r="Z115" s="51">
        <f>'AESS-all'!Z115/'AESS-all'!Z$1</f>
        <v>0</v>
      </c>
      <c r="AA115" s="49">
        <f>'AESS-all'!AA115/'AESS-all'!AA$1</f>
        <v>2.00711090721413E-4</v>
      </c>
      <c r="AB115" s="50">
        <f>'AESS-all'!AB115/'AESS-all'!AB$1</f>
        <v>0</v>
      </c>
      <c r="AC115" s="50">
        <f>'AESS-all'!AC115/'AESS-all'!AC$1</f>
        <v>0</v>
      </c>
      <c r="AD115" s="51">
        <f>'AESS-all'!AD115/'AESS-all'!AD$1</f>
        <v>0</v>
      </c>
    </row>
    <row r="116" spans="1:30" x14ac:dyDescent="0.35">
      <c r="A116" t="str">
        <f>'AESS-all'!A116</f>
        <v>OTU_126</v>
      </c>
      <c r="B116">
        <f>'AESS-all'!B116</f>
        <v>27</v>
      </c>
      <c r="C116" t="str">
        <f>'AESS-all'!C116</f>
        <v>Root</v>
      </c>
      <c r="D116" t="str">
        <f>'AESS-all'!D116</f>
        <v>Bacteria</v>
      </c>
      <c r="E116" t="str">
        <f>'AESS-all'!E116</f>
        <v>Proteobacteria</v>
      </c>
      <c r="F116" t="str">
        <f>'AESS-all'!F116</f>
        <v>.</v>
      </c>
      <c r="G116" t="str">
        <f>'AESS-all'!G116</f>
        <v>Gammaproteobacteria</v>
      </c>
      <c r="H116" t="str">
        <f>'AESS-all'!H116</f>
        <v>.</v>
      </c>
      <c r="I116" t="str">
        <f>'AESS-all'!I116</f>
        <v>Pseudomonadales</v>
      </c>
      <c r="J116" t="str">
        <f>'AESS-all'!J116</f>
        <v>.</v>
      </c>
      <c r="K116" t="str">
        <f>'AESS-all'!K116</f>
        <v>Pseudomonadaceae</v>
      </c>
      <c r="L116" t="str">
        <f>'AESS-all'!L116</f>
        <v>.</v>
      </c>
      <c r="M116" t="str">
        <f>'AESS-all'!M116</f>
        <v>Pseudomonas</v>
      </c>
      <c r="N116" t="str">
        <f>'AESS-all'!N116</f>
        <v>.</v>
      </c>
      <c r="O116">
        <f>'AESS-all'!O116</f>
        <v>0.88</v>
      </c>
      <c r="P116" t="str">
        <f>'AESS-all'!P116</f>
        <v>Pseudomonas_aestusnigri_CCUG_64165;_VGXO14_(HG004394)</v>
      </c>
      <c r="Q116">
        <f>'AESS-all'!Q116</f>
        <v>98.4</v>
      </c>
      <c r="R116">
        <f>'AESS-all'!R116</f>
        <v>1</v>
      </c>
      <c r="S116" s="49">
        <f>'AESS-all'!S116/'AESS-all'!S$1</f>
        <v>4.1960976292048394E-4</v>
      </c>
      <c r="T116" s="50">
        <f>'AESS-all'!T116/'AESS-all'!T$1</f>
        <v>0</v>
      </c>
      <c r="U116" s="50">
        <f>'AESS-all'!U116/'AESS-all'!U$1</f>
        <v>0</v>
      </c>
      <c r="V116" s="51">
        <f>'AESS-all'!V116/'AESS-all'!V$1</f>
        <v>0</v>
      </c>
      <c r="W116" s="49">
        <f>'AESS-all'!W116/'AESS-all'!W$1</f>
        <v>8.6911176777333571E-5</v>
      </c>
      <c r="X116" s="50">
        <f>'AESS-all'!X116/'AESS-all'!X$1</f>
        <v>0</v>
      </c>
      <c r="Y116" s="50">
        <f>'AESS-all'!Y116/'AESS-all'!Y$1</f>
        <v>0</v>
      </c>
      <c r="Z116" s="51">
        <f>'AESS-all'!Z116/'AESS-all'!Z$1</f>
        <v>0</v>
      </c>
      <c r="AA116" s="49">
        <f>'AESS-all'!AA116/'AESS-all'!AA$1</f>
        <v>1.4336506480100929E-4</v>
      </c>
      <c r="AB116" s="50">
        <f>'AESS-all'!AB116/'AESS-all'!AB$1</f>
        <v>0</v>
      </c>
      <c r="AC116" s="50">
        <f>'AESS-all'!AC116/'AESS-all'!AC$1</f>
        <v>0</v>
      </c>
      <c r="AD116" s="51">
        <f>'AESS-all'!AD116/'AESS-all'!AD$1</f>
        <v>0</v>
      </c>
    </row>
    <row r="117" spans="1:30" x14ac:dyDescent="0.35">
      <c r="A117" t="str">
        <f>'AESS-all'!A117</f>
        <v>OTU_107</v>
      </c>
      <c r="B117">
        <f>'AESS-all'!B117</f>
        <v>25</v>
      </c>
      <c r="C117" t="str">
        <f>'AESS-all'!C117</f>
        <v>Root</v>
      </c>
      <c r="D117" t="str">
        <f>'AESS-all'!D117</f>
        <v>Bacteria</v>
      </c>
      <c r="E117" t="str">
        <f>'AESS-all'!E117</f>
        <v>Firmicutes</v>
      </c>
      <c r="F117" t="str">
        <f>'AESS-all'!F117</f>
        <v>.</v>
      </c>
      <c r="G117" t="str">
        <f>'AESS-all'!G117</f>
        <v>Clostridia</v>
      </c>
      <c r="H117" t="str">
        <f>'AESS-all'!H117</f>
        <v>.</v>
      </c>
      <c r="I117" t="str">
        <f>'AESS-all'!I117</f>
        <v>Clostridiales</v>
      </c>
      <c r="J117" t="str">
        <f>'AESS-all'!J117</f>
        <v>.</v>
      </c>
      <c r="K117" t="str">
        <f>'AESS-all'!K117</f>
        <v>.</v>
      </c>
      <c r="L117" t="str">
        <f>'AESS-all'!L117</f>
        <v>.</v>
      </c>
      <c r="M117" t="str">
        <f>'AESS-all'!M117</f>
        <v>Vallitalea</v>
      </c>
      <c r="N117" t="str">
        <f>'AESS-all'!N117</f>
        <v>.</v>
      </c>
      <c r="O117">
        <f>'AESS-all'!O117</f>
        <v>0.66</v>
      </c>
      <c r="P117" t="str">
        <f>'AESS-all'!P117</f>
        <v>Vallitalea_pronyensis_FatNI3_(KC876639)</v>
      </c>
      <c r="Q117">
        <f>'AESS-all'!Q117</f>
        <v>96</v>
      </c>
      <c r="R117">
        <f>'AESS-all'!R117</f>
        <v>1</v>
      </c>
      <c r="S117" s="49">
        <f>'AESS-all'!S117/'AESS-all'!S$1</f>
        <v>2.3311653495582441E-5</v>
      </c>
      <c r="T117" s="50">
        <f>'AESS-all'!T117/'AESS-all'!T$1</f>
        <v>0</v>
      </c>
      <c r="U117" s="50">
        <f>'AESS-all'!U117/'AESS-all'!U$1</f>
        <v>0</v>
      </c>
      <c r="V117" s="51">
        <f>'AESS-all'!V117/'AESS-all'!V$1</f>
        <v>0</v>
      </c>
      <c r="W117" s="49">
        <f>'AESS-all'!W117/'AESS-all'!W$1</f>
        <v>0</v>
      </c>
      <c r="X117" s="50">
        <f>'AESS-all'!X117/'AESS-all'!X$1</f>
        <v>0</v>
      </c>
      <c r="Y117" s="50">
        <f>'AESS-all'!Y117/'AESS-all'!Y$1</f>
        <v>0</v>
      </c>
      <c r="Z117" s="51">
        <f>'AESS-all'!Z117/'AESS-all'!Z$1</f>
        <v>0</v>
      </c>
      <c r="AA117" s="49">
        <f>'AESS-all'!AA117/'AESS-all'!AA$1</f>
        <v>4.8744122032343156E-4</v>
      </c>
      <c r="AB117" s="50">
        <f>'AESS-all'!AB117/'AESS-all'!AB$1</f>
        <v>3.0360860513532268E-4</v>
      </c>
      <c r="AC117" s="50">
        <f>'AESS-all'!AC117/'AESS-all'!AC$1</f>
        <v>0</v>
      </c>
      <c r="AD117" s="51">
        <f>'AESS-all'!AD117/'AESS-all'!AD$1</f>
        <v>0</v>
      </c>
    </row>
    <row r="118" spans="1:30" x14ac:dyDescent="0.35">
      <c r="A118" t="str">
        <f>'AESS-all'!A118</f>
        <v>OTU_112</v>
      </c>
      <c r="B118">
        <f>'AESS-all'!B118</f>
        <v>25</v>
      </c>
      <c r="C118" t="str">
        <f>'AESS-all'!C118</f>
        <v>Root</v>
      </c>
      <c r="D118" t="str">
        <f>'AESS-all'!D118</f>
        <v>Bacteria</v>
      </c>
      <c r="E118" t="str">
        <f>'AESS-all'!E118</f>
        <v>Bacteroidetes</v>
      </c>
      <c r="F118" t="str">
        <f>'AESS-all'!F118</f>
        <v>.</v>
      </c>
      <c r="G118" t="str">
        <f>'AESS-all'!G118</f>
        <v>.</v>
      </c>
      <c r="H118" t="str">
        <f>'AESS-all'!H118</f>
        <v>.</v>
      </c>
      <c r="I118" t="str">
        <f>'AESS-all'!I118</f>
        <v>.</v>
      </c>
      <c r="J118" t="str">
        <f>'AESS-all'!J118</f>
        <v>.</v>
      </c>
      <c r="K118" t="str">
        <f>'AESS-all'!K118</f>
        <v>.</v>
      </c>
      <c r="L118" t="str">
        <f>'AESS-all'!L118</f>
        <v>.</v>
      </c>
      <c r="M118" t="str">
        <f>'AESS-all'!M118</f>
        <v>.</v>
      </c>
      <c r="N118" t="str">
        <f>'AESS-all'!N118</f>
        <v>.</v>
      </c>
      <c r="O118">
        <f>'AESS-all'!O118</f>
        <v>0.98</v>
      </c>
      <c r="P118" t="str">
        <f>'AESS-all'!P118</f>
        <v>Lutaonella_thermophila_(T)_CC-MHSW-2_(EU287913)</v>
      </c>
      <c r="Q118">
        <f>'AESS-all'!Q118</f>
        <v>86.6</v>
      </c>
      <c r="R118">
        <f>'AESS-all'!R118</f>
        <v>1</v>
      </c>
      <c r="S118" s="49">
        <f>'AESS-all'!S118/'AESS-all'!S$1</f>
        <v>3.496748024337366E-4</v>
      </c>
      <c r="T118" s="50">
        <f>'AESS-all'!T118/'AESS-all'!T$1</f>
        <v>0</v>
      </c>
      <c r="U118" s="50">
        <f>'AESS-all'!U118/'AESS-all'!U$1</f>
        <v>0</v>
      </c>
      <c r="V118" s="51">
        <f>'AESS-all'!V118/'AESS-all'!V$1</f>
        <v>0</v>
      </c>
      <c r="W118" s="49">
        <f>'AESS-all'!W118/'AESS-all'!W$1</f>
        <v>1.0863897097166696E-4</v>
      </c>
      <c r="X118" s="50">
        <f>'AESS-all'!X118/'AESS-all'!X$1</f>
        <v>0</v>
      </c>
      <c r="Y118" s="50">
        <f>'AESS-all'!Y118/'AESS-all'!Y$1</f>
        <v>0</v>
      </c>
      <c r="Z118" s="51">
        <f>'AESS-all'!Z118/'AESS-all'!Z$1</f>
        <v>0</v>
      </c>
      <c r="AA118" s="49">
        <f>'AESS-all'!AA118/'AESS-all'!AA$1</f>
        <v>1.4336506480100929E-4</v>
      </c>
      <c r="AB118" s="50">
        <f>'AESS-all'!AB118/'AESS-all'!AB$1</f>
        <v>0</v>
      </c>
      <c r="AC118" s="50">
        <f>'AESS-all'!AC118/'AESS-all'!AC$1</f>
        <v>0</v>
      </c>
      <c r="AD118" s="51">
        <f>'AESS-all'!AD118/'AESS-all'!AD$1</f>
        <v>0</v>
      </c>
    </row>
    <row r="119" spans="1:30" x14ac:dyDescent="0.35">
      <c r="A119" t="str">
        <f>'AESS-all'!A119</f>
        <v>OTU_124</v>
      </c>
      <c r="B119">
        <f>'AESS-all'!B119</f>
        <v>25</v>
      </c>
      <c r="C119" t="str">
        <f>'AESS-all'!C119</f>
        <v>Root</v>
      </c>
      <c r="D119" t="str">
        <f>'AESS-all'!D119</f>
        <v>Bacteria</v>
      </c>
      <c r="E119" t="str">
        <f>'AESS-all'!E119</f>
        <v>Firmicutes</v>
      </c>
      <c r="F119" t="str">
        <f>'AESS-all'!F119</f>
        <v>.</v>
      </c>
      <c r="G119" t="str">
        <f>'AESS-all'!G119</f>
        <v>Clostridia</v>
      </c>
      <c r="H119" t="str">
        <f>'AESS-all'!H119</f>
        <v>.</v>
      </c>
      <c r="I119" t="str">
        <f>'AESS-all'!I119</f>
        <v>Clostridiales</v>
      </c>
      <c r="J119" t="str">
        <f>'AESS-all'!J119</f>
        <v>.</v>
      </c>
      <c r="K119" t="str">
        <f>'AESS-all'!K119</f>
        <v>.</v>
      </c>
      <c r="L119" t="str">
        <f>'AESS-all'!L119</f>
        <v>.</v>
      </c>
      <c r="M119" t="str">
        <f>'AESS-all'!M119</f>
        <v>.</v>
      </c>
      <c r="N119" t="str">
        <f>'AESS-all'!N119</f>
        <v>.</v>
      </c>
      <c r="O119">
        <f>'AESS-all'!O119</f>
        <v>0.97</v>
      </c>
      <c r="P119" t="str">
        <f>'AESS-all'!P119</f>
        <v>Clostridium_acetireducens_(T)_30A_(X79862)</v>
      </c>
      <c r="Q119">
        <f>'AESS-all'!Q119</f>
        <v>93.7</v>
      </c>
      <c r="R119">
        <f>'AESS-all'!R119</f>
        <v>2</v>
      </c>
      <c r="S119" s="49">
        <f>'AESS-all'!S119/'AESS-all'!S$1</f>
        <v>5.8279133738956099E-4</v>
      </c>
      <c r="T119" s="50">
        <f>'AESS-all'!T119/'AESS-all'!T$1</f>
        <v>0</v>
      </c>
      <c r="U119" s="50">
        <f>'AESS-all'!U119/'AESS-all'!U$1</f>
        <v>0</v>
      </c>
      <c r="V119" s="51">
        <f>'AESS-all'!V119/'AESS-all'!V$1</f>
        <v>0</v>
      </c>
      <c r="W119" s="49">
        <f>'AESS-all'!W119/'AESS-all'!W$1</f>
        <v>0</v>
      </c>
      <c r="X119" s="50">
        <f>'AESS-all'!X119/'AESS-all'!X$1</f>
        <v>0</v>
      </c>
      <c r="Y119" s="50">
        <f>'AESS-all'!Y119/'AESS-all'!Y$1</f>
        <v>0</v>
      </c>
      <c r="Z119" s="51">
        <f>'AESS-all'!Z119/'AESS-all'!Z$1</f>
        <v>0</v>
      </c>
      <c r="AA119" s="49">
        <f>'AESS-all'!AA119/'AESS-all'!AA$1</f>
        <v>0</v>
      </c>
      <c r="AB119" s="50">
        <f>'AESS-all'!AB119/'AESS-all'!AB$1</f>
        <v>0</v>
      </c>
      <c r="AC119" s="50">
        <f>'AESS-all'!AC119/'AESS-all'!AC$1</f>
        <v>0</v>
      </c>
      <c r="AD119" s="51">
        <f>'AESS-all'!AD119/'AESS-all'!AD$1</f>
        <v>0</v>
      </c>
    </row>
    <row r="120" spans="1:30" x14ac:dyDescent="0.35">
      <c r="A120" t="str">
        <f>'AESS-all'!A120</f>
        <v>OTU_147</v>
      </c>
      <c r="B120">
        <f>'AESS-all'!B120</f>
        <v>24</v>
      </c>
      <c r="C120" t="str">
        <f>'AESS-all'!C120</f>
        <v>Root</v>
      </c>
      <c r="D120" t="str">
        <f>'AESS-all'!D120</f>
        <v>Bacteria</v>
      </c>
      <c r="E120" t="str">
        <f>'AESS-all'!E120</f>
        <v>Firmicutes</v>
      </c>
      <c r="F120" t="str">
        <f>'AESS-all'!F120</f>
        <v>.</v>
      </c>
      <c r="G120" t="str">
        <f>'AESS-all'!G120</f>
        <v>.</v>
      </c>
      <c r="H120" t="str">
        <f>'AESS-all'!H120</f>
        <v>.</v>
      </c>
      <c r="I120" t="str">
        <f>'AESS-all'!I120</f>
        <v>.</v>
      </c>
      <c r="J120" t="str">
        <f>'AESS-all'!J120</f>
        <v>.</v>
      </c>
      <c r="K120" t="str">
        <f>'AESS-all'!K120</f>
        <v>.</v>
      </c>
      <c r="L120" t="str">
        <f>'AESS-all'!L120</f>
        <v>.</v>
      </c>
      <c r="M120" t="str">
        <f>'AESS-all'!M120</f>
        <v>.</v>
      </c>
      <c r="N120" t="str">
        <f>'AESS-all'!N120</f>
        <v>.</v>
      </c>
      <c r="O120">
        <f>'AESS-all'!O120</f>
        <v>0.55000000000000004</v>
      </c>
      <c r="P120" t="str">
        <f>'AESS-all'!P120</f>
        <v>Anaerobacterium_chartisolvens_T-1-35_(AB793710)</v>
      </c>
      <c r="Q120">
        <f>'AESS-all'!Q120</f>
        <v>86.6</v>
      </c>
      <c r="R120">
        <f>'AESS-all'!R120</f>
        <v>3</v>
      </c>
      <c r="S120" s="49">
        <f>'AESS-all'!S120/'AESS-all'!S$1</f>
        <v>2.5642818845140688E-4</v>
      </c>
      <c r="T120" s="50">
        <f>'AESS-all'!T120/'AESS-all'!T$1</f>
        <v>0</v>
      </c>
      <c r="U120" s="50">
        <f>'AESS-all'!U120/'AESS-all'!U$1</f>
        <v>0</v>
      </c>
      <c r="V120" s="51">
        <f>'AESS-all'!V120/'AESS-all'!V$1</f>
        <v>0</v>
      </c>
      <c r="W120" s="49">
        <f>'AESS-all'!W120/'AESS-all'!W$1</f>
        <v>1.9555014774900052E-4</v>
      </c>
      <c r="X120" s="50">
        <f>'AESS-all'!X120/'AESS-all'!X$1</f>
        <v>0</v>
      </c>
      <c r="Y120" s="50">
        <f>'AESS-all'!Y120/'AESS-all'!Y$1</f>
        <v>0</v>
      </c>
      <c r="Z120" s="51">
        <f>'AESS-all'!Z120/'AESS-all'!Z$1</f>
        <v>0</v>
      </c>
      <c r="AA120" s="49">
        <f>'AESS-all'!AA120/'AESS-all'!AA$1</f>
        <v>1.1469205184080744E-4</v>
      </c>
      <c r="AB120" s="50">
        <f>'AESS-all'!AB120/'AESS-all'!AB$1</f>
        <v>0</v>
      </c>
      <c r="AC120" s="50">
        <f>'AESS-all'!AC120/'AESS-all'!AC$1</f>
        <v>0</v>
      </c>
      <c r="AD120" s="51">
        <f>'AESS-all'!AD120/'AESS-all'!AD$1</f>
        <v>0</v>
      </c>
    </row>
    <row r="121" spans="1:30" x14ac:dyDescent="0.35">
      <c r="A121" t="str">
        <f>'AESS-all'!A121</f>
        <v>OTU_110</v>
      </c>
      <c r="B121">
        <f>'AESS-all'!B121</f>
        <v>24</v>
      </c>
      <c r="C121" t="str">
        <f>'AESS-all'!C121</f>
        <v>Root</v>
      </c>
      <c r="D121" t="str">
        <f>'AESS-all'!D121</f>
        <v>Bacteria</v>
      </c>
      <c r="E121" t="str">
        <f>'AESS-all'!E121</f>
        <v>Chloroflexi</v>
      </c>
      <c r="F121" t="str">
        <f>'AESS-all'!F121</f>
        <v>.</v>
      </c>
      <c r="G121" t="str">
        <f>'AESS-all'!G121</f>
        <v>Anaerolineae</v>
      </c>
      <c r="H121" t="str">
        <f>'AESS-all'!H121</f>
        <v>.</v>
      </c>
      <c r="I121" t="str">
        <f>'AESS-all'!I121</f>
        <v>Anaerolineales</v>
      </c>
      <c r="J121" t="str">
        <f>'AESS-all'!J121</f>
        <v>.</v>
      </c>
      <c r="K121" t="str">
        <f>'AESS-all'!K121</f>
        <v>Anaerolineaceae</v>
      </c>
      <c r="L121" t="str">
        <f>'AESS-all'!L121</f>
        <v>.</v>
      </c>
      <c r="M121" t="str">
        <f>'AESS-all'!M121</f>
        <v>Ornatilinea</v>
      </c>
      <c r="N121" t="str">
        <f>'AESS-all'!N121</f>
        <v>.</v>
      </c>
      <c r="O121">
        <f>'AESS-all'!O121</f>
        <v>0.56999999999999995</v>
      </c>
      <c r="P121" t="str">
        <f>'AESS-all'!P121</f>
        <v>Ornatilinea_apprima_P3M-1_(JQ292916)</v>
      </c>
      <c r="Q121">
        <f>'AESS-all'!Q121</f>
        <v>93.7</v>
      </c>
      <c r="R121">
        <f>'AESS-all'!R121</f>
        <v>1</v>
      </c>
      <c r="S121" s="49">
        <f>'AESS-all'!S121/'AESS-all'!S$1</f>
        <v>0</v>
      </c>
      <c r="T121" s="50">
        <f>'AESS-all'!T121/'AESS-all'!T$1</f>
        <v>0</v>
      </c>
      <c r="U121" s="50">
        <f>'AESS-all'!U121/'AESS-all'!U$1</f>
        <v>0</v>
      </c>
      <c r="V121" s="51">
        <f>'AESS-all'!V121/'AESS-all'!V$1</f>
        <v>0</v>
      </c>
      <c r="W121" s="49">
        <f>'AESS-all'!W121/'AESS-all'!W$1</f>
        <v>4.3455588388666785E-5</v>
      </c>
      <c r="X121" s="50">
        <f>'AESS-all'!X121/'AESS-all'!X$1</f>
        <v>0</v>
      </c>
      <c r="Y121" s="50">
        <f>'AESS-all'!Y121/'AESS-all'!Y$1</f>
        <v>0</v>
      </c>
      <c r="Z121" s="51">
        <f>'AESS-all'!Z121/'AESS-all'!Z$1</f>
        <v>0</v>
      </c>
      <c r="AA121" s="49">
        <f>'AESS-all'!AA121/'AESS-all'!AA$1</f>
        <v>2.2938410368161487E-4</v>
      </c>
      <c r="AB121" s="50">
        <f>'AESS-all'!AB121/'AESS-all'!AB$1</f>
        <v>6.0721721027064536E-4</v>
      </c>
      <c r="AC121" s="50">
        <f>'AESS-all'!AC121/'AESS-all'!AC$1</f>
        <v>0</v>
      </c>
      <c r="AD121" s="51">
        <f>'AESS-all'!AD121/'AESS-all'!AD$1</f>
        <v>0</v>
      </c>
    </row>
    <row r="122" spans="1:30" x14ac:dyDescent="0.35">
      <c r="A122" t="str">
        <f>'AESS-all'!A122</f>
        <v>OTU_117</v>
      </c>
      <c r="B122">
        <f>'AESS-all'!B122</f>
        <v>23</v>
      </c>
      <c r="C122" t="str">
        <f>'AESS-all'!C122</f>
        <v>Root</v>
      </c>
      <c r="D122" t="str">
        <f>'AESS-all'!D122</f>
        <v>Bacteria</v>
      </c>
      <c r="E122" t="str">
        <f>'AESS-all'!E122</f>
        <v>Proteobacteria</v>
      </c>
      <c r="F122" t="str">
        <f>'AESS-all'!F122</f>
        <v>.</v>
      </c>
      <c r="G122" t="str">
        <f>'AESS-all'!G122</f>
        <v>Gammaproteobacteria</v>
      </c>
      <c r="H122" t="str">
        <f>'AESS-all'!H122</f>
        <v>.</v>
      </c>
      <c r="I122" t="str">
        <f>'AESS-all'!I122</f>
        <v>Chromatiales</v>
      </c>
      <c r="J122" t="str">
        <f>'AESS-all'!J122</f>
        <v>.</v>
      </c>
      <c r="K122" t="str">
        <f>'AESS-all'!K122</f>
        <v>.</v>
      </c>
      <c r="L122" t="str">
        <f>'AESS-all'!L122</f>
        <v>.</v>
      </c>
      <c r="M122" t="str">
        <f>'AESS-all'!M122</f>
        <v>.</v>
      </c>
      <c r="N122" t="str">
        <f>'AESS-all'!N122</f>
        <v>.</v>
      </c>
      <c r="O122">
        <f>'AESS-all'!O122</f>
        <v>0.56000000000000005</v>
      </c>
      <c r="P122" t="str">
        <f>'AESS-all'!P122</f>
        <v>Spiribacter_salinus_M19-40_(CP005963)</v>
      </c>
      <c r="Q122">
        <f>'AESS-all'!Q122</f>
        <v>92.9</v>
      </c>
      <c r="R122">
        <f>'AESS-all'!R122</f>
        <v>2</v>
      </c>
      <c r="S122" s="49">
        <f>'AESS-all'!S122/'AESS-all'!S$1</f>
        <v>3.2636314893815416E-4</v>
      </c>
      <c r="T122" s="50">
        <f>'AESS-all'!T122/'AESS-all'!T$1</f>
        <v>0</v>
      </c>
      <c r="U122" s="50">
        <f>'AESS-all'!U122/'AESS-all'!U$1</f>
        <v>0</v>
      </c>
      <c r="V122" s="51">
        <f>'AESS-all'!V122/'AESS-all'!V$1</f>
        <v>0</v>
      </c>
      <c r="W122" s="49">
        <f>'AESS-all'!W122/'AESS-all'!W$1</f>
        <v>1.0863897097166696E-4</v>
      </c>
      <c r="X122" s="50">
        <f>'AESS-all'!X122/'AESS-all'!X$1</f>
        <v>0</v>
      </c>
      <c r="Y122" s="50">
        <f>'AESS-all'!Y122/'AESS-all'!Y$1</f>
        <v>0</v>
      </c>
      <c r="Z122" s="51">
        <f>'AESS-all'!Z122/'AESS-all'!Z$1</f>
        <v>0</v>
      </c>
      <c r="AA122" s="49">
        <f>'AESS-all'!AA122/'AESS-all'!AA$1</f>
        <v>1.1469205184080744E-4</v>
      </c>
      <c r="AB122" s="50">
        <f>'AESS-all'!AB122/'AESS-all'!AB$1</f>
        <v>0</v>
      </c>
      <c r="AC122" s="50">
        <f>'AESS-all'!AC122/'AESS-all'!AC$1</f>
        <v>0</v>
      </c>
      <c r="AD122" s="51">
        <f>'AESS-all'!AD122/'AESS-all'!AD$1</f>
        <v>0</v>
      </c>
    </row>
    <row r="123" spans="1:30" x14ac:dyDescent="0.35">
      <c r="A123" t="str">
        <f>'AESS-all'!A123</f>
        <v>OTU_109</v>
      </c>
      <c r="B123">
        <f>'AESS-all'!B123</f>
        <v>23</v>
      </c>
      <c r="C123" t="str">
        <f>'AESS-all'!C123</f>
        <v>Root</v>
      </c>
      <c r="D123" t="str">
        <f>'AESS-all'!D123</f>
        <v>Bacteria</v>
      </c>
      <c r="E123" t="str">
        <f>'AESS-all'!E123</f>
        <v>Firmicutes</v>
      </c>
      <c r="F123" t="str">
        <f>'AESS-all'!F123</f>
        <v>.</v>
      </c>
      <c r="G123" t="str">
        <f>'AESS-all'!G123</f>
        <v>Clostridia</v>
      </c>
      <c r="H123" t="str">
        <f>'AESS-all'!H123</f>
        <v>.</v>
      </c>
      <c r="I123" t="str">
        <f>'AESS-all'!I123</f>
        <v>Clostridiales</v>
      </c>
      <c r="J123" t="str">
        <f>'AESS-all'!J123</f>
        <v>.</v>
      </c>
      <c r="K123" t="str">
        <f>'AESS-all'!K123</f>
        <v>.</v>
      </c>
      <c r="L123" t="str">
        <f>'AESS-all'!L123</f>
        <v>.</v>
      </c>
      <c r="M123" t="str">
        <f>'AESS-all'!M123</f>
        <v>.</v>
      </c>
      <c r="N123" t="str">
        <f>'AESS-all'!N123</f>
        <v>.</v>
      </c>
      <c r="O123">
        <f>'AESS-all'!O123</f>
        <v>0.85</v>
      </c>
      <c r="P123" t="str">
        <f>'AESS-all'!P123</f>
        <v>Pelotomaculum_thermopropionicum_(T)_SI_(AB035723)</v>
      </c>
      <c r="Q123">
        <f>'AESS-all'!Q123</f>
        <v>88.5</v>
      </c>
      <c r="R123">
        <f>'AESS-all'!R123</f>
        <v>1</v>
      </c>
      <c r="S123" s="49">
        <f>'AESS-all'!S123/'AESS-all'!S$1</f>
        <v>0</v>
      </c>
      <c r="T123" s="50">
        <f>'AESS-all'!T123/'AESS-all'!T$1</f>
        <v>0</v>
      </c>
      <c r="U123" s="50">
        <f>'AESS-all'!U123/'AESS-all'!U$1</f>
        <v>0</v>
      </c>
      <c r="V123" s="51">
        <f>'AESS-all'!V123/'AESS-all'!V$1</f>
        <v>0</v>
      </c>
      <c r="W123" s="49">
        <f>'AESS-all'!W123/'AESS-all'!W$1</f>
        <v>0</v>
      </c>
      <c r="X123" s="50">
        <f>'AESS-all'!X123/'AESS-all'!X$1</f>
        <v>0</v>
      </c>
      <c r="Y123" s="50">
        <f>'AESS-all'!Y123/'AESS-all'!Y$1</f>
        <v>0</v>
      </c>
      <c r="Z123" s="51">
        <f>'AESS-all'!Z123/'AESS-all'!Z$1</f>
        <v>0</v>
      </c>
      <c r="AA123" s="49">
        <f>'AESS-all'!AA123/'AESS-all'!AA$1</f>
        <v>4.5876820736322975E-4</v>
      </c>
      <c r="AB123" s="50">
        <f>'AESS-all'!AB123/'AESS-all'!AB$1</f>
        <v>3.0360860513532268E-4</v>
      </c>
      <c r="AC123" s="50">
        <f>'AESS-all'!AC123/'AESS-all'!AC$1</f>
        <v>0</v>
      </c>
      <c r="AD123" s="51">
        <f>'AESS-all'!AD123/'AESS-all'!AD$1</f>
        <v>0</v>
      </c>
    </row>
    <row r="124" spans="1:30" x14ac:dyDescent="0.35">
      <c r="A124" t="str">
        <f>'AESS-all'!A124</f>
        <v>OTU_111</v>
      </c>
      <c r="B124">
        <f>'AESS-all'!B124</f>
        <v>22</v>
      </c>
      <c r="C124" t="str">
        <f>'AESS-all'!C124</f>
        <v>Root</v>
      </c>
      <c r="D124" t="str">
        <f>'AESS-all'!D124</f>
        <v>Bacteria</v>
      </c>
      <c r="E124" t="str">
        <f>'AESS-all'!E124</f>
        <v>Firmicutes</v>
      </c>
      <c r="F124" t="str">
        <f>'AESS-all'!F124</f>
        <v>.</v>
      </c>
      <c r="G124" t="str">
        <f>'AESS-all'!G124</f>
        <v>.</v>
      </c>
      <c r="H124" t="str">
        <f>'AESS-all'!H124</f>
        <v>.</v>
      </c>
      <c r="I124" t="str">
        <f>'AESS-all'!I124</f>
        <v>.</v>
      </c>
      <c r="J124" t="str">
        <f>'AESS-all'!J124</f>
        <v>.</v>
      </c>
      <c r="K124" t="str">
        <f>'AESS-all'!K124</f>
        <v>.</v>
      </c>
      <c r="L124" t="str">
        <f>'AESS-all'!L124</f>
        <v>.</v>
      </c>
      <c r="M124" t="str">
        <f>'AESS-all'!M124</f>
        <v>.</v>
      </c>
      <c r="N124" t="str">
        <f>'AESS-all'!N124</f>
        <v>.</v>
      </c>
      <c r="O124">
        <f>'AESS-all'!O124</f>
        <v>0.72</v>
      </c>
      <c r="P124" t="str">
        <f>'AESS-all'!P124</f>
        <v>Gelria_glutamica_(T)_TGO_(AF321086)</v>
      </c>
      <c r="Q124">
        <f>'AESS-all'!Q124</f>
        <v>87.4</v>
      </c>
      <c r="R124">
        <f>'AESS-all'!R124</f>
        <v>1</v>
      </c>
      <c r="S124" s="49">
        <f>'AESS-all'!S124/'AESS-all'!S$1</f>
        <v>1.8649322796465952E-4</v>
      </c>
      <c r="T124" s="50">
        <f>'AESS-all'!T124/'AESS-all'!T$1</f>
        <v>0</v>
      </c>
      <c r="U124" s="50">
        <f>'AESS-all'!U124/'AESS-all'!U$1</f>
        <v>0</v>
      </c>
      <c r="V124" s="51">
        <f>'AESS-all'!V124/'AESS-all'!V$1</f>
        <v>0</v>
      </c>
      <c r="W124" s="49">
        <f>'AESS-all'!W124/'AESS-all'!W$1</f>
        <v>8.6911176777333571E-5</v>
      </c>
      <c r="X124" s="50">
        <f>'AESS-all'!X124/'AESS-all'!X$1</f>
        <v>0</v>
      </c>
      <c r="Y124" s="50">
        <f>'AESS-all'!Y124/'AESS-all'!Y$1</f>
        <v>0</v>
      </c>
      <c r="Z124" s="51">
        <f>'AESS-all'!Z124/'AESS-all'!Z$1</f>
        <v>0</v>
      </c>
      <c r="AA124" s="49">
        <f>'AESS-all'!AA124/'AESS-all'!AA$1</f>
        <v>2.8673012960201858E-4</v>
      </c>
      <c r="AB124" s="50">
        <f>'AESS-all'!AB124/'AESS-all'!AB$1</f>
        <v>0</v>
      </c>
      <c r="AC124" s="50">
        <f>'AESS-all'!AC124/'AESS-all'!AC$1</f>
        <v>0</v>
      </c>
      <c r="AD124" s="51">
        <f>'AESS-all'!AD124/'AESS-all'!AD$1</f>
        <v>0</v>
      </c>
    </row>
    <row r="125" spans="1:30" x14ac:dyDescent="0.35">
      <c r="A125" t="str">
        <f>'AESS-all'!A125</f>
        <v>OTU_131</v>
      </c>
      <c r="B125">
        <f>'AESS-all'!B125</f>
        <v>21</v>
      </c>
      <c r="C125" t="str">
        <f>'AESS-all'!C125</f>
        <v>Root</v>
      </c>
      <c r="D125" t="str">
        <f>'AESS-all'!D125</f>
        <v>Bacteria</v>
      </c>
      <c r="E125" t="str">
        <f>'AESS-all'!E125</f>
        <v>Firmicutes</v>
      </c>
      <c r="F125" t="str">
        <f>'AESS-all'!F125</f>
        <v>.</v>
      </c>
      <c r="G125" t="str">
        <f>'AESS-all'!G125</f>
        <v>Clostridia</v>
      </c>
      <c r="H125" t="str">
        <f>'AESS-all'!H125</f>
        <v>.</v>
      </c>
      <c r="I125" t="str">
        <f>'AESS-all'!I125</f>
        <v>Clostridiales</v>
      </c>
      <c r="J125" t="str">
        <f>'AESS-all'!J125</f>
        <v>.</v>
      </c>
      <c r="K125" t="str">
        <f>'AESS-all'!K125</f>
        <v>Syntrophomonadaceae</v>
      </c>
      <c r="L125" t="str">
        <f>'AESS-all'!L125</f>
        <v>.</v>
      </c>
      <c r="M125" t="str">
        <f>'AESS-all'!M125</f>
        <v>Syntrophomonas</v>
      </c>
      <c r="N125" t="str">
        <f>'AESS-all'!N125</f>
        <v>.</v>
      </c>
      <c r="O125">
        <f>'AESS-all'!O125</f>
        <v>0.63</v>
      </c>
      <c r="P125" t="str">
        <f>'AESS-all'!P125</f>
        <v>Pelospora_glutarica_(T)_WoGl3_(AJ251214)</v>
      </c>
      <c r="Q125">
        <f>'AESS-all'!Q125</f>
        <v>96</v>
      </c>
      <c r="R125">
        <f>'AESS-all'!R125</f>
        <v>1</v>
      </c>
      <c r="S125" s="49">
        <f>'AESS-all'!S125/'AESS-all'!S$1</f>
        <v>1.3986992097349466E-4</v>
      </c>
      <c r="T125" s="50">
        <f>'AESS-all'!T125/'AESS-all'!T$1</f>
        <v>0</v>
      </c>
      <c r="U125" s="50">
        <f>'AESS-all'!U125/'AESS-all'!U$1</f>
        <v>0</v>
      </c>
      <c r="V125" s="51">
        <f>'AESS-all'!V125/'AESS-all'!V$1</f>
        <v>0</v>
      </c>
      <c r="W125" s="49">
        <f>'AESS-all'!W125/'AESS-all'!W$1</f>
        <v>2.1727794194333393E-5</v>
      </c>
      <c r="X125" s="50">
        <f>'AESS-all'!X125/'AESS-all'!X$1</f>
        <v>0</v>
      </c>
      <c r="Y125" s="50">
        <f>'AESS-all'!Y125/'AESS-all'!Y$1</f>
        <v>0</v>
      </c>
      <c r="Z125" s="51">
        <f>'AESS-all'!Z125/'AESS-all'!Z$1</f>
        <v>0</v>
      </c>
      <c r="AA125" s="49">
        <f>'AESS-all'!AA125/'AESS-all'!AA$1</f>
        <v>3.1540314256222045E-4</v>
      </c>
      <c r="AB125" s="50">
        <f>'AESS-all'!AB125/'AESS-all'!AB$1</f>
        <v>1.3011797362942401E-4</v>
      </c>
      <c r="AC125" s="50">
        <f>'AESS-all'!AC125/'AESS-all'!AC$1</f>
        <v>0</v>
      </c>
      <c r="AD125" s="51">
        <f>'AESS-all'!AD125/'AESS-all'!AD$1</f>
        <v>0</v>
      </c>
    </row>
    <row r="126" spans="1:30" x14ac:dyDescent="0.35">
      <c r="A126" t="str">
        <f>'AESS-all'!A126</f>
        <v>OTU_121</v>
      </c>
      <c r="B126">
        <f>'AESS-all'!B126</f>
        <v>21</v>
      </c>
      <c r="C126" t="str">
        <f>'AESS-all'!C126</f>
        <v>Root</v>
      </c>
      <c r="D126" t="str">
        <f>'AESS-all'!D126</f>
        <v>Bacteria</v>
      </c>
      <c r="E126" t="str">
        <f>'AESS-all'!E126</f>
        <v>Firmicutes</v>
      </c>
      <c r="F126" t="str">
        <f>'AESS-all'!F126</f>
        <v>.</v>
      </c>
      <c r="G126" t="str">
        <f>'AESS-all'!G126</f>
        <v>Clostridia</v>
      </c>
      <c r="H126" t="str">
        <f>'AESS-all'!H126</f>
        <v>.</v>
      </c>
      <c r="I126" t="str">
        <f>'AESS-all'!I126</f>
        <v>Clostridiales</v>
      </c>
      <c r="J126" t="str">
        <f>'AESS-all'!J126</f>
        <v>.</v>
      </c>
      <c r="K126" t="str">
        <f>'AESS-all'!K126</f>
        <v>Syntrophomonadaceae</v>
      </c>
      <c r="L126" t="str">
        <f>'AESS-all'!L126</f>
        <v>.</v>
      </c>
      <c r="M126" t="str">
        <f>'AESS-all'!M126</f>
        <v>Syntrophomonas</v>
      </c>
      <c r="N126" t="str">
        <f>'AESS-all'!N126</f>
        <v>.</v>
      </c>
      <c r="O126">
        <f>'AESS-all'!O126</f>
        <v>0.98</v>
      </c>
      <c r="P126" t="str">
        <f>'AESS-all'!P126</f>
        <v>Syntrophomonas_zehnderi_(T)_OL-4_(DQ898277)</v>
      </c>
      <c r="Q126">
        <f>'AESS-all'!Q126</f>
        <v>95.3</v>
      </c>
      <c r="R126">
        <f>'AESS-all'!R126</f>
        <v>1</v>
      </c>
      <c r="S126" s="49">
        <f>'AESS-all'!S126/'AESS-all'!S$1</f>
        <v>2.5642818845140688E-4</v>
      </c>
      <c r="T126" s="50">
        <f>'AESS-all'!T126/'AESS-all'!T$1</f>
        <v>0</v>
      </c>
      <c r="U126" s="50">
        <f>'AESS-all'!U126/'AESS-all'!U$1</f>
        <v>0</v>
      </c>
      <c r="V126" s="51">
        <f>'AESS-all'!V126/'AESS-all'!V$1</f>
        <v>0</v>
      </c>
      <c r="W126" s="49">
        <f>'AESS-all'!W126/'AESS-all'!W$1</f>
        <v>1.9555014774900052E-4</v>
      </c>
      <c r="X126" s="50">
        <f>'AESS-all'!X126/'AESS-all'!X$1</f>
        <v>0</v>
      </c>
      <c r="Y126" s="50">
        <f>'AESS-all'!Y126/'AESS-all'!Y$1</f>
        <v>0</v>
      </c>
      <c r="Z126" s="51">
        <f>'AESS-all'!Z126/'AESS-all'!Z$1</f>
        <v>0</v>
      </c>
      <c r="AA126" s="49">
        <f>'AESS-all'!AA126/'AESS-all'!AA$1</f>
        <v>2.8673012960201859E-5</v>
      </c>
      <c r="AB126" s="50">
        <f>'AESS-all'!AB126/'AESS-all'!AB$1</f>
        <v>0</v>
      </c>
      <c r="AC126" s="50">
        <f>'AESS-all'!AC126/'AESS-all'!AC$1</f>
        <v>0</v>
      </c>
      <c r="AD126" s="51">
        <f>'AESS-all'!AD126/'AESS-all'!AD$1</f>
        <v>0</v>
      </c>
    </row>
    <row r="127" spans="1:30" x14ac:dyDescent="0.35">
      <c r="A127" t="str">
        <f>'AESS-all'!A127</f>
        <v>OTU_114</v>
      </c>
      <c r="B127">
        <f>'AESS-all'!B127</f>
        <v>20</v>
      </c>
      <c r="C127" t="str">
        <f>'AESS-all'!C127</f>
        <v>Root</v>
      </c>
      <c r="D127" t="str">
        <f>'AESS-all'!D127</f>
        <v>Bacteria</v>
      </c>
      <c r="E127" t="str">
        <f>'AESS-all'!E127</f>
        <v>Firmicutes</v>
      </c>
      <c r="F127" t="str">
        <f>'AESS-all'!F127</f>
        <v>.</v>
      </c>
      <c r="G127" t="str">
        <f>'AESS-all'!G127</f>
        <v>Bacilli</v>
      </c>
      <c r="H127" t="str">
        <f>'AESS-all'!H127</f>
        <v>.</v>
      </c>
      <c r="I127" t="str">
        <f>'AESS-all'!I127</f>
        <v>Lactobacillales</v>
      </c>
      <c r="J127" t="str">
        <f>'AESS-all'!J127</f>
        <v>.</v>
      </c>
      <c r="K127" t="str">
        <f>'AESS-all'!K127</f>
        <v>Lactobacillaceae</v>
      </c>
      <c r="L127" t="str">
        <f>'AESS-all'!L127</f>
        <v>.</v>
      </c>
      <c r="M127" t="str">
        <f>'AESS-all'!M127</f>
        <v>Lactobacillus</v>
      </c>
      <c r="N127" t="str">
        <f>'AESS-all'!N127</f>
        <v>.</v>
      </c>
      <c r="O127">
        <f>'AESS-all'!O127</f>
        <v>1</v>
      </c>
      <c r="P127" t="str">
        <f>'AESS-all'!P127</f>
        <v>Lactobacillus_gasseri_(T)_ATCC_33323_(AF519171)</v>
      </c>
      <c r="Q127">
        <f>'AESS-all'!Q127</f>
        <v>100</v>
      </c>
      <c r="R127">
        <f>'AESS-all'!R127</f>
        <v>4</v>
      </c>
      <c r="S127" s="49">
        <f>'AESS-all'!S127/'AESS-all'!S$1</f>
        <v>0</v>
      </c>
      <c r="T127" s="50">
        <f>'AESS-all'!T127/'AESS-all'!T$1</f>
        <v>0</v>
      </c>
      <c r="U127" s="50">
        <f>'AESS-all'!U127/'AESS-all'!U$1</f>
        <v>0</v>
      </c>
      <c r="V127" s="51">
        <f>'AESS-all'!V127/'AESS-all'!V$1</f>
        <v>0</v>
      </c>
      <c r="W127" s="49">
        <f>'AESS-all'!W127/'AESS-all'!W$1</f>
        <v>2.824613245263341E-4</v>
      </c>
      <c r="X127" s="50">
        <f>'AESS-all'!X127/'AESS-all'!X$1</f>
        <v>0</v>
      </c>
      <c r="Y127" s="50">
        <f>'AESS-all'!Y127/'AESS-all'!Y$1</f>
        <v>0</v>
      </c>
      <c r="Z127" s="51">
        <f>'AESS-all'!Z127/'AESS-all'!Z$1</f>
        <v>0</v>
      </c>
      <c r="AA127" s="49">
        <f>'AESS-all'!AA127/'AESS-all'!AA$1</f>
        <v>2.00711090721413E-4</v>
      </c>
      <c r="AB127" s="50">
        <f>'AESS-all'!AB127/'AESS-all'!AB$1</f>
        <v>0</v>
      </c>
      <c r="AC127" s="50">
        <f>'AESS-all'!AC127/'AESS-all'!AC$1</f>
        <v>0</v>
      </c>
      <c r="AD127" s="51">
        <f>'AESS-all'!AD127/'AESS-all'!AD$1</f>
        <v>0</v>
      </c>
    </row>
    <row r="128" spans="1:30" x14ac:dyDescent="0.35">
      <c r="A128" t="str">
        <f>'AESS-all'!A128</f>
        <v>OTU_122</v>
      </c>
      <c r="B128">
        <f>'AESS-all'!B128</f>
        <v>19</v>
      </c>
      <c r="C128" t="str">
        <f>'AESS-all'!C128</f>
        <v>Root</v>
      </c>
      <c r="D128" t="str">
        <f>'AESS-all'!D128</f>
        <v>Bacteria</v>
      </c>
      <c r="E128" t="str">
        <f>'AESS-all'!E128</f>
        <v>Actinobacteria</v>
      </c>
      <c r="F128" t="str">
        <f>'AESS-all'!F128</f>
        <v>.</v>
      </c>
      <c r="G128" t="str">
        <f>'AESS-all'!G128</f>
        <v>Actinobacteria</v>
      </c>
      <c r="H128" t="str">
        <f>'AESS-all'!H128</f>
        <v>Rubrobacteridae</v>
      </c>
      <c r="I128" t="str">
        <f>'AESS-all'!I128</f>
        <v>.</v>
      </c>
      <c r="J128" t="str">
        <f>'AESS-all'!J128</f>
        <v>.</v>
      </c>
      <c r="K128" t="str">
        <f>'AESS-all'!K128</f>
        <v>.</v>
      </c>
      <c r="L128" t="str">
        <f>'AESS-all'!L128</f>
        <v>.</v>
      </c>
      <c r="M128" t="str">
        <f>'AESS-all'!M128</f>
        <v>.</v>
      </c>
      <c r="N128" t="str">
        <f>'AESS-all'!N128</f>
        <v>.</v>
      </c>
      <c r="O128">
        <f>'AESS-all'!O128</f>
        <v>0.56000000000000005</v>
      </c>
      <c r="P128" t="str">
        <f>'AESS-all'!P128</f>
        <v>Streptomyces_aomiensis_(T)_M24DS04_(AB522686)</v>
      </c>
      <c r="Q128">
        <f>'AESS-all'!Q128</f>
        <v>89.3</v>
      </c>
      <c r="R128">
        <f>'AESS-all'!R128</f>
        <v>3</v>
      </c>
      <c r="S128" s="49">
        <f>'AESS-all'!S128/'AESS-all'!S$1</f>
        <v>2.5642818845140688E-4</v>
      </c>
      <c r="T128" s="50">
        <f>'AESS-all'!T128/'AESS-all'!T$1</f>
        <v>0</v>
      </c>
      <c r="U128" s="50">
        <f>'AESS-all'!U128/'AESS-all'!U$1</f>
        <v>0</v>
      </c>
      <c r="V128" s="51">
        <f>'AESS-all'!V128/'AESS-all'!V$1</f>
        <v>0</v>
      </c>
      <c r="W128" s="49">
        <f>'AESS-all'!W128/'AESS-all'!W$1</f>
        <v>0</v>
      </c>
      <c r="X128" s="50">
        <f>'AESS-all'!X128/'AESS-all'!X$1</f>
        <v>0</v>
      </c>
      <c r="Y128" s="50">
        <f>'AESS-all'!Y128/'AESS-all'!Y$1</f>
        <v>0</v>
      </c>
      <c r="Z128" s="51">
        <f>'AESS-all'!Z128/'AESS-all'!Z$1</f>
        <v>0</v>
      </c>
      <c r="AA128" s="49">
        <f>'AESS-all'!AA128/'AESS-all'!AA$1</f>
        <v>2.2938410368161487E-4</v>
      </c>
      <c r="AB128" s="50">
        <f>'AESS-all'!AB128/'AESS-all'!AB$1</f>
        <v>0</v>
      </c>
      <c r="AC128" s="50">
        <f>'AESS-all'!AC128/'AESS-all'!AC$1</f>
        <v>0</v>
      </c>
      <c r="AD128" s="51">
        <f>'AESS-all'!AD128/'AESS-all'!AD$1</f>
        <v>0</v>
      </c>
    </row>
    <row r="129" spans="1:30" x14ac:dyDescent="0.35">
      <c r="A129" t="str">
        <f>'AESS-all'!A129</f>
        <v>OTU_123</v>
      </c>
      <c r="B129">
        <f>'AESS-all'!B129</f>
        <v>18</v>
      </c>
      <c r="C129" t="str">
        <f>'AESS-all'!C129</f>
        <v>Root</v>
      </c>
      <c r="D129" t="str">
        <f>'AESS-all'!D129</f>
        <v>Bacteria</v>
      </c>
      <c r="E129" t="str">
        <f>'AESS-all'!E129</f>
        <v>Bacteroidetes</v>
      </c>
      <c r="F129" t="str">
        <f>'AESS-all'!F129</f>
        <v>.</v>
      </c>
      <c r="G129" t="str">
        <f>'AESS-all'!G129</f>
        <v>Bacteroidia</v>
      </c>
      <c r="H129" t="str">
        <f>'AESS-all'!H129</f>
        <v>.</v>
      </c>
      <c r="I129" t="str">
        <f>'AESS-all'!I129</f>
        <v>Bacteroidales</v>
      </c>
      <c r="J129" t="str">
        <f>'AESS-all'!J129</f>
        <v>.</v>
      </c>
      <c r="K129" t="str">
        <f>'AESS-all'!K129</f>
        <v>Prolixibacteraceae</v>
      </c>
      <c r="L129" t="str">
        <f>'AESS-all'!L129</f>
        <v>.</v>
      </c>
      <c r="M129" t="str">
        <f>'AESS-all'!M129</f>
        <v>.</v>
      </c>
      <c r="N129" t="str">
        <f>'AESS-all'!N129</f>
        <v>.</v>
      </c>
      <c r="O129">
        <f>'AESS-all'!O129</f>
        <v>0.67</v>
      </c>
      <c r="P129" t="str">
        <f>'AESS-all'!P129</f>
        <v>Mariniphaga_sediminis_strain_SY21_(NR_137221.1)</v>
      </c>
      <c r="Q129">
        <f>'AESS-all'!Q129</f>
        <v>91.3</v>
      </c>
      <c r="R129">
        <f>'AESS-all'!R129</f>
        <v>1</v>
      </c>
      <c r="S129" s="49">
        <f>'AESS-all'!S129/'AESS-all'!S$1</f>
        <v>3.7298645592931905E-4</v>
      </c>
      <c r="T129" s="50">
        <f>'AESS-all'!T129/'AESS-all'!T$1</f>
        <v>0</v>
      </c>
      <c r="U129" s="50">
        <f>'AESS-all'!U129/'AESS-all'!U$1</f>
        <v>0</v>
      </c>
      <c r="V129" s="51">
        <f>'AESS-all'!V129/'AESS-all'!V$1</f>
        <v>0</v>
      </c>
      <c r="W129" s="49">
        <f>'AESS-all'!W129/'AESS-all'!W$1</f>
        <v>2.1727794194333393E-5</v>
      </c>
      <c r="X129" s="50">
        <f>'AESS-all'!X129/'AESS-all'!X$1</f>
        <v>0</v>
      </c>
      <c r="Y129" s="50">
        <f>'AESS-all'!Y129/'AESS-all'!Y$1</f>
        <v>0</v>
      </c>
      <c r="Z129" s="51">
        <f>'AESS-all'!Z129/'AESS-all'!Z$1</f>
        <v>0</v>
      </c>
      <c r="AA129" s="49">
        <f>'AESS-all'!AA129/'AESS-all'!AA$1</f>
        <v>2.8673012960201859E-5</v>
      </c>
      <c r="AB129" s="50">
        <f>'AESS-all'!AB129/'AESS-all'!AB$1</f>
        <v>0</v>
      </c>
      <c r="AC129" s="50">
        <f>'AESS-all'!AC129/'AESS-all'!AC$1</f>
        <v>0</v>
      </c>
      <c r="AD129" s="51">
        <f>'AESS-all'!AD129/'AESS-all'!AD$1</f>
        <v>0</v>
      </c>
    </row>
    <row r="130" spans="1:30" x14ac:dyDescent="0.35">
      <c r="A130" t="str">
        <f>'AESS-all'!A130</f>
        <v>OTU_148</v>
      </c>
      <c r="B130">
        <f>'AESS-all'!B130</f>
        <v>17</v>
      </c>
      <c r="C130" t="str">
        <f>'AESS-all'!C130</f>
        <v>Root</v>
      </c>
      <c r="D130" t="str">
        <f>'AESS-all'!D130</f>
        <v>Bacteria</v>
      </c>
      <c r="E130" t="str">
        <f>'AESS-all'!E130</f>
        <v>Bacteroidetes</v>
      </c>
      <c r="F130" t="str">
        <f>'AESS-all'!F130</f>
        <v>.</v>
      </c>
      <c r="G130" t="str">
        <f>'AESS-all'!G130</f>
        <v>.</v>
      </c>
      <c r="H130" t="str">
        <f>'AESS-all'!H130</f>
        <v>.</v>
      </c>
      <c r="I130" t="str">
        <f>'AESS-all'!I130</f>
        <v>.</v>
      </c>
      <c r="J130" t="str">
        <f>'AESS-all'!J130</f>
        <v>.</v>
      </c>
      <c r="K130" t="str">
        <f>'AESS-all'!K130</f>
        <v>.</v>
      </c>
      <c r="L130" t="str">
        <f>'AESS-all'!L130</f>
        <v>.</v>
      </c>
      <c r="M130" t="str">
        <f>'AESS-all'!M130</f>
        <v>.</v>
      </c>
      <c r="N130" t="str">
        <f>'AESS-all'!N130</f>
        <v>.</v>
      </c>
      <c r="O130">
        <f>'AESS-all'!O130</f>
        <v>0.99</v>
      </c>
      <c r="P130" t="str">
        <f>'AESS-all'!P130</f>
        <v>Cytophaga_xylanolytica_strain_DSM_6779_(NR_117112.1)</v>
      </c>
      <c r="Q130">
        <f>'AESS-all'!Q130</f>
        <v>86.2</v>
      </c>
      <c r="R130">
        <f>'AESS-all'!R130</f>
        <v>2</v>
      </c>
      <c r="S130" s="49">
        <f>'AESS-all'!S130/'AESS-all'!S$1</f>
        <v>1.1655826747791221E-4</v>
      </c>
      <c r="T130" s="50">
        <f>'AESS-all'!T130/'AESS-all'!T$1</f>
        <v>0</v>
      </c>
      <c r="U130" s="50">
        <f>'AESS-all'!U130/'AESS-all'!U$1</f>
        <v>0</v>
      </c>
      <c r="V130" s="51">
        <f>'AESS-all'!V130/'AESS-all'!V$1</f>
        <v>0</v>
      </c>
      <c r="W130" s="49">
        <f>'AESS-all'!W130/'AESS-all'!W$1</f>
        <v>1.3036676516600034E-4</v>
      </c>
      <c r="X130" s="50">
        <f>'AESS-all'!X130/'AESS-all'!X$1</f>
        <v>0</v>
      </c>
      <c r="Y130" s="50">
        <f>'AESS-all'!Y130/'AESS-all'!Y$1</f>
        <v>0</v>
      </c>
      <c r="Z130" s="51">
        <f>'AESS-all'!Z130/'AESS-all'!Z$1</f>
        <v>0</v>
      </c>
      <c r="AA130" s="49">
        <f>'AESS-all'!AA130/'AESS-all'!AA$1</f>
        <v>1.7203807776121116E-4</v>
      </c>
      <c r="AB130" s="50">
        <f>'AESS-all'!AB130/'AESS-all'!AB$1</f>
        <v>0</v>
      </c>
      <c r="AC130" s="50">
        <f>'AESS-all'!AC130/'AESS-all'!AC$1</f>
        <v>0</v>
      </c>
      <c r="AD130" s="51">
        <f>'AESS-all'!AD130/'AESS-all'!AD$1</f>
        <v>0</v>
      </c>
    </row>
    <row r="131" spans="1:30" x14ac:dyDescent="0.35">
      <c r="A131" t="str">
        <f>'AESS-all'!A131</f>
        <v>OTU_133</v>
      </c>
      <c r="B131">
        <f>'AESS-all'!B131</f>
        <v>16</v>
      </c>
      <c r="C131" t="str">
        <f>'AESS-all'!C131</f>
        <v>Root</v>
      </c>
      <c r="D131" t="str">
        <f>'AESS-all'!D131</f>
        <v>Bacteria</v>
      </c>
      <c r="E131" t="str">
        <f>'AESS-all'!E131</f>
        <v>Proteobacteria</v>
      </c>
      <c r="F131" t="str">
        <f>'AESS-all'!F131</f>
        <v>.</v>
      </c>
      <c r="G131" t="str">
        <f>'AESS-all'!G131</f>
        <v>Alphaproteobacteria</v>
      </c>
      <c r="H131" t="str">
        <f>'AESS-all'!H131</f>
        <v>.</v>
      </c>
      <c r="I131" t="str">
        <f>'AESS-all'!I131</f>
        <v>Rhizobiales</v>
      </c>
      <c r="J131" t="str">
        <f>'AESS-all'!J131</f>
        <v>.</v>
      </c>
      <c r="K131" t="str">
        <f>'AESS-all'!K131</f>
        <v>Rhodobiaceae</v>
      </c>
      <c r="L131" t="str">
        <f>'AESS-all'!L131</f>
        <v>.</v>
      </c>
      <c r="M131" t="str">
        <f>'AESS-all'!M131</f>
        <v>Parvibaculum</v>
      </c>
      <c r="N131" t="str">
        <f>'AESS-all'!N131</f>
        <v>.</v>
      </c>
      <c r="O131">
        <f>'AESS-all'!O131</f>
        <v>1</v>
      </c>
      <c r="P131" t="str">
        <f>'AESS-all'!P131</f>
        <v>Parvibaculum_lavamentivorans_(T)_DS-1_(AY387398)</v>
      </c>
      <c r="Q131">
        <f>'AESS-all'!Q131</f>
        <v>100</v>
      </c>
      <c r="R131">
        <f>'AESS-all'!R131</f>
        <v>1</v>
      </c>
      <c r="S131" s="49">
        <f>'AESS-all'!S131/'AESS-all'!S$1</f>
        <v>1.1655826747791221E-4</v>
      </c>
      <c r="T131" s="50">
        <f>'AESS-all'!T131/'AESS-all'!T$1</f>
        <v>0</v>
      </c>
      <c r="U131" s="50">
        <f>'AESS-all'!U131/'AESS-all'!U$1</f>
        <v>0</v>
      </c>
      <c r="V131" s="51">
        <f>'AESS-all'!V131/'AESS-all'!V$1</f>
        <v>0</v>
      </c>
      <c r="W131" s="49">
        <f>'AESS-all'!W131/'AESS-all'!W$1</f>
        <v>1.5209455936033374E-4</v>
      </c>
      <c r="X131" s="50">
        <f>'AESS-all'!X131/'AESS-all'!X$1</f>
        <v>0</v>
      </c>
      <c r="Y131" s="50">
        <f>'AESS-all'!Y131/'AESS-all'!Y$1</f>
        <v>0</v>
      </c>
      <c r="Z131" s="51">
        <f>'AESS-all'!Z131/'AESS-all'!Z$1</f>
        <v>0</v>
      </c>
      <c r="AA131" s="49">
        <f>'AESS-all'!AA131/'AESS-all'!AA$1</f>
        <v>1.1469205184080744E-4</v>
      </c>
      <c r="AB131" s="50">
        <f>'AESS-all'!AB131/'AESS-all'!AB$1</f>
        <v>0</v>
      </c>
      <c r="AC131" s="50">
        <f>'AESS-all'!AC131/'AESS-all'!AC$1</f>
        <v>0</v>
      </c>
      <c r="AD131" s="51">
        <f>'AESS-all'!AD131/'AESS-all'!AD$1</f>
        <v>0</v>
      </c>
    </row>
    <row r="132" spans="1:30" x14ac:dyDescent="0.35">
      <c r="A132" t="str">
        <f>'AESS-all'!A132</f>
        <v>OTU_129</v>
      </c>
      <c r="B132">
        <f>'AESS-all'!B132</f>
        <v>16</v>
      </c>
      <c r="C132" t="str">
        <f>'AESS-all'!C132</f>
        <v>Root</v>
      </c>
      <c r="D132" t="str">
        <f>'AESS-all'!D132</f>
        <v>Bacteria</v>
      </c>
      <c r="E132" t="str">
        <f>'AESS-all'!E132</f>
        <v>Firmicutes</v>
      </c>
      <c r="F132" t="str">
        <f>'AESS-all'!F132</f>
        <v>.</v>
      </c>
      <c r="G132" t="str">
        <f>'AESS-all'!G132</f>
        <v>Clostridia</v>
      </c>
      <c r="H132" t="str">
        <f>'AESS-all'!H132</f>
        <v>.</v>
      </c>
      <c r="I132" t="str">
        <f>'AESS-all'!I132</f>
        <v>Clostridiales</v>
      </c>
      <c r="J132" t="str">
        <f>'AESS-all'!J132</f>
        <v>.</v>
      </c>
      <c r="K132" t="str">
        <f>'AESS-all'!K132</f>
        <v>.</v>
      </c>
      <c r="L132" t="str">
        <f>'AESS-all'!L132</f>
        <v>.</v>
      </c>
      <c r="M132" t="str">
        <f>'AESS-all'!M132</f>
        <v>.</v>
      </c>
      <c r="N132" t="str">
        <f>'AESS-all'!N132</f>
        <v>.</v>
      </c>
      <c r="O132">
        <f>'AESS-all'!O132</f>
        <v>1</v>
      </c>
      <c r="P132" t="str">
        <f>'AESS-all'!P132</f>
        <v>Natranaerovirga_pectinivora_(T)_AP3_(GQ922846)</v>
      </c>
      <c r="Q132">
        <f>'AESS-all'!Q132</f>
        <v>94.9</v>
      </c>
      <c r="R132">
        <f>'AESS-all'!R132</f>
        <v>1</v>
      </c>
      <c r="S132" s="49">
        <f>'AESS-all'!S132/'AESS-all'!S$1</f>
        <v>1.1655826747791221E-4</v>
      </c>
      <c r="T132" s="50">
        <f>'AESS-all'!T132/'AESS-all'!T$1</f>
        <v>0</v>
      </c>
      <c r="U132" s="50">
        <f>'AESS-all'!U132/'AESS-all'!U$1</f>
        <v>0</v>
      </c>
      <c r="V132" s="51">
        <f>'AESS-all'!V132/'AESS-all'!V$1</f>
        <v>0</v>
      </c>
      <c r="W132" s="49">
        <f>'AESS-all'!W132/'AESS-all'!W$1</f>
        <v>1.3036676516600034E-4</v>
      </c>
      <c r="X132" s="50">
        <f>'AESS-all'!X132/'AESS-all'!X$1</f>
        <v>0</v>
      </c>
      <c r="Y132" s="50">
        <f>'AESS-all'!Y132/'AESS-all'!Y$1</f>
        <v>0</v>
      </c>
      <c r="Z132" s="51">
        <f>'AESS-all'!Z132/'AESS-all'!Z$1</f>
        <v>0</v>
      </c>
      <c r="AA132" s="49">
        <f>'AESS-all'!AA132/'AESS-all'!AA$1</f>
        <v>1.4336506480100929E-4</v>
      </c>
      <c r="AB132" s="50">
        <f>'AESS-all'!AB132/'AESS-all'!AB$1</f>
        <v>0</v>
      </c>
      <c r="AC132" s="50">
        <f>'AESS-all'!AC132/'AESS-all'!AC$1</f>
        <v>0</v>
      </c>
      <c r="AD132" s="51">
        <f>'AESS-all'!AD132/'AESS-all'!AD$1</f>
        <v>0</v>
      </c>
    </row>
    <row r="133" spans="1:30" x14ac:dyDescent="0.35">
      <c r="A133" t="str">
        <f>'AESS-all'!A133</f>
        <v>OTU_132</v>
      </c>
      <c r="B133">
        <f>'AESS-all'!B133</f>
        <v>15</v>
      </c>
      <c r="C133" t="str">
        <f>'AESS-all'!C133</f>
        <v>Root</v>
      </c>
      <c r="D133" t="str">
        <f>'AESS-all'!D133</f>
        <v>Bacteria</v>
      </c>
      <c r="E133" t="str">
        <f>'AESS-all'!E133</f>
        <v>Ignavibacteriae</v>
      </c>
      <c r="F133" t="str">
        <f>'AESS-all'!F133</f>
        <v>.</v>
      </c>
      <c r="G133" t="str">
        <f>'AESS-all'!G133</f>
        <v>Ignavibacteria</v>
      </c>
      <c r="H133" t="str">
        <f>'AESS-all'!H133</f>
        <v>.</v>
      </c>
      <c r="I133" t="str">
        <f>'AESS-all'!I133</f>
        <v>Ignavibacteriales</v>
      </c>
      <c r="J133" t="str">
        <f>'AESS-all'!J133</f>
        <v>.</v>
      </c>
      <c r="K133" t="str">
        <f>'AESS-all'!K133</f>
        <v>Ignavibacteriaceae</v>
      </c>
      <c r="L133" t="str">
        <f>'AESS-all'!L133</f>
        <v>.</v>
      </c>
      <c r="M133" t="str">
        <f>'AESS-all'!M133</f>
        <v>Melioribacter</v>
      </c>
      <c r="N133" t="str">
        <f>'AESS-all'!N133</f>
        <v>.</v>
      </c>
      <c r="O133">
        <f>'AESS-all'!O133</f>
        <v>0.81</v>
      </c>
      <c r="P133" t="str">
        <f>'AESS-all'!P133</f>
        <v>Melioribacter_roseus_P3M-2_(JQ292917)</v>
      </c>
      <c r="Q133">
        <f>'AESS-all'!Q133</f>
        <v>95.7</v>
      </c>
      <c r="R133">
        <f>'AESS-all'!R133</f>
        <v>1</v>
      </c>
      <c r="S133" s="49">
        <f>'AESS-all'!S133/'AESS-all'!S$1</f>
        <v>1.3986992097349466E-4</v>
      </c>
      <c r="T133" s="50">
        <f>'AESS-all'!T133/'AESS-all'!T$1</f>
        <v>0</v>
      </c>
      <c r="U133" s="50">
        <f>'AESS-all'!U133/'AESS-all'!U$1</f>
        <v>0</v>
      </c>
      <c r="V133" s="51">
        <f>'AESS-all'!V133/'AESS-all'!V$1</f>
        <v>0</v>
      </c>
      <c r="W133" s="49">
        <f>'AESS-all'!W133/'AESS-all'!W$1</f>
        <v>1.0863897097166696E-4</v>
      </c>
      <c r="X133" s="50">
        <f>'AESS-all'!X133/'AESS-all'!X$1</f>
        <v>0</v>
      </c>
      <c r="Y133" s="50">
        <f>'AESS-all'!Y133/'AESS-all'!Y$1</f>
        <v>0</v>
      </c>
      <c r="Z133" s="51">
        <f>'AESS-all'!Z133/'AESS-all'!Z$1</f>
        <v>0</v>
      </c>
      <c r="AA133" s="49">
        <f>'AESS-all'!AA133/'AESS-all'!AA$1</f>
        <v>1.1469205184080744E-4</v>
      </c>
      <c r="AB133" s="50">
        <f>'AESS-all'!AB133/'AESS-all'!AB$1</f>
        <v>0</v>
      </c>
      <c r="AC133" s="50">
        <f>'AESS-all'!AC133/'AESS-all'!AC$1</f>
        <v>0</v>
      </c>
      <c r="AD133" s="51">
        <f>'AESS-all'!AD133/'AESS-all'!AD$1</f>
        <v>0</v>
      </c>
    </row>
    <row r="134" spans="1:30" x14ac:dyDescent="0.35">
      <c r="A134" t="str">
        <f>'AESS-all'!A134</f>
        <v>OTU_145</v>
      </c>
      <c r="B134">
        <f>'AESS-all'!B134</f>
        <v>15</v>
      </c>
      <c r="C134" t="str">
        <f>'AESS-all'!C134</f>
        <v>Root</v>
      </c>
      <c r="D134" t="str">
        <f>'AESS-all'!D134</f>
        <v>Bacteria</v>
      </c>
      <c r="E134" t="str">
        <f>'AESS-all'!E134</f>
        <v>Bacteroidetes</v>
      </c>
      <c r="F134" t="str">
        <f>'AESS-all'!F134</f>
        <v>.</v>
      </c>
      <c r="G134" t="str">
        <f>'AESS-all'!G134</f>
        <v>.</v>
      </c>
      <c r="H134" t="str">
        <f>'AESS-all'!H134</f>
        <v>.</v>
      </c>
      <c r="I134" t="str">
        <f>'AESS-all'!I134</f>
        <v>.</v>
      </c>
      <c r="J134" t="str">
        <f>'AESS-all'!J134</f>
        <v>.</v>
      </c>
      <c r="K134" t="str">
        <f>'AESS-all'!K134</f>
        <v>.</v>
      </c>
      <c r="L134" t="str">
        <f>'AESS-all'!L134</f>
        <v>.</v>
      </c>
      <c r="M134" t="str">
        <f>'AESS-all'!M134</f>
        <v>.</v>
      </c>
      <c r="N134" t="str">
        <f>'AESS-all'!N134</f>
        <v>.</v>
      </c>
      <c r="O134">
        <f>'AESS-all'!O134</f>
        <v>1</v>
      </c>
      <c r="P134" t="str">
        <f>'AESS-all'!P134</f>
        <v>Sunxiuqinia_faeciviva_(T)_JAM-BA0302_(AB362263)</v>
      </c>
      <c r="Q134">
        <f>'AESS-all'!Q134</f>
        <v>85.8</v>
      </c>
      <c r="R134">
        <f>'AESS-all'!R134</f>
        <v>1</v>
      </c>
      <c r="S134" s="49">
        <f>'AESS-all'!S134/'AESS-all'!S$1</f>
        <v>1.1655826747791221E-4</v>
      </c>
      <c r="T134" s="50">
        <f>'AESS-all'!T134/'AESS-all'!T$1</f>
        <v>0</v>
      </c>
      <c r="U134" s="50">
        <f>'AESS-all'!U134/'AESS-all'!U$1</f>
        <v>0</v>
      </c>
      <c r="V134" s="51">
        <f>'AESS-all'!V134/'AESS-all'!V$1</f>
        <v>0</v>
      </c>
      <c r="W134" s="49">
        <f>'AESS-all'!W134/'AESS-all'!W$1</f>
        <v>1.3036676516600034E-4</v>
      </c>
      <c r="X134" s="50">
        <f>'AESS-all'!X134/'AESS-all'!X$1</f>
        <v>0</v>
      </c>
      <c r="Y134" s="50">
        <f>'AESS-all'!Y134/'AESS-all'!Y$1</f>
        <v>0</v>
      </c>
      <c r="Z134" s="51">
        <f>'AESS-all'!Z134/'AESS-all'!Z$1</f>
        <v>0</v>
      </c>
      <c r="AA134" s="49">
        <f>'AESS-all'!AA134/'AESS-all'!AA$1</f>
        <v>1.1469205184080744E-4</v>
      </c>
      <c r="AB134" s="50">
        <f>'AESS-all'!AB134/'AESS-all'!AB$1</f>
        <v>0</v>
      </c>
      <c r="AC134" s="50">
        <f>'AESS-all'!AC134/'AESS-all'!AC$1</f>
        <v>0</v>
      </c>
      <c r="AD134" s="51">
        <f>'AESS-all'!AD134/'AESS-all'!AD$1</f>
        <v>0</v>
      </c>
    </row>
    <row r="135" spans="1:30" x14ac:dyDescent="0.35">
      <c r="A135" t="str">
        <f>'AESS-all'!A135</f>
        <v>OTU_115</v>
      </c>
      <c r="B135">
        <f>'AESS-all'!B135</f>
        <v>14</v>
      </c>
      <c r="C135" t="str">
        <f>'AESS-all'!C135</f>
        <v>Root</v>
      </c>
      <c r="D135" t="str">
        <f>'AESS-all'!D135</f>
        <v>Bacteria</v>
      </c>
      <c r="E135" t="str">
        <f>'AESS-all'!E135</f>
        <v>Bacteroidetes</v>
      </c>
      <c r="F135" t="str">
        <f>'AESS-all'!F135</f>
        <v>.</v>
      </c>
      <c r="G135" t="str">
        <f>'AESS-all'!G135</f>
        <v>Bacteroidia</v>
      </c>
      <c r="H135" t="str">
        <f>'AESS-all'!H135</f>
        <v>.</v>
      </c>
      <c r="I135" t="str">
        <f>'AESS-all'!I135</f>
        <v>Bacteroidales</v>
      </c>
      <c r="J135" t="str">
        <f>'AESS-all'!J135</f>
        <v>.</v>
      </c>
      <c r="K135" t="str">
        <f>'AESS-all'!K135</f>
        <v>Porphyromonadaceae</v>
      </c>
      <c r="L135" t="str">
        <f>'AESS-all'!L135</f>
        <v>.</v>
      </c>
      <c r="M135" t="str">
        <f>'AESS-all'!M135</f>
        <v>.</v>
      </c>
      <c r="N135" t="str">
        <f>'AESS-all'!N135</f>
        <v>.</v>
      </c>
      <c r="O135">
        <f>'AESS-all'!O135</f>
        <v>0.97</v>
      </c>
      <c r="P135" t="str">
        <f>'AESS-all'!P135</f>
        <v>Muribaculum_intestinale_strain_YL27_(NR_144616.1)</v>
      </c>
      <c r="Q135">
        <f>'AESS-all'!Q135</f>
        <v>93.7</v>
      </c>
      <c r="R135">
        <f>'AESS-all'!R135</f>
        <v>1</v>
      </c>
      <c r="S135" s="49">
        <f>'AESS-all'!S135/'AESS-all'!S$1</f>
        <v>1.1655826747791221E-4</v>
      </c>
      <c r="T135" s="50">
        <f>'AESS-all'!T135/'AESS-all'!T$1</f>
        <v>0</v>
      </c>
      <c r="U135" s="50">
        <f>'AESS-all'!U135/'AESS-all'!U$1</f>
        <v>0</v>
      </c>
      <c r="V135" s="51">
        <f>'AESS-all'!V135/'AESS-all'!V$1</f>
        <v>0</v>
      </c>
      <c r="W135" s="49">
        <f>'AESS-all'!W135/'AESS-all'!W$1</f>
        <v>1.3036676516600034E-4</v>
      </c>
      <c r="X135" s="50">
        <f>'AESS-all'!X135/'AESS-all'!X$1</f>
        <v>0</v>
      </c>
      <c r="Y135" s="50">
        <f>'AESS-all'!Y135/'AESS-all'!Y$1</f>
        <v>0</v>
      </c>
      <c r="Z135" s="51">
        <f>'AESS-all'!Z135/'AESS-all'!Z$1</f>
        <v>0</v>
      </c>
      <c r="AA135" s="49">
        <f>'AESS-all'!AA135/'AESS-all'!AA$1</f>
        <v>8.6019038880605581E-5</v>
      </c>
      <c r="AB135" s="50">
        <f>'AESS-all'!AB135/'AESS-all'!AB$1</f>
        <v>0</v>
      </c>
      <c r="AC135" s="50">
        <f>'AESS-all'!AC135/'AESS-all'!AC$1</f>
        <v>0</v>
      </c>
      <c r="AD135" s="51">
        <f>'AESS-all'!AD135/'AESS-all'!AD$1</f>
        <v>0</v>
      </c>
    </row>
    <row r="136" spans="1:30" x14ac:dyDescent="0.35">
      <c r="A136" t="str">
        <f>'AESS-all'!A136</f>
        <v>OTU_153</v>
      </c>
      <c r="B136">
        <f>'AESS-all'!B136</f>
        <v>14</v>
      </c>
      <c r="C136" t="str">
        <f>'AESS-all'!C136</f>
        <v>Root</v>
      </c>
      <c r="D136" t="str">
        <f>'AESS-all'!D136</f>
        <v>Bacteria</v>
      </c>
      <c r="E136" t="str">
        <f>'AESS-all'!E136</f>
        <v>Tenericutes</v>
      </c>
      <c r="F136" t="str">
        <f>'AESS-all'!F136</f>
        <v>.</v>
      </c>
      <c r="G136" t="str">
        <f>'AESS-all'!G136</f>
        <v>Mollicutes</v>
      </c>
      <c r="H136" t="str">
        <f>'AESS-all'!H136</f>
        <v>.</v>
      </c>
      <c r="I136" t="str">
        <f>'AESS-all'!I136</f>
        <v>Acholeplasmatales</v>
      </c>
      <c r="J136" t="str">
        <f>'AESS-all'!J136</f>
        <v>.</v>
      </c>
      <c r="K136" t="str">
        <f>'AESS-all'!K136</f>
        <v>Acholeplasmataceae</v>
      </c>
      <c r="L136" t="str">
        <f>'AESS-all'!L136</f>
        <v>.</v>
      </c>
      <c r="M136" t="str">
        <f>'AESS-all'!M136</f>
        <v>Acholeplasma</v>
      </c>
      <c r="N136" t="str">
        <f>'AESS-all'!N136</f>
        <v>.</v>
      </c>
      <c r="O136">
        <f>'AESS-all'!O136</f>
        <v>0.99</v>
      </c>
      <c r="P136" t="str">
        <f>'AESS-all'!P136</f>
        <v>Acholeplasma_parvum_(T)_H23M_(AY538170)</v>
      </c>
      <c r="Q136">
        <f>'AESS-all'!Q136</f>
        <v>94.8</v>
      </c>
      <c r="R136">
        <f>'AESS-all'!R136</f>
        <v>1</v>
      </c>
      <c r="S136" s="49">
        <f>'AESS-all'!S136/'AESS-all'!S$1</f>
        <v>1.3986992097349466E-4</v>
      </c>
      <c r="T136" s="50">
        <f>'AESS-all'!T136/'AESS-all'!T$1</f>
        <v>0</v>
      </c>
      <c r="U136" s="50">
        <f>'AESS-all'!U136/'AESS-all'!U$1</f>
        <v>0</v>
      </c>
      <c r="V136" s="51">
        <f>'AESS-all'!V136/'AESS-all'!V$1</f>
        <v>0</v>
      </c>
      <c r="W136" s="49">
        <f>'AESS-all'!W136/'AESS-all'!W$1</f>
        <v>6.5183382583000168E-5</v>
      </c>
      <c r="X136" s="50">
        <f>'AESS-all'!X136/'AESS-all'!X$1</f>
        <v>0</v>
      </c>
      <c r="Y136" s="50">
        <f>'AESS-all'!Y136/'AESS-all'!Y$1</f>
        <v>0</v>
      </c>
      <c r="Z136" s="51">
        <f>'AESS-all'!Z136/'AESS-all'!Z$1</f>
        <v>0</v>
      </c>
      <c r="AA136" s="49">
        <f>'AESS-all'!AA136/'AESS-all'!AA$1</f>
        <v>1.4336506480100929E-4</v>
      </c>
      <c r="AB136" s="50">
        <f>'AESS-all'!AB136/'AESS-all'!AB$1</f>
        <v>0</v>
      </c>
      <c r="AC136" s="50">
        <f>'AESS-all'!AC136/'AESS-all'!AC$1</f>
        <v>0</v>
      </c>
      <c r="AD136" s="51">
        <f>'AESS-all'!AD136/'AESS-all'!AD$1</f>
        <v>0</v>
      </c>
    </row>
    <row r="137" spans="1:30" x14ac:dyDescent="0.35">
      <c r="A137" t="str">
        <f>'AESS-all'!A137</f>
        <v>OTU_116</v>
      </c>
      <c r="B137">
        <f>'AESS-all'!B137</f>
        <v>14</v>
      </c>
      <c r="C137" t="str">
        <f>'AESS-all'!C137</f>
        <v>Root</v>
      </c>
      <c r="D137" t="str">
        <f>'AESS-all'!D137</f>
        <v>Bacteria</v>
      </c>
      <c r="E137" t="str">
        <f>'AESS-all'!E137</f>
        <v>Verrucomicrobia</v>
      </c>
      <c r="F137" t="str">
        <f>'AESS-all'!F137</f>
        <v>.</v>
      </c>
      <c r="G137" t="str">
        <f>'AESS-all'!G137</f>
        <v>Verrucomicrobiae</v>
      </c>
      <c r="H137" t="str">
        <f>'AESS-all'!H137</f>
        <v>.</v>
      </c>
      <c r="I137" t="str">
        <f>'AESS-all'!I137</f>
        <v>Verrucomicrobiales</v>
      </c>
      <c r="J137" t="str">
        <f>'AESS-all'!J137</f>
        <v>.</v>
      </c>
      <c r="K137" t="str">
        <f>'AESS-all'!K137</f>
        <v>Verrucomicrobiaceae</v>
      </c>
      <c r="L137" t="str">
        <f>'AESS-all'!L137</f>
        <v>.</v>
      </c>
      <c r="M137" t="str">
        <f>'AESS-all'!M137</f>
        <v>Akkermansia</v>
      </c>
      <c r="N137" t="str">
        <f>'AESS-all'!N137</f>
        <v>.</v>
      </c>
      <c r="O137">
        <f>'AESS-all'!O137</f>
        <v>1</v>
      </c>
      <c r="P137" t="str">
        <f>'AESS-all'!P137</f>
        <v>Akkermansia_muciniphila_(T)_Muc_(AY271254)</v>
      </c>
      <c r="Q137">
        <f>'AESS-all'!Q137</f>
        <v>100</v>
      </c>
      <c r="R137">
        <f>'AESS-all'!R137</f>
        <v>1</v>
      </c>
      <c r="S137" s="49">
        <f>'AESS-all'!S137/'AESS-all'!S$1</f>
        <v>3.2636314893815416E-4</v>
      </c>
      <c r="T137" s="50">
        <f>'AESS-all'!T137/'AESS-all'!T$1</f>
        <v>0</v>
      </c>
      <c r="U137" s="50">
        <f>'AESS-all'!U137/'AESS-all'!U$1</f>
        <v>0</v>
      </c>
      <c r="V137" s="51">
        <f>'AESS-all'!V137/'AESS-all'!V$1</f>
        <v>0</v>
      </c>
      <c r="W137" s="49">
        <f>'AESS-all'!W137/'AESS-all'!W$1</f>
        <v>0</v>
      </c>
      <c r="X137" s="50">
        <f>'AESS-all'!X137/'AESS-all'!X$1</f>
        <v>0</v>
      </c>
      <c r="Y137" s="50">
        <f>'AESS-all'!Y137/'AESS-all'!Y$1</f>
        <v>0</v>
      </c>
      <c r="Z137" s="51">
        <f>'AESS-all'!Z137/'AESS-all'!Z$1</f>
        <v>0</v>
      </c>
      <c r="AA137" s="49">
        <f>'AESS-all'!AA137/'AESS-all'!AA$1</f>
        <v>0</v>
      </c>
      <c r="AB137" s="50">
        <f>'AESS-all'!AB137/'AESS-all'!AB$1</f>
        <v>0</v>
      </c>
      <c r="AC137" s="50">
        <f>'AESS-all'!AC137/'AESS-all'!AC$1</f>
        <v>0</v>
      </c>
      <c r="AD137" s="51">
        <f>'AESS-all'!AD137/'AESS-all'!AD$1</f>
        <v>0</v>
      </c>
    </row>
    <row r="138" spans="1:30" x14ac:dyDescent="0.35">
      <c r="A138" t="str">
        <f>'AESS-all'!A138</f>
        <v>OTU_118</v>
      </c>
      <c r="B138">
        <f>'AESS-all'!B138</f>
        <v>14</v>
      </c>
      <c r="C138" t="str">
        <f>'AESS-all'!C138</f>
        <v>Root</v>
      </c>
      <c r="D138" t="str">
        <f>'AESS-all'!D138</f>
        <v>Bacteria</v>
      </c>
      <c r="E138" t="str">
        <f>'AESS-all'!E138</f>
        <v>Spirochaetes</v>
      </c>
      <c r="F138" t="str">
        <f>'AESS-all'!F138</f>
        <v>.</v>
      </c>
      <c r="G138" t="str">
        <f>'AESS-all'!G138</f>
        <v>Spirochaetia</v>
      </c>
      <c r="H138" t="str">
        <f>'AESS-all'!H138</f>
        <v>.</v>
      </c>
      <c r="I138" t="str">
        <f>'AESS-all'!I138</f>
        <v>Spirochaetales</v>
      </c>
      <c r="J138" t="str">
        <f>'AESS-all'!J138</f>
        <v>.</v>
      </c>
      <c r="K138" t="str">
        <f>'AESS-all'!K138</f>
        <v>Spirochaetaceae</v>
      </c>
      <c r="L138" t="str">
        <f>'AESS-all'!L138</f>
        <v>.</v>
      </c>
      <c r="M138" t="str">
        <f>'AESS-all'!M138</f>
        <v>Treponema</v>
      </c>
      <c r="N138" t="str">
        <f>'AESS-all'!N138</f>
        <v>.</v>
      </c>
      <c r="O138">
        <f>'AESS-all'!O138</f>
        <v>1</v>
      </c>
      <c r="P138" t="str">
        <f>'AESS-all'!P138</f>
        <v>Treponema_caldarium_(T)_DSMZ7334_(EU580141)</v>
      </c>
      <c r="Q138">
        <f>'AESS-all'!Q138</f>
        <v>96</v>
      </c>
      <c r="R138">
        <f>'AESS-all'!R138</f>
        <v>1</v>
      </c>
      <c r="S138" s="49">
        <f>'AESS-all'!S138/'AESS-all'!S$1</f>
        <v>1.8649322796465952E-4</v>
      </c>
      <c r="T138" s="50">
        <f>'AESS-all'!T138/'AESS-all'!T$1</f>
        <v>0</v>
      </c>
      <c r="U138" s="50">
        <f>'AESS-all'!U138/'AESS-all'!U$1</f>
        <v>3.9042165538781884E-4</v>
      </c>
      <c r="V138" s="51">
        <f>'AESS-all'!V138/'AESS-all'!V$1</f>
        <v>1.1837821840781296E-4</v>
      </c>
      <c r="W138" s="49">
        <f>'AESS-all'!W138/'AESS-all'!W$1</f>
        <v>0</v>
      </c>
      <c r="X138" s="50">
        <f>'AESS-all'!X138/'AESS-all'!X$1</f>
        <v>0</v>
      </c>
      <c r="Y138" s="50">
        <f>'AESS-all'!Y138/'AESS-all'!Y$1</f>
        <v>0</v>
      </c>
      <c r="Z138" s="51">
        <f>'AESS-all'!Z138/'AESS-all'!Z$1</f>
        <v>0</v>
      </c>
      <c r="AA138" s="49">
        <f>'AESS-all'!AA138/'AESS-all'!AA$1</f>
        <v>2.8673012960201859E-5</v>
      </c>
      <c r="AB138" s="50">
        <f>'AESS-all'!AB138/'AESS-all'!AB$1</f>
        <v>0</v>
      </c>
      <c r="AC138" s="50">
        <f>'AESS-all'!AC138/'AESS-all'!AC$1</f>
        <v>0</v>
      </c>
      <c r="AD138" s="51">
        <f>'AESS-all'!AD138/'AESS-all'!AD$1</f>
        <v>0</v>
      </c>
    </row>
    <row r="139" spans="1:30" x14ac:dyDescent="0.35">
      <c r="A139" t="str">
        <f>'AESS-all'!A139</f>
        <v>OTU_137</v>
      </c>
      <c r="B139">
        <f>'AESS-all'!B139</f>
        <v>13</v>
      </c>
      <c r="C139" t="str">
        <f>'AESS-all'!C139</f>
        <v>Root</v>
      </c>
      <c r="D139" t="str">
        <f>'AESS-all'!D139</f>
        <v>Bacteria</v>
      </c>
      <c r="E139" t="str">
        <f>'AESS-all'!E139</f>
        <v>Firmicutes</v>
      </c>
      <c r="F139" t="str">
        <f>'AESS-all'!F139</f>
        <v>.</v>
      </c>
      <c r="G139" t="str">
        <f>'AESS-all'!G139</f>
        <v>Clostridia</v>
      </c>
      <c r="H139" t="str">
        <f>'AESS-all'!H139</f>
        <v>.</v>
      </c>
      <c r="I139" t="str">
        <f>'AESS-all'!I139</f>
        <v>Clostridiales</v>
      </c>
      <c r="J139" t="str">
        <f>'AESS-all'!J139</f>
        <v>.</v>
      </c>
      <c r="K139" t="str">
        <f>'AESS-all'!K139</f>
        <v>Ruminococcaceae</v>
      </c>
      <c r="L139" t="str">
        <f>'AESS-all'!L139</f>
        <v>.</v>
      </c>
      <c r="M139" t="str">
        <f>'AESS-all'!M139</f>
        <v>Clostridium III</v>
      </c>
      <c r="N139" t="str">
        <f>'AESS-all'!N139</f>
        <v>.</v>
      </c>
      <c r="O139">
        <f>'AESS-all'!O139</f>
        <v>0.72</v>
      </c>
      <c r="P139" t="str">
        <f>'AESS-all'!P139</f>
        <v>[Clostridium]_caenicola_strain_EBR596_(NR_126170.1)</v>
      </c>
      <c r="Q139">
        <f>'AESS-all'!Q139</f>
        <v>94.9</v>
      </c>
      <c r="R139">
        <f>'AESS-all'!R139</f>
        <v>1</v>
      </c>
      <c r="S139" s="49">
        <f>'AESS-all'!S139/'AESS-all'!S$1</f>
        <v>2.3311653495582441E-5</v>
      </c>
      <c r="T139" s="50">
        <f>'AESS-all'!T139/'AESS-all'!T$1</f>
        <v>0</v>
      </c>
      <c r="U139" s="50">
        <f>'AESS-all'!U139/'AESS-all'!U$1</f>
        <v>0</v>
      </c>
      <c r="V139" s="51">
        <f>'AESS-all'!V139/'AESS-all'!V$1</f>
        <v>0</v>
      </c>
      <c r="W139" s="49">
        <f>'AESS-all'!W139/'AESS-all'!W$1</f>
        <v>0</v>
      </c>
      <c r="X139" s="50">
        <f>'AESS-all'!X139/'AESS-all'!X$1</f>
        <v>0</v>
      </c>
      <c r="Y139" s="50">
        <f>'AESS-all'!Y139/'AESS-all'!Y$1</f>
        <v>0</v>
      </c>
      <c r="Z139" s="51">
        <f>'AESS-all'!Z139/'AESS-all'!Z$1</f>
        <v>0</v>
      </c>
      <c r="AA139" s="49">
        <f>'AESS-all'!AA139/'AESS-all'!AA$1</f>
        <v>3.1540314256222045E-4</v>
      </c>
      <c r="AB139" s="50">
        <f>'AESS-all'!AB139/'AESS-all'!AB$1</f>
        <v>4.3372657876474669E-5</v>
      </c>
      <c r="AC139" s="50">
        <f>'AESS-all'!AC139/'AESS-all'!AC$1</f>
        <v>0</v>
      </c>
      <c r="AD139" s="51">
        <f>'AESS-all'!AD139/'AESS-all'!AD$1</f>
        <v>0</v>
      </c>
    </row>
    <row r="140" spans="1:30" x14ac:dyDescent="0.35">
      <c r="A140" t="str">
        <f>'AESS-all'!A140</f>
        <v>OTU_135</v>
      </c>
      <c r="B140">
        <f>'AESS-all'!B140</f>
        <v>13</v>
      </c>
      <c r="C140" t="str">
        <f>'AESS-all'!C140</f>
        <v>Root</v>
      </c>
      <c r="D140" t="str">
        <f>'AESS-all'!D140</f>
        <v>Bacteria</v>
      </c>
      <c r="E140" t="str">
        <f>'AESS-all'!E140</f>
        <v>Firmicutes</v>
      </c>
      <c r="F140" t="str">
        <f>'AESS-all'!F140</f>
        <v>.</v>
      </c>
      <c r="G140" t="str">
        <f>'AESS-all'!G140</f>
        <v>Clostridia</v>
      </c>
      <c r="H140" t="str">
        <f>'AESS-all'!H140</f>
        <v>.</v>
      </c>
      <c r="I140" t="str">
        <f>'AESS-all'!I140</f>
        <v>Clostridiales</v>
      </c>
      <c r="J140" t="str">
        <f>'AESS-all'!J140</f>
        <v>.</v>
      </c>
      <c r="K140" t="str">
        <f>'AESS-all'!K140</f>
        <v>Gracilibacteraceae</v>
      </c>
      <c r="L140" t="str">
        <f>'AESS-all'!L140</f>
        <v>.</v>
      </c>
      <c r="M140" t="str">
        <f>'AESS-all'!M140</f>
        <v>.</v>
      </c>
      <c r="N140" t="str">
        <f>'AESS-all'!N140</f>
        <v>.</v>
      </c>
      <c r="O140">
        <f>'AESS-all'!O140</f>
        <v>0.5</v>
      </c>
      <c r="P140" t="str">
        <f>'AESS-all'!P140</f>
        <v>Gracilibacter_thermotolerans_(T)_JW/YJL-S1_(DQ117465)</v>
      </c>
      <c r="Q140">
        <f>'AESS-all'!Q140</f>
        <v>90.1</v>
      </c>
      <c r="R140">
        <f>'AESS-all'!R140</f>
        <v>1</v>
      </c>
      <c r="S140" s="49">
        <f>'AESS-all'!S140/'AESS-all'!S$1</f>
        <v>2.3311653495582441E-5</v>
      </c>
      <c r="T140" s="50">
        <f>'AESS-all'!T140/'AESS-all'!T$1</f>
        <v>0</v>
      </c>
      <c r="U140" s="50">
        <f>'AESS-all'!U140/'AESS-all'!U$1</f>
        <v>0</v>
      </c>
      <c r="V140" s="51">
        <f>'AESS-all'!V140/'AESS-all'!V$1</f>
        <v>0</v>
      </c>
      <c r="W140" s="49">
        <f>'AESS-all'!W140/'AESS-all'!W$1</f>
        <v>6.5183382583000168E-5</v>
      </c>
      <c r="X140" s="50">
        <f>'AESS-all'!X140/'AESS-all'!X$1</f>
        <v>0</v>
      </c>
      <c r="Y140" s="50">
        <f>'AESS-all'!Y140/'AESS-all'!Y$1</f>
        <v>0</v>
      </c>
      <c r="Z140" s="51">
        <f>'AESS-all'!Z140/'AESS-all'!Z$1</f>
        <v>0</v>
      </c>
      <c r="AA140" s="49">
        <f>'AESS-all'!AA140/'AESS-all'!AA$1</f>
        <v>2.5805711664181672E-4</v>
      </c>
      <c r="AB140" s="50">
        <f>'AESS-all'!AB140/'AESS-all'!AB$1</f>
        <v>0</v>
      </c>
      <c r="AC140" s="50">
        <f>'AESS-all'!AC140/'AESS-all'!AC$1</f>
        <v>0</v>
      </c>
      <c r="AD140" s="51">
        <f>'AESS-all'!AD140/'AESS-all'!AD$1</f>
        <v>0</v>
      </c>
    </row>
    <row r="141" spans="1:30" x14ac:dyDescent="0.35">
      <c r="A141" t="str">
        <f>'AESS-all'!A141</f>
        <v>OTU_154</v>
      </c>
      <c r="B141">
        <f>'AESS-all'!B141</f>
        <v>13</v>
      </c>
      <c r="C141" t="str">
        <f>'AESS-all'!C141</f>
        <v>Root</v>
      </c>
      <c r="D141" t="str">
        <f>'AESS-all'!D141</f>
        <v>Bacteria</v>
      </c>
      <c r="E141" t="str">
        <f>'AESS-all'!E141</f>
        <v>Synergistetes</v>
      </c>
      <c r="F141" t="str">
        <f>'AESS-all'!F141</f>
        <v>.</v>
      </c>
      <c r="G141" t="str">
        <f>'AESS-all'!G141</f>
        <v>Synergistia</v>
      </c>
      <c r="H141" t="str">
        <f>'AESS-all'!H141</f>
        <v>.</v>
      </c>
      <c r="I141" t="str">
        <f>'AESS-all'!I141</f>
        <v>Synergistales</v>
      </c>
      <c r="J141" t="str">
        <f>'AESS-all'!J141</f>
        <v>.</v>
      </c>
      <c r="K141" t="str">
        <f>'AESS-all'!K141</f>
        <v>Synergistaceae</v>
      </c>
      <c r="L141" t="str">
        <f>'AESS-all'!L141</f>
        <v>.</v>
      </c>
      <c r="M141" t="str">
        <f>'AESS-all'!M141</f>
        <v>Thermovirga</v>
      </c>
      <c r="N141" t="str">
        <f>'AESS-all'!N141</f>
        <v>.</v>
      </c>
      <c r="O141">
        <f>'AESS-all'!O141</f>
        <v>0.88</v>
      </c>
      <c r="P141" t="str">
        <f>'AESS-all'!P141</f>
        <v>Thermovirga_lienii_(T)_Cas60314_(DQ071273)</v>
      </c>
      <c r="Q141">
        <f>'AESS-all'!Q141</f>
        <v>91.7</v>
      </c>
      <c r="R141">
        <f>'AESS-all'!R141</f>
        <v>1</v>
      </c>
      <c r="S141" s="49">
        <f>'AESS-all'!S141/'AESS-all'!S$1</f>
        <v>2.3311653495582441E-5</v>
      </c>
      <c r="T141" s="50">
        <f>'AESS-all'!T141/'AESS-all'!T$1</f>
        <v>0</v>
      </c>
      <c r="U141" s="50">
        <f>'AESS-all'!U141/'AESS-all'!U$1</f>
        <v>0</v>
      </c>
      <c r="V141" s="51">
        <f>'AESS-all'!V141/'AESS-all'!V$1</f>
        <v>0</v>
      </c>
      <c r="W141" s="49">
        <f>'AESS-all'!W141/'AESS-all'!W$1</f>
        <v>1.5209455936033374E-4</v>
      </c>
      <c r="X141" s="50">
        <f>'AESS-all'!X141/'AESS-all'!X$1</f>
        <v>0</v>
      </c>
      <c r="Y141" s="50">
        <f>'AESS-all'!Y141/'AESS-all'!Y$1</f>
        <v>0</v>
      </c>
      <c r="Z141" s="51">
        <f>'AESS-all'!Z141/'AESS-all'!Z$1</f>
        <v>0</v>
      </c>
      <c r="AA141" s="49">
        <f>'AESS-all'!AA141/'AESS-all'!AA$1</f>
        <v>1.4336506480100929E-4</v>
      </c>
      <c r="AB141" s="50">
        <f>'AESS-all'!AB141/'AESS-all'!AB$1</f>
        <v>0</v>
      </c>
      <c r="AC141" s="50">
        <f>'AESS-all'!AC141/'AESS-all'!AC$1</f>
        <v>0</v>
      </c>
      <c r="AD141" s="51">
        <f>'AESS-all'!AD141/'AESS-all'!AD$1</f>
        <v>0</v>
      </c>
    </row>
    <row r="142" spans="1:30" x14ac:dyDescent="0.35">
      <c r="A142" t="str">
        <f>'AESS-all'!A142</f>
        <v>OTU_170</v>
      </c>
      <c r="B142">
        <f>'AESS-all'!B142</f>
        <v>12</v>
      </c>
      <c r="C142" t="str">
        <f>'AESS-all'!C142</f>
        <v>Root</v>
      </c>
      <c r="D142" t="str">
        <f>'AESS-all'!D142</f>
        <v>Archaea</v>
      </c>
      <c r="E142" t="str">
        <f>'AESS-all'!E142</f>
        <v>Euryarchaeota</v>
      </c>
      <c r="F142" t="str">
        <f>'AESS-all'!F142</f>
        <v>.</v>
      </c>
      <c r="G142" t="str">
        <f>'AESS-all'!G142</f>
        <v>Methanobacteria</v>
      </c>
      <c r="H142" t="str">
        <f>'AESS-all'!H142</f>
        <v>.</v>
      </c>
      <c r="I142" t="str">
        <f>'AESS-all'!I142</f>
        <v>Methanobacteriales</v>
      </c>
      <c r="J142" t="str">
        <f>'AESS-all'!J142</f>
        <v>.</v>
      </c>
      <c r="K142" t="str">
        <f>'AESS-all'!K142</f>
        <v>Methanobacteriaceae</v>
      </c>
      <c r="L142" t="str">
        <f>'AESS-all'!L142</f>
        <v>.</v>
      </c>
      <c r="M142" t="str">
        <f>'AESS-all'!M142</f>
        <v>Methanobacterium</v>
      </c>
      <c r="N142" t="str">
        <f>'AESS-all'!N142</f>
        <v>.</v>
      </c>
      <c r="O142">
        <f>'AESS-all'!O142</f>
        <v>1</v>
      </c>
      <c r="P142" t="str">
        <f>'AESS-all'!P142</f>
        <v>Methanobacterium_oryzae_(T)_FPi_(AF028690)</v>
      </c>
      <c r="Q142">
        <f>'AESS-all'!Q142</f>
        <v>99.6</v>
      </c>
      <c r="R142">
        <f>'AESS-all'!R142</f>
        <v>1</v>
      </c>
      <c r="S142" s="49">
        <f>'AESS-all'!S142/'AESS-all'!S$1</f>
        <v>4.6623306991164881E-5</v>
      </c>
      <c r="T142" s="50">
        <f>'AESS-all'!T142/'AESS-all'!T$1</f>
        <v>0</v>
      </c>
      <c r="U142" s="50">
        <f>'AESS-all'!U142/'AESS-all'!U$1</f>
        <v>0</v>
      </c>
      <c r="V142" s="51">
        <f>'AESS-all'!V142/'AESS-all'!V$1</f>
        <v>0</v>
      </c>
      <c r="W142" s="49">
        <f>'AESS-all'!W142/'AESS-all'!W$1</f>
        <v>1.7382235355466714E-4</v>
      </c>
      <c r="X142" s="50">
        <f>'AESS-all'!X142/'AESS-all'!X$1</f>
        <v>0</v>
      </c>
      <c r="Y142" s="50">
        <f>'AESS-all'!Y142/'AESS-all'!Y$1</f>
        <v>0</v>
      </c>
      <c r="Z142" s="51">
        <f>'AESS-all'!Z142/'AESS-all'!Z$1</f>
        <v>0</v>
      </c>
      <c r="AA142" s="49">
        <f>'AESS-all'!AA142/'AESS-all'!AA$1</f>
        <v>5.7346025920403718E-5</v>
      </c>
      <c r="AB142" s="50">
        <f>'AESS-all'!AB142/'AESS-all'!AB$1</f>
        <v>0</v>
      </c>
      <c r="AC142" s="50">
        <f>'AESS-all'!AC142/'AESS-all'!AC$1</f>
        <v>0</v>
      </c>
      <c r="AD142" s="51">
        <f>'AESS-all'!AD142/'AESS-all'!AD$1</f>
        <v>0</v>
      </c>
    </row>
    <row r="143" spans="1:30" x14ac:dyDescent="0.35">
      <c r="A143" t="str">
        <f>'AESS-all'!A143</f>
        <v>OTU_120</v>
      </c>
      <c r="B143">
        <f>'AESS-all'!B143</f>
        <v>12</v>
      </c>
      <c r="C143" t="str">
        <f>'AESS-all'!C143</f>
        <v>Root</v>
      </c>
      <c r="D143" t="str">
        <f>'AESS-all'!D143</f>
        <v>Bacteria</v>
      </c>
      <c r="E143" t="str">
        <f>'AESS-all'!E143</f>
        <v>Bacteroidetes</v>
      </c>
      <c r="F143" t="str">
        <f>'AESS-all'!F143</f>
        <v>.</v>
      </c>
      <c r="G143" t="str">
        <f>'AESS-all'!G143</f>
        <v>Bacteroidia</v>
      </c>
      <c r="H143" t="str">
        <f>'AESS-all'!H143</f>
        <v>.</v>
      </c>
      <c r="I143" t="str">
        <f>'AESS-all'!I143</f>
        <v>Bacteroidales</v>
      </c>
      <c r="J143" t="str">
        <f>'AESS-all'!J143</f>
        <v>.</v>
      </c>
      <c r="K143" t="str">
        <f>'AESS-all'!K143</f>
        <v>Porphyromonadaceae</v>
      </c>
      <c r="L143" t="str">
        <f>'AESS-all'!L143</f>
        <v>.</v>
      </c>
      <c r="M143" t="str">
        <f>'AESS-all'!M143</f>
        <v>.</v>
      </c>
      <c r="N143" t="str">
        <f>'AESS-all'!N143</f>
        <v>.</v>
      </c>
      <c r="O143">
        <f>'AESS-all'!O143</f>
        <v>0.85</v>
      </c>
      <c r="P143" t="str">
        <f>'AESS-all'!P143</f>
        <v>Muribaculum_intestinale_strain_YL27_(NR_144616.1)</v>
      </c>
      <c r="Q143">
        <f>'AESS-all'!Q143</f>
        <v>89.7</v>
      </c>
      <c r="R143">
        <f>'AESS-all'!R143</f>
        <v>1</v>
      </c>
      <c r="S143" s="49">
        <f>'AESS-all'!S143/'AESS-all'!S$1</f>
        <v>1.1655826747791221E-4</v>
      </c>
      <c r="T143" s="50">
        <f>'AESS-all'!T143/'AESS-all'!T$1</f>
        <v>0</v>
      </c>
      <c r="U143" s="50">
        <f>'AESS-all'!U143/'AESS-all'!U$1</f>
        <v>0</v>
      </c>
      <c r="V143" s="51">
        <f>'AESS-all'!V143/'AESS-all'!V$1</f>
        <v>0</v>
      </c>
      <c r="W143" s="49">
        <f>'AESS-all'!W143/'AESS-all'!W$1</f>
        <v>8.6911176777333571E-5</v>
      </c>
      <c r="X143" s="50">
        <f>'AESS-all'!X143/'AESS-all'!X$1</f>
        <v>0</v>
      </c>
      <c r="Y143" s="50">
        <f>'AESS-all'!Y143/'AESS-all'!Y$1</f>
        <v>0</v>
      </c>
      <c r="Z143" s="51">
        <f>'AESS-all'!Z143/'AESS-all'!Z$1</f>
        <v>0</v>
      </c>
      <c r="AA143" s="49">
        <f>'AESS-all'!AA143/'AESS-all'!AA$1</f>
        <v>8.6019038880605581E-5</v>
      </c>
      <c r="AB143" s="50">
        <f>'AESS-all'!AB143/'AESS-all'!AB$1</f>
        <v>0</v>
      </c>
      <c r="AC143" s="50">
        <f>'AESS-all'!AC143/'AESS-all'!AC$1</f>
        <v>0</v>
      </c>
      <c r="AD143" s="51">
        <f>'AESS-all'!AD143/'AESS-all'!AD$1</f>
        <v>0</v>
      </c>
    </row>
    <row r="144" spans="1:30" x14ac:dyDescent="0.35">
      <c r="A144" t="str">
        <f>'AESS-all'!A144</f>
        <v>OTU_119</v>
      </c>
      <c r="B144">
        <f>'AESS-all'!B144</f>
        <v>12</v>
      </c>
      <c r="C144" t="str">
        <f>'AESS-all'!C144</f>
        <v>Root</v>
      </c>
      <c r="D144" t="str">
        <f>'AESS-all'!D144</f>
        <v>Bacteria</v>
      </c>
      <c r="E144" t="str">
        <f>'AESS-all'!E144</f>
        <v>Firmicutes</v>
      </c>
      <c r="F144" t="str">
        <f>'AESS-all'!F144</f>
        <v>.</v>
      </c>
      <c r="G144" t="str">
        <f>'AESS-all'!G144</f>
        <v>.</v>
      </c>
      <c r="H144" t="str">
        <f>'AESS-all'!H144</f>
        <v>.</v>
      </c>
      <c r="I144" t="str">
        <f>'AESS-all'!I144</f>
        <v>.</v>
      </c>
      <c r="J144" t="str">
        <f>'AESS-all'!J144</f>
        <v>.</v>
      </c>
      <c r="K144" t="str">
        <f>'AESS-all'!K144</f>
        <v>.</v>
      </c>
      <c r="L144" t="str">
        <f>'AESS-all'!L144</f>
        <v>.</v>
      </c>
      <c r="M144" t="str">
        <f>'AESS-all'!M144</f>
        <v>.</v>
      </c>
      <c r="N144" t="str">
        <f>'AESS-all'!N144</f>
        <v>.</v>
      </c>
      <c r="O144">
        <f>'AESS-all'!O144</f>
        <v>0.84</v>
      </c>
      <c r="P144" t="str">
        <f>'AESS-all'!P144</f>
        <v>Vallitalea_pronyensis_FatNI3_(KC876639)</v>
      </c>
      <c r="Q144">
        <f>'AESS-all'!Q144</f>
        <v>88.5</v>
      </c>
      <c r="R144">
        <f>'AESS-all'!R144</f>
        <v>1</v>
      </c>
      <c r="S144" s="49">
        <f>'AESS-all'!S144/'AESS-all'!S$1</f>
        <v>0</v>
      </c>
      <c r="T144" s="50">
        <f>'AESS-all'!T144/'AESS-all'!T$1</f>
        <v>0</v>
      </c>
      <c r="U144" s="50">
        <f>'AESS-all'!U144/'AESS-all'!U$1</f>
        <v>0</v>
      </c>
      <c r="V144" s="51">
        <f>'AESS-all'!V144/'AESS-all'!V$1</f>
        <v>0</v>
      </c>
      <c r="W144" s="49">
        <f>'AESS-all'!W144/'AESS-all'!W$1</f>
        <v>0</v>
      </c>
      <c r="X144" s="50">
        <f>'AESS-all'!X144/'AESS-all'!X$1</f>
        <v>0</v>
      </c>
      <c r="Y144" s="50">
        <f>'AESS-all'!Y144/'AESS-all'!Y$1</f>
        <v>0</v>
      </c>
      <c r="Z144" s="51">
        <f>'AESS-all'!Z144/'AESS-all'!Z$1</f>
        <v>0</v>
      </c>
      <c r="AA144" s="49">
        <f>'AESS-all'!AA144/'AESS-all'!AA$1</f>
        <v>0</v>
      </c>
      <c r="AB144" s="50">
        <f>'AESS-all'!AB144/'AESS-all'!AB$1</f>
        <v>5.2047189451769602E-4</v>
      </c>
      <c r="AC144" s="50">
        <f>'AESS-all'!AC144/'AESS-all'!AC$1</f>
        <v>0</v>
      </c>
      <c r="AD144" s="51">
        <f>'AESS-all'!AD144/'AESS-all'!AD$1</f>
        <v>0</v>
      </c>
    </row>
    <row r="145" spans="1:30" x14ac:dyDescent="0.35">
      <c r="A145" t="str">
        <f>'AESS-all'!A145</f>
        <v>OTU_140</v>
      </c>
      <c r="B145">
        <f>'AESS-all'!B145</f>
        <v>12</v>
      </c>
      <c r="C145" t="str">
        <f>'AESS-all'!C145</f>
        <v>Root</v>
      </c>
      <c r="D145" t="str">
        <f>'AESS-all'!D145</f>
        <v>Bacteria</v>
      </c>
      <c r="E145" t="str">
        <f>'AESS-all'!E145</f>
        <v>Proteobacteria</v>
      </c>
      <c r="F145" t="str">
        <f>'AESS-all'!F145</f>
        <v>.</v>
      </c>
      <c r="G145" t="str">
        <f>'AESS-all'!G145</f>
        <v>Alphaproteobacteria</v>
      </c>
      <c r="H145" t="str">
        <f>'AESS-all'!H145</f>
        <v>.</v>
      </c>
      <c r="I145" t="str">
        <f>'AESS-all'!I145</f>
        <v>Rhodobacterales</v>
      </c>
      <c r="J145" t="str">
        <f>'AESS-all'!J145</f>
        <v>.</v>
      </c>
      <c r="K145" t="str">
        <f>'AESS-all'!K145</f>
        <v>Rhodobacteraceae</v>
      </c>
      <c r="L145" t="str">
        <f>'AESS-all'!L145</f>
        <v>.</v>
      </c>
      <c r="M145" t="str">
        <f>'AESS-all'!M145</f>
        <v>.</v>
      </c>
      <c r="N145" t="str">
        <f>'AESS-all'!N145</f>
        <v>.</v>
      </c>
      <c r="O145">
        <f>'AESS-all'!O145</f>
        <v>1</v>
      </c>
      <c r="P145" t="str">
        <f>'AESS-all'!P145</f>
        <v>Paracoccus_aestuarii_(T)_B7_(EF660757)</v>
      </c>
      <c r="Q145">
        <f>'AESS-all'!Q145</f>
        <v>99.2</v>
      </c>
      <c r="R145">
        <f>'AESS-all'!R145</f>
        <v>7</v>
      </c>
      <c r="S145" s="49">
        <f>'AESS-all'!S145/'AESS-all'!S$1</f>
        <v>1.1655826747791221E-4</v>
      </c>
      <c r="T145" s="50">
        <f>'AESS-all'!T145/'AESS-all'!T$1</f>
        <v>0</v>
      </c>
      <c r="U145" s="50">
        <f>'AESS-all'!U145/'AESS-all'!U$1</f>
        <v>0</v>
      </c>
      <c r="V145" s="51">
        <f>'AESS-all'!V145/'AESS-all'!V$1</f>
        <v>0</v>
      </c>
      <c r="W145" s="49">
        <f>'AESS-all'!W145/'AESS-all'!W$1</f>
        <v>8.6911176777333571E-5</v>
      </c>
      <c r="X145" s="50">
        <f>'AESS-all'!X145/'AESS-all'!X$1</f>
        <v>0</v>
      </c>
      <c r="Y145" s="50">
        <f>'AESS-all'!Y145/'AESS-all'!Y$1</f>
        <v>0</v>
      </c>
      <c r="Z145" s="51">
        <f>'AESS-all'!Z145/'AESS-all'!Z$1</f>
        <v>0</v>
      </c>
      <c r="AA145" s="49">
        <f>'AESS-all'!AA145/'AESS-all'!AA$1</f>
        <v>8.6019038880605581E-5</v>
      </c>
      <c r="AB145" s="50">
        <f>'AESS-all'!AB145/'AESS-all'!AB$1</f>
        <v>0</v>
      </c>
      <c r="AC145" s="50">
        <f>'AESS-all'!AC145/'AESS-all'!AC$1</f>
        <v>0</v>
      </c>
      <c r="AD145" s="51">
        <f>'AESS-all'!AD145/'AESS-all'!AD$1</f>
        <v>0</v>
      </c>
    </row>
    <row r="146" spans="1:30" x14ac:dyDescent="0.35">
      <c r="A146" t="str">
        <f>'AESS-all'!A146</f>
        <v>OTU_130</v>
      </c>
      <c r="B146">
        <f>'AESS-all'!B146</f>
        <v>12</v>
      </c>
      <c r="C146" t="str">
        <f>'AESS-all'!C146</f>
        <v>Root</v>
      </c>
      <c r="D146" t="str">
        <f>'AESS-all'!D146</f>
        <v>Bacteria</v>
      </c>
      <c r="E146" t="str">
        <f>'AESS-all'!E146</f>
        <v>Firmicutes</v>
      </c>
      <c r="F146" t="str">
        <f>'AESS-all'!F146</f>
        <v>.</v>
      </c>
      <c r="G146" t="str">
        <f>'AESS-all'!G146</f>
        <v>Bacilli</v>
      </c>
      <c r="H146" t="str">
        <f>'AESS-all'!H146</f>
        <v>.</v>
      </c>
      <c r="I146" t="str">
        <f>'AESS-all'!I146</f>
        <v>Bacillales</v>
      </c>
      <c r="J146" t="str">
        <f>'AESS-all'!J146</f>
        <v>.</v>
      </c>
      <c r="K146" t="str">
        <f>'AESS-all'!K146</f>
        <v>Bacillales_incertae_sedis</v>
      </c>
      <c r="L146" t="str">
        <f>'AESS-all'!L146</f>
        <v>.</v>
      </c>
      <c r="M146" t="str">
        <f>'AESS-all'!M146</f>
        <v>Desulfuribacillus</v>
      </c>
      <c r="N146" t="str">
        <f>'AESS-all'!N146</f>
        <v>.</v>
      </c>
      <c r="O146">
        <f>'AESS-all'!O146</f>
        <v>1</v>
      </c>
      <c r="P146" t="str">
        <f>'AESS-all'!P146</f>
        <v>Desulfuribacillus_alkaliarsenatis_AHT28_(HM046584)</v>
      </c>
      <c r="Q146">
        <f>'AESS-all'!Q146</f>
        <v>99.2</v>
      </c>
      <c r="R146">
        <f>'AESS-all'!R146</f>
        <v>1</v>
      </c>
      <c r="S146" s="49">
        <f>'AESS-all'!S146/'AESS-all'!S$1</f>
        <v>2.3311653495582441E-5</v>
      </c>
      <c r="T146" s="50">
        <f>'AESS-all'!T146/'AESS-all'!T$1</f>
        <v>0</v>
      </c>
      <c r="U146" s="50">
        <f>'AESS-all'!U146/'AESS-all'!U$1</f>
        <v>0</v>
      </c>
      <c r="V146" s="51">
        <f>'AESS-all'!V146/'AESS-all'!V$1</f>
        <v>0</v>
      </c>
      <c r="W146" s="49">
        <f>'AESS-all'!W146/'AESS-all'!W$1</f>
        <v>2.1727794194333393E-5</v>
      </c>
      <c r="X146" s="50">
        <f>'AESS-all'!X146/'AESS-all'!X$1</f>
        <v>0</v>
      </c>
      <c r="Y146" s="50">
        <f>'AESS-all'!Y146/'AESS-all'!Y$1</f>
        <v>0</v>
      </c>
      <c r="Z146" s="51">
        <f>'AESS-all'!Z146/'AESS-all'!Z$1</f>
        <v>0</v>
      </c>
      <c r="AA146" s="49">
        <f>'AESS-all'!AA146/'AESS-all'!AA$1</f>
        <v>2.8673012960201858E-4</v>
      </c>
      <c r="AB146" s="50">
        <f>'AESS-all'!AB146/'AESS-all'!AB$1</f>
        <v>0</v>
      </c>
      <c r="AC146" s="50">
        <f>'AESS-all'!AC146/'AESS-all'!AC$1</f>
        <v>0</v>
      </c>
      <c r="AD146" s="51">
        <f>'AESS-all'!AD146/'AESS-all'!AD$1</f>
        <v>0</v>
      </c>
    </row>
    <row r="147" spans="1:30" x14ac:dyDescent="0.35">
      <c r="A147" t="str">
        <f>'AESS-all'!A147</f>
        <v>OTU_128</v>
      </c>
      <c r="B147">
        <f>'AESS-all'!B147</f>
        <v>12</v>
      </c>
      <c r="C147" t="str">
        <f>'AESS-all'!C147</f>
        <v>Root</v>
      </c>
      <c r="D147" t="str">
        <f>'AESS-all'!D147</f>
        <v>Bacteria</v>
      </c>
      <c r="E147" t="str">
        <f>'AESS-all'!E147</f>
        <v>Firmicutes</v>
      </c>
      <c r="F147" t="str">
        <f>'AESS-all'!F147</f>
        <v>.</v>
      </c>
      <c r="G147" t="str">
        <f>'AESS-all'!G147</f>
        <v>Bacilli</v>
      </c>
      <c r="H147" t="str">
        <f>'AESS-all'!H147</f>
        <v>.</v>
      </c>
      <c r="I147" t="str">
        <f>'AESS-all'!I147</f>
        <v>Lactobacillales</v>
      </c>
      <c r="J147" t="str">
        <f>'AESS-all'!J147</f>
        <v>.</v>
      </c>
      <c r="K147" t="str">
        <f>'AESS-all'!K147</f>
        <v>Lactobacillaceae</v>
      </c>
      <c r="L147" t="str">
        <f>'AESS-all'!L147</f>
        <v>.</v>
      </c>
      <c r="M147" t="str">
        <f>'AESS-all'!M147</f>
        <v>Lactobacillus</v>
      </c>
      <c r="N147" t="str">
        <f>'AESS-all'!N147</f>
        <v>.</v>
      </c>
      <c r="O147">
        <f>'AESS-all'!O147</f>
        <v>0.97</v>
      </c>
      <c r="P147" t="str">
        <f>'AESS-all'!P147</f>
        <v>Lactobacillus_faecis_AFL13-2_(AB812750)</v>
      </c>
      <c r="Q147">
        <f>'AESS-all'!Q147</f>
        <v>100</v>
      </c>
      <c r="R147">
        <f>'AESS-all'!R147</f>
        <v>4</v>
      </c>
      <c r="S147" s="49">
        <f>'AESS-all'!S147/'AESS-all'!S$1</f>
        <v>0</v>
      </c>
      <c r="T147" s="50">
        <f>'AESS-all'!T147/'AESS-all'!T$1</f>
        <v>0</v>
      </c>
      <c r="U147" s="50">
        <f>'AESS-all'!U147/'AESS-all'!U$1</f>
        <v>0</v>
      </c>
      <c r="V147" s="51">
        <f>'AESS-all'!V147/'AESS-all'!V$1</f>
        <v>0</v>
      </c>
      <c r="W147" s="49">
        <f>'AESS-all'!W147/'AESS-all'!W$1</f>
        <v>1.5209455936033374E-4</v>
      </c>
      <c r="X147" s="50">
        <f>'AESS-all'!X147/'AESS-all'!X$1</f>
        <v>0</v>
      </c>
      <c r="Y147" s="50">
        <f>'AESS-all'!Y147/'AESS-all'!Y$1</f>
        <v>0</v>
      </c>
      <c r="Z147" s="51">
        <f>'AESS-all'!Z147/'AESS-all'!Z$1</f>
        <v>0</v>
      </c>
      <c r="AA147" s="49">
        <f>'AESS-all'!AA147/'AESS-all'!AA$1</f>
        <v>1.4336506480100929E-4</v>
      </c>
      <c r="AB147" s="50">
        <f>'AESS-all'!AB147/'AESS-all'!AB$1</f>
        <v>0</v>
      </c>
      <c r="AC147" s="50">
        <f>'AESS-all'!AC147/'AESS-all'!AC$1</f>
        <v>0</v>
      </c>
      <c r="AD147" s="51">
        <f>'AESS-all'!AD147/'AESS-all'!AD$1</f>
        <v>0</v>
      </c>
    </row>
    <row r="148" spans="1:30" x14ac:dyDescent="0.35">
      <c r="A148" t="str">
        <f>'AESS-all'!A148</f>
        <v>OTU_125</v>
      </c>
      <c r="B148">
        <f>'AESS-all'!B148</f>
        <v>11</v>
      </c>
      <c r="C148" t="str">
        <f>'AESS-all'!C148</f>
        <v>Root</v>
      </c>
      <c r="D148" t="str">
        <f>'AESS-all'!D148</f>
        <v>Bacteria</v>
      </c>
      <c r="E148" t="str">
        <f>'AESS-all'!E148</f>
        <v>Bacteroidetes</v>
      </c>
      <c r="F148" t="str">
        <f>'AESS-all'!F148</f>
        <v>.</v>
      </c>
      <c r="G148" t="str">
        <f>'AESS-all'!G148</f>
        <v>Bacteroidia</v>
      </c>
      <c r="H148" t="str">
        <f>'AESS-all'!H148</f>
        <v>.</v>
      </c>
      <c r="I148" t="str">
        <f>'AESS-all'!I148</f>
        <v>Bacteroidales</v>
      </c>
      <c r="J148" t="str">
        <f>'AESS-all'!J148</f>
        <v>.</v>
      </c>
      <c r="K148" t="str">
        <f>'AESS-all'!K148</f>
        <v>Porphyromonadaceae</v>
      </c>
      <c r="L148" t="str">
        <f>'AESS-all'!L148</f>
        <v>.</v>
      </c>
      <c r="M148" t="str">
        <f>'AESS-all'!M148</f>
        <v>Odoribacter</v>
      </c>
      <c r="N148" t="str">
        <f>'AESS-all'!N148</f>
        <v>.</v>
      </c>
      <c r="O148">
        <f>'AESS-all'!O148</f>
        <v>0.99</v>
      </c>
      <c r="P148" t="str">
        <f>'AESS-all'!P148</f>
        <v>Culturomica_massiliensis_strain_Marseille-P2698_(NR_144745.1)</v>
      </c>
      <c r="Q148">
        <f>'AESS-all'!Q148</f>
        <v>93.3</v>
      </c>
      <c r="R148">
        <f>'AESS-all'!R148</f>
        <v>1</v>
      </c>
      <c r="S148" s="49">
        <f>'AESS-all'!S148/'AESS-all'!S$1</f>
        <v>0</v>
      </c>
      <c r="T148" s="50">
        <f>'AESS-all'!T148/'AESS-all'!T$1</f>
        <v>0</v>
      </c>
      <c r="U148" s="50">
        <f>'AESS-all'!U148/'AESS-all'!U$1</f>
        <v>0</v>
      </c>
      <c r="V148" s="51">
        <f>'AESS-all'!V148/'AESS-all'!V$1</f>
        <v>0</v>
      </c>
      <c r="W148" s="49">
        <f>'AESS-all'!W148/'AESS-all'!W$1</f>
        <v>1.9555014774900052E-4</v>
      </c>
      <c r="X148" s="50">
        <f>'AESS-all'!X148/'AESS-all'!X$1</f>
        <v>0</v>
      </c>
      <c r="Y148" s="50">
        <f>'AESS-all'!Y148/'AESS-all'!Y$1</f>
        <v>0</v>
      </c>
      <c r="Z148" s="51">
        <f>'AESS-all'!Z148/'AESS-all'!Z$1</f>
        <v>0</v>
      </c>
      <c r="AA148" s="49">
        <f>'AESS-all'!AA148/'AESS-all'!AA$1</f>
        <v>5.7346025920403718E-5</v>
      </c>
      <c r="AB148" s="50">
        <f>'AESS-all'!AB148/'AESS-all'!AB$1</f>
        <v>0</v>
      </c>
      <c r="AC148" s="50">
        <f>'AESS-all'!AC148/'AESS-all'!AC$1</f>
        <v>0</v>
      </c>
      <c r="AD148" s="51">
        <f>'AESS-all'!AD148/'AESS-all'!AD$1</f>
        <v>0</v>
      </c>
    </row>
    <row r="149" spans="1:30" x14ac:dyDescent="0.35">
      <c r="A149" t="str">
        <f>'AESS-all'!A149</f>
        <v>OTU_127</v>
      </c>
      <c r="B149">
        <f>'AESS-all'!B149</f>
        <v>11</v>
      </c>
      <c r="C149" t="str">
        <f>'AESS-all'!C149</f>
        <v>Root</v>
      </c>
      <c r="D149" t="str">
        <f>'AESS-all'!D149</f>
        <v>Bacteria</v>
      </c>
      <c r="E149" t="str">
        <f>'AESS-all'!E149</f>
        <v>.</v>
      </c>
      <c r="F149" t="str">
        <f>'AESS-all'!F149</f>
        <v>.</v>
      </c>
      <c r="G149" t="str">
        <f>'AESS-all'!G149</f>
        <v>.</v>
      </c>
      <c r="H149" t="str">
        <f>'AESS-all'!H149</f>
        <v>.</v>
      </c>
      <c r="I149" t="str">
        <f>'AESS-all'!I149</f>
        <v>.</v>
      </c>
      <c r="J149" t="str">
        <f>'AESS-all'!J149</f>
        <v>.</v>
      </c>
      <c r="K149" t="str">
        <f>'AESS-all'!K149</f>
        <v>.</v>
      </c>
      <c r="L149" t="str">
        <f>'AESS-all'!L149</f>
        <v>.</v>
      </c>
      <c r="M149" t="str">
        <f>'AESS-all'!M149</f>
        <v>.</v>
      </c>
      <c r="N149" t="str">
        <f>'AESS-all'!N149</f>
        <v>.</v>
      </c>
      <c r="O149">
        <f>'AESS-all'!O149</f>
        <v>1</v>
      </c>
      <c r="P149" t="str">
        <f>'AESS-all'!P149</f>
        <v>Desulfosporosinus_orientis_(T)_DSM_765_(Y11570)</v>
      </c>
      <c r="Q149">
        <f>'AESS-all'!Q149</f>
        <v>89.7</v>
      </c>
      <c r="R149">
        <f>'AESS-all'!R149</f>
        <v>3</v>
      </c>
      <c r="S149" s="49">
        <f>'AESS-all'!S149/'AESS-all'!S$1</f>
        <v>0</v>
      </c>
      <c r="T149" s="50">
        <f>'AESS-all'!T149/'AESS-all'!T$1</f>
        <v>0</v>
      </c>
      <c r="U149" s="50">
        <f>'AESS-all'!U149/'AESS-all'!U$1</f>
        <v>0</v>
      </c>
      <c r="V149" s="51">
        <f>'AESS-all'!V149/'AESS-all'!V$1</f>
        <v>0</v>
      </c>
      <c r="W149" s="49">
        <f>'AESS-all'!W149/'AESS-all'!W$1</f>
        <v>0</v>
      </c>
      <c r="X149" s="50">
        <f>'AESS-all'!X149/'AESS-all'!X$1</f>
        <v>0</v>
      </c>
      <c r="Y149" s="50">
        <f>'AESS-all'!Y149/'AESS-all'!Y$1</f>
        <v>0</v>
      </c>
      <c r="Z149" s="51">
        <f>'AESS-all'!Z149/'AESS-all'!Z$1</f>
        <v>0</v>
      </c>
      <c r="AA149" s="49">
        <f>'AESS-all'!AA149/'AESS-all'!AA$1</f>
        <v>3.1540314256222045E-4</v>
      </c>
      <c r="AB149" s="50">
        <f>'AESS-all'!AB149/'AESS-all'!AB$1</f>
        <v>0</v>
      </c>
      <c r="AC149" s="50">
        <f>'AESS-all'!AC149/'AESS-all'!AC$1</f>
        <v>0</v>
      </c>
      <c r="AD149" s="51">
        <f>'AESS-all'!AD149/'AESS-all'!AD$1</f>
        <v>0</v>
      </c>
    </row>
    <row r="150" spans="1:30" x14ac:dyDescent="0.35">
      <c r="A150" t="str">
        <f>'AESS-all'!A150</f>
        <v>OTU_146</v>
      </c>
      <c r="B150">
        <f>'AESS-all'!B150</f>
        <v>11</v>
      </c>
      <c r="C150" t="str">
        <f>'AESS-all'!C150</f>
        <v>Root</v>
      </c>
      <c r="D150" t="str">
        <f>'AESS-all'!D150</f>
        <v>Bacteria</v>
      </c>
      <c r="E150" t="str">
        <f>'AESS-all'!E150</f>
        <v>Proteobacteria</v>
      </c>
      <c r="F150" t="str">
        <f>'AESS-all'!F150</f>
        <v>.</v>
      </c>
      <c r="G150" t="str">
        <f>'AESS-all'!G150</f>
        <v>Deltaproteobacteria</v>
      </c>
      <c r="H150" t="str">
        <f>'AESS-all'!H150</f>
        <v>.</v>
      </c>
      <c r="I150" t="str">
        <f>'AESS-all'!I150</f>
        <v>Syntrophobacterales</v>
      </c>
      <c r="J150" t="str">
        <f>'AESS-all'!J150</f>
        <v>.</v>
      </c>
      <c r="K150" t="str">
        <f>'AESS-all'!K150</f>
        <v>Syntrophaceae</v>
      </c>
      <c r="L150" t="str">
        <f>'AESS-all'!L150</f>
        <v>.</v>
      </c>
      <c r="M150" t="str">
        <f>'AESS-all'!M150</f>
        <v>.</v>
      </c>
      <c r="N150" t="str">
        <f>'AESS-all'!N150</f>
        <v>.</v>
      </c>
      <c r="O150">
        <f>'AESS-all'!O150</f>
        <v>0.97</v>
      </c>
      <c r="P150" t="str">
        <f>'AESS-all'!P150</f>
        <v>Smithella_propionica_(T)_LYP_(AF126282)</v>
      </c>
      <c r="Q150">
        <f>'AESS-all'!Q150</f>
        <v>94.5</v>
      </c>
      <c r="R150">
        <f>'AESS-all'!R150</f>
        <v>1</v>
      </c>
      <c r="S150" s="49">
        <f>'AESS-all'!S150/'AESS-all'!S$1</f>
        <v>2.0980488146024197E-4</v>
      </c>
      <c r="T150" s="50">
        <f>'AESS-all'!T150/'AESS-all'!T$1</f>
        <v>0</v>
      </c>
      <c r="U150" s="50">
        <f>'AESS-all'!U150/'AESS-all'!U$1</f>
        <v>0</v>
      </c>
      <c r="V150" s="51">
        <f>'AESS-all'!V150/'AESS-all'!V$1</f>
        <v>0</v>
      </c>
      <c r="W150" s="49">
        <f>'AESS-all'!W150/'AESS-all'!W$1</f>
        <v>2.1727794194333393E-5</v>
      </c>
      <c r="X150" s="50">
        <f>'AESS-all'!X150/'AESS-all'!X$1</f>
        <v>0</v>
      </c>
      <c r="Y150" s="50">
        <f>'AESS-all'!Y150/'AESS-all'!Y$1</f>
        <v>0</v>
      </c>
      <c r="Z150" s="51">
        <f>'AESS-all'!Z150/'AESS-all'!Z$1</f>
        <v>0</v>
      </c>
      <c r="AA150" s="49">
        <f>'AESS-all'!AA150/'AESS-all'!AA$1</f>
        <v>2.8673012960201859E-5</v>
      </c>
      <c r="AB150" s="50">
        <f>'AESS-all'!AB150/'AESS-all'!AB$1</f>
        <v>0</v>
      </c>
      <c r="AC150" s="50">
        <f>'AESS-all'!AC150/'AESS-all'!AC$1</f>
        <v>0</v>
      </c>
      <c r="AD150" s="51">
        <f>'AESS-all'!AD150/'AESS-all'!AD$1</f>
        <v>0</v>
      </c>
    </row>
    <row r="151" spans="1:30" x14ac:dyDescent="0.35">
      <c r="A151" t="str">
        <f>'AESS-all'!A151</f>
        <v>OTU_142</v>
      </c>
      <c r="B151">
        <f>'AESS-all'!B151</f>
        <v>10</v>
      </c>
      <c r="C151" t="str">
        <f>'AESS-all'!C151</f>
        <v>Root</v>
      </c>
      <c r="D151" t="str">
        <f>'AESS-all'!D151</f>
        <v>Bacteria</v>
      </c>
      <c r="E151" t="str">
        <f>'AESS-all'!E151</f>
        <v>Chloroflexi</v>
      </c>
      <c r="F151" t="str">
        <f>'AESS-all'!F151</f>
        <v>.</v>
      </c>
      <c r="G151" t="str">
        <f>'AESS-all'!G151</f>
        <v>Anaerolineae</v>
      </c>
      <c r="H151" t="str">
        <f>'AESS-all'!H151</f>
        <v>.</v>
      </c>
      <c r="I151" t="str">
        <f>'AESS-all'!I151</f>
        <v>Anaerolineales</v>
      </c>
      <c r="J151" t="str">
        <f>'AESS-all'!J151</f>
        <v>.</v>
      </c>
      <c r="K151" t="str">
        <f>'AESS-all'!K151</f>
        <v>Anaerolineaceae</v>
      </c>
      <c r="L151" t="str">
        <f>'AESS-all'!L151</f>
        <v>.</v>
      </c>
      <c r="M151" t="str">
        <f>'AESS-all'!M151</f>
        <v>.</v>
      </c>
      <c r="N151" t="str">
        <f>'AESS-all'!N151</f>
        <v>.</v>
      </c>
      <c r="O151">
        <f>'AESS-all'!O151</f>
        <v>0.65</v>
      </c>
      <c r="P151" t="str">
        <f>'AESS-all'!P151</f>
        <v>Bellilinea_caldifistulae_(T)_GOMI-1_(AB243672)</v>
      </c>
      <c r="Q151">
        <f>'AESS-all'!Q151</f>
        <v>87.7</v>
      </c>
      <c r="R151">
        <f>'AESS-all'!R151</f>
        <v>1</v>
      </c>
      <c r="S151" s="49">
        <f>'AESS-all'!S151/'AESS-all'!S$1</f>
        <v>0</v>
      </c>
      <c r="T151" s="50">
        <f>'AESS-all'!T151/'AESS-all'!T$1</f>
        <v>0</v>
      </c>
      <c r="U151" s="50">
        <f>'AESS-all'!U151/'AESS-all'!U$1</f>
        <v>0</v>
      </c>
      <c r="V151" s="51">
        <f>'AESS-all'!V151/'AESS-all'!V$1</f>
        <v>0</v>
      </c>
      <c r="W151" s="49">
        <f>'AESS-all'!W151/'AESS-all'!W$1</f>
        <v>8.6911176777333571E-5</v>
      </c>
      <c r="X151" s="50">
        <f>'AESS-all'!X151/'AESS-all'!X$1</f>
        <v>0</v>
      </c>
      <c r="Y151" s="50">
        <f>'AESS-all'!Y151/'AESS-all'!Y$1</f>
        <v>0</v>
      </c>
      <c r="Z151" s="51">
        <f>'AESS-all'!Z151/'AESS-all'!Z$1</f>
        <v>0</v>
      </c>
      <c r="AA151" s="49">
        <f>'AESS-all'!AA151/'AESS-all'!AA$1</f>
        <v>1.7203807776121116E-4</v>
      </c>
      <c r="AB151" s="50">
        <f>'AESS-all'!AB151/'AESS-all'!AB$1</f>
        <v>0</v>
      </c>
      <c r="AC151" s="50">
        <f>'AESS-all'!AC151/'AESS-all'!AC$1</f>
        <v>0</v>
      </c>
      <c r="AD151" s="51">
        <f>'AESS-all'!AD151/'AESS-all'!AD$1</f>
        <v>0</v>
      </c>
    </row>
    <row r="152" spans="1:30" x14ac:dyDescent="0.35">
      <c r="A152" t="str">
        <f>'AESS-all'!A152</f>
        <v>OTU_144</v>
      </c>
      <c r="B152">
        <f>'AESS-all'!B152</f>
        <v>10</v>
      </c>
      <c r="C152" t="str">
        <f>'AESS-all'!C152</f>
        <v>Root</v>
      </c>
      <c r="D152" t="str">
        <f>'AESS-all'!D152</f>
        <v>Bacteria</v>
      </c>
      <c r="E152" t="str">
        <f>'AESS-all'!E152</f>
        <v>Bacteroidetes</v>
      </c>
      <c r="F152" t="str">
        <f>'AESS-all'!F152</f>
        <v>.</v>
      </c>
      <c r="G152" t="str">
        <f>'AESS-all'!G152</f>
        <v>Bacteroidia</v>
      </c>
      <c r="H152" t="str">
        <f>'AESS-all'!H152</f>
        <v>.</v>
      </c>
      <c r="I152" t="str">
        <f>'AESS-all'!I152</f>
        <v>Bacteroidales</v>
      </c>
      <c r="J152" t="str">
        <f>'AESS-all'!J152</f>
        <v>.</v>
      </c>
      <c r="K152" t="str">
        <f>'AESS-all'!K152</f>
        <v>.</v>
      </c>
      <c r="L152" t="str">
        <f>'AESS-all'!L152</f>
        <v>.</v>
      </c>
      <c r="M152" t="str">
        <f>'AESS-all'!M152</f>
        <v>.</v>
      </c>
      <c r="N152" t="str">
        <f>'AESS-all'!N152</f>
        <v>.</v>
      </c>
      <c r="O152">
        <f>'AESS-all'!O152</f>
        <v>0.72</v>
      </c>
      <c r="P152" t="str">
        <f>'AESS-all'!P152</f>
        <v>Porphyromonas_pogonae_strain_MI_10-1288_(NR_136443.1)</v>
      </c>
      <c r="Q152">
        <f>'AESS-all'!Q152</f>
        <v>86.2</v>
      </c>
      <c r="R152">
        <f>'AESS-all'!R152</f>
        <v>1</v>
      </c>
      <c r="S152" s="49">
        <f>'AESS-all'!S152/'AESS-all'!S$1</f>
        <v>1.1655826747791221E-4</v>
      </c>
      <c r="T152" s="50">
        <f>'AESS-all'!T152/'AESS-all'!T$1</f>
        <v>0</v>
      </c>
      <c r="U152" s="50">
        <f>'AESS-all'!U152/'AESS-all'!U$1</f>
        <v>0</v>
      </c>
      <c r="V152" s="51">
        <f>'AESS-all'!V152/'AESS-all'!V$1</f>
        <v>0</v>
      </c>
      <c r="W152" s="49">
        <f>'AESS-all'!W152/'AESS-all'!W$1</f>
        <v>0</v>
      </c>
      <c r="X152" s="50">
        <f>'AESS-all'!X152/'AESS-all'!X$1</f>
        <v>0</v>
      </c>
      <c r="Y152" s="50">
        <f>'AESS-all'!Y152/'AESS-all'!Y$1</f>
        <v>0</v>
      </c>
      <c r="Z152" s="51">
        <f>'AESS-all'!Z152/'AESS-all'!Z$1</f>
        <v>0</v>
      </c>
      <c r="AA152" s="49">
        <f>'AESS-all'!AA152/'AESS-all'!AA$1</f>
        <v>1.4336506480100929E-4</v>
      </c>
      <c r="AB152" s="50">
        <f>'AESS-all'!AB152/'AESS-all'!AB$1</f>
        <v>0</v>
      </c>
      <c r="AC152" s="50">
        <f>'AESS-all'!AC152/'AESS-all'!AC$1</f>
        <v>0</v>
      </c>
      <c r="AD152" s="51">
        <f>'AESS-all'!AD152/'AESS-all'!AD$1</f>
        <v>0</v>
      </c>
    </row>
    <row r="153" spans="1:30" x14ac:dyDescent="0.35">
      <c r="A153" t="str">
        <f>'AESS-all'!A153</f>
        <v>OTU_205</v>
      </c>
      <c r="B153">
        <f>'AESS-all'!B153</f>
        <v>10</v>
      </c>
      <c r="C153" t="str">
        <f>'AESS-all'!C153</f>
        <v>Root</v>
      </c>
      <c r="D153" t="str">
        <f>'AESS-all'!D153</f>
        <v>Bacteria</v>
      </c>
      <c r="E153" t="str">
        <f>'AESS-all'!E153</f>
        <v>Bacteroidetes</v>
      </c>
      <c r="F153" t="str">
        <f>'AESS-all'!F153</f>
        <v>.</v>
      </c>
      <c r="G153" t="str">
        <f>'AESS-all'!G153</f>
        <v>.</v>
      </c>
      <c r="H153" t="str">
        <f>'AESS-all'!H153</f>
        <v>.</v>
      </c>
      <c r="I153" t="str">
        <f>'AESS-all'!I153</f>
        <v>.</v>
      </c>
      <c r="J153" t="str">
        <f>'AESS-all'!J153</f>
        <v>.</v>
      </c>
      <c r="K153" t="str">
        <f>'AESS-all'!K153</f>
        <v>.</v>
      </c>
      <c r="L153" t="str">
        <f>'AESS-all'!L153</f>
        <v>.</v>
      </c>
      <c r="M153" t="str">
        <f>'AESS-all'!M153</f>
        <v>.</v>
      </c>
      <c r="N153" t="str">
        <f>'AESS-all'!N153</f>
        <v>.</v>
      </c>
      <c r="O153">
        <f>'AESS-all'!O153</f>
        <v>0.98</v>
      </c>
      <c r="P153" t="str">
        <f>'AESS-all'!P153</f>
        <v>Natronoflexus_pectinivorans_AP1_(GQ922844)</v>
      </c>
      <c r="Q153">
        <f>'AESS-all'!Q153</f>
        <v>88.1</v>
      </c>
      <c r="R153">
        <f>'AESS-all'!R153</f>
        <v>2</v>
      </c>
      <c r="S153" s="49">
        <f>'AESS-all'!S153/'AESS-all'!S$1</f>
        <v>6.9934960486747332E-5</v>
      </c>
      <c r="T153" s="50">
        <f>'AESS-all'!T153/'AESS-all'!T$1</f>
        <v>0</v>
      </c>
      <c r="U153" s="50">
        <f>'AESS-all'!U153/'AESS-all'!U$1</f>
        <v>0</v>
      </c>
      <c r="V153" s="51">
        <f>'AESS-all'!V153/'AESS-all'!V$1</f>
        <v>0</v>
      </c>
      <c r="W153" s="49">
        <f>'AESS-all'!W153/'AESS-all'!W$1</f>
        <v>4.3455588388666785E-5</v>
      </c>
      <c r="X153" s="50">
        <f>'AESS-all'!X153/'AESS-all'!X$1</f>
        <v>0</v>
      </c>
      <c r="Y153" s="50">
        <f>'AESS-all'!Y153/'AESS-all'!Y$1</f>
        <v>0</v>
      </c>
      <c r="Z153" s="51">
        <f>'AESS-all'!Z153/'AESS-all'!Z$1</f>
        <v>0</v>
      </c>
      <c r="AA153" s="49">
        <f>'AESS-all'!AA153/'AESS-all'!AA$1</f>
        <v>1.4336506480100929E-4</v>
      </c>
      <c r="AB153" s="50">
        <f>'AESS-all'!AB153/'AESS-all'!AB$1</f>
        <v>0</v>
      </c>
      <c r="AC153" s="50">
        <f>'AESS-all'!AC153/'AESS-all'!AC$1</f>
        <v>0</v>
      </c>
      <c r="AD153" s="51">
        <f>'AESS-all'!AD153/'AESS-all'!AD$1</f>
        <v>0</v>
      </c>
    </row>
    <row r="154" spans="1:30" x14ac:dyDescent="0.35">
      <c r="A154" t="str">
        <f>'AESS-all'!A154</f>
        <v>OTU_186</v>
      </c>
      <c r="B154">
        <f>'AESS-all'!B154</f>
        <v>10</v>
      </c>
      <c r="C154" t="str">
        <f>'AESS-all'!C154</f>
        <v>Root</v>
      </c>
      <c r="D154" t="str">
        <f>'AESS-all'!D154</f>
        <v>Bacteria</v>
      </c>
      <c r="E154" t="str">
        <f>'AESS-all'!E154</f>
        <v>Firmicutes</v>
      </c>
      <c r="F154" t="str">
        <f>'AESS-all'!F154</f>
        <v>.</v>
      </c>
      <c r="G154" t="str">
        <f>'AESS-all'!G154</f>
        <v>Clostridia</v>
      </c>
      <c r="H154" t="str">
        <f>'AESS-all'!H154</f>
        <v>.</v>
      </c>
      <c r="I154" t="str">
        <f>'AESS-all'!I154</f>
        <v>Clostridiales</v>
      </c>
      <c r="J154" t="str">
        <f>'AESS-all'!J154</f>
        <v>.</v>
      </c>
      <c r="K154" t="str">
        <f>'AESS-all'!K154</f>
        <v>.</v>
      </c>
      <c r="L154" t="str">
        <f>'AESS-all'!L154</f>
        <v>.</v>
      </c>
      <c r="M154" t="str">
        <f>'AESS-all'!M154</f>
        <v>.</v>
      </c>
      <c r="N154" t="str">
        <f>'AESS-all'!N154</f>
        <v>.</v>
      </c>
      <c r="O154">
        <f>'AESS-all'!O154</f>
        <v>0.55000000000000004</v>
      </c>
      <c r="P154" t="str">
        <f>'AESS-all'!P154</f>
        <v>Desulfitobacterium_hafniense_(T)_DCB-2_(CP001336)</v>
      </c>
      <c r="Q154">
        <f>'AESS-all'!Q154</f>
        <v>88.5</v>
      </c>
      <c r="R154">
        <f>'AESS-all'!R154</f>
        <v>6</v>
      </c>
      <c r="S154" s="49">
        <f>'AESS-all'!S154/'AESS-all'!S$1</f>
        <v>6.9934960486747332E-5</v>
      </c>
      <c r="T154" s="50">
        <f>'AESS-all'!T154/'AESS-all'!T$1</f>
        <v>0</v>
      </c>
      <c r="U154" s="50">
        <f>'AESS-all'!U154/'AESS-all'!U$1</f>
        <v>0</v>
      </c>
      <c r="V154" s="51">
        <f>'AESS-all'!V154/'AESS-all'!V$1</f>
        <v>0</v>
      </c>
      <c r="W154" s="49">
        <f>'AESS-all'!W154/'AESS-all'!W$1</f>
        <v>0</v>
      </c>
      <c r="X154" s="50">
        <f>'AESS-all'!X154/'AESS-all'!X$1</f>
        <v>0</v>
      </c>
      <c r="Y154" s="50">
        <f>'AESS-all'!Y154/'AESS-all'!Y$1</f>
        <v>0</v>
      </c>
      <c r="Z154" s="51">
        <f>'AESS-all'!Z154/'AESS-all'!Z$1</f>
        <v>0</v>
      </c>
      <c r="AA154" s="49">
        <f>'AESS-all'!AA154/'AESS-all'!AA$1</f>
        <v>2.00711090721413E-4</v>
      </c>
      <c r="AB154" s="50">
        <f>'AESS-all'!AB154/'AESS-all'!AB$1</f>
        <v>0</v>
      </c>
      <c r="AC154" s="50">
        <f>'AESS-all'!AC154/'AESS-all'!AC$1</f>
        <v>0</v>
      </c>
      <c r="AD154" s="51">
        <f>'AESS-all'!AD154/'AESS-all'!AD$1</f>
        <v>0</v>
      </c>
    </row>
    <row r="155" spans="1:30" x14ac:dyDescent="0.35">
      <c r="A155" t="str">
        <f>'AESS-all'!A155</f>
        <v>OTU_141</v>
      </c>
      <c r="B155">
        <f>'AESS-all'!B155</f>
        <v>10</v>
      </c>
      <c r="C155" t="str">
        <f>'AESS-all'!C155</f>
        <v>Root</v>
      </c>
      <c r="D155" t="str">
        <f>'AESS-all'!D155</f>
        <v>Bacteria</v>
      </c>
      <c r="E155" t="str">
        <f>'AESS-all'!E155</f>
        <v>Firmicutes</v>
      </c>
      <c r="F155" t="str">
        <f>'AESS-all'!F155</f>
        <v>.</v>
      </c>
      <c r="G155" t="str">
        <f>'AESS-all'!G155</f>
        <v>Clostridia</v>
      </c>
      <c r="H155" t="str">
        <f>'AESS-all'!H155</f>
        <v>.</v>
      </c>
      <c r="I155" t="str">
        <f>'AESS-all'!I155</f>
        <v>Clostridiales</v>
      </c>
      <c r="J155" t="str">
        <f>'AESS-all'!J155</f>
        <v>.</v>
      </c>
      <c r="K155" t="str">
        <f>'AESS-all'!K155</f>
        <v>Clostridiales_Incertae Sedis XI</v>
      </c>
      <c r="L155" t="str">
        <f>'AESS-all'!L155</f>
        <v>.</v>
      </c>
      <c r="M155" t="str">
        <f>'AESS-all'!M155</f>
        <v>Tissierella</v>
      </c>
      <c r="N155" t="str">
        <f>'AESS-all'!N155</f>
        <v>.</v>
      </c>
      <c r="O155">
        <f>'AESS-all'!O155</f>
        <v>0.61</v>
      </c>
      <c r="P155" t="str">
        <f>'AESS-all'!P155</f>
        <v>Soehngenia_saccharolytica_(T)_BOR-Y_(AY353956)</v>
      </c>
      <c r="Q155">
        <f>'AESS-all'!Q155</f>
        <v>96.8</v>
      </c>
      <c r="R155">
        <f>'AESS-all'!R155</f>
        <v>1</v>
      </c>
      <c r="S155" s="49">
        <f>'AESS-all'!S155/'AESS-all'!S$1</f>
        <v>9.3246613982329762E-5</v>
      </c>
      <c r="T155" s="50">
        <f>'AESS-all'!T155/'AESS-all'!T$1</f>
        <v>0</v>
      </c>
      <c r="U155" s="50">
        <f>'AESS-all'!U155/'AESS-all'!U$1</f>
        <v>0</v>
      </c>
      <c r="V155" s="51">
        <f>'AESS-all'!V155/'AESS-all'!V$1</f>
        <v>0</v>
      </c>
      <c r="W155" s="49">
        <f>'AESS-all'!W155/'AESS-all'!W$1</f>
        <v>4.3455588388666785E-5</v>
      </c>
      <c r="X155" s="50">
        <f>'AESS-all'!X155/'AESS-all'!X$1</f>
        <v>0</v>
      </c>
      <c r="Y155" s="50">
        <f>'AESS-all'!Y155/'AESS-all'!Y$1</f>
        <v>0</v>
      </c>
      <c r="Z155" s="51">
        <f>'AESS-all'!Z155/'AESS-all'!Z$1</f>
        <v>0</v>
      </c>
      <c r="AA155" s="49">
        <f>'AESS-all'!AA155/'AESS-all'!AA$1</f>
        <v>1.1469205184080744E-4</v>
      </c>
      <c r="AB155" s="50">
        <f>'AESS-all'!AB155/'AESS-all'!AB$1</f>
        <v>0</v>
      </c>
      <c r="AC155" s="50">
        <f>'AESS-all'!AC155/'AESS-all'!AC$1</f>
        <v>0</v>
      </c>
      <c r="AD155" s="51">
        <f>'AESS-all'!AD155/'AESS-all'!AD$1</f>
        <v>0</v>
      </c>
    </row>
    <row r="156" spans="1:30" x14ac:dyDescent="0.35">
      <c r="A156" t="str">
        <f>'AESS-all'!A156</f>
        <v>OTU_179</v>
      </c>
      <c r="B156">
        <f>'AESS-all'!B156</f>
        <v>10</v>
      </c>
      <c r="C156" t="str">
        <f>'AESS-all'!C156</f>
        <v>Root</v>
      </c>
      <c r="D156" t="str">
        <f>'AESS-all'!D156</f>
        <v>Bacteria</v>
      </c>
      <c r="E156" t="str">
        <f>'AESS-all'!E156</f>
        <v>Firmicutes</v>
      </c>
      <c r="F156" t="str">
        <f>'AESS-all'!F156</f>
        <v>.</v>
      </c>
      <c r="G156" t="str">
        <f>'AESS-all'!G156</f>
        <v>Clostridia</v>
      </c>
      <c r="H156" t="str">
        <f>'AESS-all'!H156</f>
        <v>.</v>
      </c>
      <c r="I156" t="str">
        <f>'AESS-all'!I156</f>
        <v>.</v>
      </c>
      <c r="J156" t="str">
        <f>'AESS-all'!J156</f>
        <v>.</v>
      </c>
      <c r="K156" t="str">
        <f>'AESS-all'!K156</f>
        <v>.</v>
      </c>
      <c r="L156" t="str">
        <f>'AESS-all'!L156</f>
        <v>.</v>
      </c>
      <c r="M156" t="str">
        <f>'AESS-all'!M156</f>
        <v>.</v>
      </c>
      <c r="N156" t="str">
        <f>'AESS-all'!N156</f>
        <v>.</v>
      </c>
      <c r="O156">
        <f>'AESS-all'!O156</f>
        <v>0.61</v>
      </c>
      <c r="P156" t="str">
        <f>'AESS-all'!P156</f>
        <v>Caloramator_fervidus_(T)_RT4._B1_(L09187)</v>
      </c>
      <c r="Q156">
        <f>'AESS-all'!Q156</f>
        <v>89.7</v>
      </c>
      <c r="R156">
        <f>'AESS-all'!R156</f>
        <v>1</v>
      </c>
      <c r="S156" s="49">
        <f>'AESS-all'!S156/'AESS-all'!S$1</f>
        <v>0</v>
      </c>
      <c r="T156" s="50">
        <f>'AESS-all'!T156/'AESS-all'!T$1</f>
        <v>0</v>
      </c>
      <c r="U156" s="50">
        <f>'AESS-all'!U156/'AESS-all'!U$1</f>
        <v>0</v>
      </c>
      <c r="V156" s="51">
        <f>'AESS-all'!V156/'AESS-all'!V$1</f>
        <v>0</v>
      </c>
      <c r="W156" s="49">
        <f>'AESS-all'!W156/'AESS-all'!W$1</f>
        <v>1.9555014774900052E-4</v>
      </c>
      <c r="X156" s="50">
        <f>'AESS-all'!X156/'AESS-all'!X$1</f>
        <v>0</v>
      </c>
      <c r="Y156" s="50">
        <f>'AESS-all'!Y156/'AESS-all'!Y$1</f>
        <v>0</v>
      </c>
      <c r="Z156" s="51">
        <f>'AESS-all'!Z156/'AESS-all'!Z$1</f>
        <v>0</v>
      </c>
      <c r="AA156" s="49">
        <f>'AESS-all'!AA156/'AESS-all'!AA$1</f>
        <v>2.8673012960201859E-5</v>
      </c>
      <c r="AB156" s="50">
        <f>'AESS-all'!AB156/'AESS-all'!AB$1</f>
        <v>0</v>
      </c>
      <c r="AC156" s="50">
        <f>'AESS-all'!AC156/'AESS-all'!AC$1</f>
        <v>0</v>
      </c>
      <c r="AD156" s="51">
        <f>'AESS-all'!AD156/'AESS-all'!AD$1</f>
        <v>0</v>
      </c>
    </row>
    <row r="157" spans="1:30" x14ac:dyDescent="0.35">
      <c r="A157" t="str">
        <f>'AESS-all'!A157</f>
        <v>OTU_150</v>
      </c>
      <c r="B157">
        <f>'AESS-all'!B157</f>
        <v>10</v>
      </c>
      <c r="C157" t="str">
        <f>'AESS-all'!C157</f>
        <v>Root</v>
      </c>
      <c r="D157" t="str">
        <f>'AESS-all'!D157</f>
        <v>Bacteria</v>
      </c>
      <c r="E157" t="str">
        <f>'AESS-all'!E157</f>
        <v>Tenericutes</v>
      </c>
      <c r="F157" t="str">
        <f>'AESS-all'!F157</f>
        <v>.</v>
      </c>
      <c r="G157" t="str">
        <f>'AESS-all'!G157</f>
        <v>Mollicutes</v>
      </c>
      <c r="H157" t="str">
        <f>'AESS-all'!H157</f>
        <v>.</v>
      </c>
      <c r="I157" t="str">
        <f>'AESS-all'!I157</f>
        <v>Acholeplasmatales</v>
      </c>
      <c r="J157" t="str">
        <f>'AESS-all'!J157</f>
        <v>.</v>
      </c>
      <c r="K157" t="str">
        <f>'AESS-all'!K157</f>
        <v>Acholeplasmataceae</v>
      </c>
      <c r="L157" t="str">
        <f>'AESS-all'!L157</f>
        <v>.</v>
      </c>
      <c r="M157" t="str">
        <f>'AESS-all'!M157</f>
        <v>Acholeplasma</v>
      </c>
      <c r="N157" t="str">
        <f>'AESS-all'!N157</f>
        <v>.</v>
      </c>
      <c r="O157">
        <f>'AESS-all'!O157</f>
        <v>0.9</v>
      </c>
      <c r="P157" t="str">
        <f>'AESS-all'!P157</f>
        <v>Acholeplasma_parvum_(T)_H23M_(AY538170)</v>
      </c>
      <c r="Q157">
        <f>'AESS-all'!Q157</f>
        <v>92.9</v>
      </c>
      <c r="R157">
        <f>'AESS-all'!R157</f>
        <v>1</v>
      </c>
      <c r="S157" s="49">
        <f>'AESS-all'!S157/'AESS-all'!S$1</f>
        <v>2.3311653495582441E-5</v>
      </c>
      <c r="T157" s="50">
        <f>'AESS-all'!T157/'AESS-all'!T$1</f>
        <v>0</v>
      </c>
      <c r="U157" s="50">
        <f>'AESS-all'!U157/'AESS-all'!U$1</f>
        <v>0</v>
      </c>
      <c r="V157" s="51">
        <f>'AESS-all'!V157/'AESS-all'!V$1</f>
        <v>0</v>
      </c>
      <c r="W157" s="49">
        <f>'AESS-all'!W157/'AESS-all'!W$1</f>
        <v>4.3455588388666785E-5</v>
      </c>
      <c r="X157" s="50">
        <f>'AESS-all'!X157/'AESS-all'!X$1</f>
        <v>0</v>
      </c>
      <c r="Y157" s="50">
        <f>'AESS-all'!Y157/'AESS-all'!Y$1</f>
        <v>0</v>
      </c>
      <c r="Z157" s="51">
        <f>'AESS-all'!Z157/'AESS-all'!Z$1</f>
        <v>0</v>
      </c>
      <c r="AA157" s="49">
        <f>'AESS-all'!AA157/'AESS-all'!AA$1</f>
        <v>2.00711090721413E-4</v>
      </c>
      <c r="AB157" s="50">
        <f>'AESS-all'!AB157/'AESS-all'!AB$1</f>
        <v>0</v>
      </c>
      <c r="AC157" s="50">
        <f>'AESS-all'!AC157/'AESS-all'!AC$1</f>
        <v>0</v>
      </c>
      <c r="AD157" s="51">
        <f>'AESS-all'!AD157/'AESS-all'!AD$1</f>
        <v>0</v>
      </c>
    </row>
    <row r="158" spans="1:30" x14ac:dyDescent="0.35">
      <c r="A158" t="str">
        <f>'AESS-all'!A158</f>
        <v>OTU_167</v>
      </c>
      <c r="B158">
        <f>'AESS-all'!B158</f>
        <v>9</v>
      </c>
      <c r="C158" t="str">
        <f>'AESS-all'!C158</f>
        <v>Root</v>
      </c>
      <c r="D158" t="str">
        <f>'AESS-all'!D158</f>
        <v>Bacteria</v>
      </c>
      <c r="E158" t="str">
        <f>'AESS-all'!E158</f>
        <v>Bacteroidetes</v>
      </c>
      <c r="F158" t="str">
        <f>'AESS-all'!F158</f>
        <v>.</v>
      </c>
      <c r="G158" t="str">
        <f>'AESS-all'!G158</f>
        <v>Flavobacteriia</v>
      </c>
      <c r="H158" t="str">
        <f>'AESS-all'!H158</f>
        <v>.</v>
      </c>
      <c r="I158" t="str">
        <f>'AESS-all'!I158</f>
        <v>Flavobacteriales</v>
      </c>
      <c r="J158" t="str">
        <f>'AESS-all'!J158</f>
        <v>.</v>
      </c>
      <c r="K158" t="str">
        <f>'AESS-all'!K158</f>
        <v>.</v>
      </c>
      <c r="L158" t="str">
        <f>'AESS-all'!L158</f>
        <v>.</v>
      </c>
      <c r="M158" t="str">
        <f>'AESS-all'!M158</f>
        <v>.</v>
      </c>
      <c r="N158" t="str">
        <f>'AESS-all'!N158</f>
        <v>.</v>
      </c>
      <c r="O158">
        <f>'AESS-all'!O158</f>
        <v>0.5</v>
      </c>
      <c r="P158" t="str">
        <f>'AESS-all'!P158</f>
        <v>Cytophaga_fermentans_(T)_ATCC_19072_(M58766)</v>
      </c>
      <c r="Q158">
        <f>'AESS-all'!Q158</f>
        <v>88.9</v>
      </c>
      <c r="R158">
        <f>'AESS-all'!R158</f>
        <v>1</v>
      </c>
      <c r="S158" s="49">
        <f>'AESS-all'!S158/'AESS-all'!S$1</f>
        <v>0</v>
      </c>
      <c r="T158" s="50">
        <f>'AESS-all'!T158/'AESS-all'!T$1</f>
        <v>0</v>
      </c>
      <c r="U158" s="50">
        <f>'AESS-all'!U158/'AESS-all'!U$1</f>
        <v>0</v>
      </c>
      <c r="V158" s="51">
        <f>'AESS-all'!V158/'AESS-all'!V$1</f>
        <v>0</v>
      </c>
      <c r="W158" s="49">
        <f>'AESS-all'!W158/'AESS-all'!W$1</f>
        <v>1.0863897097166696E-4</v>
      </c>
      <c r="X158" s="50">
        <f>'AESS-all'!X158/'AESS-all'!X$1</f>
        <v>0</v>
      </c>
      <c r="Y158" s="50">
        <f>'AESS-all'!Y158/'AESS-all'!Y$1</f>
        <v>0</v>
      </c>
      <c r="Z158" s="51">
        <f>'AESS-all'!Z158/'AESS-all'!Z$1</f>
        <v>0</v>
      </c>
      <c r="AA158" s="49">
        <f>'AESS-all'!AA158/'AESS-all'!AA$1</f>
        <v>1.1469205184080744E-4</v>
      </c>
      <c r="AB158" s="50">
        <f>'AESS-all'!AB158/'AESS-all'!AB$1</f>
        <v>0</v>
      </c>
      <c r="AC158" s="50">
        <f>'AESS-all'!AC158/'AESS-all'!AC$1</f>
        <v>0</v>
      </c>
      <c r="AD158" s="51">
        <f>'AESS-all'!AD158/'AESS-all'!AD$1</f>
        <v>0</v>
      </c>
    </row>
    <row r="159" spans="1:30" x14ac:dyDescent="0.35">
      <c r="A159" t="str">
        <f>'AESS-all'!A159</f>
        <v>OTU_183</v>
      </c>
      <c r="B159">
        <f>'AESS-all'!B159</f>
        <v>9</v>
      </c>
      <c r="C159" t="str">
        <f>'AESS-all'!C159</f>
        <v>Root</v>
      </c>
      <c r="D159" t="str">
        <f>'AESS-all'!D159</f>
        <v>Bacteria</v>
      </c>
      <c r="E159" t="str">
        <f>'AESS-all'!E159</f>
        <v>Proteobacteria</v>
      </c>
      <c r="F159" t="str">
        <f>'AESS-all'!F159</f>
        <v>.</v>
      </c>
      <c r="G159" t="str">
        <f>'AESS-all'!G159</f>
        <v>Deltaproteobacteria</v>
      </c>
      <c r="H159" t="str">
        <f>'AESS-all'!H159</f>
        <v>.</v>
      </c>
      <c r="I159" t="str">
        <f>'AESS-all'!I159</f>
        <v>Desulfovibrionales</v>
      </c>
      <c r="J159" t="str">
        <f>'AESS-all'!J159</f>
        <v>.</v>
      </c>
      <c r="K159" t="str">
        <f>'AESS-all'!K159</f>
        <v>Desulfovibrionaceae</v>
      </c>
      <c r="L159" t="str">
        <f>'AESS-all'!L159</f>
        <v>.</v>
      </c>
      <c r="M159" t="str">
        <f>'AESS-all'!M159</f>
        <v>Desulfovibrio</v>
      </c>
      <c r="N159" t="str">
        <f>'AESS-all'!N159</f>
        <v>.</v>
      </c>
      <c r="O159">
        <f>'AESS-all'!O159</f>
        <v>1</v>
      </c>
      <c r="P159" t="str">
        <f>'AESS-all'!P159</f>
        <v>Desulfovibrio_psychrotolerans_(T)_type_strain:_PWC_=_JS1_(AM418397)</v>
      </c>
      <c r="Q159">
        <f>'AESS-all'!Q159</f>
        <v>99.2</v>
      </c>
      <c r="R159">
        <f>'AESS-all'!R159</f>
        <v>1</v>
      </c>
      <c r="S159" s="49">
        <f>'AESS-all'!S159/'AESS-all'!S$1</f>
        <v>1.6318157446907708E-4</v>
      </c>
      <c r="T159" s="50">
        <f>'AESS-all'!T159/'AESS-all'!T$1</f>
        <v>0</v>
      </c>
      <c r="U159" s="50">
        <f>'AESS-all'!U159/'AESS-all'!U$1</f>
        <v>0</v>
      </c>
      <c r="V159" s="51">
        <f>'AESS-all'!V159/'AESS-all'!V$1</f>
        <v>0</v>
      </c>
      <c r="W159" s="49">
        <f>'AESS-all'!W159/'AESS-all'!W$1</f>
        <v>2.1727794194333393E-5</v>
      </c>
      <c r="X159" s="50">
        <f>'AESS-all'!X159/'AESS-all'!X$1</f>
        <v>0</v>
      </c>
      <c r="Y159" s="50">
        <f>'AESS-all'!Y159/'AESS-all'!Y$1</f>
        <v>0</v>
      </c>
      <c r="Z159" s="51">
        <f>'AESS-all'!Z159/'AESS-all'!Z$1</f>
        <v>0</v>
      </c>
      <c r="AA159" s="49">
        <f>'AESS-all'!AA159/'AESS-all'!AA$1</f>
        <v>2.8673012960201859E-5</v>
      </c>
      <c r="AB159" s="50">
        <f>'AESS-all'!AB159/'AESS-all'!AB$1</f>
        <v>0</v>
      </c>
      <c r="AC159" s="50">
        <f>'AESS-all'!AC159/'AESS-all'!AC$1</f>
        <v>0</v>
      </c>
      <c r="AD159" s="51">
        <f>'AESS-all'!AD159/'AESS-all'!AD$1</f>
        <v>0</v>
      </c>
    </row>
    <row r="160" spans="1:30" x14ac:dyDescent="0.35">
      <c r="A160" t="str">
        <f>'AESS-all'!A160</f>
        <v>OTU_177</v>
      </c>
      <c r="B160">
        <f>'AESS-all'!B160</f>
        <v>9</v>
      </c>
      <c r="C160" t="str">
        <f>'AESS-all'!C160</f>
        <v>Root</v>
      </c>
      <c r="D160" t="str">
        <f>'AESS-all'!D160</f>
        <v>Bacteria</v>
      </c>
      <c r="E160" t="str">
        <f>'AESS-all'!E160</f>
        <v>Bacteroidetes</v>
      </c>
      <c r="F160" t="str">
        <f>'AESS-all'!F160</f>
        <v>.</v>
      </c>
      <c r="G160" t="str">
        <f>'AESS-all'!G160</f>
        <v>Bacteroidia</v>
      </c>
      <c r="H160" t="str">
        <f>'AESS-all'!H160</f>
        <v>.</v>
      </c>
      <c r="I160" t="str">
        <f>'AESS-all'!I160</f>
        <v>Bacteroidales</v>
      </c>
      <c r="J160" t="str">
        <f>'AESS-all'!J160</f>
        <v>.</v>
      </c>
      <c r="K160" t="str">
        <f>'AESS-all'!K160</f>
        <v>Porphyromonadaceae</v>
      </c>
      <c r="L160" t="str">
        <f>'AESS-all'!L160</f>
        <v>.</v>
      </c>
      <c r="M160" t="str">
        <f>'AESS-all'!M160</f>
        <v>.</v>
      </c>
      <c r="N160" t="str">
        <f>'AESS-all'!N160</f>
        <v>.</v>
      </c>
      <c r="O160">
        <f>'AESS-all'!O160</f>
        <v>0.87</v>
      </c>
      <c r="P160" t="str">
        <f>'AESS-all'!P160</f>
        <v>Muribaculum_intestinale_strain_YL27_(NR_144616.1)</v>
      </c>
      <c r="Q160">
        <f>'AESS-all'!Q160</f>
        <v>91.3</v>
      </c>
      <c r="R160">
        <f>'AESS-all'!R160</f>
        <v>1</v>
      </c>
      <c r="S160" s="49">
        <f>'AESS-all'!S160/'AESS-all'!S$1</f>
        <v>4.6623306991164881E-5</v>
      </c>
      <c r="T160" s="50">
        <f>'AESS-all'!T160/'AESS-all'!T$1</f>
        <v>0</v>
      </c>
      <c r="U160" s="50">
        <f>'AESS-all'!U160/'AESS-all'!U$1</f>
        <v>0</v>
      </c>
      <c r="V160" s="51">
        <f>'AESS-all'!V160/'AESS-all'!V$1</f>
        <v>0</v>
      </c>
      <c r="W160" s="49">
        <f>'AESS-all'!W160/'AESS-all'!W$1</f>
        <v>4.3455588388666785E-5</v>
      </c>
      <c r="X160" s="50">
        <f>'AESS-all'!X160/'AESS-all'!X$1</f>
        <v>0</v>
      </c>
      <c r="Y160" s="50">
        <f>'AESS-all'!Y160/'AESS-all'!Y$1</f>
        <v>0</v>
      </c>
      <c r="Z160" s="51">
        <f>'AESS-all'!Z160/'AESS-all'!Z$1</f>
        <v>0</v>
      </c>
      <c r="AA160" s="49">
        <f>'AESS-all'!AA160/'AESS-all'!AA$1</f>
        <v>1.4336506480100929E-4</v>
      </c>
      <c r="AB160" s="50">
        <f>'AESS-all'!AB160/'AESS-all'!AB$1</f>
        <v>0</v>
      </c>
      <c r="AC160" s="50">
        <f>'AESS-all'!AC160/'AESS-all'!AC$1</f>
        <v>0</v>
      </c>
      <c r="AD160" s="51">
        <f>'AESS-all'!AD160/'AESS-all'!AD$1</f>
        <v>0</v>
      </c>
    </row>
    <row r="161" spans="1:30" x14ac:dyDescent="0.35">
      <c r="A161" t="str">
        <f>'AESS-all'!A161</f>
        <v>OTU_164</v>
      </c>
      <c r="B161">
        <f>'AESS-all'!B161</f>
        <v>9</v>
      </c>
      <c r="C161" t="str">
        <f>'AESS-all'!C161</f>
        <v>Root</v>
      </c>
      <c r="D161" t="str">
        <f>'AESS-all'!D161</f>
        <v>Bacteria</v>
      </c>
      <c r="E161" t="str">
        <f>'AESS-all'!E161</f>
        <v>.</v>
      </c>
      <c r="F161" t="str">
        <f>'AESS-all'!F161</f>
        <v>.</v>
      </c>
      <c r="G161" t="str">
        <f>'AESS-all'!G161</f>
        <v>.</v>
      </c>
      <c r="H161" t="str">
        <f>'AESS-all'!H161</f>
        <v>.</v>
      </c>
      <c r="I161" t="str">
        <f>'AESS-all'!I161</f>
        <v>.</v>
      </c>
      <c r="J161" t="str">
        <f>'AESS-all'!J161</f>
        <v>.</v>
      </c>
      <c r="K161" t="str">
        <f>'AESS-all'!K161</f>
        <v>.</v>
      </c>
      <c r="L161" t="str">
        <f>'AESS-all'!L161</f>
        <v>.</v>
      </c>
      <c r="M161" t="str">
        <f>'AESS-all'!M161</f>
        <v>.</v>
      </c>
      <c r="N161" t="str">
        <f>'AESS-all'!N161</f>
        <v>.</v>
      </c>
      <c r="O161">
        <f>'AESS-all'!O161</f>
        <v>1</v>
      </c>
      <c r="P161" t="str">
        <f>'AESS-all'!P161</f>
        <v>Thermanaerovibrio_acidaminovorans_strain_DSM_6589_(NR_114455.1)</v>
      </c>
      <c r="Q161">
        <f>'AESS-all'!Q161</f>
        <v>87</v>
      </c>
      <c r="R161">
        <f>'AESS-all'!R161</f>
        <v>1</v>
      </c>
      <c r="S161" s="49">
        <f>'AESS-all'!S161/'AESS-all'!S$1</f>
        <v>0</v>
      </c>
      <c r="T161" s="50">
        <f>'AESS-all'!T161/'AESS-all'!T$1</f>
        <v>0</v>
      </c>
      <c r="U161" s="50">
        <f>'AESS-all'!U161/'AESS-all'!U$1</f>
        <v>0</v>
      </c>
      <c r="V161" s="51">
        <f>'AESS-all'!V161/'AESS-all'!V$1</f>
        <v>0</v>
      </c>
      <c r="W161" s="49">
        <f>'AESS-all'!W161/'AESS-all'!W$1</f>
        <v>1.9555014774900052E-4</v>
      </c>
      <c r="X161" s="50">
        <f>'AESS-all'!X161/'AESS-all'!X$1</f>
        <v>0</v>
      </c>
      <c r="Y161" s="50">
        <f>'AESS-all'!Y161/'AESS-all'!Y$1</f>
        <v>0</v>
      </c>
      <c r="Z161" s="51">
        <f>'AESS-all'!Z161/'AESS-all'!Z$1</f>
        <v>0</v>
      </c>
      <c r="AA161" s="49">
        <f>'AESS-all'!AA161/'AESS-all'!AA$1</f>
        <v>0</v>
      </c>
      <c r="AB161" s="50">
        <f>'AESS-all'!AB161/'AESS-all'!AB$1</f>
        <v>0</v>
      </c>
      <c r="AC161" s="50">
        <f>'AESS-all'!AC161/'AESS-all'!AC$1</f>
        <v>0</v>
      </c>
      <c r="AD161" s="51">
        <f>'AESS-all'!AD161/'AESS-all'!AD$1</f>
        <v>0</v>
      </c>
    </row>
    <row r="162" spans="1:30" x14ac:dyDescent="0.35">
      <c r="A162" t="str">
        <f>'AESS-all'!A162</f>
        <v>OTU_159</v>
      </c>
      <c r="B162">
        <f>'AESS-all'!B162</f>
        <v>9</v>
      </c>
      <c r="C162" t="str">
        <f>'AESS-all'!C162</f>
        <v>Root</v>
      </c>
      <c r="D162" t="str">
        <f>'AESS-all'!D162</f>
        <v>Bacteria</v>
      </c>
      <c r="E162" t="str">
        <f>'AESS-all'!E162</f>
        <v>.</v>
      </c>
      <c r="F162" t="str">
        <f>'AESS-all'!F162</f>
        <v>.</v>
      </c>
      <c r="G162" t="str">
        <f>'AESS-all'!G162</f>
        <v>.</v>
      </c>
      <c r="H162" t="str">
        <f>'AESS-all'!H162</f>
        <v>.</v>
      </c>
      <c r="I162" t="str">
        <f>'AESS-all'!I162</f>
        <v>.</v>
      </c>
      <c r="J162" t="str">
        <f>'AESS-all'!J162</f>
        <v>.</v>
      </c>
      <c r="K162" t="str">
        <f>'AESS-all'!K162</f>
        <v>.</v>
      </c>
      <c r="L162" t="str">
        <f>'AESS-all'!L162</f>
        <v>.</v>
      </c>
      <c r="M162" t="str">
        <f>'AESS-all'!M162</f>
        <v>.</v>
      </c>
      <c r="N162" t="str">
        <f>'AESS-all'!N162</f>
        <v>.</v>
      </c>
      <c r="O162">
        <f>'AESS-all'!O162</f>
        <v>1</v>
      </c>
      <c r="P162" t="str">
        <f>'AESS-all'!P162</f>
        <v>*</v>
      </c>
      <c r="Q162">
        <f>'AESS-all'!Q162</f>
        <v>0</v>
      </c>
      <c r="R162">
        <f>'AESS-all'!R162</f>
        <v>1</v>
      </c>
      <c r="S162" s="49">
        <f>'AESS-all'!S162/'AESS-all'!S$1</f>
        <v>6.9934960486747332E-5</v>
      </c>
      <c r="T162" s="50">
        <f>'AESS-all'!T162/'AESS-all'!T$1</f>
        <v>0</v>
      </c>
      <c r="U162" s="50">
        <f>'AESS-all'!U162/'AESS-all'!U$1</f>
        <v>0</v>
      </c>
      <c r="V162" s="51">
        <f>'AESS-all'!V162/'AESS-all'!V$1</f>
        <v>0</v>
      </c>
      <c r="W162" s="49">
        <f>'AESS-all'!W162/'AESS-all'!W$1</f>
        <v>8.6911176777333571E-5</v>
      </c>
      <c r="X162" s="50">
        <f>'AESS-all'!X162/'AESS-all'!X$1</f>
        <v>0</v>
      </c>
      <c r="Y162" s="50">
        <f>'AESS-all'!Y162/'AESS-all'!Y$1</f>
        <v>0</v>
      </c>
      <c r="Z162" s="51">
        <f>'AESS-all'!Z162/'AESS-all'!Z$1</f>
        <v>0</v>
      </c>
      <c r="AA162" s="49">
        <f>'AESS-all'!AA162/'AESS-all'!AA$1</f>
        <v>5.7346025920403718E-5</v>
      </c>
      <c r="AB162" s="50">
        <f>'AESS-all'!AB162/'AESS-all'!AB$1</f>
        <v>0</v>
      </c>
      <c r="AC162" s="50">
        <f>'AESS-all'!AC162/'AESS-all'!AC$1</f>
        <v>0</v>
      </c>
      <c r="AD162" s="51">
        <f>'AESS-all'!AD162/'AESS-all'!AD$1</f>
        <v>0</v>
      </c>
    </row>
    <row r="163" spans="1:30" x14ac:dyDescent="0.35">
      <c r="A163" t="str">
        <f>'AESS-all'!A163</f>
        <v>OTU_156</v>
      </c>
      <c r="B163">
        <f>'AESS-all'!B163</f>
        <v>9</v>
      </c>
      <c r="C163" t="str">
        <f>'AESS-all'!C163</f>
        <v>Root</v>
      </c>
      <c r="D163" t="str">
        <f>'AESS-all'!D163</f>
        <v>Bacteria</v>
      </c>
      <c r="E163" t="str">
        <f>'AESS-all'!E163</f>
        <v>Firmicutes</v>
      </c>
      <c r="F163" t="str">
        <f>'AESS-all'!F163</f>
        <v>.</v>
      </c>
      <c r="G163" t="str">
        <f>'AESS-all'!G163</f>
        <v>Clostridia</v>
      </c>
      <c r="H163" t="str">
        <f>'AESS-all'!H163</f>
        <v>.</v>
      </c>
      <c r="I163" t="str">
        <f>'AESS-all'!I163</f>
        <v>Thermoanaerobacterales</v>
      </c>
      <c r="J163" t="str">
        <f>'AESS-all'!J163</f>
        <v>.</v>
      </c>
      <c r="K163" t="str">
        <f>'AESS-all'!K163</f>
        <v>Thermoanaerobacteraceae</v>
      </c>
      <c r="L163" t="str">
        <f>'AESS-all'!L163</f>
        <v>.</v>
      </c>
      <c r="M163" t="str">
        <f>'AESS-all'!M163</f>
        <v>Moorella</v>
      </c>
      <c r="N163" t="str">
        <f>'AESS-all'!N163</f>
        <v>.</v>
      </c>
      <c r="O163">
        <f>'AESS-all'!O163</f>
        <v>0.98</v>
      </c>
      <c r="P163" t="str">
        <f>'AESS-all'!P163</f>
        <v>Moorella_glycerini_(T)_YS6_(U82327)</v>
      </c>
      <c r="Q163">
        <f>'AESS-all'!Q163</f>
        <v>95.7</v>
      </c>
      <c r="R163">
        <f>'AESS-all'!R163</f>
        <v>3</v>
      </c>
      <c r="S163" s="49">
        <f>'AESS-all'!S163/'AESS-all'!S$1</f>
        <v>0</v>
      </c>
      <c r="T163" s="50">
        <f>'AESS-all'!T163/'AESS-all'!T$1</f>
        <v>0</v>
      </c>
      <c r="U163" s="50">
        <f>'AESS-all'!U163/'AESS-all'!U$1</f>
        <v>0</v>
      </c>
      <c r="V163" s="51">
        <f>'AESS-all'!V163/'AESS-all'!V$1</f>
        <v>0</v>
      </c>
      <c r="W163" s="49">
        <f>'AESS-all'!W163/'AESS-all'!W$1</f>
        <v>6.5183382583000168E-5</v>
      </c>
      <c r="X163" s="50">
        <f>'AESS-all'!X163/'AESS-all'!X$1</f>
        <v>0</v>
      </c>
      <c r="Y163" s="50">
        <f>'AESS-all'!Y163/'AESS-all'!Y$1</f>
        <v>0</v>
      </c>
      <c r="Z163" s="51">
        <f>'AESS-all'!Z163/'AESS-all'!Z$1</f>
        <v>0</v>
      </c>
      <c r="AA163" s="49">
        <f>'AESS-all'!AA163/'AESS-all'!AA$1</f>
        <v>1.7203807776121116E-4</v>
      </c>
      <c r="AB163" s="50">
        <f>'AESS-all'!AB163/'AESS-all'!AB$1</f>
        <v>0</v>
      </c>
      <c r="AC163" s="50">
        <f>'AESS-all'!AC163/'AESS-all'!AC$1</f>
        <v>0</v>
      </c>
      <c r="AD163" s="51">
        <f>'AESS-all'!AD163/'AESS-all'!AD$1</f>
        <v>0</v>
      </c>
    </row>
    <row r="164" spans="1:30" x14ac:dyDescent="0.35">
      <c r="A164" t="str">
        <f>'AESS-all'!A164</f>
        <v>OTU_138</v>
      </c>
      <c r="B164">
        <f>'AESS-all'!B164</f>
        <v>9</v>
      </c>
      <c r="C164" t="str">
        <f>'AESS-all'!C164</f>
        <v>Root</v>
      </c>
      <c r="D164" t="str">
        <f>'AESS-all'!D164</f>
        <v>Bacteria</v>
      </c>
      <c r="E164" t="str">
        <f>'AESS-all'!E164</f>
        <v>Firmicutes</v>
      </c>
      <c r="F164" t="str">
        <f>'AESS-all'!F164</f>
        <v>.</v>
      </c>
      <c r="G164" t="str">
        <f>'AESS-all'!G164</f>
        <v>Clostridia</v>
      </c>
      <c r="H164" t="str">
        <f>'AESS-all'!H164</f>
        <v>.</v>
      </c>
      <c r="I164" t="str">
        <f>'AESS-all'!I164</f>
        <v>Clostridiales</v>
      </c>
      <c r="J164" t="str">
        <f>'AESS-all'!J164</f>
        <v>.</v>
      </c>
      <c r="K164" t="str">
        <f>'AESS-all'!K164</f>
        <v>.</v>
      </c>
      <c r="L164" t="str">
        <f>'AESS-all'!L164</f>
        <v>.</v>
      </c>
      <c r="M164" t="str">
        <f>'AESS-all'!M164</f>
        <v>.</v>
      </c>
      <c r="N164" t="str">
        <f>'AESS-all'!N164</f>
        <v>.</v>
      </c>
      <c r="O164">
        <f>'AESS-all'!O164</f>
        <v>0.84</v>
      </c>
      <c r="P164" t="str">
        <f>'AESS-all'!P164</f>
        <v>Gracilibacter_thermotolerans_(T)_JW/YJL-S1_(DQ117465)</v>
      </c>
      <c r="Q164">
        <f>'AESS-all'!Q164</f>
        <v>91.7</v>
      </c>
      <c r="R164">
        <f>'AESS-all'!R164</f>
        <v>1</v>
      </c>
      <c r="S164" s="49">
        <f>'AESS-all'!S164/'AESS-all'!S$1</f>
        <v>0</v>
      </c>
      <c r="T164" s="50">
        <f>'AESS-all'!T164/'AESS-all'!T$1</f>
        <v>0</v>
      </c>
      <c r="U164" s="50">
        <f>'AESS-all'!U164/'AESS-all'!U$1</f>
        <v>0</v>
      </c>
      <c r="V164" s="51">
        <f>'AESS-all'!V164/'AESS-all'!V$1</f>
        <v>0</v>
      </c>
      <c r="W164" s="49">
        <f>'AESS-all'!W164/'AESS-all'!W$1</f>
        <v>0</v>
      </c>
      <c r="X164" s="50">
        <f>'AESS-all'!X164/'AESS-all'!X$1</f>
        <v>0</v>
      </c>
      <c r="Y164" s="50">
        <f>'AESS-all'!Y164/'AESS-all'!Y$1</f>
        <v>0</v>
      </c>
      <c r="Z164" s="51">
        <f>'AESS-all'!Z164/'AESS-all'!Z$1</f>
        <v>0</v>
      </c>
      <c r="AA164" s="49">
        <f>'AESS-all'!AA164/'AESS-all'!AA$1</f>
        <v>0</v>
      </c>
      <c r="AB164" s="50">
        <f>'AESS-all'!AB164/'AESS-all'!AB$1</f>
        <v>3.9035392088827202E-4</v>
      </c>
      <c r="AC164" s="50">
        <f>'AESS-all'!AC164/'AESS-all'!AC$1</f>
        <v>0</v>
      </c>
      <c r="AD164" s="51">
        <f>'AESS-all'!AD164/'AESS-all'!AD$1</f>
        <v>0</v>
      </c>
    </row>
    <row r="165" spans="1:30" x14ac:dyDescent="0.35">
      <c r="A165" t="str">
        <f>'AESS-all'!A165</f>
        <v>OTU_152</v>
      </c>
      <c r="B165">
        <f>'AESS-all'!B165</f>
        <v>9</v>
      </c>
      <c r="C165" t="str">
        <f>'AESS-all'!C165</f>
        <v>Root</v>
      </c>
      <c r="D165" t="str">
        <f>'AESS-all'!D165</f>
        <v>Bacteria</v>
      </c>
      <c r="E165" t="str">
        <f>'AESS-all'!E165</f>
        <v>Deferribacteres</v>
      </c>
      <c r="F165" t="str">
        <f>'AESS-all'!F165</f>
        <v>.</v>
      </c>
      <c r="G165" t="str">
        <f>'AESS-all'!G165</f>
        <v>Deferribacteres</v>
      </c>
      <c r="H165" t="str">
        <f>'AESS-all'!H165</f>
        <v>.</v>
      </c>
      <c r="I165" t="str">
        <f>'AESS-all'!I165</f>
        <v>Deferribacterales</v>
      </c>
      <c r="J165" t="str">
        <f>'AESS-all'!J165</f>
        <v>.</v>
      </c>
      <c r="K165" t="str">
        <f>'AESS-all'!K165</f>
        <v>Deferribacteraceae</v>
      </c>
      <c r="L165" t="str">
        <f>'AESS-all'!L165</f>
        <v>.</v>
      </c>
      <c r="M165" t="str">
        <f>'AESS-all'!M165</f>
        <v>Geovibrio</v>
      </c>
      <c r="N165" t="str">
        <f>'AESS-all'!N165</f>
        <v>.</v>
      </c>
      <c r="O165">
        <f>'AESS-all'!O165</f>
        <v>1</v>
      </c>
      <c r="P165" t="str">
        <f>'AESS-all'!P165</f>
        <v>Geovibrio_ferrireducens_(T)_PAL-1_(X95744)</v>
      </c>
      <c r="Q165">
        <f>'AESS-all'!Q165</f>
        <v>99.2</v>
      </c>
      <c r="R165">
        <f>'AESS-all'!R165</f>
        <v>1</v>
      </c>
      <c r="S165" s="49">
        <f>'AESS-all'!S165/'AESS-all'!S$1</f>
        <v>6.9934960486747332E-5</v>
      </c>
      <c r="T165" s="50">
        <f>'AESS-all'!T165/'AESS-all'!T$1</f>
        <v>0</v>
      </c>
      <c r="U165" s="50">
        <f>'AESS-all'!U165/'AESS-all'!U$1</f>
        <v>0</v>
      </c>
      <c r="V165" s="51">
        <f>'AESS-all'!V165/'AESS-all'!V$1</f>
        <v>0</v>
      </c>
      <c r="W165" s="49">
        <f>'AESS-all'!W165/'AESS-all'!W$1</f>
        <v>1.0863897097166696E-4</v>
      </c>
      <c r="X165" s="50">
        <f>'AESS-all'!X165/'AESS-all'!X$1</f>
        <v>0</v>
      </c>
      <c r="Y165" s="50">
        <f>'AESS-all'!Y165/'AESS-all'!Y$1</f>
        <v>0</v>
      </c>
      <c r="Z165" s="51">
        <f>'AESS-all'!Z165/'AESS-all'!Z$1</f>
        <v>0</v>
      </c>
      <c r="AA165" s="49">
        <f>'AESS-all'!AA165/'AESS-all'!AA$1</f>
        <v>2.8673012960201859E-5</v>
      </c>
      <c r="AB165" s="50">
        <f>'AESS-all'!AB165/'AESS-all'!AB$1</f>
        <v>0</v>
      </c>
      <c r="AC165" s="50">
        <f>'AESS-all'!AC165/'AESS-all'!AC$1</f>
        <v>0</v>
      </c>
      <c r="AD165" s="51">
        <f>'AESS-all'!AD165/'AESS-all'!AD$1</f>
        <v>0</v>
      </c>
    </row>
    <row r="166" spans="1:30" x14ac:dyDescent="0.35">
      <c r="A166" t="str">
        <f>'AESS-all'!A166</f>
        <v>OTU_149</v>
      </c>
      <c r="B166">
        <f>'AESS-all'!B166</f>
        <v>9</v>
      </c>
      <c r="C166" t="str">
        <f>'AESS-all'!C166</f>
        <v>Root</v>
      </c>
      <c r="D166" t="str">
        <f>'AESS-all'!D166</f>
        <v>Bacteria</v>
      </c>
      <c r="E166" t="str">
        <f>'AESS-all'!E166</f>
        <v>Firmicutes</v>
      </c>
      <c r="F166" t="str">
        <f>'AESS-all'!F166</f>
        <v>.</v>
      </c>
      <c r="G166" t="str">
        <f>'AESS-all'!G166</f>
        <v>Clostridia</v>
      </c>
      <c r="H166" t="str">
        <f>'AESS-all'!H166</f>
        <v>.</v>
      </c>
      <c r="I166" t="str">
        <f>'AESS-all'!I166</f>
        <v>Clostridiales</v>
      </c>
      <c r="J166" t="str">
        <f>'AESS-all'!J166</f>
        <v>.</v>
      </c>
      <c r="K166" t="str">
        <f>'AESS-all'!K166</f>
        <v>Clostridiaceae 2</v>
      </c>
      <c r="L166" t="str">
        <f>'AESS-all'!L166</f>
        <v>.</v>
      </c>
      <c r="M166" t="str">
        <f>'AESS-all'!M166</f>
        <v>Anoxynatronum</v>
      </c>
      <c r="N166" t="str">
        <f>'AESS-all'!N166</f>
        <v>.</v>
      </c>
      <c r="O166">
        <f>'AESS-all'!O166</f>
        <v>0.57999999999999996</v>
      </c>
      <c r="P166" t="str">
        <f>'AESS-all'!P166</f>
        <v>Anoxynatronum_sibiricum_(T)_Z-7981_(AF522323)</v>
      </c>
      <c r="Q166">
        <f>'AESS-all'!Q166</f>
        <v>99.2</v>
      </c>
      <c r="R166">
        <f>'AESS-all'!R166</f>
        <v>1</v>
      </c>
      <c r="S166" s="49">
        <f>'AESS-all'!S166/'AESS-all'!S$1</f>
        <v>1.6318157446907708E-4</v>
      </c>
      <c r="T166" s="50">
        <f>'AESS-all'!T166/'AESS-all'!T$1</f>
        <v>0</v>
      </c>
      <c r="U166" s="50">
        <f>'AESS-all'!U166/'AESS-all'!U$1</f>
        <v>0</v>
      </c>
      <c r="V166" s="51">
        <f>'AESS-all'!V166/'AESS-all'!V$1</f>
        <v>0</v>
      </c>
      <c r="W166" s="49">
        <f>'AESS-all'!W166/'AESS-all'!W$1</f>
        <v>2.1727794194333393E-5</v>
      </c>
      <c r="X166" s="50">
        <f>'AESS-all'!X166/'AESS-all'!X$1</f>
        <v>0</v>
      </c>
      <c r="Y166" s="50">
        <f>'AESS-all'!Y166/'AESS-all'!Y$1</f>
        <v>0</v>
      </c>
      <c r="Z166" s="51">
        <f>'AESS-all'!Z166/'AESS-all'!Z$1</f>
        <v>0</v>
      </c>
      <c r="AA166" s="49">
        <f>'AESS-all'!AA166/'AESS-all'!AA$1</f>
        <v>2.8673012960201859E-5</v>
      </c>
      <c r="AB166" s="50">
        <f>'AESS-all'!AB166/'AESS-all'!AB$1</f>
        <v>0</v>
      </c>
      <c r="AC166" s="50">
        <f>'AESS-all'!AC166/'AESS-all'!AC$1</f>
        <v>0</v>
      </c>
      <c r="AD166" s="51">
        <f>'AESS-all'!AD166/'AESS-all'!AD$1</f>
        <v>0</v>
      </c>
    </row>
    <row r="167" spans="1:30" x14ac:dyDescent="0.35">
      <c r="A167" t="str">
        <f>'AESS-all'!A167</f>
        <v>OTU_139</v>
      </c>
      <c r="B167">
        <f>'AESS-all'!B167</f>
        <v>8</v>
      </c>
      <c r="C167" t="str">
        <f>'AESS-all'!C167</f>
        <v>Root</v>
      </c>
      <c r="D167" t="str">
        <f>'AESS-all'!D167</f>
        <v>Bacteria</v>
      </c>
      <c r="E167" t="str">
        <f>'AESS-all'!E167</f>
        <v>Firmicutes</v>
      </c>
      <c r="F167" t="str">
        <f>'AESS-all'!F167</f>
        <v>.</v>
      </c>
      <c r="G167" t="str">
        <f>'AESS-all'!G167</f>
        <v>Clostridia</v>
      </c>
      <c r="H167" t="str">
        <f>'AESS-all'!H167</f>
        <v>.</v>
      </c>
      <c r="I167" t="str">
        <f>'AESS-all'!I167</f>
        <v>Clostridiales</v>
      </c>
      <c r="J167" t="str">
        <f>'AESS-all'!J167</f>
        <v>.</v>
      </c>
      <c r="K167" t="str">
        <f>'AESS-all'!K167</f>
        <v>.</v>
      </c>
      <c r="L167" t="str">
        <f>'AESS-all'!L167</f>
        <v>.</v>
      </c>
      <c r="M167" t="str">
        <f>'AESS-all'!M167</f>
        <v>.</v>
      </c>
      <c r="N167" t="str">
        <f>'AESS-all'!N167</f>
        <v>.</v>
      </c>
      <c r="O167">
        <f>'AESS-all'!O167</f>
        <v>0.99</v>
      </c>
      <c r="P167" t="str">
        <f>'AESS-all'!P167</f>
        <v>Christensenella_minuta_YIT_12065_(AB490809)</v>
      </c>
      <c r="Q167">
        <f>'AESS-all'!Q167</f>
        <v>93.3</v>
      </c>
      <c r="R167">
        <f>'AESS-all'!R167</f>
        <v>1</v>
      </c>
      <c r="S167" s="49">
        <f>'AESS-all'!S167/'AESS-all'!S$1</f>
        <v>1.8649322796465952E-4</v>
      </c>
      <c r="T167" s="50">
        <f>'AESS-all'!T167/'AESS-all'!T$1</f>
        <v>0</v>
      </c>
      <c r="U167" s="50">
        <f>'AESS-all'!U167/'AESS-all'!U$1</f>
        <v>0</v>
      </c>
      <c r="V167" s="51">
        <f>'AESS-all'!V167/'AESS-all'!V$1</f>
        <v>0</v>
      </c>
      <c r="W167" s="49">
        <f>'AESS-all'!W167/'AESS-all'!W$1</f>
        <v>0</v>
      </c>
      <c r="X167" s="50">
        <f>'AESS-all'!X167/'AESS-all'!X$1</f>
        <v>0</v>
      </c>
      <c r="Y167" s="50">
        <f>'AESS-all'!Y167/'AESS-all'!Y$1</f>
        <v>0</v>
      </c>
      <c r="Z167" s="51">
        <f>'AESS-all'!Z167/'AESS-all'!Z$1</f>
        <v>0</v>
      </c>
      <c r="AA167" s="49">
        <f>'AESS-all'!AA167/'AESS-all'!AA$1</f>
        <v>0</v>
      </c>
      <c r="AB167" s="50">
        <f>'AESS-all'!AB167/'AESS-all'!AB$1</f>
        <v>0</v>
      </c>
      <c r="AC167" s="50">
        <f>'AESS-all'!AC167/'AESS-all'!AC$1</f>
        <v>0</v>
      </c>
      <c r="AD167" s="51">
        <f>'AESS-all'!AD167/'AESS-all'!AD$1</f>
        <v>0</v>
      </c>
    </row>
    <row r="168" spans="1:30" x14ac:dyDescent="0.35">
      <c r="A168" t="str">
        <f>'AESS-all'!A168</f>
        <v>OTU_171</v>
      </c>
      <c r="B168">
        <f>'AESS-all'!B168</f>
        <v>8</v>
      </c>
      <c r="C168" t="str">
        <f>'AESS-all'!C168</f>
        <v>Root</v>
      </c>
      <c r="D168" t="str">
        <f>'AESS-all'!D168</f>
        <v>Bacteria</v>
      </c>
      <c r="E168" t="str">
        <f>'AESS-all'!E168</f>
        <v>Bacteroidetes</v>
      </c>
      <c r="F168" t="str">
        <f>'AESS-all'!F168</f>
        <v>.</v>
      </c>
      <c r="G168" t="str">
        <f>'AESS-all'!G168</f>
        <v>Bacteroidia</v>
      </c>
      <c r="H168" t="str">
        <f>'AESS-all'!H168</f>
        <v>.</v>
      </c>
      <c r="I168" t="str">
        <f>'AESS-all'!I168</f>
        <v>Bacteroidales</v>
      </c>
      <c r="J168" t="str">
        <f>'AESS-all'!J168</f>
        <v>.</v>
      </c>
      <c r="K168" t="str">
        <f>'AESS-all'!K168</f>
        <v>Porphyromonadaceae</v>
      </c>
      <c r="L168" t="str">
        <f>'AESS-all'!L168</f>
        <v>.</v>
      </c>
      <c r="M168" t="str">
        <f>'AESS-all'!M168</f>
        <v>.</v>
      </c>
      <c r="N168" t="str">
        <f>'AESS-all'!N168</f>
        <v>.</v>
      </c>
      <c r="O168">
        <f>'AESS-all'!O168</f>
        <v>0.97</v>
      </c>
      <c r="P168" t="str">
        <f>'AESS-all'!P168</f>
        <v>Muribaculum_intestinale_strain_YL27_(NR_144616.1)</v>
      </c>
      <c r="Q168">
        <f>'AESS-all'!Q168</f>
        <v>93.7</v>
      </c>
      <c r="R168">
        <f>'AESS-all'!R168</f>
        <v>1</v>
      </c>
      <c r="S168" s="49">
        <f>'AESS-all'!S168/'AESS-all'!S$1</f>
        <v>4.6623306991164881E-5</v>
      </c>
      <c r="T168" s="50">
        <f>'AESS-all'!T168/'AESS-all'!T$1</f>
        <v>0</v>
      </c>
      <c r="U168" s="50">
        <f>'AESS-all'!U168/'AESS-all'!U$1</f>
        <v>0</v>
      </c>
      <c r="V168" s="51">
        <f>'AESS-all'!V168/'AESS-all'!V$1</f>
        <v>0</v>
      </c>
      <c r="W168" s="49">
        <f>'AESS-all'!W168/'AESS-all'!W$1</f>
        <v>6.5183382583000168E-5</v>
      </c>
      <c r="X168" s="50">
        <f>'AESS-all'!X168/'AESS-all'!X$1</f>
        <v>0</v>
      </c>
      <c r="Y168" s="50">
        <f>'AESS-all'!Y168/'AESS-all'!Y$1</f>
        <v>0</v>
      </c>
      <c r="Z168" s="51">
        <f>'AESS-all'!Z168/'AESS-all'!Z$1</f>
        <v>0</v>
      </c>
      <c r="AA168" s="49">
        <f>'AESS-all'!AA168/'AESS-all'!AA$1</f>
        <v>8.6019038880605581E-5</v>
      </c>
      <c r="AB168" s="50">
        <f>'AESS-all'!AB168/'AESS-all'!AB$1</f>
        <v>0</v>
      </c>
      <c r="AC168" s="50">
        <f>'AESS-all'!AC168/'AESS-all'!AC$1</f>
        <v>0</v>
      </c>
      <c r="AD168" s="51">
        <f>'AESS-all'!AD168/'AESS-all'!AD$1</f>
        <v>0</v>
      </c>
    </row>
    <row r="169" spans="1:30" x14ac:dyDescent="0.35">
      <c r="A169" t="str">
        <f>'AESS-all'!A169</f>
        <v>OTU_134</v>
      </c>
      <c r="B169">
        <f>'AESS-all'!B169</f>
        <v>8</v>
      </c>
      <c r="C169" t="str">
        <f>'AESS-all'!C169</f>
        <v>Root</v>
      </c>
      <c r="D169" t="str">
        <f>'AESS-all'!D169</f>
        <v>Bacteria</v>
      </c>
      <c r="E169" t="str">
        <f>'AESS-all'!E169</f>
        <v>Firmicutes</v>
      </c>
      <c r="F169" t="str">
        <f>'AESS-all'!F169</f>
        <v>.</v>
      </c>
      <c r="G169" t="str">
        <f>'AESS-all'!G169</f>
        <v>.</v>
      </c>
      <c r="H169" t="str">
        <f>'AESS-all'!H169</f>
        <v>.</v>
      </c>
      <c r="I169" t="str">
        <f>'AESS-all'!I169</f>
        <v>.</v>
      </c>
      <c r="J169" t="str">
        <f>'AESS-all'!J169</f>
        <v>.</v>
      </c>
      <c r="K169" t="str">
        <f>'AESS-all'!K169</f>
        <v>.</v>
      </c>
      <c r="L169" t="str">
        <f>'AESS-all'!L169</f>
        <v>.</v>
      </c>
      <c r="M169" t="str">
        <f>'AESS-all'!M169</f>
        <v>.</v>
      </c>
      <c r="N169" t="str">
        <f>'AESS-all'!N169</f>
        <v>.</v>
      </c>
      <c r="O169">
        <f>'AESS-all'!O169</f>
        <v>0.59</v>
      </c>
      <c r="P169" t="str">
        <f>'AESS-all'!P169</f>
        <v>*</v>
      </c>
      <c r="Q169">
        <f>'AESS-all'!Q169</f>
        <v>0</v>
      </c>
      <c r="R169">
        <f>'AESS-all'!R169</f>
        <v>1</v>
      </c>
      <c r="S169" s="49">
        <f>'AESS-all'!S169/'AESS-all'!S$1</f>
        <v>6.9934960486747332E-5</v>
      </c>
      <c r="T169" s="50">
        <f>'AESS-all'!T169/'AESS-all'!T$1</f>
        <v>0</v>
      </c>
      <c r="U169" s="50">
        <f>'AESS-all'!U169/'AESS-all'!U$1</f>
        <v>0</v>
      </c>
      <c r="V169" s="51">
        <f>'AESS-all'!V169/'AESS-all'!V$1</f>
        <v>0</v>
      </c>
      <c r="W169" s="49">
        <f>'AESS-all'!W169/'AESS-all'!W$1</f>
        <v>6.5183382583000168E-5</v>
      </c>
      <c r="X169" s="50">
        <f>'AESS-all'!X169/'AESS-all'!X$1</f>
        <v>0</v>
      </c>
      <c r="Y169" s="50">
        <f>'AESS-all'!Y169/'AESS-all'!Y$1</f>
        <v>0</v>
      </c>
      <c r="Z169" s="51">
        <f>'AESS-all'!Z169/'AESS-all'!Z$1</f>
        <v>0</v>
      </c>
      <c r="AA169" s="49">
        <f>'AESS-all'!AA169/'AESS-all'!AA$1</f>
        <v>5.7346025920403718E-5</v>
      </c>
      <c r="AB169" s="50">
        <f>'AESS-all'!AB169/'AESS-all'!AB$1</f>
        <v>0</v>
      </c>
      <c r="AC169" s="50">
        <f>'AESS-all'!AC169/'AESS-all'!AC$1</f>
        <v>0</v>
      </c>
      <c r="AD169" s="51">
        <f>'AESS-all'!AD169/'AESS-all'!AD$1</f>
        <v>0</v>
      </c>
    </row>
    <row r="170" spans="1:30" x14ac:dyDescent="0.35">
      <c r="A170" t="str">
        <f>'AESS-all'!A170</f>
        <v>OTU_157</v>
      </c>
      <c r="B170">
        <f>'AESS-all'!B170</f>
        <v>8</v>
      </c>
      <c r="C170" t="str">
        <f>'AESS-all'!C170</f>
        <v>Root</v>
      </c>
      <c r="D170" t="str">
        <f>'AESS-all'!D170</f>
        <v>Bacteria</v>
      </c>
      <c r="E170" t="str">
        <f>'AESS-all'!E170</f>
        <v>Bacteroidetes</v>
      </c>
      <c r="F170" t="str">
        <f>'AESS-all'!F170</f>
        <v>.</v>
      </c>
      <c r="G170" t="str">
        <f>'AESS-all'!G170</f>
        <v>Bacteroidia</v>
      </c>
      <c r="H170" t="str">
        <f>'AESS-all'!H170</f>
        <v>.</v>
      </c>
      <c r="I170" t="str">
        <f>'AESS-all'!I170</f>
        <v>Bacteroidales</v>
      </c>
      <c r="J170" t="str">
        <f>'AESS-all'!J170</f>
        <v>.</v>
      </c>
      <c r="K170" t="str">
        <f>'AESS-all'!K170</f>
        <v>Porphyromonadaceae</v>
      </c>
      <c r="L170" t="str">
        <f>'AESS-all'!L170</f>
        <v>.</v>
      </c>
      <c r="M170" t="str">
        <f>'AESS-all'!M170</f>
        <v>Petrimonas</v>
      </c>
      <c r="N170" t="str">
        <f>'AESS-all'!N170</f>
        <v>.</v>
      </c>
      <c r="O170">
        <f>'AESS-all'!O170</f>
        <v>0.88</v>
      </c>
      <c r="P170" t="str">
        <f>'AESS-all'!P170</f>
        <v>Petrimonas_sulfuriphila_(T)_BN3_(AY570690)</v>
      </c>
      <c r="Q170">
        <f>'AESS-all'!Q170</f>
        <v>95.3</v>
      </c>
      <c r="R170">
        <f>'AESS-all'!R170</f>
        <v>1</v>
      </c>
      <c r="S170" s="49">
        <f>'AESS-all'!S170/'AESS-all'!S$1</f>
        <v>1.6318157446907708E-4</v>
      </c>
      <c r="T170" s="50">
        <f>'AESS-all'!T170/'AESS-all'!T$1</f>
        <v>0</v>
      </c>
      <c r="U170" s="50">
        <f>'AESS-all'!U170/'AESS-all'!U$1</f>
        <v>0</v>
      </c>
      <c r="V170" s="51">
        <f>'AESS-all'!V170/'AESS-all'!V$1</f>
        <v>0</v>
      </c>
      <c r="W170" s="49">
        <f>'AESS-all'!W170/'AESS-all'!W$1</f>
        <v>0</v>
      </c>
      <c r="X170" s="50">
        <f>'AESS-all'!X170/'AESS-all'!X$1</f>
        <v>0</v>
      </c>
      <c r="Y170" s="50">
        <f>'AESS-all'!Y170/'AESS-all'!Y$1</f>
        <v>0</v>
      </c>
      <c r="Z170" s="51">
        <f>'AESS-all'!Z170/'AESS-all'!Z$1</f>
        <v>0</v>
      </c>
      <c r="AA170" s="49">
        <f>'AESS-all'!AA170/'AESS-all'!AA$1</f>
        <v>2.8673012960201859E-5</v>
      </c>
      <c r="AB170" s="50">
        <f>'AESS-all'!AB170/'AESS-all'!AB$1</f>
        <v>0</v>
      </c>
      <c r="AC170" s="50">
        <f>'AESS-all'!AC170/'AESS-all'!AC$1</f>
        <v>0</v>
      </c>
      <c r="AD170" s="51">
        <f>'AESS-all'!AD170/'AESS-all'!AD$1</f>
        <v>0</v>
      </c>
    </row>
    <row r="171" spans="1:30" x14ac:dyDescent="0.35">
      <c r="A171" t="str">
        <f>'AESS-all'!A171</f>
        <v>OTU_143</v>
      </c>
      <c r="B171">
        <f>'AESS-all'!B171</f>
        <v>7</v>
      </c>
      <c r="C171" t="str">
        <f>'AESS-all'!C171</f>
        <v>Root</v>
      </c>
      <c r="D171" t="str">
        <f>'AESS-all'!D171</f>
        <v>Archaea</v>
      </c>
      <c r="E171" t="str">
        <f>'AESS-all'!E171</f>
        <v>Euryarchaeota</v>
      </c>
      <c r="F171" t="str">
        <f>'AESS-all'!F171</f>
        <v>.</v>
      </c>
      <c r="G171" t="str">
        <f>'AESS-all'!G171</f>
        <v>Methanobacteria</v>
      </c>
      <c r="H171" t="str">
        <f>'AESS-all'!H171</f>
        <v>.</v>
      </c>
      <c r="I171" t="str">
        <f>'AESS-all'!I171</f>
        <v>Methanobacteriales</v>
      </c>
      <c r="J171" t="str">
        <f>'AESS-all'!J171</f>
        <v>.</v>
      </c>
      <c r="K171" t="str">
        <f>'AESS-all'!K171</f>
        <v>Methanobacteriaceae</v>
      </c>
      <c r="L171" t="str">
        <f>'AESS-all'!L171</f>
        <v>.</v>
      </c>
      <c r="M171" t="str">
        <f>'AESS-all'!M171</f>
        <v>Methanobacterium</v>
      </c>
      <c r="N171" t="str">
        <f>'AESS-all'!N171</f>
        <v>.</v>
      </c>
      <c r="O171">
        <f>'AESS-all'!O171</f>
        <v>0.98</v>
      </c>
      <c r="P171" t="str">
        <f>'AESS-all'!P171</f>
        <v>Methanobacterium_subterraneum_(T)_A8p,_DSM_11074_(X99044)</v>
      </c>
      <c r="Q171">
        <f>'AESS-all'!Q171</f>
        <v>96.9</v>
      </c>
      <c r="R171">
        <f>'AESS-all'!R171</f>
        <v>1</v>
      </c>
      <c r="S171" s="49">
        <f>'AESS-all'!S171/'AESS-all'!S$1</f>
        <v>0</v>
      </c>
      <c r="T171" s="50">
        <f>'AESS-all'!T171/'AESS-all'!T$1</f>
        <v>0</v>
      </c>
      <c r="U171" s="50">
        <f>'AESS-all'!U171/'AESS-all'!U$1</f>
        <v>0</v>
      </c>
      <c r="V171" s="51">
        <f>'AESS-all'!V171/'AESS-all'!V$1</f>
        <v>0</v>
      </c>
      <c r="W171" s="49">
        <f>'AESS-all'!W171/'AESS-all'!W$1</f>
        <v>0</v>
      </c>
      <c r="X171" s="50">
        <f>'AESS-all'!X171/'AESS-all'!X$1</f>
        <v>0</v>
      </c>
      <c r="Y171" s="50">
        <f>'AESS-all'!Y171/'AESS-all'!Y$1</f>
        <v>0</v>
      </c>
      <c r="Z171" s="51">
        <f>'AESS-all'!Z171/'AESS-all'!Z$1</f>
        <v>0</v>
      </c>
      <c r="AA171" s="49">
        <f>'AESS-all'!AA171/'AESS-all'!AA$1</f>
        <v>0</v>
      </c>
      <c r="AB171" s="50">
        <f>'AESS-all'!AB171/'AESS-all'!AB$1</f>
        <v>3.0360860513532268E-4</v>
      </c>
      <c r="AC171" s="50">
        <f>'AESS-all'!AC171/'AESS-all'!AC$1</f>
        <v>0</v>
      </c>
      <c r="AD171" s="51">
        <f>'AESS-all'!AD171/'AESS-all'!AD$1</f>
        <v>0</v>
      </c>
    </row>
    <row r="172" spans="1:30" x14ac:dyDescent="0.35">
      <c r="A172" t="str">
        <f>'AESS-all'!A172</f>
        <v>OTU_220</v>
      </c>
      <c r="B172">
        <f>'AESS-all'!B172</f>
        <v>7</v>
      </c>
      <c r="C172" t="str">
        <f>'AESS-all'!C172</f>
        <v>Root</v>
      </c>
      <c r="D172" t="str">
        <f>'AESS-all'!D172</f>
        <v>Bacteria</v>
      </c>
      <c r="E172" t="str">
        <f>'AESS-all'!E172</f>
        <v>Firmicutes</v>
      </c>
      <c r="F172" t="str">
        <f>'AESS-all'!F172</f>
        <v>.</v>
      </c>
      <c r="G172" t="str">
        <f>'AESS-all'!G172</f>
        <v>Clostridia</v>
      </c>
      <c r="H172" t="str">
        <f>'AESS-all'!H172</f>
        <v>.</v>
      </c>
      <c r="I172" t="str">
        <f>'AESS-all'!I172</f>
        <v>Clostridiales</v>
      </c>
      <c r="J172" t="str">
        <f>'AESS-all'!J172</f>
        <v>.</v>
      </c>
      <c r="K172" t="str">
        <f>'AESS-all'!K172</f>
        <v>Clostridiaceae 2</v>
      </c>
      <c r="L172" t="str">
        <f>'AESS-all'!L172</f>
        <v>.</v>
      </c>
      <c r="M172" t="str">
        <f>'AESS-all'!M172</f>
        <v>Alkaliphilus</v>
      </c>
      <c r="N172" t="str">
        <f>'AESS-all'!N172</f>
        <v>.</v>
      </c>
      <c r="O172">
        <f>'AESS-all'!O172</f>
        <v>0.87</v>
      </c>
      <c r="P172" t="str">
        <f>'AESS-all'!P172</f>
        <v>Alkaliphilus_peptidifermentans_(T)_Z-7036_(EF382660)</v>
      </c>
      <c r="Q172">
        <f>'AESS-all'!Q172</f>
        <v>98.8</v>
      </c>
      <c r="R172">
        <f>'AESS-all'!R172</f>
        <v>1</v>
      </c>
      <c r="S172" s="49">
        <f>'AESS-all'!S172/'AESS-all'!S$1</f>
        <v>9.3246613982329762E-5</v>
      </c>
      <c r="T172" s="50">
        <f>'AESS-all'!T172/'AESS-all'!T$1</f>
        <v>0</v>
      </c>
      <c r="U172" s="50">
        <f>'AESS-all'!U172/'AESS-all'!U$1</f>
        <v>0</v>
      </c>
      <c r="V172" s="51">
        <f>'AESS-all'!V172/'AESS-all'!V$1</f>
        <v>0</v>
      </c>
      <c r="W172" s="49">
        <f>'AESS-all'!W172/'AESS-all'!W$1</f>
        <v>2.1727794194333393E-5</v>
      </c>
      <c r="X172" s="50">
        <f>'AESS-all'!X172/'AESS-all'!X$1</f>
        <v>0</v>
      </c>
      <c r="Y172" s="50">
        <f>'AESS-all'!Y172/'AESS-all'!Y$1</f>
        <v>0</v>
      </c>
      <c r="Z172" s="51">
        <f>'AESS-all'!Z172/'AESS-all'!Z$1</f>
        <v>0</v>
      </c>
      <c r="AA172" s="49">
        <f>'AESS-all'!AA172/'AESS-all'!AA$1</f>
        <v>5.7346025920403718E-5</v>
      </c>
      <c r="AB172" s="50">
        <f>'AESS-all'!AB172/'AESS-all'!AB$1</f>
        <v>0</v>
      </c>
      <c r="AC172" s="50">
        <f>'AESS-all'!AC172/'AESS-all'!AC$1</f>
        <v>0</v>
      </c>
      <c r="AD172" s="51">
        <f>'AESS-all'!AD172/'AESS-all'!AD$1</f>
        <v>0</v>
      </c>
    </row>
    <row r="173" spans="1:30" x14ac:dyDescent="0.35">
      <c r="A173" t="str">
        <f>'AESS-all'!A173</f>
        <v>OTU_184</v>
      </c>
      <c r="B173">
        <f>'AESS-all'!B173</f>
        <v>7</v>
      </c>
      <c r="C173" t="str">
        <f>'AESS-all'!C173</f>
        <v>Root</v>
      </c>
      <c r="D173" t="str">
        <f>'AESS-all'!D173</f>
        <v>Bacteria</v>
      </c>
      <c r="E173" t="str">
        <f>'AESS-all'!E173</f>
        <v>Proteobacteria</v>
      </c>
      <c r="F173" t="str">
        <f>'AESS-all'!F173</f>
        <v>.</v>
      </c>
      <c r="G173" t="str">
        <f>'AESS-all'!G173</f>
        <v>Deltaproteobacteria</v>
      </c>
      <c r="H173" t="str">
        <f>'AESS-all'!H173</f>
        <v>.</v>
      </c>
      <c r="I173" t="str">
        <f>'AESS-all'!I173</f>
        <v>Syntrophobacterales</v>
      </c>
      <c r="J173" t="str">
        <f>'AESS-all'!J173</f>
        <v>.</v>
      </c>
      <c r="K173" t="str">
        <f>'AESS-all'!K173</f>
        <v>Syntrophaceae</v>
      </c>
      <c r="L173" t="str">
        <f>'AESS-all'!L173</f>
        <v>.</v>
      </c>
      <c r="M173" t="str">
        <f>'AESS-all'!M173</f>
        <v>Smithella</v>
      </c>
      <c r="N173" t="str">
        <f>'AESS-all'!N173</f>
        <v>.</v>
      </c>
      <c r="O173">
        <f>'AESS-all'!O173</f>
        <v>0.93</v>
      </c>
      <c r="P173" t="str">
        <f>'AESS-all'!P173</f>
        <v>Smithella_propionica_(T)_LYP_(AF126282)</v>
      </c>
      <c r="Q173">
        <f>'AESS-all'!Q173</f>
        <v>92.9</v>
      </c>
      <c r="R173">
        <f>'AESS-all'!R173</f>
        <v>1</v>
      </c>
      <c r="S173" s="49">
        <f>'AESS-all'!S173/'AESS-all'!S$1</f>
        <v>4.6623306991164881E-5</v>
      </c>
      <c r="T173" s="50">
        <f>'AESS-all'!T173/'AESS-all'!T$1</f>
        <v>0</v>
      </c>
      <c r="U173" s="50">
        <f>'AESS-all'!U173/'AESS-all'!U$1</f>
        <v>0</v>
      </c>
      <c r="V173" s="51">
        <f>'AESS-all'!V173/'AESS-all'!V$1</f>
        <v>0</v>
      </c>
      <c r="W173" s="49">
        <f>'AESS-all'!W173/'AESS-all'!W$1</f>
        <v>2.1727794194333393E-5</v>
      </c>
      <c r="X173" s="50">
        <f>'AESS-all'!X173/'AESS-all'!X$1</f>
        <v>0</v>
      </c>
      <c r="Y173" s="50">
        <f>'AESS-all'!Y173/'AESS-all'!Y$1</f>
        <v>0</v>
      </c>
      <c r="Z173" s="51">
        <f>'AESS-all'!Z173/'AESS-all'!Z$1</f>
        <v>0</v>
      </c>
      <c r="AA173" s="49">
        <f>'AESS-all'!AA173/'AESS-all'!AA$1</f>
        <v>1.1469205184080744E-4</v>
      </c>
      <c r="AB173" s="50">
        <f>'AESS-all'!AB173/'AESS-all'!AB$1</f>
        <v>0</v>
      </c>
      <c r="AC173" s="50">
        <f>'AESS-all'!AC173/'AESS-all'!AC$1</f>
        <v>0</v>
      </c>
      <c r="AD173" s="51">
        <f>'AESS-all'!AD173/'AESS-all'!AD$1</f>
        <v>0</v>
      </c>
    </row>
    <row r="174" spans="1:30" x14ac:dyDescent="0.35">
      <c r="A174" t="str">
        <f>'AESS-all'!A174</f>
        <v>OTU_221</v>
      </c>
      <c r="B174">
        <f>'AESS-all'!B174</f>
        <v>7</v>
      </c>
      <c r="C174" t="str">
        <f>'AESS-all'!C174</f>
        <v>Root</v>
      </c>
      <c r="D174" t="str">
        <f>'AESS-all'!D174</f>
        <v>Bacteria</v>
      </c>
      <c r="E174" t="str">
        <f>'AESS-all'!E174</f>
        <v>Chloroflexi</v>
      </c>
      <c r="F174" t="str">
        <f>'AESS-all'!F174</f>
        <v>.</v>
      </c>
      <c r="G174" t="str">
        <f>'AESS-all'!G174</f>
        <v>Anaerolineae</v>
      </c>
      <c r="H174" t="str">
        <f>'AESS-all'!H174</f>
        <v>.</v>
      </c>
      <c r="I174" t="str">
        <f>'AESS-all'!I174</f>
        <v>Anaerolineales</v>
      </c>
      <c r="J174" t="str">
        <f>'AESS-all'!J174</f>
        <v>.</v>
      </c>
      <c r="K174" t="str">
        <f>'AESS-all'!K174</f>
        <v>Anaerolineaceae</v>
      </c>
      <c r="L174" t="str">
        <f>'AESS-all'!L174</f>
        <v>.</v>
      </c>
      <c r="M174" t="str">
        <f>'AESS-all'!M174</f>
        <v>Ornatilinea</v>
      </c>
      <c r="N174" t="str">
        <f>'AESS-all'!N174</f>
        <v>.</v>
      </c>
      <c r="O174">
        <f>'AESS-all'!O174</f>
        <v>0.93</v>
      </c>
      <c r="P174" t="str">
        <f>'AESS-all'!P174</f>
        <v>Ornatilinea_apprima_P3M-1_(JQ292916)</v>
      </c>
      <c r="Q174">
        <f>'AESS-all'!Q174</f>
        <v>89.3</v>
      </c>
      <c r="R174">
        <f>'AESS-all'!R174</f>
        <v>1</v>
      </c>
      <c r="S174" s="49">
        <f>'AESS-all'!S174/'AESS-all'!S$1</f>
        <v>6.9934960486747332E-5</v>
      </c>
      <c r="T174" s="50">
        <f>'AESS-all'!T174/'AESS-all'!T$1</f>
        <v>0</v>
      </c>
      <c r="U174" s="50">
        <f>'AESS-all'!U174/'AESS-all'!U$1</f>
        <v>0</v>
      </c>
      <c r="V174" s="51">
        <f>'AESS-all'!V174/'AESS-all'!V$1</f>
        <v>0</v>
      </c>
      <c r="W174" s="49">
        <f>'AESS-all'!W174/'AESS-all'!W$1</f>
        <v>6.5183382583000168E-5</v>
      </c>
      <c r="X174" s="50">
        <f>'AESS-all'!X174/'AESS-all'!X$1</f>
        <v>0</v>
      </c>
      <c r="Y174" s="50">
        <f>'AESS-all'!Y174/'AESS-all'!Y$1</f>
        <v>0</v>
      </c>
      <c r="Z174" s="51">
        <f>'AESS-all'!Z174/'AESS-all'!Z$1</f>
        <v>0</v>
      </c>
      <c r="AA174" s="49">
        <f>'AESS-all'!AA174/'AESS-all'!AA$1</f>
        <v>2.8673012960201859E-5</v>
      </c>
      <c r="AB174" s="50">
        <f>'AESS-all'!AB174/'AESS-all'!AB$1</f>
        <v>0</v>
      </c>
      <c r="AC174" s="50">
        <f>'AESS-all'!AC174/'AESS-all'!AC$1</f>
        <v>0</v>
      </c>
      <c r="AD174" s="51">
        <f>'AESS-all'!AD174/'AESS-all'!AD$1</f>
        <v>0</v>
      </c>
    </row>
    <row r="175" spans="1:30" x14ac:dyDescent="0.35">
      <c r="A175" t="str">
        <f>'AESS-all'!A175</f>
        <v>OTU_207</v>
      </c>
      <c r="B175">
        <f>'AESS-all'!B175</f>
        <v>7</v>
      </c>
      <c r="C175" t="str">
        <f>'AESS-all'!C175</f>
        <v>Root</v>
      </c>
      <c r="D175" t="str">
        <f>'AESS-all'!D175</f>
        <v>Bacteria</v>
      </c>
      <c r="E175" t="str">
        <f>'AESS-all'!E175</f>
        <v>Firmicutes</v>
      </c>
      <c r="F175" t="str">
        <f>'AESS-all'!F175</f>
        <v>.</v>
      </c>
      <c r="G175" t="str">
        <f>'AESS-all'!G175</f>
        <v>Clostridia</v>
      </c>
      <c r="H175" t="str">
        <f>'AESS-all'!H175</f>
        <v>.</v>
      </c>
      <c r="I175" t="str">
        <f>'AESS-all'!I175</f>
        <v>Natranaerobiales</v>
      </c>
      <c r="J175" t="str">
        <f>'AESS-all'!J175</f>
        <v>.</v>
      </c>
      <c r="K175" t="str">
        <f>'AESS-all'!K175</f>
        <v>Natranaerobiaceae</v>
      </c>
      <c r="L175" t="str">
        <f>'AESS-all'!L175</f>
        <v>.</v>
      </c>
      <c r="M175" t="str">
        <f>'AESS-all'!M175</f>
        <v>Dethiobacter</v>
      </c>
      <c r="N175" t="str">
        <f>'AESS-all'!N175</f>
        <v>.</v>
      </c>
      <c r="O175">
        <f>'AESS-all'!O175</f>
        <v>0.96</v>
      </c>
      <c r="P175" t="str">
        <f>'AESS-all'!P175</f>
        <v>Dethiobacter_alkaliphilus_(T)_AHT_1_(EF422412)</v>
      </c>
      <c r="Q175">
        <f>'AESS-all'!Q175</f>
        <v>96</v>
      </c>
      <c r="R175">
        <f>'AESS-all'!R175</f>
        <v>1</v>
      </c>
      <c r="S175" s="49">
        <f>'AESS-all'!S175/'AESS-all'!S$1</f>
        <v>0</v>
      </c>
      <c r="T175" s="50">
        <f>'AESS-all'!T175/'AESS-all'!T$1</f>
        <v>0</v>
      </c>
      <c r="U175" s="50">
        <f>'AESS-all'!U175/'AESS-all'!U$1</f>
        <v>0</v>
      </c>
      <c r="V175" s="51">
        <f>'AESS-all'!V175/'AESS-all'!V$1</f>
        <v>0</v>
      </c>
      <c r="W175" s="49">
        <f>'AESS-all'!W175/'AESS-all'!W$1</f>
        <v>6.5183382583000168E-5</v>
      </c>
      <c r="X175" s="50">
        <f>'AESS-all'!X175/'AESS-all'!X$1</f>
        <v>0</v>
      </c>
      <c r="Y175" s="50">
        <f>'AESS-all'!Y175/'AESS-all'!Y$1</f>
        <v>0</v>
      </c>
      <c r="Z175" s="51">
        <f>'AESS-all'!Z175/'AESS-all'!Z$1</f>
        <v>0</v>
      </c>
      <c r="AA175" s="49">
        <f>'AESS-all'!AA175/'AESS-all'!AA$1</f>
        <v>1.1469205184080744E-4</v>
      </c>
      <c r="AB175" s="50">
        <f>'AESS-all'!AB175/'AESS-all'!AB$1</f>
        <v>0</v>
      </c>
      <c r="AC175" s="50">
        <f>'AESS-all'!AC175/'AESS-all'!AC$1</f>
        <v>0</v>
      </c>
      <c r="AD175" s="51">
        <f>'AESS-all'!AD175/'AESS-all'!AD$1</f>
        <v>0</v>
      </c>
    </row>
    <row r="176" spans="1:30" x14ac:dyDescent="0.35">
      <c r="A176" t="str">
        <f>'AESS-all'!A176</f>
        <v>OTU_185</v>
      </c>
      <c r="B176">
        <f>'AESS-all'!B176</f>
        <v>7</v>
      </c>
      <c r="C176" t="str">
        <f>'AESS-all'!C176</f>
        <v>Root</v>
      </c>
      <c r="D176" t="str">
        <f>'AESS-all'!D176</f>
        <v>Bacteria</v>
      </c>
      <c r="E176" t="str">
        <f>'AESS-all'!E176</f>
        <v>Firmicutes</v>
      </c>
      <c r="F176" t="str">
        <f>'AESS-all'!F176</f>
        <v>.</v>
      </c>
      <c r="G176" t="str">
        <f>'AESS-all'!G176</f>
        <v>Clostridia</v>
      </c>
      <c r="H176" t="str">
        <f>'AESS-all'!H176</f>
        <v>.</v>
      </c>
      <c r="I176" t="str">
        <f>'AESS-all'!I176</f>
        <v>Clostridiales</v>
      </c>
      <c r="J176" t="str">
        <f>'AESS-all'!J176</f>
        <v>.</v>
      </c>
      <c r="K176" t="str">
        <f>'AESS-all'!K176</f>
        <v>Ruminococcaceae</v>
      </c>
      <c r="L176" t="str">
        <f>'AESS-all'!L176</f>
        <v>.</v>
      </c>
      <c r="M176" t="str">
        <f>'AESS-all'!M176</f>
        <v>Acetanaerobacterium</v>
      </c>
      <c r="N176" t="str">
        <f>'AESS-all'!N176</f>
        <v>.</v>
      </c>
      <c r="O176">
        <f>'AESS-all'!O176</f>
        <v>0.64</v>
      </c>
      <c r="P176" t="str">
        <f>'AESS-all'!P176</f>
        <v>Acetanaerobacterium_elongatum_(T)_Z7_(AY487928)</v>
      </c>
      <c r="Q176">
        <f>'AESS-all'!Q176</f>
        <v>91.7</v>
      </c>
      <c r="R176">
        <f>'AESS-all'!R176</f>
        <v>1</v>
      </c>
      <c r="S176" s="49">
        <f>'AESS-all'!S176/'AESS-all'!S$1</f>
        <v>4.6623306991164881E-5</v>
      </c>
      <c r="T176" s="50">
        <f>'AESS-all'!T176/'AESS-all'!T$1</f>
        <v>0</v>
      </c>
      <c r="U176" s="50">
        <f>'AESS-all'!U176/'AESS-all'!U$1</f>
        <v>0</v>
      </c>
      <c r="V176" s="51">
        <f>'AESS-all'!V176/'AESS-all'!V$1</f>
        <v>0</v>
      </c>
      <c r="W176" s="49">
        <f>'AESS-all'!W176/'AESS-all'!W$1</f>
        <v>2.1727794194333393E-5</v>
      </c>
      <c r="X176" s="50">
        <f>'AESS-all'!X176/'AESS-all'!X$1</f>
        <v>0</v>
      </c>
      <c r="Y176" s="50">
        <f>'AESS-all'!Y176/'AESS-all'!Y$1</f>
        <v>0</v>
      </c>
      <c r="Z176" s="51">
        <f>'AESS-all'!Z176/'AESS-all'!Z$1</f>
        <v>0</v>
      </c>
      <c r="AA176" s="49">
        <f>'AESS-all'!AA176/'AESS-all'!AA$1</f>
        <v>1.1469205184080744E-4</v>
      </c>
      <c r="AB176" s="50">
        <f>'AESS-all'!AB176/'AESS-all'!AB$1</f>
        <v>0</v>
      </c>
      <c r="AC176" s="50">
        <f>'AESS-all'!AC176/'AESS-all'!AC$1</f>
        <v>0</v>
      </c>
      <c r="AD176" s="51">
        <f>'AESS-all'!AD176/'AESS-all'!AD$1</f>
        <v>0</v>
      </c>
    </row>
    <row r="177" spans="1:30" x14ac:dyDescent="0.35">
      <c r="A177" t="str">
        <f>'AESS-all'!A177</f>
        <v>OTU_136</v>
      </c>
      <c r="B177">
        <f>'AESS-all'!B177</f>
        <v>7</v>
      </c>
      <c r="C177" t="str">
        <f>'AESS-all'!C177</f>
        <v>Root</v>
      </c>
      <c r="D177" t="str">
        <f>'AESS-all'!D177</f>
        <v>Bacteria</v>
      </c>
      <c r="E177" t="str">
        <f>'AESS-all'!E177</f>
        <v>Chloroflexi</v>
      </c>
      <c r="F177" t="str">
        <f>'AESS-all'!F177</f>
        <v>.</v>
      </c>
      <c r="G177" t="str">
        <f>'AESS-all'!G177</f>
        <v>Anaerolineae</v>
      </c>
      <c r="H177" t="str">
        <f>'AESS-all'!H177</f>
        <v>.</v>
      </c>
      <c r="I177" t="str">
        <f>'AESS-all'!I177</f>
        <v>Anaerolineales</v>
      </c>
      <c r="J177" t="str">
        <f>'AESS-all'!J177</f>
        <v>.</v>
      </c>
      <c r="K177" t="str">
        <f>'AESS-all'!K177</f>
        <v>Anaerolineaceae</v>
      </c>
      <c r="L177" t="str">
        <f>'AESS-all'!L177</f>
        <v>.</v>
      </c>
      <c r="M177" t="str">
        <f>'AESS-all'!M177</f>
        <v>Ornatilinea</v>
      </c>
      <c r="N177" t="str">
        <f>'AESS-all'!N177</f>
        <v>.</v>
      </c>
      <c r="O177">
        <f>'AESS-all'!O177</f>
        <v>0.56999999999999995</v>
      </c>
      <c r="P177" t="str">
        <f>'AESS-all'!P177</f>
        <v>anaerobic_bacterium_MO-CFX1_(AB598277)</v>
      </c>
      <c r="Q177">
        <f>'AESS-all'!Q177</f>
        <v>91.7</v>
      </c>
      <c r="R177">
        <f>'AESS-all'!R177</f>
        <v>1</v>
      </c>
      <c r="S177" s="49">
        <f>'AESS-all'!S177/'AESS-all'!S$1</f>
        <v>0</v>
      </c>
      <c r="T177" s="50">
        <f>'AESS-all'!T177/'AESS-all'!T$1</f>
        <v>0</v>
      </c>
      <c r="U177" s="50">
        <f>'AESS-all'!U177/'AESS-all'!U$1</f>
        <v>0</v>
      </c>
      <c r="V177" s="51">
        <f>'AESS-all'!V177/'AESS-all'!V$1</f>
        <v>0</v>
      </c>
      <c r="W177" s="49">
        <f>'AESS-all'!W177/'AESS-all'!W$1</f>
        <v>0</v>
      </c>
      <c r="X177" s="50">
        <f>'AESS-all'!X177/'AESS-all'!X$1</f>
        <v>0</v>
      </c>
      <c r="Y177" s="50">
        <f>'AESS-all'!Y177/'AESS-all'!Y$1</f>
        <v>0</v>
      </c>
      <c r="Z177" s="51">
        <f>'AESS-all'!Z177/'AESS-all'!Z$1</f>
        <v>0</v>
      </c>
      <c r="AA177" s="49">
        <f>'AESS-all'!AA177/'AESS-all'!AA$1</f>
        <v>2.00711090721413E-4</v>
      </c>
      <c r="AB177" s="50">
        <f>'AESS-all'!AB177/'AESS-all'!AB$1</f>
        <v>0</v>
      </c>
      <c r="AC177" s="50">
        <f>'AESS-all'!AC177/'AESS-all'!AC$1</f>
        <v>0</v>
      </c>
      <c r="AD177" s="51">
        <f>'AESS-all'!AD177/'AESS-all'!AD$1</f>
        <v>0</v>
      </c>
    </row>
    <row r="178" spans="1:30" x14ac:dyDescent="0.35">
      <c r="A178" t="str">
        <f>'AESS-all'!A178</f>
        <v>OTU_155</v>
      </c>
      <c r="B178">
        <f>'AESS-all'!B178</f>
        <v>7</v>
      </c>
      <c r="C178" t="str">
        <f>'AESS-all'!C178</f>
        <v>Root</v>
      </c>
      <c r="D178" t="str">
        <f>'AESS-all'!D178</f>
        <v>Bacteria</v>
      </c>
      <c r="E178" t="str">
        <f>'AESS-all'!E178</f>
        <v>Bacteroidetes</v>
      </c>
      <c r="F178" t="str">
        <f>'AESS-all'!F178</f>
        <v>.</v>
      </c>
      <c r="G178" t="str">
        <f>'AESS-all'!G178</f>
        <v>Bacteroidia</v>
      </c>
      <c r="H178" t="str">
        <f>'AESS-all'!H178</f>
        <v>.</v>
      </c>
      <c r="I178" t="str">
        <f>'AESS-all'!I178</f>
        <v>Bacteroidales</v>
      </c>
      <c r="J178" t="str">
        <f>'AESS-all'!J178</f>
        <v>.</v>
      </c>
      <c r="K178" t="str">
        <f>'AESS-all'!K178</f>
        <v>Porphyromonadaceae</v>
      </c>
      <c r="L178" t="str">
        <f>'AESS-all'!L178</f>
        <v>.</v>
      </c>
      <c r="M178" t="str">
        <f>'AESS-all'!M178</f>
        <v>Coprobacter</v>
      </c>
      <c r="N178" t="str">
        <f>'AESS-all'!N178</f>
        <v>.</v>
      </c>
      <c r="O178">
        <f>'AESS-all'!O178</f>
        <v>0.51</v>
      </c>
      <c r="P178" t="str">
        <f>'AESS-all'!P178</f>
        <v>Muribaculum_intestinale_strain_YL27_(NR_144616.1)</v>
      </c>
      <c r="Q178">
        <f>'AESS-all'!Q178</f>
        <v>94.8</v>
      </c>
      <c r="R178">
        <f>'AESS-all'!R178</f>
        <v>1</v>
      </c>
      <c r="S178" s="49">
        <f>'AESS-all'!S178/'AESS-all'!S$1</f>
        <v>0</v>
      </c>
      <c r="T178" s="50">
        <f>'AESS-all'!T178/'AESS-all'!T$1</f>
        <v>0</v>
      </c>
      <c r="U178" s="50">
        <f>'AESS-all'!U178/'AESS-all'!U$1</f>
        <v>0</v>
      </c>
      <c r="V178" s="51">
        <f>'AESS-all'!V178/'AESS-all'!V$1</f>
        <v>0</v>
      </c>
      <c r="W178" s="49">
        <f>'AESS-all'!W178/'AESS-all'!W$1</f>
        <v>1.0863897097166696E-4</v>
      </c>
      <c r="X178" s="50">
        <f>'AESS-all'!X178/'AESS-all'!X$1</f>
        <v>0</v>
      </c>
      <c r="Y178" s="50">
        <f>'AESS-all'!Y178/'AESS-all'!Y$1</f>
        <v>0</v>
      </c>
      <c r="Z178" s="51">
        <f>'AESS-all'!Z178/'AESS-all'!Z$1</f>
        <v>0</v>
      </c>
      <c r="AA178" s="49">
        <f>'AESS-all'!AA178/'AESS-all'!AA$1</f>
        <v>5.7346025920403718E-5</v>
      </c>
      <c r="AB178" s="50">
        <f>'AESS-all'!AB178/'AESS-all'!AB$1</f>
        <v>0</v>
      </c>
      <c r="AC178" s="50">
        <f>'AESS-all'!AC178/'AESS-all'!AC$1</f>
        <v>0</v>
      </c>
      <c r="AD178" s="51">
        <f>'AESS-all'!AD178/'AESS-all'!AD$1</f>
        <v>0</v>
      </c>
    </row>
    <row r="179" spans="1:30" x14ac:dyDescent="0.35">
      <c r="A179" t="str">
        <f>'AESS-all'!A179</f>
        <v>OTU_158</v>
      </c>
      <c r="B179">
        <f>'AESS-all'!B179</f>
        <v>7</v>
      </c>
      <c r="C179" t="str">
        <f>'AESS-all'!C179</f>
        <v>Root</v>
      </c>
      <c r="D179" t="str">
        <f>'AESS-all'!D179</f>
        <v>Bacteria</v>
      </c>
      <c r="E179" t="str">
        <f>'AESS-all'!E179</f>
        <v>.</v>
      </c>
      <c r="F179" t="str">
        <f>'AESS-all'!F179</f>
        <v>.</v>
      </c>
      <c r="G179" t="str">
        <f>'AESS-all'!G179</f>
        <v>.</v>
      </c>
      <c r="H179" t="str">
        <f>'AESS-all'!H179</f>
        <v>.</v>
      </c>
      <c r="I179" t="str">
        <f>'AESS-all'!I179</f>
        <v>.</v>
      </c>
      <c r="J179" t="str">
        <f>'AESS-all'!J179</f>
        <v>.</v>
      </c>
      <c r="K179" t="str">
        <f>'AESS-all'!K179</f>
        <v>.</v>
      </c>
      <c r="L179" t="str">
        <f>'AESS-all'!L179</f>
        <v>.</v>
      </c>
      <c r="M179" t="str">
        <f>'AESS-all'!M179</f>
        <v>.</v>
      </c>
      <c r="N179" t="str">
        <f>'AESS-all'!N179</f>
        <v>.</v>
      </c>
      <c r="O179">
        <f>'AESS-all'!O179</f>
        <v>0.99</v>
      </c>
      <c r="P179" t="str">
        <f>'AESS-all'!P179</f>
        <v>Aminobacterium_colombiense_strain_DSM_12261_(NR_074624.1)</v>
      </c>
      <c r="Q179">
        <f>'AESS-all'!Q179</f>
        <v>85.8</v>
      </c>
      <c r="R179">
        <f>'AESS-all'!R179</f>
        <v>2</v>
      </c>
      <c r="S179" s="49">
        <f>'AESS-all'!S179/'AESS-all'!S$1</f>
        <v>9.3246613982329762E-5</v>
      </c>
      <c r="T179" s="50">
        <f>'AESS-all'!T179/'AESS-all'!T$1</f>
        <v>0</v>
      </c>
      <c r="U179" s="50">
        <f>'AESS-all'!U179/'AESS-all'!U$1</f>
        <v>0</v>
      </c>
      <c r="V179" s="51">
        <f>'AESS-all'!V179/'AESS-all'!V$1</f>
        <v>0</v>
      </c>
      <c r="W179" s="49">
        <f>'AESS-all'!W179/'AESS-all'!W$1</f>
        <v>4.3455588388666785E-5</v>
      </c>
      <c r="X179" s="50">
        <f>'AESS-all'!X179/'AESS-all'!X$1</f>
        <v>0</v>
      </c>
      <c r="Y179" s="50">
        <f>'AESS-all'!Y179/'AESS-all'!Y$1</f>
        <v>0</v>
      </c>
      <c r="Z179" s="51">
        <f>'AESS-all'!Z179/'AESS-all'!Z$1</f>
        <v>0</v>
      </c>
      <c r="AA179" s="49">
        <f>'AESS-all'!AA179/'AESS-all'!AA$1</f>
        <v>2.8673012960201859E-5</v>
      </c>
      <c r="AB179" s="50">
        <f>'AESS-all'!AB179/'AESS-all'!AB$1</f>
        <v>0</v>
      </c>
      <c r="AC179" s="50">
        <f>'AESS-all'!AC179/'AESS-all'!AC$1</f>
        <v>0</v>
      </c>
      <c r="AD179" s="51">
        <f>'AESS-all'!AD179/'AESS-all'!AD$1</f>
        <v>0</v>
      </c>
    </row>
    <row r="180" spans="1:30" x14ac:dyDescent="0.35">
      <c r="A180" t="str">
        <f>'AESS-all'!A180</f>
        <v>OTU_151</v>
      </c>
      <c r="B180">
        <f>'AESS-all'!B180</f>
        <v>7</v>
      </c>
      <c r="C180" t="str">
        <f>'AESS-all'!C180</f>
        <v>Root</v>
      </c>
      <c r="D180" t="str">
        <f>'AESS-all'!D180</f>
        <v>Bacteria</v>
      </c>
      <c r="E180" t="str">
        <f>'AESS-all'!E180</f>
        <v>Proteobacteria</v>
      </c>
      <c r="F180" t="str">
        <f>'AESS-all'!F180</f>
        <v>.</v>
      </c>
      <c r="G180" t="str">
        <f>'AESS-all'!G180</f>
        <v>.</v>
      </c>
      <c r="H180" t="str">
        <f>'AESS-all'!H180</f>
        <v>.</v>
      </c>
      <c r="I180" t="str">
        <f>'AESS-all'!I180</f>
        <v>.</v>
      </c>
      <c r="J180" t="str">
        <f>'AESS-all'!J180</f>
        <v>.</v>
      </c>
      <c r="K180" t="str">
        <f>'AESS-all'!K180</f>
        <v>.</v>
      </c>
      <c r="L180" t="str">
        <f>'AESS-all'!L180</f>
        <v>.</v>
      </c>
      <c r="M180" t="str">
        <f>'AESS-all'!M180</f>
        <v>.</v>
      </c>
      <c r="N180" t="str">
        <f>'AESS-all'!N180</f>
        <v>.</v>
      </c>
      <c r="O180">
        <f>'AESS-all'!O180</f>
        <v>0.53</v>
      </c>
      <c r="P180" t="str">
        <f>'AESS-all'!P180</f>
        <v>*</v>
      </c>
      <c r="Q180">
        <f>'AESS-all'!Q180</f>
        <v>0</v>
      </c>
      <c r="R180">
        <f>'AESS-all'!R180</f>
        <v>1</v>
      </c>
      <c r="S180" s="49">
        <f>'AESS-all'!S180/'AESS-all'!S$1</f>
        <v>2.3311653495582441E-5</v>
      </c>
      <c r="T180" s="50">
        <f>'AESS-all'!T180/'AESS-all'!T$1</f>
        <v>0</v>
      </c>
      <c r="U180" s="50">
        <f>'AESS-all'!U180/'AESS-all'!U$1</f>
        <v>0</v>
      </c>
      <c r="V180" s="51">
        <f>'AESS-all'!V180/'AESS-all'!V$1</f>
        <v>0</v>
      </c>
      <c r="W180" s="49">
        <f>'AESS-all'!W180/'AESS-all'!W$1</f>
        <v>1.0863897097166696E-4</v>
      </c>
      <c r="X180" s="50">
        <f>'AESS-all'!X180/'AESS-all'!X$1</f>
        <v>0</v>
      </c>
      <c r="Y180" s="50">
        <f>'AESS-all'!Y180/'AESS-all'!Y$1</f>
        <v>0</v>
      </c>
      <c r="Z180" s="51">
        <f>'AESS-all'!Z180/'AESS-all'!Z$1</f>
        <v>0</v>
      </c>
      <c r="AA180" s="49">
        <f>'AESS-all'!AA180/'AESS-all'!AA$1</f>
        <v>2.8673012960201859E-5</v>
      </c>
      <c r="AB180" s="50">
        <f>'AESS-all'!AB180/'AESS-all'!AB$1</f>
        <v>0</v>
      </c>
      <c r="AC180" s="50">
        <f>'AESS-all'!AC180/'AESS-all'!AC$1</f>
        <v>0</v>
      </c>
      <c r="AD180" s="51">
        <f>'AESS-all'!AD180/'AESS-all'!AD$1</f>
        <v>0</v>
      </c>
    </row>
    <row r="181" spans="1:30" x14ac:dyDescent="0.35">
      <c r="A181" t="str">
        <f>'AESS-all'!A181</f>
        <v>OTU_169</v>
      </c>
      <c r="B181">
        <f>'AESS-all'!B181</f>
        <v>6</v>
      </c>
      <c r="C181" t="str">
        <f>'AESS-all'!C181</f>
        <v>Root</v>
      </c>
      <c r="D181" t="str">
        <f>'AESS-all'!D181</f>
        <v>Bacteria</v>
      </c>
      <c r="E181" t="str">
        <f>'AESS-all'!E181</f>
        <v>Firmicutes</v>
      </c>
      <c r="F181" t="str">
        <f>'AESS-all'!F181</f>
        <v>.</v>
      </c>
      <c r="G181" t="str">
        <f>'AESS-all'!G181</f>
        <v>Clostridia</v>
      </c>
      <c r="H181" t="str">
        <f>'AESS-all'!H181</f>
        <v>.</v>
      </c>
      <c r="I181" t="str">
        <f>'AESS-all'!I181</f>
        <v>Thermoanaerobacterales</v>
      </c>
      <c r="J181" t="str">
        <f>'AESS-all'!J181</f>
        <v>.</v>
      </c>
      <c r="K181" t="str">
        <f>'AESS-all'!K181</f>
        <v>Thermoanaerobacteraceae</v>
      </c>
      <c r="L181" t="str">
        <f>'AESS-all'!L181</f>
        <v>.</v>
      </c>
      <c r="M181" t="str">
        <f>'AESS-all'!M181</f>
        <v>.</v>
      </c>
      <c r="N181" t="str">
        <f>'AESS-all'!N181</f>
        <v>.</v>
      </c>
      <c r="O181">
        <f>'AESS-all'!O181</f>
        <v>0.8</v>
      </c>
      <c r="P181" t="str">
        <f>'AESS-all'!P181</f>
        <v>Thermoanaerobacter_thermocopriae_(T)_JT-3T_(L09167)</v>
      </c>
      <c r="Q181">
        <f>'AESS-all'!Q181</f>
        <v>91.7</v>
      </c>
      <c r="R181">
        <f>'AESS-all'!R181</f>
        <v>3</v>
      </c>
      <c r="S181" s="49">
        <f>'AESS-all'!S181/'AESS-all'!S$1</f>
        <v>1.3986992097349466E-4</v>
      </c>
      <c r="T181" s="50">
        <f>'AESS-all'!T181/'AESS-all'!T$1</f>
        <v>0</v>
      </c>
      <c r="U181" s="50">
        <f>'AESS-all'!U181/'AESS-all'!U$1</f>
        <v>0</v>
      </c>
      <c r="V181" s="51">
        <f>'AESS-all'!V181/'AESS-all'!V$1</f>
        <v>0</v>
      </c>
      <c r="W181" s="49">
        <f>'AESS-all'!W181/'AESS-all'!W$1</f>
        <v>0</v>
      </c>
      <c r="X181" s="50">
        <f>'AESS-all'!X181/'AESS-all'!X$1</f>
        <v>0</v>
      </c>
      <c r="Y181" s="50">
        <f>'AESS-all'!Y181/'AESS-all'!Y$1</f>
        <v>0</v>
      </c>
      <c r="Z181" s="51">
        <f>'AESS-all'!Z181/'AESS-all'!Z$1</f>
        <v>0</v>
      </c>
      <c r="AA181" s="49">
        <f>'AESS-all'!AA181/'AESS-all'!AA$1</f>
        <v>0</v>
      </c>
      <c r="AB181" s="50">
        <f>'AESS-all'!AB181/'AESS-all'!AB$1</f>
        <v>0</v>
      </c>
      <c r="AC181" s="50">
        <f>'AESS-all'!AC181/'AESS-all'!AC$1</f>
        <v>0</v>
      </c>
      <c r="AD181" s="51">
        <f>'AESS-all'!AD181/'AESS-all'!AD$1</f>
        <v>0</v>
      </c>
    </row>
    <row r="182" spans="1:30" x14ac:dyDescent="0.35">
      <c r="A182" t="str">
        <f>'AESS-all'!A182</f>
        <v>OTU_160</v>
      </c>
      <c r="B182">
        <f>'AESS-all'!B182</f>
        <v>6</v>
      </c>
      <c r="C182" t="str">
        <f>'AESS-all'!C182</f>
        <v>Root</v>
      </c>
      <c r="D182" t="str">
        <f>'AESS-all'!D182</f>
        <v>Bacteria</v>
      </c>
      <c r="E182" t="str">
        <f>'AESS-all'!E182</f>
        <v>Firmicutes</v>
      </c>
      <c r="F182" t="str">
        <f>'AESS-all'!F182</f>
        <v>.</v>
      </c>
      <c r="G182" t="str">
        <f>'AESS-all'!G182</f>
        <v>.</v>
      </c>
      <c r="H182" t="str">
        <f>'AESS-all'!H182</f>
        <v>.</v>
      </c>
      <c r="I182" t="str">
        <f>'AESS-all'!I182</f>
        <v>.</v>
      </c>
      <c r="J182" t="str">
        <f>'AESS-all'!J182</f>
        <v>.</v>
      </c>
      <c r="K182" t="str">
        <f>'AESS-all'!K182</f>
        <v>.</v>
      </c>
      <c r="L182" t="str">
        <f>'AESS-all'!L182</f>
        <v>.</v>
      </c>
      <c r="M182" t="str">
        <f>'AESS-all'!M182</f>
        <v>.</v>
      </c>
      <c r="N182" t="str">
        <f>'AESS-all'!N182</f>
        <v>.</v>
      </c>
      <c r="O182">
        <f>'AESS-all'!O182</f>
        <v>0.51</v>
      </c>
      <c r="P182" t="str">
        <f>'AESS-all'!P182</f>
        <v>Calditerricola_yamamurae_(T)_YMO722_(AB308475)</v>
      </c>
      <c r="Q182">
        <f>'AESS-all'!Q182</f>
        <v>86.6</v>
      </c>
      <c r="R182">
        <f>'AESS-all'!R182</f>
        <v>2</v>
      </c>
      <c r="S182" s="49">
        <f>'AESS-all'!S182/'AESS-all'!S$1</f>
        <v>6.9934960486747332E-5</v>
      </c>
      <c r="T182" s="50">
        <f>'AESS-all'!T182/'AESS-all'!T$1</f>
        <v>0</v>
      </c>
      <c r="U182" s="50">
        <f>'AESS-all'!U182/'AESS-all'!U$1</f>
        <v>0</v>
      </c>
      <c r="V182" s="51">
        <f>'AESS-all'!V182/'AESS-all'!V$1</f>
        <v>0</v>
      </c>
      <c r="W182" s="49">
        <f>'AESS-all'!W182/'AESS-all'!W$1</f>
        <v>2.1727794194333393E-5</v>
      </c>
      <c r="X182" s="50">
        <f>'AESS-all'!X182/'AESS-all'!X$1</f>
        <v>0</v>
      </c>
      <c r="Y182" s="50">
        <f>'AESS-all'!Y182/'AESS-all'!Y$1</f>
        <v>0</v>
      </c>
      <c r="Z182" s="51">
        <f>'AESS-all'!Z182/'AESS-all'!Z$1</f>
        <v>0</v>
      </c>
      <c r="AA182" s="49">
        <f>'AESS-all'!AA182/'AESS-all'!AA$1</f>
        <v>5.7346025920403718E-5</v>
      </c>
      <c r="AB182" s="50">
        <f>'AESS-all'!AB182/'AESS-all'!AB$1</f>
        <v>0</v>
      </c>
      <c r="AC182" s="50">
        <f>'AESS-all'!AC182/'AESS-all'!AC$1</f>
        <v>0</v>
      </c>
      <c r="AD182" s="51">
        <f>'AESS-all'!AD182/'AESS-all'!AD$1</f>
        <v>0</v>
      </c>
    </row>
    <row r="183" spans="1:30" x14ac:dyDescent="0.35">
      <c r="A183" t="str">
        <f>'AESS-all'!A183</f>
        <v>OTU_165</v>
      </c>
      <c r="B183">
        <f>'AESS-all'!B183</f>
        <v>6</v>
      </c>
      <c r="C183" t="str">
        <f>'AESS-all'!C183</f>
        <v>Root</v>
      </c>
      <c r="D183" t="str">
        <f>'AESS-all'!D183</f>
        <v>Bacteria</v>
      </c>
      <c r="E183" t="str">
        <f>'AESS-all'!E183</f>
        <v>Chloroflexi</v>
      </c>
      <c r="F183" t="str">
        <f>'AESS-all'!F183</f>
        <v>.</v>
      </c>
      <c r="G183" t="str">
        <f>'AESS-all'!G183</f>
        <v>Anaerolineae</v>
      </c>
      <c r="H183" t="str">
        <f>'AESS-all'!H183</f>
        <v>.</v>
      </c>
      <c r="I183" t="str">
        <f>'AESS-all'!I183</f>
        <v>Anaerolineales</v>
      </c>
      <c r="J183" t="str">
        <f>'AESS-all'!J183</f>
        <v>.</v>
      </c>
      <c r="K183" t="str">
        <f>'AESS-all'!K183</f>
        <v>Anaerolineaceae</v>
      </c>
      <c r="L183" t="str">
        <f>'AESS-all'!L183</f>
        <v>.</v>
      </c>
      <c r="M183" t="str">
        <f>'AESS-all'!M183</f>
        <v>.</v>
      </c>
      <c r="N183" t="str">
        <f>'AESS-all'!N183</f>
        <v>.</v>
      </c>
      <c r="O183">
        <f>'AESS-all'!O183</f>
        <v>0.95</v>
      </c>
      <c r="P183" t="str">
        <f>'AESS-all'!P183</f>
        <v>Thermanaerothrix_daxensis_strain_GNS-1_(NR_117865.1)</v>
      </c>
      <c r="Q183">
        <f>'AESS-all'!Q183</f>
        <v>85.4</v>
      </c>
      <c r="R183">
        <f>'AESS-all'!R183</f>
        <v>1</v>
      </c>
      <c r="S183" s="49">
        <f>'AESS-all'!S183/'AESS-all'!S$1</f>
        <v>4.6623306991164881E-5</v>
      </c>
      <c r="T183" s="50">
        <f>'AESS-all'!T183/'AESS-all'!T$1</f>
        <v>0</v>
      </c>
      <c r="U183" s="50">
        <f>'AESS-all'!U183/'AESS-all'!U$1</f>
        <v>0</v>
      </c>
      <c r="V183" s="51">
        <f>'AESS-all'!V183/'AESS-all'!V$1</f>
        <v>0</v>
      </c>
      <c r="W183" s="49">
        <f>'AESS-all'!W183/'AESS-all'!W$1</f>
        <v>8.6911176777333571E-5</v>
      </c>
      <c r="X183" s="50">
        <f>'AESS-all'!X183/'AESS-all'!X$1</f>
        <v>0</v>
      </c>
      <c r="Y183" s="50">
        <f>'AESS-all'!Y183/'AESS-all'!Y$1</f>
        <v>0</v>
      </c>
      <c r="Z183" s="51">
        <f>'AESS-all'!Z183/'AESS-all'!Z$1</f>
        <v>0</v>
      </c>
      <c r="AA183" s="49">
        <f>'AESS-all'!AA183/'AESS-all'!AA$1</f>
        <v>0</v>
      </c>
      <c r="AB183" s="50">
        <f>'AESS-all'!AB183/'AESS-all'!AB$1</f>
        <v>0</v>
      </c>
      <c r="AC183" s="50">
        <f>'AESS-all'!AC183/'AESS-all'!AC$1</f>
        <v>0</v>
      </c>
      <c r="AD183" s="51">
        <f>'AESS-all'!AD183/'AESS-all'!AD$1</f>
        <v>0</v>
      </c>
    </row>
    <row r="184" spans="1:30" x14ac:dyDescent="0.35">
      <c r="A184" t="str">
        <f>'AESS-all'!A184</f>
        <v>OTU_161</v>
      </c>
      <c r="B184">
        <f>'AESS-all'!B184</f>
        <v>6</v>
      </c>
      <c r="C184" t="str">
        <f>'AESS-all'!C184</f>
        <v>Root</v>
      </c>
      <c r="D184" t="str">
        <f>'AESS-all'!D184</f>
        <v>Bacteria</v>
      </c>
      <c r="E184" t="str">
        <f>'AESS-all'!E184</f>
        <v>Proteobacteria</v>
      </c>
      <c r="F184" t="str">
        <f>'AESS-all'!F184</f>
        <v>.</v>
      </c>
      <c r="G184" t="str">
        <f>'AESS-all'!G184</f>
        <v>Deltaproteobacteria</v>
      </c>
      <c r="H184" t="str">
        <f>'AESS-all'!H184</f>
        <v>.</v>
      </c>
      <c r="I184" t="str">
        <f>'AESS-all'!I184</f>
        <v>Desulfuromonadales</v>
      </c>
      <c r="J184" t="str">
        <f>'AESS-all'!J184</f>
        <v>.</v>
      </c>
      <c r="K184" t="str">
        <f>'AESS-all'!K184</f>
        <v>Desulfuromonadaceae</v>
      </c>
      <c r="L184" t="str">
        <f>'AESS-all'!L184</f>
        <v>.</v>
      </c>
      <c r="M184" t="str">
        <f>'AESS-all'!M184</f>
        <v>Desulfuromonas</v>
      </c>
      <c r="N184" t="str">
        <f>'AESS-all'!N184</f>
        <v>.</v>
      </c>
      <c r="O184">
        <f>'AESS-all'!O184</f>
        <v>0.95</v>
      </c>
      <c r="P184" t="str">
        <f>'AESS-all'!P184</f>
        <v>Desulfuromonas_thiophila_(T)_NZ27_(DSMZ_8987)_(Y11560)</v>
      </c>
      <c r="Q184">
        <f>'AESS-all'!Q184</f>
        <v>96.4</v>
      </c>
      <c r="R184">
        <f>'AESS-all'!R184</f>
        <v>2</v>
      </c>
      <c r="S184" s="49">
        <f>'AESS-all'!S184/'AESS-all'!S$1</f>
        <v>1.1655826747791221E-4</v>
      </c>
      <c r="T184" s="50">
        <f>'AESS-all'!T184/'AESS-all'!T$1</f>
        <v>0</v>
      </c>
      <c r="U184" s="50">
        <f>'AESS-all'!U184/'AESS-all'!U$1</f>
        <v>0</v>
      </c>
      <c r="V184" s="51">
        <f>'AESS-all'!V184/'AESS-all'!V$1</f>
        <v>0</v>
      </c>
      <c r="W184" s="49">
        <f>'AESS-all'!W184/'AESS-all'!W$1</f>
        <v>2.1727794194333393E-5</v>
      </c>
      <c r="X184" s="50">
        <f>'AESS-all'!X184/'AESS-all'!X$1</f>
        <v>0</v>
      </c>
      <c r="Y184" s="50">
        <f>'AESS-all'!Y184/'AESS-all'!Y$1</f>
        <v>0</v>
      </c>
      <c r="Z184" s="51">
        <f>'AESS-all'!Z184/'AESS-all'!Z$1</f>
        <v>0</v>
      </c>
      <c r="AA184" s="49">
        <f>'AESS-all'!AA184/'AESS-all'!AA$1</f>
        <v>0</v>
      </c>
      <c r="AB184" s="50">
        <f>'AESS-all'!AB184/'AESS-all'!AB$1</f>
        <v>0</v>
      </c>
      <c r="AC184" s="50">
        <f>'AESS-all'!AC184/'AESS-all'!AC$1</f>
        <v>0</v>
      </c>
      <c r="AD184" s="51">
        <f>'AESS-all'!AD184/'AESS-all'!AD$1</f>
        <v>0</v>
      </c>
    </row>
    <row r="185" spans="1:30" x14ac:dyDescent="0.35">
      <c r="A185" t="str">
        <f>'AESS-all'!A185</f>
        <v>OTU_162</v>
      </c>
      <c r="B185">
        <f>'AESS-all'!B185</f>
        <v>6</v>
      </c>
      <c r="C185" t="str">
        <f>'AESS-all'!C185</f>
        <v>Root</v>
      </c>
      <c r="D185" t="str">
        <f>'AESS-all'!D185</f>
        <v>Bacteria</v>
      </c>
      <c r="E185" t="str">
        <f>'AESS-all'!E185</f>
        <v>Proteobacteria</v>
      </c>
      <c r="F185" t="str">
        <f>'AESS-all'!F185</f>
        <v>.</v>
      </c>
      <c r="G185" t="str">
        <f>'AESS-all'!G185</f>
        <v>Gammaproteobacteria</v>
      </c>
      <c r="H185" t="str">
        <f>'AESS-all'!H185</f>
        <v>.</v>
      </c>
      <c r="I185" t="str">
        <f>'AESS-all'!I185</f>
        <v>Enterobacteriales</v>
      </c>
      <c r="J185" t="str">
        <f>'AESS-all'!J185</f>
        <v>.</v>
      </c>
      <c r="K185" t="str">
        <f>'AESS-all'!K185</f>
        <v>Enterobacteriaceae</v>
      </c>
      <c r="L185" t="str">
        <f>'AESS-all'!L185</f>
        <v>.</v>
      </c>
      <c r="M185" t="str">
        <f>'AESS-all'!M185</f>
        <v>Citrobacter</v>
      </c>
      <c r="N185" t="str">
        <f>'AESS-all'!N185</f>
        <v>.</v>
      </c>
      <c r="O185">
        <f>'AESS-all'!O185</f>
        <v>0.59</v>
      </c>
      <c r="P185" t="str">
        <f>'AESS-all'!P185</f>
        <v>Citrobacter_sedlakii_(T)_CDC_4696-86_(AF025364)</v>
      </c>
      <c r="Q185">
        <f>'AESS-all'!Q185</f>
        <v>100</v>
      </c>
      <c r="R185">
        <f>'AESS-all'!R185</f>
        <v>4</v>
      </c>
      <c r="S185" s="49">
        <f>'AESS-all'!S185/'AESS-all'!S$1</f>
        <v>9.3246613982329762E-5</v>
      </c>
      <c r="T185" s="50">
        <f>'AESS-all'!T185/'AESS-all'!T$1</f>
        <v>0</v>
      </c>
      <c r="U185" s="50">
        <f>'AESS-all'!U185/'AESS-all'!U$1</f>
        <v>0</v>
      </c>
      <c r="V185" s="51">
        <f>'AESS-all'!V185/'AESS-all'!V$1</f>
        <v>0</v>
      </c>
      <c r="W185" s="49">
        <f>'AESS-all'!W185/'AESS-all'!W$1</f>
        <v>2.1727794194333393E-5</v>
      </c>
      <c r="X185" s="50">
        <f>'AESS-all'!X185/'AESS-all'!X$1</f>
        <v>0</v>
      </c>
      <c r="Y185" s="50">
        <f>'AESS-all'!Y185/'AESS-all'!Y$1</f>
        <v>0</v>
      </c>
      <c r="Z185" s="51">
        <f>'AESS-all'!Z185/'AESS-all'!Z$1</f>
        <v>0</v>
      </c>
      <c r="AA185" s="49">
        <f>'AESS-all'!AA185/'AESS-all'!AA$1</f>
        <v>2.8673012960201859E-5</v>
      </c>
      <c r="AB185" s="50">
        <f>'AESS-all'!AB185/'AESS-all'!AB$1</f>
        <v>0</v>
      </c>
      <c r="AC185" s="50">
        <f>'AESS-all'!AC185/'AESS-all'!AC$1</f>
        <v>0</v>
      </c>
      <c r="AD185" s="51">
        <f>'AESS-all'!AD185/'AESS-all'!AD$1</f>
        <v>0</v>
      </c>
    </row>
    <row r="186" spans="1:30" x14ac:dyDescent="0.35">
      <c r="A186" t="str">
        <f>'AESS-all'!A186</f>
        <v>OTU_176</v>
      </c>
      <c r="B186">
        <f>'AESS-all'!B186</f>
        <v>6</v>
      </c>
      <c r="C186" t="str">
        <f>'AESS-all'!C186</f>
        <v>Root</v>
      </c>
      <c r="D186" t="str">
        <f>'AESS-all'!D186</f>
        <v>Bacteria</v>
      </c>
      <c r="E186" t="str">
        <f>'AESS-all'!E186</f>
        <v>Firmicutes</v>
      </c>
      <c r="F186" t="str">
        <f>'AESS-all'!F186</f>
        <v>.</v>
      </c>
      <c r="G186" t="str">
        <f>'AESS-all'!G186</f>
        <v>Clostridia</v>
      </c>
      <c r="H186" t="str">
        <f>'AESS-all'!H186</f>
        <v>.</v>
      </c>
      <c r="I186" t="str">
        <f>'AESS-all'!I186</f>
        <v>Clostridiales</v>
      </c>
      <c r="J186" t="str">
        <f>'AESS-all'!J186</f>
        <v>.</v>
      </c>
      <c r="K186" t="str">
        <f>'AESS-all'!K186</f>
        <v>Clostridiales_Incertae Sedis XI</v>
      </c>
      <c r="L186" t="str">
        <f>'AESS-all'!L186</f>
        <v>.</v>
      </c>
      <c r="M186" t="str">
        <f>'AESS-all'!M186</f>
        <v>Sedimentibacter</v>
      </c>
      <c r="N186" t="str">
        <f>'AESS-all'!N186</f>
        <v>.</v>
      </c>
      <c r="O186">
        <f>'AESS-all'!O186</f>
        <v>1</v>
      </c>
      <c r="P186" t="str">
        <f>'AESS-all'!P186</f>
        <v>Sedimentibacter_saalensis_(T)_ZF2_(AJ404680)</v>
      </c>
      <c r="Q186">
        <f>'AESS-all'!Q186</f>
        <v>99.6</v>
      </c>
      <c r="R186">
        <f>'AESS-all'!R186</f>
        <v>1</v>
      </c>
      <c r="S186" s="49">
        <f>'AESS-all'!S186/'AESS-all'!S$1</f>
        <v>2.3311653495582441E-5</v>
      </c>
      <c r="T186" s="50">
        <f>'AESS-all'!T186/'AESS-all'!T$1</f>
        <v>0</v>
      </c>
      <c r="U186" s="50">
        <f>'AESS-all'!U186/'AESS-all'!U$1</f>
        <v>0</v>
      </c>
      <c r="V186" s="51">
        <f>'AESS-all'!V186/'AESS-all'!V$1</f>
        <v>0</v>
      </c>
      <c r="W186" s="49">
        <f>'AESS-all'!W186/'AESS-all'!W$1</f>
        <v>6.5183382583000168E-5</v>
      </c>
      <c r="X186" s="50">
        <f>'AESS-all'!X186/'AESS-all'!X$1</f>
        <v>0</v>
      </c>
      <c r="Y186" s="50">
        <f>'AESS-all'!Y186/'AESS-all'!Y$1</f>
        <v>0</v>
      </c>
      <c r="Z186" s="51">
        <f>'AESS-all'!Z186/'AESS-all'!Z$1</f>
        <v>0</v>
      </c>
      <c r="AA186" s="49">
        <f>'AESS-all'!AA186/'AESS-all'!AA$1</f>
        <v>5.7346025920403718E-5</v>
      </c>
      <c r="AB186" s="50">
        <f>'AESS-all'!AB186/'AESS-all'!AB$1</f>
        <v>0</v>
      </c>
      <c r="AC186" s="50">
        <f>'AESS-all'!AC186/'AESS-all'!AC$1</f>
        <v>0</v>
      </c>
      <c r="AD186" s="51">
        <f>'AESS-all'!AD186/'AESS-all'!AD$1</f>
        <v>0</v>
      </c>
    </row>
    <row r="187" spans="1:30" x14ac:dyDescent="0.35">
      <c r="A187" t="str">
        <f>'AESS-all'!A187</f>
        <v>OTU_163</v>
      </c>
      <c r="B187">
        <f>'AESS-all'!B187</f>
        <v>6</v>
      </c>
      <c r="C187" t="str">
        <f>'AESS-all'!C187</f>
        <v>Root</v>
      </c>
      <c r="D187" t="str">
        <f>'AESS-all'!D187</f>
        <v>Bacteria</v>
      </c>
      <c r="E187" t="str">
        <f>'AESS-all'!E187</f>
        <v>Firmicutes</v>
      </c>
      <c r="F187" t="str">
        <f>'AESS-all'!F187</f>
        <v>.</v>
      </c>
      <c r="G187" t="str">
        <f>'AESS-all'!G187</f>
        <v>Clostridia</v>
      </c>
      <c r="H187" t="str">
        <f>'AESS-all'!H187</f>
        <v>.</v>
      </c>
      <c r="I187" t="str">
        <f>'AESS-all'!I187</f>
        <v>Clostridiales</v>
      </c>
      <c r="J187" t="str">
        <f>'AESS-all'!J187</f>
        <v>.</v>
      </c>
      <c r="K187" t="str">
        <f>'AESS-all'!K187</f>
        <v>Clostridiaceae 2</v>
      </c>
      <c r="L187" t="str">
        <f>'AESS-all'!L187</f>
        <v>.</v>
      </c>
      <c r="M187" t="str">
        <f>'AESS-all'!M187</f>
        <v>Alkaliphilus</v>
      </c>
      <c r="N187" t="str">
        <f>'AESS-all'!N187</f>
        <v>.</v>
      </c>
      <c r="O187">
        <f>'AESS-all'!O187</f>
        <v>1</v>
      </c>
      <c r="P187" t="str">
        <f>'AESS-all'!P187</f>
        <v>Alkaliphilus_crotonatoxidans_(T)_B11-2_(AF467248)</v>
      </c>
      <c r="Q187">
        <f>'AESS-all'!Q187</f>
        <v>100</v>
      </c>
      <c r="R187">
        <f>'AESS-all'!R187</f>
        <v>2</v>
      </c>
      <c r="S187" s="49">
        <f>'AESS-all'!S187/'AESS-all'!S$1</f>
        <v>1.1655826747791221E-4</v>
      </c>
      <c r="T187" s="50">
        <f>'AESS-all'!T187/'AESS-all'!T$1</f>
        <v>0</v>
      </c>
      <c r="U187" s="50">
        <f>'AESS-all'!U187/'AESS-all'!U$1</f>
        <v>0</v>
      </c>
      <c r="V187" s="51">
        <f>'AESS-all'!V187/'AESS-all'!V$1</f>
        <v>0</v>
      </c>
      <c r="W187" s="49">
        <f>'AESS-all'!W187/'AESS-all'!W$1</f>
        <v>2.1727794194333393E-5</v>
      </c>
      <c r="X187" s="50">
        <f>'AESS-all'!X187/'AESS-all'!X$1</f>
        <v>0</v>
      </c>
      <c r="Y187" s="50">
        <f>'AESS-all'!Y187/'AESS-all'!Y$1</f>
        <v>0</v>
      </c>
      <c r="Z187" s="51">
        <f>'AESS-all'!Z187/'AESS-all'!Z$1</f>
        <v>0</v>
      </c>
      <c r="AA187" s="49">
        <f>'AESS-all'!AA187/'AESS-all'!AA$1</f>
        <v>0</v>
      </c>
      <c r="AB187" s="50">
        <f>'AESS-all'!AB187/'AESS-all'!AB$1</f>
        <v>0</v>
      </c>
      <c r="AC187" s="50">
        <f>'AESS-all'!AC187/'AESS-all'!AC$1</f>
        <v>0</v>
      </c>
      <c r="AD187" s="51">
        <f>'AESS-all'!AD187/'AESS-all'!AD$1</f>
        <v>0</v>
      </c>
    </row>
    <row r="188" spans="1:30" x14ac:dyDescent="0.35">
      <c r="A188" t="str">
        <f>'AESS-all'!A188</f>
        <v>OTU_192</v>
      </c>
      <c r="B188">
        <f>'AESS-all'!B188</f>
        <v>6</v>
      </c>
      <c r="C188" t="str">
        <f>'AESS-all'!C188</f>
        <v>Root</v>
      </c>
      <c r="D188" t="str">
        <f>'AESS-all'!D188</f>
        <v>Bacteria</v>
      </c>
      <c r="E188" t="str">
        <f>'AESS-all'!E188</f>
        <v>Proteobacteria</v>
      </c>
      <c r="F188" t="str">
        <f>'AESS-all'!F188</f>
        <v>.</v>
      </c>
      <c r="G188" t="str">
        <f>'AESS-all'!G188</f>
        <v>Deltaproteobacteria</v>
      </c>
      <c r="H188" t="str">
        <f>'AESS-all'!H188</f>
        <v>.</v>
      </c>
      <c r="I188" t="str">
        <f>'AESS-all'!I188</f>
        <v>Syntrophobacterales</v>
      </c>
      <c r="J188" t="str">
        <f>'AESS-all'!J188</f>
        <v>.</v>
      </c>
      <c r="K188" t="str">
        <f>'AESS-all'!K188</f>
        <v>Syntrophaceae</v>
      </c>
      <c r="L188" t="str">
        <f>'AESS-all'!L188</f>
        <v>.</v>
      </c>
      <c r="M188" t="str">
        <f>'AESS-all'!M188</f>
        <v>Smithella</v>
      </c>
      <c r="N188" t="str">
        <f>'AESS-all'!N188</f>
        <v>.</v>
      </c>
      <c r="O188">
        <f>'AESS-all'!O188</f>
        <v>0.64</v>
      </c>
      <c r="P188" t="str">
        <f>'AESS-all'!P188</f>
        <v>Smithella_propionica_(T)_LYP_(AF126282)</v>
      </c>
      <c r="Q188">
        <f>'AESS-all'!Q188</f>
        <v>97.2</v>
      </c>
      <c r="R188">
        <f>'AESS-all'!R188</f>
        <v>1</v>
      </c>
      <c r="S188" s="49">
        <f>'AESS-all'!S188/'AESS-all'!S$1</f>
        <v>1.1655826747791221E-4</v>
      </c>
      <c r="T188" s="50">
        <f>'AESS-all'!T188/'AESS-all'!T$1</f>
        <v>0</v>
      </c>
      <c r="U188" s="50">
        <f>'AESS-all'!U188/'AESS-all'!U$1</f>
        <v>0</v>
      </c>
      <c r="V188" s="51">
        <f>'AESS-all'!V188/'AESS-all'!V$1</f>
        <v>0</v>
      </c>
      <c r="W188" s="49">
        <f>'AESS-all'!W188/'AESS-all'!W$1</f>
        <v>2.1727794194333393E-5</v>
      </c>
      <c r="X188" s="50">
        <f>'AESS-all'!X188/'AESS-all'!X$1</f>
        <v>0</v>
      </c>
      <c r="Y188" s="50">
        <f>'AESS-all'!Y188/'AESS-all'!Y$1</f>
        <v>0</v>
      </c>
      <c r="Z188" s="51">
        <f>'AESS-all'!Z188/'AESS-all'!Z$1</f>
        <v>0</v>
      </c>
      <c r="AA188" s="49">
        <f>'AESS-all'!AA188/'AESS-all'!AA$1</f>
        <v>0</v>
      </c>
      <c r="AB188" s="50">
        <f>'AESS-all'!AB188/'AESS-all'!AB$1</f>
        <v>0</v>
      </c>
      <c r="AC188" s="50">
        <f>'AESS-all'!AC188/'AESS-all'!AC$1</f>
        <v>0</v>
      </c>
      <c r="AD188" s="51">
        <f>'AESS-all'!AD188/'AESS-all'!AD$1</f>
        <v>0</v>
      </c>
    </row>
    <row r="189" spans="1:30" x14ac:dyDescent="0.35">
      <c r="A189" t="str">
        <f>'AESS-all'!A189</f>
        <v>OTU_214</v>
      </c>
      <c r="B189">
        <f>'AESS-all'!B189</f>
        <v>6</v>
      </c>
      <c r="C189" t="str">
        <f>'AESS-all'!C189</f>
        <v>Root</v>
      </c>
      <c r="D189" t="str">
        <f>'AESS-all'!D189</f>
        <v>Bacteria</v>
      </c>
      <c r="E189" t="str">
        <f>'AESS-all'!E189</f>
        <v>Thermotogae</v>
      </c>
      <c r="F189" t="str">
        <f>'AESS-all'!F189</f>
        <v>.</v>
      </c>
      <c r="G189" t="str">
        <f>'AESS-all'!G189</f>
        <v>Thermotogae</v>
      </c>
      <c r="H189" t="str">
        <f>'AESS-all'!H189</f>
        <v>.</v>
      </c>
      <c r="I189" t="str">
        <f>'AESS-all'!I189</f>
        <v>Kosmotogales</v>
      </c>
      <c r="J189" t="str">
        <f>'AESS-all'!J189</f>
        <v>.</v>
      </c>
      <c r="K189" t="str">
        <f>'AESS-all'!K189</f>
        <v>Kosmotogaceae</v>
      </c>
      <c r="L189" t="str">
        <f>'AESS-all'!L189</f>
        <v>.</v>
      </c>
      <c r="M189" t="str">
        <f>'AESS-all'!M189</f>
        <v>Mesotoga</v>
      </c>
      <c r="N189" t="str">
        <f>'AESS-all'!N189</f>
        <v>.</v>
      </c>
      <c r="O189">
        <f>'AESS-all'!O189</f>
        <v>1</v>
      </c>
      <c r="P189" t="str">
        <f>'AESS-all'!P189</f>
        <v>Thermotogales_bacterium_MesG1Ag4.2.16S.B_(HM003109)</v>
      </c>
      <c r="Q189">
        <f>'AESS-all'!Q189</f>
        <v>98.4</v>
      </c>
      <c r="R189">
        <f>'AESS-all'!R189</f>
        <v>1</v>
      </c>
      <c r="S189" s="49">
        <f>'AESS-all'!S189/'AESS-all'!S$1</f>
        <v>6.9934960486747332E-5</v>
      </c>
      <c r="T189" s="50">
        <f>'AESS-all'!T189/'AESS-all'!T$1</f>
        <v>0</v>
      </c>
      <c r="U189" s="50">
        <f>'AESS-all'!U189/'AESS-all'!U$1</f>
        <v>0</v>
      </c>
      <c r="V189" s="51">
        <f>'AESS-all'!V189/'AESS-all'!V$1</f>
        <v>0</v>
      </c>
      <c r="W189" s="49">
        <f>'AESS-all'!W189/'AESS-all'!W$1</f>
        <v>6.5183382583000168E-5</v>
      </c>
      <c r="X189" s="50">
        <f>'AESS-all'!X189/'AESS-all'!X$1</f>
        <v>0</v>
      </c>
      <c r="Y189" s="50">
        <f>'AESS-all'!Y189/'AESS-all'!Y$1</f>
        <v>0</v>
      </c>
      <c r="Z189" s="51">
        <f>'AESS-all'!Z189/'AESS-all'!Z$1</f>
        <v>0</v>
      </c>
      <c r="AA189" s="49">
        <f>'AESS-all'!AA189/'AESS-all'!AA$1</f>
        <v>0</v>
      </c>
      <c r="AB189" s="50">
        <f>'AESS-all'!AB189/'AESS-all'!AB$1</f>
        <v>0</v>
      </c>
      <c r="AC189" s="50">
        <f>'AESS-all'!AC189/'AESS-all'!AC$1</f>
        <v>0</v>
      </c>
      <c r="AD189" s="51">
        <f>'AESS-all'!AD189/'AESS-all'!AD$1</f>
        <v>0</v>
      </c>
    </row>
    <row r="190" spans="1:30" x14ac:dyDescent="0.35">
      <c r="A190" t="str">
        <f>'AESS-all'!A190</f>
        <v>OTU_166</v>
      </c>
      <c r="B190">
        <f>'AESS-all'!B190</f>
        <v>5</v>
      </c>
      <c r="C190" t="str">
        <f>'AESS-all'!C190</f>
        <v>Root</v>
      </c>
      <c r="D190" t="str">
        <f>'AESS-all'!D190</f>
        <v>Bacteria</v>
      </c>
      <c r="E190" t="str">
        <f>'AESS-all'!E190</f>
        <v>Firmicutes</v>
      </c>
      <c r="F190" t="str">
        <f>'AESS-all'!F190</f>
        <v>.</v>
      </c>
      <c r="G190" t="str">
        <f>'AESS-all'!G190</f>
        <v>Clostridia</v>
      </c>
      <c r="H190" t="str">
        <f>'AESS-all'!H190</f>
        <v>.</v>
      </c>
      <c r="I190" t="str">
        <f>'AESS-all'!I190</f>
        <v>Clostridiales</v>
      </c>
      <c r="J190" t="str">
        <f>'AESS-all'!J190</f>
        <v>.</v>
      </c>
      <c r="K190" t="str">
        <f>'AESS-all'!K190</f>
        <v>.</v>
      </c>
      <c r="L190" t="str">
        <f>'AESS-all'!L190</f>
        <v>.</v>
      </c>
      <c r="M190" t="str">
        <f>'AESS-all'!M190</f>
        <v>.</v>
      </c>
      <c r="N190" t="str">
        <f>'AESS-all'!N190</f>
        <v>.</v>
      </c>
      <c r="O190">
        <f>'AESS-all'!O190</f>
        <v>0.99</v>
      </c>
      <c r="P190" t="str">
        <f>'AESS-all'!P190</f>
        <v>Defluviitalea_saccharophila_(T)_LIND6LT2_(HQ020487)</v>
      </c>
      <c r="Q190">
        <f>'AESS-all'!Q190</f>
        <v>92.9</v>
      </c>
      <c r="R190">
        <f>'AESS-all'!R190</f>
        <v>1</v>
      </c>
      <c r="S190" s="49">
        <f>'AESS-all'!S190/'AESS-all'!S$1</f>
        <v>2.3311653495582441E-5</v>
      </c>
      <c r="T190" s="50">
        <f>'AESS-all'!T190/'AESS-all'!T$1</f>
        <v>0</v>
      </c>
      <c r="U190" s="50">
        <f>'AESS-all'!U190/'AESS-all'!U$1</f>
        <v>0</v>
      </c>
      <c r="V190" s="51">
        <f>'AESS-all'!V190/'AESS-all'!V$1</f>
        <v>0</v>
      </c>
      <c r="W190" s="49">
        <f>'AESS-all'!W190/'AESS-all'!W$1</f>
        <v>0</v>
      </c>
      <c r="X190" s="50">
        <f>'AESS-all'!X190/'AESS-all'!X$1</f>
        <v>0</v>
      </c>
      <c r="Y190" s="50">
        <f>'AESS-all'!Y190/'AESS-all'!Y$1</f>
        <v>0</v>
      </c>
      <c r="Z190" s="51">
        <f>'AESS-all'!Z190/'AESS-all'!Z$1</f>
        <v>0</v>
      </c>
      <c r="AA190" s="49">
        <f>'AESS-all'!AA190/'AESS-all'!AA$1</f>
        <v>1.1469205184080744E-4</v>
      </c>
      <c r="AB190" s="50">
        <f>'AESS-all'!AB190/'AESS-all'!AB$1</f>
        <v>0</v>
      </c>
      <c r="AC190" s="50">
        <f>'AESS-all'!AC190/'AESS-all'!AC$1</f>
        <v>0</v>
      </c>
      <c r="AD190" s="51">
        <f>'AESS-all'!AD190/'AESS-all'!AD$1</f>
        <v>0</v>
      </c>
    </row>
    <row r="191" spans="1:30" x14ac:dyDescent="0.35">
      <c r="A191" t="str">
        <f>'AESS-all'!A191</f>
        <v>OTU_219</v>
      </c>
      <c r="B191">
        <f>'AESS-all'!B191</f>
        <v>5</v>
      </c>
      <c r="C191" t="str">
        <f>'AESS-all'!C191</f>
        <v>Root</v>
      </c>
      <c r="D191" t="str">
        <f>'AESS-all'!D191</f>
        <v>Bacteria</v>
      </c>
      <c r="E191" t="str">
        <f>'AESS-all'!E191</f>
        <v>.</v>
      </c>
      <c r="F191" t="str">
        <f>'AESS-all'!F191</f>
        <v>.</v>
      </c>
      <c r="G191" t="str">
        <f>'AESS-all'!G191</f>
        <v>.</v>
      </c>
      <c r="H191" t="str">
        <f>'AESS-all'!H191</f>
        <v>.</v>
      </c>
      <c r="I191" t="str">
        <f>'AESS-all'!I191</f>
        <v>.</v>
      </c>
      <c r="J191" t="str">
        <f>'AESS-all'!J191</f>
        <v>.</v>
      </c>
      <c r="K191" t="str">
        <f>'AESS-all'!K191</f>
        <v>.</v>
      </c>
      <c r="L191" t="str">
        <f>'AESS-all'!L191</f>
        <v>.</v>
      </c>
      <c r="M191" t="str">
        <f>'AESS-all'!M191</f>
        <v>.</v>
      </c>
      <c r="N191" t="str">
        <f>'AESS-all'!N191</f>
        <v>.</v>
      </c>
      <c r="O191">
        <f>'AESS-all'!O191</f>
        <v>1</v>
      </c>
      <c r="P191" t="str">
        <f>'AESS-all'!P191</f>
        <v>Streptomyces_cinereorectus_(T)_NBRC_15395_(AB184646)</v>
      </c>
      <c r="Q191">
        <f>'AESS-all'!Q191</f>
        <v>86.6</v>
      </c>
      <c r="R191">
        <f>'AESS-all'!R191</f>
        <v>12</v>
      </c>
      <c r="S191" s="49">
        <f>'AESS-all'!S191/'AESS-all'!S$1</f>
        <v>0</v>
      </c>
      <c r="T191" s="50">
        <f>'AESS-all'!T191/'AESS-all'!T$1</f>
        <v>0</v>
      </c>
      <c r="U191" s="50">
        <f>'AESS-all'!U191/'AESS-all'!U$1</f>
        <v>0</v>
      </c>
      <c r="V191" s="51">
        <f>'AESS-all'!V191/'AESS-all'!V$1</f>
        <v>0</v>
      </c>
      <c r="W191" s="49">
        <f>'AESS-all'!W191/'AESS-all'!W$1</f>
        <v>1.0863897097166696E-4</v>
      </c>
      <c r="X191" s="50">
        <f>'AESS-all'!X191/'AESS-all'!X$1</f>
        <v>0</v>
      </c>
      <c r="Y191" s="50">
        <f>'AESS-all'!Y191/'AESS-all'!Y$1</f>
        <v>0</v>
      </c>
      <c r="Z191" s="51">
        <f>'AESS-all'!Z191/'AESS-all'!Z$1</f>
        <v>0</v>
      </c>
      <c r="AA191" s="49">
        <f>'AESS-all'!AA191/'AESS-all'!AA$1</f>
        <v>0</v>
      </c>
      <c r="AB191" s="50">
        <f>'AESS-all'!AB191/'AESS-all'!AB$1</f>
        <v>0</v>
      </c>
      <c r="AC191" s="50">
        <f>'AESS-all'!AC191/'AESS-all'!AC$1</f>
        <v>0</v>
      </c>
      <c r="AD191" s="51">
        <f>'AESS-all'!AD191/'AESS-all'!AD$1</f>
        <v>0</v>
      </c>
    </row>
    <row r="192" spans="1:30" x14ac:dyDescent="0.35">
      <c r="A192" t="str">
        <f>'AESS-all'!A192</f>
        <v>OTU_206</v>
      </c>
      <c r="B192">
        <f>'AESS-all'!B192</f>
        <v>5</v>
      </c>
      <c r="C192" t="str">
        <f>'AESS-all'!C192</f>
        <v>Root</v>
      </c>
      <c r="D192" t="str">
        <f>'AESS-all'!D192</f>
        <v>Bacteria</v>
      </c>
      <c r="E192" t="str">
        <f>'AESS-all'!E192</f>
        <v>Firmicutes</v>
      </c>
      <c r="F192" t="str">
        <f>'AESS-all'!F192</f>
        <v>.</v>
      </c>
      <c r="G192" t="str">
        <f>'AESS-all'!G192</f>
        <v>Clostridia</v>
      </c>
      <c r="H192" t="str">
        <f>'AESS-all'!H192</f>
        <v>.</v>
      </c>
      <c r="I192" t="str">
        <f>'AESS-all'!I192</f>
        <v>Clostridiales</v>
      </c>
      <c r="J192" t="str">
        <f>'AESS-all'!J192</f>
        <v>.</v>
      </c>
      <c r="K192" t="str">
        <f>'AESS-all'!K192</f>
        <v>.</v>
      </c>
      <c r="L192" t="str">
        <f>'AESS-all'!L192</f>
        <v>.</v>
      </c>
      <c r="M192" t="str">
        <f>'AESS-all'!M192</f>
        <v>.</v>
      </c>
      <c r="N192" t="str">
        <f>'AESS-all'!N192</f>
        <v>.</v>
      </c>
      <c r="O192">
        <f>'AESS-all'!O192</f>
        <v>0.69</v>
      </c>
      <c r="P192" t="str">
        <f>'AESS-all'!P192</f>
        <v>Moorella_humiferrea_(T)_64_FGQ_(GQ872425)</v>
      </c>
      <c r="Q192">
        <f>'AESS-all'!Q192</f>
        <v>92.9</v>
      </c>
      <c r="R192">
        <f>'AESS-all'!R192</f>
        <v>1</v>
      </c>
      <c r="S192" s="49">
        <f>'AESS-all'!S192/'AESS-all'!S$1</f>
        <v>9.3246613982329762E-5</v>
      </c>
      <c r="T192" s="50">
        <f>'AESS-all'!T192/'AESS-all'!T$1</f>
        <v>0</v>
      </c>
      <c r="U192" s="50">
        <f>'AESS-all'!U192/'AESS-all'!U$1</f>
        <v>0</v>
      </c>
      <c r="V192" s="51">
        <f>'AESS-all'!V192/'AESS-all'!V$1</f>
        <v>0</v>
      </c>
      <c r="W192" s="49">
        <f>'AESS-all'!W192/'AESS-all'!W$1</f>
        <v>0</v>
      </c>
      <c r="X192" s="50">
        <f>'AESS-all'!X192/'AESS-all'!X$1</f>
        <v>0</v>
      </c>
      <c r="Y192" s="50">
        <f>'AESS-all'!Y192/'AESS-all'!Y$1</f>
        <v>0</v>
      </c>
      <c r="Z192" s="51">
        <f>'AESS-all'!Z192/'AESS-all'!Z$1</f>
        <v>0</v>
      </c>
      <c r="AA192" s="49">
        <f>'AESS-all'!AA192/'AESS-all'!AA$1</f>
        <v>2.8673012960201859E-5</v>
      </c>
      <c r="AB192" s="50">
        <f>'AESS-all'!AB192/'AESS-all'!AB$1</f>
        <v>0</v>
      </c>
      <c r="AC192" s="50">
        <f>'AESS-all'!AC192/'AESS-all'!AC$1</f>
        <v>0</v>
      </c>
      <c r="AD192" s="51">
        <f>'AESS-all'!AD192/'AESS-all'!AD$1</f>
        <v>0</v>
      </c>
    </row>
    <row r="193" spans="1:30" x14ac:dyDescent="0.35">
      <c r="A193" t="str">
        <f>'AESS-all'!A193</f>
        <v>OTU_199</v>
      </c>
      <c r="B193">
        <f>'AESS-all'!B193</f>
        <v>5</v>
      </c>
      <c r="C193" t="str">
        <f>'AESS-all'!C193</f>
        <v>Root</v>
      </c>
      <c r="D193" t="str">
        <f>'AESS-all'!D193</f>
        <v>Archaea</v>
      </c>
      <c r="E193" t="str">
        <f>'AESS-all'!E193</f>
        <v>Euryarchaeota</v>
      </c>
      <c r="F193" t="str">
        <f>'AESS-all'!F193</f>
        <v>.</v>
      </c>
      <c r="G193" t="str">
        <f>'AESS-all'!G193</f>
        <v>Methanomicrobia</v>
      </c>
      <c r="H193" t="str">
        <f>'AESS-all'!H193</f>
        <v>.</v>
      </c>
      <c r="I193" t="str">
        <f>'AESS-all'!I193</f>
        <v>Methanomicrobiales</v>
      </c>
      <c r="J193" t="str">
        <f>'AESS-all'!J193</f>
        <v>.</v>
      </c>
      <c r="K193" t="str">
        <f>'AESS-all'!K193</f>
        <v>Methanomicrobiaceae</v>
      </c>
      <c r="L193" t="str">
        <f>'AESS-all'!L193</f>
        <v>.</v>
      </c>
      <c r="M193" t="str">
        <f>'AESS-all'!M193</f>
        <v>Methanofollis</v>
      </c>
      <c r="N193" t="str">
        <f>'AESS-all'!N193</f>
        <v>.</v>
      </c>
      <c r="O193">
        <f>'AESS-all'!O193</f>
        <v>1</v>
      </c>
      <c r="P193" t="str">
        <f>'AESS-all'!P193</f>
        <v>Methanofollis_tationis_(T)_DSM_2702_(AF095272)</v>
      </c>
      <c r="Q193">
        <f>'AESS-all'!Q193</f>
        <v>99.6</v>
      </c>
      <c r="R193">
        <f>'AESS-all'!R193</f>
        <v>2</v>
      </c>
      <c r="S193" s="49">
        <f>'AESS-all'!S193/'AESS-all'!S$1</f>
        <v>6.9934960486747332E-5</v>
      </c>
      <c r="T193" s="50">
        <f>'AESS-all'!T193/'AESS-all'!T$1</f>
        <v>0</v>
      </c>
      <c r="U193" s="50">
        <f>'AESS-all'!U193/'AESS-all'!U$1</f>
        <v>0</v>
      </c>
      <c r="V193" s="51">
        <f>'AESS-all'!V193/'AESS-all'!V$1</f>
        <v>0</v>
      </c>
      <c r="W193" s="49">
        <f>'AESS-all'!W193/'AESS-all'!W$1</f>
        <v>2.1727794194333393E-5</v>
      </c>
      <c r="X193" s="50">
        <f>'AESS-all'!X193/'AESS-all'!X$1</f>
        <v>0</v>
      </c>
      <c r="Y193" s="50">
        <f>'AESS-all'!Y193/'AESS-all'!Y$1</f>
        <v>0</v>
      </c>
      <c r="Z193" s="51">
        <f>'AESS-all'!Z193/'AESS-all'!Z$1</f>
        <v>0</v>
      </c>
      <c r="AA193" s="49">
        <f>'AESS-all'!AA193/'AESS-all'!AA$1</f>
        <v>2.8673012960201859E-5</v>
      </c>
      <c r="AB193" s="50">
        <f>'AESS-all'!AB193/'AESS-all'!AB$1</f>
        <v>0</v>
      </c>
      <c r="AC193" s="50">
        <f>'AESS-all'!AC193/'AESS-all'!AC$1</f>
        <v>0</v>
      </c>
      <c r="AD193" s="51">
        <f>'AESS-all'!AD193/'AESS-all'!AD$1</f>
        <v>0</v>
      </c>
    </row>
    <row r="194" spans="1:30" x14ac:dyDescent="0.35">
      <c r="A194" t="str">
        <f>'AESS-all'!A194</f>
        <v>OTU_208</v>
      </c>
      <c r="B194">
        <f>'AESS-all'!B194</f>
        <v>5</v>
      </c>
      <c r="C194" t="str">
        <f>'AESS-all'!C194</f>
        <v>Root</v>
      </c>
      <c r="D194" t="str">
        <f>'AESS-all'!D194</f>
        <v>Bacteria</v>
      </c>
      <c r="E194" t="str">
        <f>'AESS-all'!E194</f>
        <v>Chloroflexi</v>
      </c>
      <c r="F194" t="str">
        <f>'AESS-all'!F194</f>
        <v>.</v>
      </c>
      <c r="G194" t="str">
        <f>'AESS-all'!G194</f>
        <v>Anaerolineae</v>
      </c>
      <c r="H194" t="str">
        <f>'AESS-all'!H194</f>
        <v>.</v>
      </c>
      <c r="I194" t="str">
        <f>'AESS-all'!I194</f>
        <v>Anaerolineales</v>
      </c>
      <c r="J194" t="str">
        <f>'AESS-all'!J194</f>
        <v>.</v>
      </c>
      <c r="K194" t="str">
        <f>'AESS-all'!K194</f>
        <v>Anaerolineaceae</v>
      </c>
      <c r="L194" t="str">
        <f>'AESS-all'!L194</f>
        <v>.</v>
      </c>
      <c r="M194" t="str">
        <f>'AESS-all'!M194</f>
        <v>.</v>
      </c>
      <c r="N194" t="str">
        <f>'AESS-all'!N194</f>
        <v>.</v>
      </c>
      <c r="O194">
        <f>'AESS-all'!O194</f>
        <v>1</v>
      </c>
      <c r="P194" t="str">
        <f>'AESS-all'!P194</f>
        <v>Levilinea_saccharolytica_(T)_KIBI-1_(AB109439)</v>
      </c>
      <c r="Q194">
        <f>'AESS-all'!Q194</f>
        <v>95.3</v>
      </c>
      <c r="R194">
        <f>'AESS-all'!R194</f>
        <v>1</v>
      </c>
      <c r="S194" s="49">
        <f>'AESS-all'!S194/'AESS-all'!S$1</f>
        <v>0</v>
      </c>
      <c r="T194" s="50">
        <f>'AESS-all'!T194/'AESS-all'!T$1</f>
        <v>0</v>
      </c>
      <c r="U194" s="50">
        <f>'AESS-all'!U194/'AESS-all'!U$1</f>
        <v>0</v>
      </c>
      <c r="V194" s="51">
        <f>'AESS-all'!V194/'AESS-all'!V$1</f>
        <v>0</v>
      </c>
      <c r="W194" s="49">
        <f>'AESS-all'!W194/'AESS-all'!W$1</f>
        <v>8.6911176777333571E-5</v>
      </c>
      <c r="X194" s="50">
        <f>'AESS-all'!X194/'AESS-all'!X$1</f>
        <v>0</v>
      </c>
      <c r="Y194" s="50">
        <f>'AESS-all'!Y194/'AESS-all'!Y$1</f>
        <v>0</v>
      </c>
      <c r="Z194" s="51">
        <f>'AESS-all'!Z194/'AESS-all'!Z$1</f>
        <v>0</v>
      </c>
      <c r="AA194" s="49">
        <f>'AESS-all'!AA194/'AESS-all'!AA$1</f>
        <v>2.8673012960201859E-5</v>
      </c>
      <c r="AB194" s="50">
        <f>'AESS-all'!AB194/'AESS-all'!AB$1</f>
        <v>0</v>
      </c>
      <c r="AC194" s="50">
        <f>'AESS-all'!AC194/'AESS-all'!AC$1</f>
        <v>0</v>
      </c>
      <c r="AD194" s="51">
        <f>'AESS-all'!AD194/'AESS-all'!AD$1</f>
        <v>0</v>
      </c>
    </row>
    <row r="195" spans="1:30" x14ac:dyDescent="0.35">
      <c r="A195" t="str">
        <f>'AESS-all'!A195</f>
        <v>OTU_168</v>
      </c>
      <c r="B195">
        <f>'AESS-all'!B195</f>
        <v>5</v>
      </c>
      <c r="C195" t="str">
        <f>'AESS-all'!C195</f>
        <v>Root</v>
      </c>
      <c r="D195" t="str">
        <f>'AESS-all'!D195</f>
        <v>Bacteria</v>
      </c>
      <c r="E195" t="str">
        <f>'AESS-all'!E195</f>
        <v>Firmicutes</v>
      </c>
      <c r="F195" t="str">
        <f>'AESS-all'!F195</f>
        <v>.</v>
      </c>
      <c r="G195" t="str">
        <f>'AESS-all'!G195</f>
        <v>Clostridia</v>
      </c>
      <c r="H195" t="str">
        <f>'AESS-all'!H195</f>
        <v>.</v>
      </c>
      <c r="I195" t="str">
        <f>'AESS-all'!I195</f>
        <v>Clostridiales</v>
      </c>
      <c r="J195" t="str">
        <f>'AESS-all'!J195</f>
        <v>.</v>
      </c>
      <c r="K195" t="str">
        <f>'AESS-all'!K195</f>
        <v>Clostridiales_Incertae Sedis XIV</v>
      </c>
      <c r="L195" t="str">
        <f>'AESS-all'!L195</f>
        <v>.</v>
      </c>
      <c r="M195" t="str">
        <f>'AESS-all'!M195</f>
        <v>Anaerobranca</v>
      </c>
      <c r="N195" t="str">
        <f>'AESS-all'!N195</f>
        <v>.</v>
      </c>
      <c r="O195">
        <f>'AESS-all'!O195</f>
        <v>1</v>
      </c>
      <c r="P195" t="str">
        <f>'AESS-all'!P195</f>
        <v>Anaerobranca_zavarzinii_(T)_JW/VK-KS5Y_(EF190921)</v>
      </c>
      <c r="Q195">
        <f>'AESS-all'!Q195</f>
        <v>100</v>
      </c>
      <c r="R195">
        <f>'AESS-all'!R195</f>
        <v>1</v>
      </c>
      <c r="S195" s="49">
        <f>'AESS-all'!S195/'AESS-all'!S$1</f>
        <v>2.3311653495582441E-5</v>
      </c>
      <c r="T195" s="50">
        <f>'AESS-all'!T195/'AESS-all'!T$1</f>
        <v>0</v>
      </c>
      <c r="U195" s="50">
        <f>'AESS-all'!U195/'AESS-all'!U$1</f>
        <v>0</v>
      </c>
      <c r="V195" s="51">
        <f>'AESS-all'!V195/'AESS-all'!V$1</f>
        <v>0</v>
      </c>
      <c r="W195" s="49">
        <f>'AESS-all'!W195/'AESS-all'!W$1</f>
        <v>6.5183382583000168E-5</v>
      </c>
      <c r="X195" s="50">
        <f>'AESS-all'!X195/'AESS-all'!X$1</f>
        <v>0</v>
      </c>
      <c r="Y195" s="50">
        <f>'AESS-all'!Y195/'AESS-all'!Y$1</f>
        <v>0</v>
      </c>
      <c r="Z195" s="51">
        <f>'AESS-all'!Z195/'AESS-all'!Z$1</f>
        <v>0</v>
      </c>
      <c r="AA195" s="49">
        <f>'AESS-all'!AA195/'AESS-all'!AA$1</f>
        <v>2.8673012960201859E-5</v>
      </c>
      <c r="AB195" s="50">
        <f>'AESS-all'!AB195/'AESS-all'!AB$1</f>
        <v>0</v>
      </c>
      <c r="AC195" s="50">
        <f>'AESS-all'!AC195/'AESS-all'!AC$1</f>
        <v>0</v>
      </c>
      <c r="AD195" s="51">
        <f>'AESS-all'!AD195/'AESS-all'!AD$1</f>
        <v>0</v>
      </c>
    </row>
    <row r="196" spans="1:30" x14ac:dyDescent="0.35">
      <c r="A196" t="str">
        <f>'AESS-all'!A196</f>
        <v>OTU_188</v>
      </c>
      <c r="B196">
        <f>'AESS-all'!B196</f>
        <v>5</v>
      </c>
      <c r="C196" t="str">
        <f>'AESS-all'!C196</f>
        <v>Root</v>
      </c>
      <c r="D196" t="str">
        <f>'AESS-all'!D196</f>
        <v>Bacteria</v>
      </c>
      <c r="E196" t="str">
        <f>'AESS-all'!E196</f>
        <v>Bacteroidetes</v>
      </c>
      <c r="F196" t="str">
        <f>'AESS-all'!F196</f>
        <v>.</v>
      </c>
      <c r="G196" t="str">
        <f>'AESS-all'!G196</f>
        <v>Bacteroidia</v>
      </c>
      <c r="H196" t="str">
        <f>'AESS-all'!H196</f>
        <v>.</v>
      </c>
      <c r="I196" t="str">
        <f>'AESS-all'!I196</f>
        <v>Bacteroidales</v>
      </c>
      <c r="J196" t="str">
        <f>'AESS-all'!J196</f>
        <v>.</v>
      </c>
      <c r="K196" t="str">
        <f>'AESS-all'!K196</f>
        <v>Porphyromonadaceae</v>
      </c>
      <c r="L196" t="str">
        <f>'AESS-all'!L196</f>
        <v>.</v>
      </c>
      <c r="M196" t="str">
        <f>'AESS-all'!M196</f>
        <v>.</v>
      </c>
      <c r="N196" t="str">
        <f>'AESS-all'!N196</f>
        <v>.</v>
      </c>
      <c r="O196">
        <f>'AESS-all'!O196</f>
        <v>0.84</v>
      </c>
      <c r="P196" t="str">
        <f>'AESS-all'!P196</f>
        <v>Muribaculum_intestinale_strain_YL27_(NR_144616.1)</v>
      </c>
      <c r="Q196">
        <f>'AESS-all'!Q196</f>
        <v>89.3</v>
      </c>
      <c r="R196">
        <f>'AESS-all'!R196</f>
        <v>1</v>
      </c>
      <c r="S196" s="49">
        <f>'AESS-all'!S196/'AESS-all'!S$1</f>
        <v>4.6623306991164881E-5</v>
      </c>
      <c r="T196" s="50">
        <f>'AESS-all'!T196/'AESS-all'!T$1</f>
        <v>0</v>
      </c>
      <c r="U196" s="50">
        <f>'AESS-all'!U196/'AESS-all'!U$1</f>
        <v>0</v>
      </c>
      <c r="V196" s="51">
        <f>'AESS-all'!V196/'AESS-all'!V$1</f>
        <v>0</v>
      </c>
      <c r="W196" s="49">
        <f>'AESS-all'!W196/'AESS-all'!W$1</f>
        <v>2.1727794194333393E-5</v>
      </c>
      <c r="X196" s="50">
        <f>'AESS-all'!X196/'AESS-all'!X$1</f>
        <v>0</v>
      </c>
      <c r="Y196" s="50">
        <f>'AESS-all'!Y196/'AESS-all'!Y$1</f>
        <v>0</v>
      </c>
      <c r="Z196" s="51">
        <f>'AESS-all'!Z196/'AESS-all'!Z$1</f>
        <v>0</v>
      </c>
      <c r="AA196" s="49">
        <f>'AESS-all'!AA196/'AESS-all'!AA$1</f>
        <v>5.7346025920403718E-5</v>
      </c>
      <c r="AB196" s="50">
        <f>'AESS-all'!AB196/'AESS-all'!AB$1</f>
        <v>0</v>
      </c>
      <c r="AC196" s="50">
        <f>'AESS-all'!AC196/'AESS-all'!AC$1</f>
        <v>0</v>
      </c>
      <c r="AD196" s="51">
        <f>'AESS-all'!AD196/'AESS-all'!AD$1</f>
        <v>0</v>
      </c>
    </row>
    <row r="197" spans="1:30" x14ac:dyDescent="0.35">
      <c r="A197" t="str">
        <f>'AESS-all'!A197</f>
        <v>OTU_180</v>
      </c>
      <c r="B197">
        <f>'AESS-all'!B197</f>
        <v>4</v>
      </c>
      <c r="C197" t="str">
        <f>'AESS-all'!C197</f>
        <v>Root</v>
      </c>
      <c r="D197" t="str">
        <f>'AESS-all'!D197</f>
        <v>Bacteria</v>
      </c>
      <c r="E197" t="str">
        <f>'AESS-all'!E197</f>
        <v>Proteobacteria</v>
      </c>
      <c r="F197" t="str">
        <f>'AESS-all'!F197</f>
        <v>.</v>
      </c>
      <c r="G197" t="str">
        <f>'AESS-all'!G197</f>
        <v>Alphaproteobacteria</v>
      </c>
      <c r="H197" t="str">
        <f>'AESS-all'!H197</f>
        <v>.</v>
      </c>
      <c r="I197" t="str">
        <f>'AESS-all'!I197</f>
        <v>Rhizobiales</v>
      </c>
      <c r="J197" t="str">
        <f>'AESS-all'!J197</f>
        <v>.</v>
      </c>
      <c r="K197" t="str">
        <f>'AESS-all'!K197</f>
        <v>Methylocystaceae</v>
      </c>
      <c r="L197" t="str">
        <f>'AESS-all'!L197</f>
        <v>.</v>
      </c>
      <c r="M197" t="str">
        <f>'AESS-all'!M197</f>
        <v>Pleomorphomonas</v>
      </c>
      <c r="N197" t="str">
        <f>'AESS-all'!N197</f>
        <v>.</v>
      </c>
      <c r="O197">
        <f>'AESS-all'!O197</f>
        <v>0.99</v>
      </c>
      <c r="P197" t="str">
        <f>'AESS-all'!P197</f>
        <v>Pleomorphomonas_diazotrophica_R5-392_(JQ346801)</v>
      </c>
      <c r="Q197">
        <f>'AESS-all'!Q197</f>
        <v>100</v>
      </c>
      <c r="R197">
        <f>'AESS-all'!R197</f>
        <v>2</v>
      </c>
      <c r="S197" s="49">
        <f>'AESS-all'!S197/'AESS-all'!S$1</f>
        <v>2.3311653495582441E-5</v>
      </c>
      <c r="T197" s="50">
        <f>'AESS-all'!T197/'AESS-all'!T$1</f>
        <v>0</v>
      </c>
      <c r="U197" s="50">
        <f>'AESS-all'!U197/'AESS-all'!U$1</f>
        <v>0</v>
      </c>
      <c r="V197" s="51">
        <f>'AESS-all'!V197/'AESS-all'!V$1</f>
        <v>0</v>
      </c>
      <c r="W197" s="49">
        <f>'AESS-all'!W197/'AESS-all'!W$1</f>
        <v>6.5183382583000168E-5</v>
      </c>
      <c r="X197" s="50">
        <f>'AESS-all'!X197/'AESS-all'!X$1</f>
        <v>0</v>
      </c>
      <c r="Y197" s="50">
        <f>'AESS-all'!Y197/'AESS-all'!Y$1</f>
        <v>0</v>
      </c>
      <c r="Z197" s="51">
        <f>'AESS-all'!Z197/'AESS-all'!Z$1</f>
        <v>0</v>
      </c>
      <c r="AA197" s="49">
        <f>'AESS-all'!AA197/'AESS-all'!AA$1</f>
        <v>0</v>
      </c>
      <c r="AB197" s="50">
        <f>'AESS-all'!AB197/'AESS-all'!AB$1</f>
        <v>0</v>
      </c>
      <c r="AC197" s="50">
        <f>'AESS-all'!AC197/'AESS-all'!AC$1</f>
        <v>0</v>
      </c>
      <c r="AD197" s="51">
        <f>'AESS-all'!AD197/'AESS-all'!AD$1</f>
        <v>0</v>
      </c>
    </row>
    <row r="198" spans="1:30" x14ac:dyDescent="0.35">
      <c r="A198" t="str">
        <f>'AESS-all'!A198</f>
        <v>OTU_173</v>
      </c>
      <c r="B198">
        <f>'AESS-all'!B198</f>
        <v>4</v>
      </c>
      <c r="C198" t="str">
        <f>'AESS-all'!C198</f>
        <v>Root</v>
      </c>
      <c r="D198" t="str">
        <f>'AESS-all'!D198</f>
        <v>Bacteria</v>
      </c>
      <c r="E198" t="str">
        <f>'AESS-all'!E198</f>
        <v>Proteobacteria</v>
      </c>
      <c r="F198" t="str">
        <f>'AESS-all'!F198</f>
        <v>.</v>
      </c>
      <c r="G198" t="str">
        <f>'AESS-all'!G198</f>
        <v>Alphaproteobacteria</v>
      </c>
      <c r="H198" t="str">
        <f>'AESS-all'!H198</f>
        <v>.</v>
      </c>
      <c r="I198" t="str">
        <f>'AESS-all'!I198</f>
        <v>Rhizobiales</v>
      </c>
      <c r="J198" t="str">
        <f>'AESS-all'!J198</f>
        <v>.</v>
      </c>
      <c r="K198" t="str">
        <f>'AESS-all'!K198</f>
        <v>Phyllobacteriaceae</v>
      </c>
      <c r="L198" t="str">
        <f>'AESS-all'!L198</f>
        <v>.</v>
      </c>
      <c r="M198" t="str">
        <f>'AESS-all'!M198</f>
        <v>.</v>
      </c>
      <c r="N198" t="str">
        <f>'AESS-all'!N198</f>
        <v>.</v>
      </c>
      <c r="O198">
        <f>'AESS-all'!O198</f>
        <v>0.93</v>
      </c>
      <c r="P198" t="str">
        <f>'AESS-all'!P198</f>
        <v>Mesorhizobium_camelthorni_(T)_CCNWXJ40-4_(EU169581)</v>
      </c>
      <c r="Q198">
        <f>'AESS-all'!Q198</f>
        <v>99.6</v>
      </c>
      <c r="R198">
        <f>'AESS-all'!R198</f>
        <v>1</v>
      </c>
      <c r="S198" s="49">
        <f>'AESS-all'!S198/'AESS-all'!S$1</f>
        <v>4.6623306991164881E-5</v>
      </c>
      <c r="T198" s="50">
        <f>'AESS-all'!T198/'AESS-all'!T$1</f>
        <v>0</v>
      </c>
      <c r="U198" s="50">
        <f>'AESS-all'!U198/'AESS-all'!U$1</f>
        <v>0</v>
      </c>
      <c r="V198" s="51">
        <f>'AESS-all'!V198/'AESS-all'!V$1</f>
        <v>0</v>
      </c>
      <c r="W198" s="49">
        <f>'AESS-all'!W198/'AESS-all'!W$1</f>
        <v>4.3455588388666785E-5</v>
      </c>
      <c r="X198" s="50">
        <f>'AESS-all'!X198/'AESS-all'!X$1</f>
        <v>0</v>
      </c>
      <c r="Y198" s="50">
        <f>'AESS-all'!Y198/'AESS-all'!Y$1</f>
        <v>0</v>
      </c>
      <c r="Z198" s="51">
        <f>'AESS-all'!Z198/'AESS-all'!Z$1</f>
        <v>0</v>
      </c>
      <c r="AA198" s="49">
        <f>'AESS-all'!AA198/'AESS-all'!AA$1</f>
        <v>0</v>
      </c>
      <c r="AB198" s="50">
        <f>'AESS-all'!AB198/'AESS-all'!AB$1</f>
        <v>0</v>
      </c>
      <c r="AC198" s="50">
        <f>'AESS-all'!AC198/'AESS-all'!AC$1</f>
        <v>0</v>
      </c>
      <c r="AD198" s="51">
        <f>'AESS-all'!AD198/'AESS-all'!AD$1</f>
        <v>0</v>
      </c>
    </row>
    <row r="199" spans="1:30" x14ac:dyDescent="0.35">
      <c r="A199" t="str">
        <f>'AESS-all'!A199</f>
        <v>OTU_215</v>
      </c>
      <c r="B199">
        <f>'AESS-all'!B199</f>
        <v>4</v>
      </c>
      <c r="C199" t="str">
        <f>'AESS-all'!C199</f>
        <v>Root</v>
      </c>
      <c r="D199" t="str">
        <f>'AESS-all'!D199</f>
        <v>Bacteria</v>
      </c>
      <c r="E199" t="str">
        <f>'AESS-all'!E199</f>
        <v>Firmicutes</v>
      </c>
      <c r="F199" t="str">
        <f>'AESS-all'!F199</f>
        <v>.</v>
      </c>
      <c r="G199" t="str">
        <f>'AESS-all'!G199</f>
        <v>Clostridia</v>
      </c>
      <c r="H199" t="str">
        <f>'AESS-all'!H199</f>
        <v>.</v>
      </c>
      <c r="I199" t="str">
        <f>'AESS-all'!I199</f>
        <v>Clostridiales</v>
      </c>
      <c r="J199" t="str">
        <f>'AESS-all'!J199</f>
        <v>.</v>
      </c>
      <c r="K199" t="str">
        <f>'AESS-all'!K199</f>
        <v>.</v>
      </c>
      <c r="L199" t="str">
        <f>'AESS-all'!L199</f>
        <v>.</v>
      </c>
      <c r="M199" t="str">
        <f>'AESS-all'!M199</f>
        <v>.</v>
      </c>
      <c r="N199" t="str">
        <f>'AESS-all'!N199</f>
        <v>.</v>
      </c>
      <c r="O199">
        <f>'AESS-all'!O199</f>
        <v>0.55000000000000004</v>
      </c>
      <c r="P199" t="str">
        <f>'AESS-all'!P199</f>
        <v>Lutispora_thermophila_(T)_EBR46_(AB186360)</v>
      </c>
      <c r="Q199">
        <f>'AESS-all'!Q199</f>
        <v>89.3</v>
      </c>
      <c r="R199">
        <f>'AESS-all'!R199</f>
        <v>2</v>
      </c>
      <c r="S199" s="49">
        <f>'AESS-all'!S199/'AESS-all'!S$1</f>
        <v>6.9934960486747332E-5</v>
      </c>
      <c r="T199" s="50">
        <f>'AESS-all'!T199/'AESS-all'!T$1</f>
        <v>0</v>
      </c>
      <c r="U199" s="50">
        <f>'AESS-all'!U199/'AESS-all'!U$1</f>
        <v>0</v>
      </c>
      <c r="V199" s="51">
        <f>'AESS-all'!V199/'AESS-all'!V$1</f>
        <v>0</v>
      </c>
      <c r="W199" s="49">
        <f>'AESS-all'!W199/'AESS-all'!W$1</f>
        <v>2.1727794194333393E-5</v>
      </c>
      <c r="X199" s="50">
        <f>'AESS-all'!X199/'AESS-all'!X$1</f>
        <v>0</v>
      </c>
      <c r="Y199" s="50">
        <f>'AESS-all'!Y199/'AESS-all'!Y$1</f>
        <v>0</v>
      </c>
      <c r="Z199" s="51">
        <f>'AESS-all'!Z199/'AESS-all'!Z$1</f>
        <v>0</v>
      </c>
      <c r="AA199" s="49">
        <f>'AESS-all'!AA199/'AESS-all'!AA$1</f>
        <v>0</v>
      </c>
      <c r="AB199" s="50">
        <f>'AESS-all'!AB199/'AESS-all'!AB$1</f>
        <v>0</v>
      </c>
      <c r="AC199" s="50">
        <f>'AESS-all'!AC199/'AESS-all'!AC$1</f>
        <v>0</v>
      </c>
      <c r="AD199" s="51">
        <f>'AESS-all'!AD199/'AESS-all'!AD$1</f>
        <v>0</v>
      </c>
    </row>
    <row r="200" spans="1:30" x14ac:dyDescent="0.35">
      <c r="A200" t="str">
        <f>'AESS-all'!A200</f>
        <v>OTU_217</v>
      </c>
      <c r="B200">
        <f>'AESS-all'!B200</f>
        <v>4</v>
      </c>
      <c r="C200" t="str">
        <f>'AESS-all'!C200</f>
        <v>Root</v>
      </c>
      <c r="D200" t="str">
        <f>'AESS-all'!D200</f>
        <v>Bacteria</v>
      </c>
      <c r="E200" t="str">
        <f>'AESS-all'!E200</f>
        <v>.</v>
      </c>
      <c r="F200" t="str">
        <f>'AESS-all'!F200</f>
        <v>.</v>
      </c>
      <c r="G200" t="str">
        <f>'AESS-all'!G200</f>
        <v>.</v>
      </c>
      <c r="H200" t="str">
        <f>'AESS-all'!H200</f>
        <v>.</v>
      </c>
      <c r="I200" t="str">
        <f>'AESS-all'!I200</f>
        <v>.</v>
      </c>
      <c r="J200" t="str">
        <f>'AESS-all'!J200</f>
        <v>.</v>
      </c>
      <c r="K200" t="str">
        <f>'AESS-all'!K200</f>
        <v>.</v>
      </c>
      <c r="L200" t="str">
        <f>'AESS-all'!L200</f>
        <v>.</v>
      </c>
      <c r="M200" t="str">
        <f>'AESS-all'!M200</f>
        <v>.</v>
      </c>
      <c r="N200" t="str">
        <f>'AESS-all'!N200</f>
        <v>.</v>
      </c>
      <c r="O200">
        <f>'AESS-all'!O200</f>
        <v>1</v>
      </c>
      <c r="P200" t="str">
        <f>'AESS-all'!P200</f>
        <v>uncultured_candidate_division_BRC1_bacterium_LD1-PA21_(AY114315)</v>
      </c>
      <c r="Q200">
        <f>'AESS-all'!Q200</f>
        <v>89.3</v>
      </c>
      <c r="R200">
        <f>'AESS-all'!R200</f>
        <v>1</v>
      </c>
      <c r="S200" s="49">
        <f>'AESS-all'!S200/'AESS-all'!S$1</f>
        <v>9.3246613982329762E-5</v>
      </c>
      <c r="T200" s="50">
        <f>'AESS-all'!T200/'AESS-all'!T$1</f>
        <v>0</v>
      </c>
      <c r="U200" s="50">
        <f>'AESS-all'!U200/'AESS-all'!U$1</f>
        <v>0</v>
      </c>
      <c r="V200" s="51">
        <f>'AESS-all'!V200/'AESS-all'!V$1</f>
        <v>0</v>
      </c>
      <c r="W200" s="49">
        <f>'AESS-all'!W200/'AESS-all'!W$1</f>
        <v>0</v>
      </c>
      <c r="X200" s="50">
        <f>'AESS-all'!X200/'AESS-all'!X$1</f>
        <v>0</v>
      </c>
      <c r="Y200" s="50">
        <f>'AESS-all'!Y200/'AESS-all'!Y$1</f>
        <v>0</v>
      </c>
      <c r="Z200" s="51">
        <f>'AESS-all'!Z200/'AESS-all'!Z$1</f>
        <v>0</v>
      </c>
      <c r="AA200" s="49">
        <f>'AESS-all'!AA200/'AESS-all'!AA$1</f>
        <v>0</v>
      </c>
      <c r="AB200" s="50">
        <f>'AESS-all'!AB200/'AESS-all'!AB$1</f>
        <v>0</v>
      </c>
      <c r="AC200" s="50">
        <f>'AESS-all'!AC200/'AESS-all'!AC$1</f>
        <v>0</v>
      </c>
      <c r="AD200" s="51">
        <f>'AESS-all'!AD200/'AESS-all'!AD$1</f>
        <v>0</v>
      </c>
    </row>
    <row r="201" spans="1:30" x14ac:dyDescent="0.35">
      <c r="A201" t="str">
        <f>'AESS-all'!A201</f>
        <v>OTU_218</v>
      </c>
      <c r="B201">
        <f>'AESS-all'!B201</f>
        <v>4</v>
      </c>
      <c r="C201" t="str">
        <f>'AESS-all'!C201</f>
        <v>Root</v>
      </c>
      <c r="D201" t="str">
        <f>'AESS-all'!D201</f>
        <v>Bacteria</v>
      </c>
      <c r="E201" t="str">
        <f>'AESS-all'!E201</f>
        <v>Firmicutes</v>
      </c>
      <c r="F201" t="str">
        <f>'AESS-all'!F201</f>
        <v>.</v>
      </c>
      <c r="G201" t="str">
        <f>'AESS-all'!G201</f>
        <v>Clostridia</v>
      </c>
      <c r="H201" t="str">
        <f>'AESS-all'!H201</f>
        <v>.</v>
      </c>
      <c r="I201" t="str">
        <f>'AESS-all'!I201</f>
        <v>Clostridiales</v>
      </c>
      <c r="J201" t="str">
        <f>'AESS-all'!J201</f>
        <v>.</v>
      </c>
      <c r="K201" t="str">
        <f>'AESS-all'!K201</f>
        <v>.</v>
      </c>
      <c r="L201" t="str">
        <f>'AESS-all'!L201</f>
        <v>.</v>
      </c>
      <c r="M201" t="str">
        <f>'AESS-all'!M201</f>
        <v>.</v>
      </c>
      <c r="N201" t="str">
        <f>'AESS-all'!N201</f>
        <v>.</v>
      </c>
      <c r="O201">
        <f>'AESS-all'!O201</f>
        <v>0.69</v>
      </c>
      <c r="P201" t="str">
        <f>'AESS-all'!P201</f>
        <v>Gelria_glutamica_(T)_TGO_(AF321086)</v>
      </c>
      <c r="Q201">
        <f>'AESS-all'!Q201</f>
        <v>89.7</v>
      </c>
      <c r="R201">
        <f>'AESS-all'!R201</f>
        <v>1</v>
      </c>
      <c r="S201" s="49">
        <f>'AESS-all'!S201/'AESS-all'!S$1</f>
        <v>0</v>
      </c>
      <c r="T201" s="50">
        <f>'AESS-all'!T201/'AESS-all'!T$1</f>
        <v>0</v>
      </c>
      <c r="U201" s="50">
        <f>'AESS-all'!U201/'AESS-all'!U$1</f>
        <v>0</v>
      </c>
      <c r="V201" s="51">
        <f>'AESS-all'!V201/'AESS-all'!V$1</f>
        <v>0</v>
      </c>
      <c r="W201" s="49">
        <f>'AESS-all'!W201/'AESS-all'!W$1</f>
        <v>8.6911176777333571E-5</v>
      </c>
      <c r="X201" s="50">
        <f>'AESS-all'!X201/'AESS-all'!X$1</f>
        <v>0</v>
      </c>
      <c r="Y201" s="50">
        <f>'AESS-all'!Y201/'AESS-all'!Y$1</f>
        <v>0</v>
      </c>
      <c r="Z201" s="51">
        <f>'AESS-all'!Z201/'AESS-all'!Z$1</f>
        <v>0</v>
      </c>
      <c r="AA201" s="49">
        <f>'AESS-all'!AA201/'AESS-all'!AA$1</f>
        <v>0</v>
      </c>
      <c r="AB201" s="50">
        <f>'AESS-all'!AB201/'AESS-all'!AB$1</f>
        <v>0</v>
      </c>
      <c r="AC201" s="50">
        <f>'AESS-all'!AC201/'AESS-all'!AC$1</f>
        <v>0</v>
      </c>
      <c r="AD201" s="51">
        <f>'AESS-all'!AD201/'AESS-all'!AD$1</f>
        <v>0</v>
      </c>
    </row>
    <row r="202" spans="1:30" x14ac:dyDescent="0.35">
      <c r="A202" t="str">
        <f>'AESS-all'!A202</f>
        <v>OTU_187</v>
      </c>
      <c r="B202">
        <f>'AESS-all'!B202</f>
        <v>4</v>
      </c>
      <c r="C202" t="str">
        <f>'AESS-all'!C202</f>
        <v>Root</v>
      </c>
      <c r="D202" t="str">
        <f>'AESS-all'!D202</f>
        <v>Bacteria</v>
      </c>
      <c r="E202" t="str">
        <f>'AESS-all'!E202</f>
        <v>Firmicutes</v>
      </c>
      <c r="F202" t="str">
        <f>'AESS-all'!F202</f>
        <v>.</v>
      </c>
      <c r="G202" t="str">
        <f>'AESS-all'!G202</f>
        <v>Clostridia</v>
      </c>
      <c r="H202" t="str">
        <f>'AESS-all'!H202</f>
        <v>.</v>
      </c>
      <c r="I202" t="str">
        <f>'AESS-all'!I202</f>
        <v>Clostridiales</v>
      </c>
      <c r="J202" t="str">
        <f>'AESS-all'!J202</f>
        <v>.</v>
      </c>
      <c r="K202" t="str">
        <f>'AESS-all'!K202</f>
        <v>Ruminococcaceae</v>
      </c>
      <c r="L202" t="str">
        <f>'AESS-all'!L202</f>
        <v>.</v>
      </c>
      <c r="M202" t="str">
        <f>'AESS-all'!M202</f>
        <v>Clostridium III</v>
      </c>
      <c r="N202" t="str">
        <f>'AESS-all'!N202</f>
        <v>.</v>
      </c>
      <c r="O202">
        <f>'AESS-all'!O202</f>
        <v>0.9</v>
      </c>
      <c r="P202" t="str">
        <f>'AESS-all'!P202</f>
        <v>Pseudobacteroides_cellulosolvens_(L35517)</v>
      </c>
      <c r="Q202">
        <f>'AESS-all'!Q202</f>
        <v>95.7</v>
      </c>
      <c r="R202">
        <f>'AESS-all'!R202</f>
        <v>3</v>
      </c>
      <c r="S202" s="49">
        <f>'AESS-all'!S202/'AESS-all'!S$1</f>
        <v>0</v>
      </c>
      <c r="T202" s="50">
        <f>'AESS-all'!T202/'AESS-all'!T$1</f>
        <v>0</v>
      </c>
      <c r="U202" s="50">
        <f>'AESS-all'!U202/'AESS-all'!U$1</f>
        <v>0</v>
      </c>
      <c r="V202" s="51">
        <f>'AESS-all'!V202/'AESS-all'!V$1</f>
        <v>0</v>
      </c>
      <c r="W202" s="49">
        <f>'AESS-all'!W202/'AESS-all'!W$1</f>
        <v>0</v>
      </c>
      <c r="X202" s="50">
        <f>'AESS-all'!X202/'AESS-all'!X$1</f>
        <v>0</v>
      </c>
      <c r="Y202" s="50">
        <f>'AESS-all'!Y202/'AESS-all'!Y$1</f>
        <v>0</v>
      </c>
      <c r="Z202" s="51">
        <f>'AESS-all'!Z202/'AESS-all'!Z$1</f>
        <v>0</v>
      </c>
      <c r="AA202" s="49">
        <f>'AESS-all'!AA202/'AESS-all'!AA$1</f>
        <v>1.1469205184080744E-4</v>
      </c>
      <c r="AB202" s="50">
        <f>'AESS-all'!AB202/'AESS-all'!AB$1</f>
        <v>0</v>
      </c>
      <c r="AC202" s="50">
        <f>'AESS-all'!AC202/'AESS-all'!AC$1</f>
        <v>0</v>
      </c>
      <c r="AD202" s="51">
        <f>'AESS-all'!AD202/'AESS-all'!AD$1</f>
        <v>0</v>
      </c>
    </row>
    <row r="203" spans="1:30" x14ac:dyDescent="0.35">
      <c r="A203" t="str">
        <f>'AESS-all'!A203</f>
        <v>OTU_209</v>
      </c>
      <c r="B203">
        <f>'AESS-all'!B203</f>
        <v>4</v>
      </c>
      <c r="C203" t="str">
        <f>'AESS-all'!C203</f>
        <v>Root</v>
      </c>
      <c r="D203" t="str">
        <f>'AESS-all'!D203</f>
        <v>Bacteria</v>
      </c>
      <c r="E203" t="str">
        <f>'AESS-all'!E203</f>
        <v>Bacteroidetes</v>
      </c>
      <c r="F203" t="str">
        <f>'AESS-all'!F203</f>
        <v>.</v>
      </c>
      <c r="G203" t="str">
        <f>'AESS-all'!G203</f>
        <v>.</v>
      </c>
      <c r="H203" t="str">
        <f>'AESS-all'!H203</f>
        <v>.</v>
      </c>
      <c r="I203" t="str">
        <f>'AESS-all'!I203</f>
        <v>.</v>
      </c>
      <c r="J203" t="str">
        <f>'AESS-all'!J203</f>
        <v>.</v>
      </c>
      <c r="K203" t="str">
        <f>'AESS-all'!K203</f>
        <v>.</v>
      </c>
      <c r="L203" t="str">
        <f>'AESS-all'!L203</f>
        <v>.</v>
      </c>
      <c r="M203" t="str">
        <f>'AESS-all'!M203</f>
        <v>.</v>
      </c>
      <c r="N203" t="str">
        <f>'AESS-all'!N203</f>
        <v>.</v>
      </c>
      <c r="O203">
        <f>'AESS-all'!O203</f>
        <v>1</v>
      </c>
      <c r="P203" t="str">
        <f>'AESS-all'!P203</f>
        <v>Cytophaga_xylanolytica_strain_DSM_6779_(NR_117112.1)</v>
      </c>
      <c r="Q203">
        <f>'AESS-all'!Q203</f>
        <v>85.8</v>
      </c>
      <c r="R203">
        <f>'AESS-all'!R203</f>
        <v>1</v>
      </c>
      <c r="S203" s="49">
        <f>'AESS-all'!S203/'AESS-all'!S$1</f>
        <v>2.3311653495582441E-5</v>
      </c>
      <c r="T203" s="50">
        <f>'AESS-all'!T203/'AESS-all'!T$1</f>
        <v>0</v>
      </c>
      <c r="U203" s="50">
        <f>'AESS-all'!U203/'AESS-all'!U$1</f>
        <v>0</v>
      </c>
      <c r="V203" s="51">
        <f>'AESS-all'!V203/'AESS-all'!V$1</f>
        <v>0</v>
      </c>
      <c r="W203" s="49">
        <f>'AESS-all'!W203/'AESS-all'!W$1</f>
        <v>4.3455588388666785E-5</v>
      </c>
      <c r="X203" s="50">
        <f>'AESS-all'!X203/'AESS-all'!X$1</f>
        <v>0</v>
      </c>
      <c r="Y203" s="50">
        <f>'AESS-all'!Y203/'AESS-all'!Y$1</f>
        <v>0</v>
      </c>
      <c r="Z203" s="51">
        <f>'AESS-all'!Z203/'AESS-all'!Z$1</f>
        <v>0</v>
      </c>
      <c r="AA203" s="49">
        <f>'AESS-all'!AA203/'AESS-all'!AA$1</f>
        <v>2.8673012960201859E-5</v>
      </c>
      <c r="AB203" s="50">
        <f>'AESS-all'!AB203/'AESS-all'!AB$1</f>
        <v>0</v>
      </c>
      <c r="AC203" s="50">
        <f>'AESS-all'!AC203/'AESS-all'!AC$1</f>
        <v>0</v>
      </c>
      <c r="AD203" s="51">
        <f>'AESS-all'!AD203/'AESS-all'!AD$1</f>
        <v>0</v>
      </c>
    </row>
    <row r="204" spans="1:30" x14ac:dyDescent="0.35">
      <c r="A204" t="str">
        <f>'AESS-all'!A204</f>
        <v>OTU_175</v>
      </c>
      <c r="B204">
        <f>'AESS-all'!B204</f>
        <v>4</v>
      </c>
      <c r="C204" t="str">
        <f>'AESS-all'!C204</f>
        <v>Root</v>
      </c>
      <c r="D204" t="str">
        <f>'AESS-all'!D204</f>
        <v>Bacteria</v>
      </c>
      <c r="E204" t="str">
        <f>'AESS-all'!E204</f>
        <v>Bacteroidetes</v>
      </c>
      <c r="F204" t="str">
        <f>'AESS-all'!F204</f>
        <v>.</v>
      </c>
      <c r="G204" t="str">
        <f>'AESS-all'!G204</f>
        <v>Bacteroidia</v>
      </c>
      <c r="H204" t="str">
        <f>'AESS-all'!H204</f>
        <v>.</v>
      </c>
      <c r="I204" t="str">
        <f>'AESS-all'!I204</f>
        <v>Bacteroidales</v>
      </c>
      <c r="J204" t="str">
        <f>'AESS-all'!J204</f>
        <v>.</v>
      </c>
      <c r="K204" t="str">
        <f>'AESS-all'!K204</f>
        <v>Porphyromonadaceae</v>
      </c>
      <c r="L204" t="str">
        <f>'AESS-all'!L204</f>
        <v>.</v>
      </c>
      <c r="M204" t="str">
        <f>'AESS-all'!M204</f>
        <v>Coprobacter</v>
      </c>
      <c r="N204" t="str">
        <f>'AESS-all'!N204</f>
        <v>.</v>
      </c>
      <c r="O204">
        <f>'AESS-all'!O204</f>
        <v>0.5</v>
      </c>
      <c r="P204" t="str">
        <f>'AESS-all'!P204</f>
        <v>Muribaculum_intestinale_strain_YL27_(NR_144616.1)</v>
      </c>
      <c r="Q204">
        <f>'AESS-all'!Q204</f>
        <v>90.5</v>
      </c>
      <c r="R204">
        <f>'AESS-all'!R204</f>
        <v>1</v>
      </c>
      <c r="S204" s="49">
        <f>'AESS-all'!S204/'AESS-all'!S$1</f>
        <v>0</v>
      </c>
      <c r="T204" s="50">
        <f>'AESS-all'!T204/'AESS-all'!T$1</f>
        <v>0</v>
      </c>
      <c r="U204" s="50">
        <f>'AESS-all'!U204/'AESS-all'!U$1</f>
        <v>0</v>
      </c>
      <c r="V204" s="51">
        <f>'AESS-all'!V204/'AESS-all'!V$1</f>
        <v>0</v>
      </c>
      <c r="W204" s="49">
        <f>'AESS-all'!W204/'AESS-all'!W$1</f>
        <v>2.1727794194333393E-5</v>
      </c>
      <c r="X204" s="50">
        <f>'AESS-all'!X204/'AESS-all'!X$1</f>
        <v>0</v>
      </c>
      <c r="Y204" s="50">
        <f>'AESS-all'!Y204/'AESS-all'!Y$1</f>
        <v>0</v>
      </c>
      <c r="Z204" s="51">
        <f>'AESS-all'!Z204/'AESS-all'!Z$1</f>
        <v>0</v>
      </c>
      <c r="AA204" s="49">
        <f>'AESS-all'!AA204/'AESS-all'!AA$1</f>
        <v>8.6019038880605581E-5</v>
      </c>
      <c r="AB204" s="50">
        <f>'AESS-all'!AB204/'AESS-all'!AB$1</f>
        <v>0</v>
      </c>
      <c r="AC204" s="50">
        <f>'AESS-all'!AC204/'AESS-all'!AC$1</f>
        <v>0</v>
      </c>
      <c r="AD204" s="51">
        <f>'AESS-all'!AD204/'AESS-all'!AD$1</f>
        <v>0</v>
      </c>
    </row>
    <row r="205" spans="1:30" x14ac:dyDescent="0.35">
      <c r="A205" t="str">
        <f>'AESS-all'!A205</f>
        <v>OTU_182</v>
      </c>
      <c r="B205">
        <f>'AESS-all'!B205</f>
        <v>4</v>
      </c>
      <c r="C205" t="str">
        <f>'AESS-all'!C205</f>
        <v>Root</v>
      </c>
      <c r="D205" t="str">
        <f>'AESS-all'!D205</f>
        <v>Bacteria</v>
      </c>
      <c r="E205" t="str">
        <f>'AESS-all'!E205</f>
        <v>Firmicutes</v>
      </c>
      <c r="F205" t="str">
        <f>'AESS-all'!F205</f>
        <v>.</v>
      </c>
      <c r="G205" t="str">
        <f>'AESS-all'!G205</f>
        <v>Clostridia</v>
      </c>
      <c r="H205" t="str">
        <f>'AESS-all'!H205</f>
        <v>.</v>
      </c>
      <c r="I205" t="str">
        <f>'AESS-all'!I205</f>
        <v>Clostridiales</v>
      </c>
      <c r="J205" t="str">
        <f>'AESS-all'!J205</f>
        <v>.</v>
      </c>
      <c r="K205" t="str">
        <f>'AESS-all'!K205</f>
        <v>.</v>
      </c>
      <c r="L205" t="str">
        <f>'AESS-all'!L205</f>
        <v>.</v>
      </c>
      <c r="M205" t="str">
        <f>'AESS-all'!M205</f>
        <v>.</v>
      </c>
      <c r="N205" t="str">
        <f>'AESS-all'!N205</f>
        <v>.</v>
      </c>
      <c r="O205">
        <f>'AESS-all'!O205</f>
        <v>0.79</v>
      </c>
      <c r="P205" t="str">
        <f>'AESS-all'!P205</f>
        <v>Desulfotomaculum_acetoxidans_(T)_DSM_771_(Y11566)</v>
      </c>
      <c r="Q205">
        <f>'AESS-all'!Q205</f>
        <v>90.9</v>
      </c>
      <c r="R205">
        <f>'AESS-all'!R205</f>
        <v>1</v>
      </c>
      <c r="S205" s="49">
        <f>'AESS-all'!S205/'AESS-all'!S$1</f>
        <v>2.3311653495582441E-5</v>
      </c>
      <c r="T205" s="50">
        <f>'AESS-all'!T205/'AESS-all'!T$1</f>
        <v>0</v>
      </c>
      <c r="U205" s="50">
        <f>'AESS-all'!U205/'AESS-all'!U$1</f>
        <v>0</v>
      </c>
      <c r="V205" s="51">
        <f>'AESS-all'!V205/'AESS-all'!V$1</f>
        <v>0</v>
      </c>
      <c r="W205" s="49">
        <f>'AESS-all'!W205/'AESS-all'!W$1</f>
        <v>4.3455588388666785E-5</v>
      </c>
      <c r="X205" s="50">
        <f>'AESS-all'!X205/'AESS-all'!X$1</f>
        <v>0</v>
      </c>
      <c r="Y205" s="50">
        <f>'AESS-all'!Y205/'AESS-all'!Y$1</f>
        <v>0</v>
      </c>
      <c r="Z205" s="51">
        <f>'AESS-all'!Z205/'AESS-all'!Z$1</f>
        <v>0</v>
      </c>
      <c r="AA205" s="49">
        <f>'AESS-all'!AA205/'AESS-all'!AA$1</f>
        <v>2.8673012960201859E-5</v>
      </c>
      <c r="AB205" s="50">
        <f>'AESS-all'!AB205/'AESS-all'!AB$1</f>
        <v>0</v>
      </c>
      <c r="AC205" s="50">
        <f>'AESS-all'!AC205/'AESS-all'!AC$1</f>
        <v>0</v>
      </c>
      <c r="AD205" s="51">
        <f>'AESS-all'!AD205/'AESS-all'!AD$1</f>
        <v>0</v>
      </c>
    </row>
    <row r="206" spans="1:30" x14ac:dyDescent="0.35">
      <c r="A206" t="str">
        <f>'AESS-all'!A206</f>
        <v>OTU_178</v>
      </c>
      <c r="B206">
        <f>'AESS-all'!B206</f>
        <v>4</v>
      </c>
      <c r="C206" t="str">
        <f>'AESS-all'!C206</f>
        <v>Root</v>
      </c>
      <c r="D206" t="str">
        <f>'AESS-all'!D206</f>
        <v>Bacteria</v>
      </c>
      <c r="E206" t="str">
        <f>'AESS-all'!E206</f>
        <v>Proteobacteria</v>
      </c>
      <c r="F206" t="str">
        <f>'AESS-all'!F206</f>
        <v>.</v>
      </c>
      <c r="G206" t="str">
        <f>'AESS-all'!G206</f>
        <v>Deltaproteobacteria</v>
      </c>
      <c r="H206" t="str">
        <f>'AESS-all'!H206</f>
        <v>.</v>
      </c>
      <c r="I206" t="str">
        <f>'AESS-all'!I206</f>
        <v>Syntrophobacterales</v>
      </c>
      <c r="J206" t="str">
        <f>'AESS-all'!J206</f>
        <v>.</v>
      </c>
      <c r="K206" t="str">
        <f>'AESS-all'!K206</f>
        <v>Syntrophaceae</v>
      </c>
      <c r="L206" t="str">
        <f>'AESS-all'!L206</f>
        <v>.</v>
      </c>
      <c r="M206" t="str">
        <f>'AESS-all'!M206</f>
        <v>Smithella</v>
      </c>
      <c r="N206" t="str">
        <f>'AESS-all'!N206</f>
        <v>.</v>
      </c>
      <c r="O206">
        <f>'AESS-all'!O206</f>
        <v>0.7</v>
      </c>
      <c r="P206" t="str">
        <f>'AESS-all'!P206</f>
        <v>Smithella_propionica_(T)_LYP_(AF126282)</v>
      </c>
      <c r="Q206">
        <f>'AESS-all'!Q206</f>
        <v>93.3</v>
      </c>
      <c r="R206">
        <f>'AESS-all'!R206</f>
        <v>1</v>
      </c>
      <c r="S206" s="49">
        <f>'AESS-all'!S206/'AESS-all'!S$1</f>
        <v>4.6623306991164881E-5</v>
      </c>
      <c r="T206" s="50">
        <f>'AESS-all'!T206/'AESS-all'!T$1</f>
        <v>0</v>
      </c>
      <c r="U206" s="50">
        <f>'AESS-all'!U206/'AESS-all'!U$1</f>
        <v>0</v>
      </c>
      <c r="V206" s="51">
        <f>'AESS-all'!V206/'AESS-all'!V$1</f>
        <v>0</v>
      </c>
      <c r="W206" s="49">
        <f>'AESS-all'!W206/'AESS-all'!W$1</f>
        <v>4.3455588388666785E-5</v>
      </c>
      <c r="X206" s="50">
        <f>'AESS-all'!X206/'AESS-all'!X$1</f>
        <v>0</v>
      </c>
      <c r="Y206" s="50">
        <f>'AESS-all'!Y206/'AESS-all'!Y$1</f>
        <v>0</v>
      </c>
      <c r="Z206" s="51">
        <f>'AESS-all'!Z206/'AESS-all'!Z$1</f>
        <v>0</v>
      </c>
      <c r="AA206" s="49">
        <f>'AESS-all'!AA206/'AESS-all'!AA$1</f>
        <v>0</v>
      </c>
      <c r="AB206" s="50">
        <f>'AESS-all'!AB206/'AESS-all'!AB$1</f>
        <v>0</v>
      </c>
      <c r="AC206" s="50">
        <f>'AESS-all'!AC206/'AESS-all'!AC$1</f>
        <v>0</v>
      </c>
      <c r="AD206" s="51">
        <f>'AESS-all'!AD206/'AESS-all'!AD$1</f>
        <v>0</v>
      </c>
    </row>
    <row r="207" spans="1:30" x14ac:dyDescent="0.35">
      <c r="A207" t="str">
        <f>'AESS-all'!A207</f>
        <v>OTU_196</v>
      </c>
      <c r="B207">
        <f>'AESS-all'!B207</f>
        <v>3</v>
      </c>
      <c r="C207" t="str">
        <f>'AESS-all'!C207</f>
        <v>Root</v>
      </c>
      <c r="D207" t="str">
        <f>'AESS-all'!D207</f>
        <v>Bacteria</v>
      </c>
      <c r="E207" t="str">
        <f>'AESS-all'!E207</f>
        <v>Bacteroidetes</v>
      </c>
      <c r="F207" t="str">
        <f>'AESS-all'!F207</f>
        <v>.</v>
      </c>
      <c r="G207" t="str">
        <f>'AESS-all'!G207</f>
        <v>Bacteroidia</v>
      </c>
      <c r="H207" t="str">
        <f>'AESS-all'!H207</f>
        <v>.</v>
      </c>
      <c r="I207" t="str">
        <f>'AESS-all'!I207</f>
        <v>Bacteroidales</v>
      </c>
      <c r="J207" t="str">
        <f>'AESS-all'!J207</f>
        <v>.</v>
      </c>
      <c r="K207" t="str">
        <f>'AESS-all'!K207</f>
        <v>Porphyromonadaceae</v>
      </c>
      <c r="L207" t="str">
        <f>'AESS-all'!L207</f>
        <v>.</v>
      </c>
      <c r="M207" t="str">
        <f>'AESS-all'!M207</f>
        <v>.</v>
      </c>
      <c r="N207" t="str">
        <f>'AESS-all'!N207</f>
        <v>.</v>
      </c>
      <c r="O207">
        <f>'AESS-all'!O207</f>
        <v>0.98</v>
      </c>
      <c r="P207" t="str">
        <f>'AESS-all'!P207</f>
        <v>Muribaculum_intestinale_strain_YL27_(NR_144616.1)</v>
      </c>
      <c r="Q207">
        <f>'AESS-all'!Q207</f>
        <v>96.4</v>
      </c>
      <c r="R207">
        <f>'AESS-all'!R207</f>
        <v>1</v>
      </c>
      <c r="S207" s="49">
        <f>'AESS-all'!S207/'AESS-all'!S$1</f>
        <v>2.3311653495582441E-5</v>
      </c>
      <c r="T207" s="50">
        <f>'AESS-all'!T207/'AESS-all'!T$1</f>
        <v>0</v>
      </c>
      <c r="U207" s="50">
        <f>'AESS-all'!U207/'AESS-all'!U$1</f>
        <v>0</v>
      </c>
      <c r="V207" s="51">
        <f>'AESS-all'!V207/'AESS-all'!V$1</f>
        <v>0</v>
      </c>
      <c r="W207" s="49">
        <f>'AESS-all'!W207/'AESS-all'!W$1</f>
        <v>0</v>
      </c>
      <c r="X207" s="50">
        <f>'AESS-all'!X207/'AESS-all'!X$1</f>
        <v>0</v>
      </c>
      <c r="Y207" s="50">
        <f>'AESS-all'!Y207/'AESS-all'!Y$1</f>
        <v>0</v>
      </c>
      <c r="Z207" s="51">
        <f>'AESS-all'!Z207/'AESS-all'!Z$1</f>
        <v>0</v>
      </c>
      <c r="AA207" s="49">
        <f>'AESS-all'!AA207/'AESS-all'!AA$1</f>
        <v>5.7346025920403718E-5</v>
      </c>
      <c r="AB207" s="50">
        <f>'AESS-all'!AB207/'AESS-all'!AB$1</f>
        <v>0</v>
      </c>
      <c r="AC207" s="50">
        <f>'AESS-all'!AC207/'AESS-all'!AC$1</f>
        <v>0</v>
      </c>
      <c r="AD207" s="51">
        <f>'AESS-all'!AD207/'AESS-all'!AD$1</f>
        <v>0</v>
      </c>
    </row>
    <row r="208" spans="1:30" x14ac:dyDescent="0.35">
      <c r="A208" t="str">
        <f>'AESS-all'!A208</f>
        <v>OTU_181</v>
      </c>
      <c r="B208">
        <f>'AESS-all'!B208</f>
        <v>3</v>
      </c>
      <c r="C208" t="str">
        <f>'AESS-all'!C208</f>
        <v>Root</v>
      </c>
      <c r="D208" t="str">
        <f>'AESS-all'!D208</f>
        <v>Bacteria</v>
      </c>
      <c r="E208" t="str">
        <f>'AESS-all'!E208</f>
        <v>.</v>
      </c>
      <c r="F208" t="str">
        <f>'AESS-all'!F208</f>
        <v>.</v>
      </c>
      <c r="G208" t="str">
        <f>'AESS-all'!G208</f>
        <v>.</v>
      </c>
      <c r="H208" t="str">
        <f>'AESS-all'!H208</f>
        <v>.</v>
      </c>
      <c r="I208" t="str">
        <f>'AESS-all'!I208</f>
        <v>.</v>
      </c>
      <c r="J208" t="str">
        <f>'AESS-all'!J208</f>
        <v>.</v>
      </c>
      <c r="K208" t="str">
        <f>'AESS-all'!K208</f>
        <v>.</v>
      </c>
      <c r="L208" t="str">
        <f>'AESS-all'!L208</f>
        <v>.</v>
      </c>
      <c r="M208" t="str">
        <f>'AESS-all'!M208</f>
        <v>.</v>
      </c>
      <c r="N208" t="str">
        <f>'AESS-all'!N208</f>
        <v>.</v>
      </c>
      <c r="O208">
        <f>'AESS-all'!O208</f>
        <v>0.9</v>
      </c>
      <c r="P208" t="str">
        <f>'AESS-all'!P208</f>
        <v>*</v>
      </c>
      <c r="Q208">
        <f>'AESS-all'!Q208</f>
        <v>0</v>
      </c>
      <c r="R208">
        <f>'AESS-all'!R208</f>
        <v>1</v>
      </c>
      <c r="S208" s="49">
        <f>'AESS-all'!S208/'AESS-all'!S$1</f>
        <v>0</v>
      </c>
      <c r="T208" s="50">
        <f>'AESS-all'!T208/'AESS-all'!T$1</f>
        <v>0</v>
      </c>
      <c r="U208" s="50">
        <f>'AESS-all'!U208/'AESS-all'!U$1</f>
        <v>1.3014055179593961E-4</v>
      </c>
      <c r="V208" s="51">
        <f>'AESS-all'!V208/'AESS-all'!V$1</f>
        <v>0</v>
      </c>
      <c r="W208" s="49">
        <f>'AESS-all'!W208/'AESS-all'!W$1</f>
        <v>0</v>
      </c>
      <c r="X208" s="50">
        <f>'AESS-all'!X208/'AESS-all'!X$1</f>
        <v>0</v>
      </c>
      <c r="Y208" s="50">
        <f>'AESS-all'!Y208/'AESS-all'!Y$1</f>
        <v>2.871088142405972E-4</v>
      </c>
      <c r="Z208" s="51">
        <f>'AESS-all'!Z208/'AESS-all'!Z$1</f>
        <v>0</v>
      </c>
      <c r="AA208" s="49">
        <f>'AESS-all'!AA208/'AESS-all'!AA$1</f>
        <v>0</v>
      </c>
      <c r="AB208" s="50">
        <f>'AESS-all'!AB208/'AESS-all'!AB$1</f>
        <v>0</v>
      </c>
      <c r="AC208" s="50">
        <f>'AESS-all'!AC208/'AESS-all'!AC$1</f>
        <v>9.1954022988505746E-5</v>
      </c>
      <c r="AD208" s="51">
        <f>'AESS-all'!AD208/'AESS-all'!AD$1</f>
        <v>0</v>
      </c>
    </row>
    <row r="209" spans="1:30" x14ac:dyDescent="0.35">
      <c r="A209" t="str">
        <f>'AESS-all'!A209</f>
        <v>OTU_204</v>
      </c>
      <c r="B209">
        <f>'AESS-all'!B209</f>
        <v>3</v>
      </c>
      <c r="C209" t="str">
        <f>'AESS-all'!C209</f>
        <v>Root</v>
      </c>
      <c r="D209" t="str">
        <f>'AESS-all'!D209</f>
        <v>Bacteria</v>
      </c>
      <c r="E209" t="str">
        <f>'AESS-all'!E209</f>
        <v>Firmicutes</v>
      </c>
      <c r="F209" t="str">
        <f>'AESS-all'!F209</f>
        <v>.</v>
      </c>
      <c r="G209" t="str">
        <f>'AESS-all'!G209</f>
        <v>Clostridia</v>
      </c>
      <c r="H209" t="str">
        <f>'AESS-all'!H209</f>
        <v>.</v>
      </c>
      <c r="I209" t="str">
        <f>'AESS-all'!I209</f>
        <v>Clostridiales</v>
      </c>
      <c r="J209" t="str">
        <f>'AESS-all'!J209</f>
        <v>.</v>
      </c>
      <c r="K209" t="str">
        <f>'AESS-all'!K209</f>
        <v>Lachnospiraceae</v>
      </c>
      <c r="L209" t="str">
        <f>'AESS-all'!L209</f>
        <v>.</v>
      </c>
      <c r="M209" t="str">
        <f>'AESS-all'!M209</f>
        <v>Clostridium XlVa</v>
      </c>
      <c r="N209" t="str">
        <f>'AESS-all'!N209</f>
        <v>.</v>
      </c>
      <c r="O209">
        <f>'AESS-all'!O209</f>
        <v>1</v>
      </c>
      <c r="P209" t="str">
        <f>'AESS-all'!P209</f>
        <v>Clostridium_saccharolyticum_(T)_DSM_2544_(Y18185)</v>
      </c>
      <c r="Q209">
        <f>'AESS-all'!Q209</f>
        <v>100</v>
      </c>
      <c r="R209">
        <f>'AESS-all'!R209</f>
        <v>1</v>
      </c>
      <c r="S209" s="49">
        <f>'AESS-all'!S209/'AESS-all'!S$1</f>
        <v>0</v>
      </c>
      <c r="T209" s="50">
        <f>'AESS-all'!T209/'AESS-all'!T$1</f>
        <v>0</v>
      </c>
      <c r="U209" s="50">
        <f>'AESS-all'!U209/'AESS-all'!U$1</f>
        <v>0</v>
      </c>
      <c r="V209" s="51">
        <f>'AESS-all'!V209/'AESS-all'!V$1</f>
        <v>0</v>
      </c>
      <c r="W209" s="49">
        <f>'AESS-all'!W209/'AESS-all'!W$1</f>
        <v>0</v>
      </c>
      <c r="X209" s="50">
        <f>'AESS-all'!X209/'AESS-all'!X$1</f>
        <v>0</v>
      </c>
      <c r="Y209" s="50">
        <f>'AESS-all'!Y209/'AESS-all'!Y$1</f>
        <v>0</v>
      </c>
      <c r="Z209" s="51">
        <f>'AESS-all'!Z209/'AESS-all'!Z$1</f>
        <v>0</v>
      </c>
      <c r="AA209" s="49">
        <f>'AESS-all'!AA209/'AESS-all'!AA$1</f>
        <v>8.6019038880605581E-5</v>
      </c>
      <c r="AB209" s="50">
        <f>'AESS-all'!AB209/'AESS-all'!AB$1</f>
        <v>0</v>
      </c>
      <c r="AC209" s="50">
        <f>'AESS-all'!AC209/'AESS-all'!AC$1</f>
        <v>0</v>
      </c>
      <c r="AD209" s="51">
        <f>'AESS-all'!AD209/'AESS-all'!AD$1</f>
        <v>0</v>
      </c>
    </row>
    <row r="210" spans="1:30" x14ac:dyDescent="0.35">
      <c r="A210" t="str">
        <f>'AESS-all'!A210</f>
        <v>OTU_193</v>
      </c>
      <c r="B210">
        <f>'AESS-all'!B210</f>
        <v>3</v>
      </c>
      <c r="C210" t="str">
        <f>'AESS-all'!C210</f>
        <v>Root</v>
      </c>
      <c r="D210" t="str">
        <f>'AESS-all'!D210</f>
        <v>Bacteria</v>
      </c>
      <c r="E210" t="str">
        <f>'AESS-all'!E210</f>
        <v>Proteobacteria</v>
      </c>
      <c r="F210" t="str">
        <f>'AESS-all'!F210</f>
        <v>.</v>
      </c>
      <c r="G210" t="str">
        <f>'AESS-all'!G210</f>
        <v>Betaproteobacteria</v>
      </c>
      <c r="H210" t="str">
        <f>'AESS-all'!H210</f>
        <v>.</v>
      </c>
      <c r="I210" t="str">
        <f>'AESS-all'!I210</f>
        <v>Procabacteriales</v>
      </c>
      <c r="J210" t="str">
        <f>'AESS-all'!J210</f>
        <v>.</v>
      </c>
      <c r="K210" t="str">
        <f>'AESS-all'!K210</f>
        <v>Procabacteriaceae</v>
      </c>
      <c r="L210" t="str">
        <f>'AESS-all'!L210</f>
        <v>.</v>
      </c>
      <c r="M210" t="str">
        <f>'AESS-all'!M210</f>
        <v>Candidatus Procabacter</v>
      </c>
      <c r="N210" t="str">
        <f>'AESS-all'!N210</f>
        <v>.</v>
      </c>
      <c r="O210">
        <f>'AESS-all'!O210</f>
        <v>1</v>
      </c>
      <c r="P210" t="str">
        <f>'AESS-all'!P210</f>
        <v>Candidatus_Procabacter_acanthamoebae_(AF177427)</v>
      </c>
      <c r="Q210">
        <f>'AESS-all'!Q210</f>
        <v>99.2</v>
      </c>
      <c r="R210">
        <f>'AESS-all'!R210</f>
        <v>1</v>
      </c>
      <c r="S210" s="49">
        <f>'AESS-all'!S210/'AESS-all'!S$1</f>
        <v>4.6623306991164881E-5</v>
      </c>
      <c r="T210" s="50">
        <f>'AESS-all'!T210/'AESS-all'!T$1</f>
        <v>0</v>
      </c>
      <c r="U210" s="50">
        <f>'AESS-all'!U210/'AESS-all'!U$1</f>
        <v>0</v>
      </c>
      <c r="V210" s="51">
        <f>'AESS-all'!V210/'AESS-all'!V$1</f>
        <v>0</v>
      </c>
      <c r="W210" s="49">
        <f>'AESS-all'!W210/'AESS-all'!W$1</f>
        <v>2.1727794194333393E-5</v>
      </c>
      <c r="X210" s="50">
        <f>'AESS-all'!X210/'AESS-all'!X$1</f>
        <v>0</v>
      </c>
      <c r="Y210" s="50">
        <f>'AESS-all'!Y210/'AESS-all'!Y$1</f>
        <v>0</v>
      </c>
      <c r="Z210" s="51">
        <f>'AESS-all'!Z210/'AESS-all'!Z$1</f>
        <v>0</v>
      </c>
      <c r="AA210" s="49">
        <f>'AESS-all'!AA210/'AESS-all'!AA$1</f>
        <v>0</v>
      </c>
      <c r="AB210" s="50">
        <f>'AESS-all'!AB210/'AESS-all'!AB$1</f>
        <v>0</v>
      </c>
      <c r="AC210" s="50">
        <f>'AESS-all'!AC210/'AESS-all'!AC$1</f>
        <v>0</v>
      </c>
      <c r="AD210" s="51">
        <f>'AESS-all'!AD210/'AESS-all'!AD$1</f>
        <v>0</v>
      </c>
    </row>
    <row r="211" spans="1:30" x14ac:dyDescent="0.35">
      <c r="A211" t="str">
        <f>'AESS-all'!A211</f>
        <v>OTU_191</v>
      </c>
      <c r="B211">
        <f>'AESS-all'!B211</f>
        <v>3</v>
      </c>
      <c r="C211" t="str">
        <f>'AESS-all'!C211</f>
        <v>Root</v>
      </c>
      <c r="D211" t="str">
        <f>'AESS-all'!D211</f>
        <v>Bacteria</v>
      </c>
      <c r="E211" t="str">
        <f>'AESS-all'!E211</f>
        <v>Chloroflexi</v>
      </c>
      <c r="F211" t="str">
        <f>'AESS-all'!F211</f>
        <v>.</v>
      </c>
      <c r="G211" t="str">
        <f>'AESS-all'!G211</f>
        <v>Anaerolineae</v>
      </c>
      <c r="H211" t="str">
        <f>'AESS-all'!H211</f>
        <v>.</v>
      </c>
      <c r="I211" t="str">
        <f>'AESS-all'!I211</f>
        <v>Anaerolineales</v>
      </c>
      <c r="J211" t="str">
        <f>'AESS-all'!J211</f>
        <v>.</v>
      </c>
      <c r="K211" t="str">
        <f>'AESS-all'!K211</f>
        <v>Anaerolineaceae</v>
      </c>
      <c r="L211" t="str">
        <f>'AESS-all'!L211</f>
        <v>.</v>
      </c>
      <c r="M211" t="str">
        <f>'AESS-all'!M211</f>
        <v>.</v>
      </c>
      <c r="N211" t="str">
        <f>'AESS-all'!N211</f>
        <v>.</v>
      </c>
      <c r="O211">
        <f>'AESS-all'!O211</f>
        <v>0.8</v>
      </c>
      <c r="P211" t="str">
        <f>'AESS-all'!P211</f>
        <v>*</v>
      </c>
      <c r="Q211">
        <f>'AESS-all'!Q211</f>
        <v>0</v>
      </c>
      <c r="R211">
        <f>'AESS-all'!R211</f>
        <v>1</v>
      </c>
      <c r="S211" s="49">
        <f>'AESS-all'!S211/'AESS-all'!S$1</f>
        <v>6.9934960486747332E-5</v>
      </c>
      <c r="T211" s="50">
        <f>'AESS-all'!T211/'AESS-all'!T$1</f>
        <v>0</v>
      </c>
      <c r="U211" s="50">
        <f>'AESS-all'!U211/'AESS-all'!U$1</f>
        <v>0</v>
      </c>
      <c r="V211" s="51">
        <f>'AESS-all'!V211/'AESS-all'!V$1</f>
        <v>0</v>
      </c>
      <c r="W211" s="49">
        <f>'AESS-all'!W211/'AESS-all'!W$1</f>
        <v>0</v>
      </c>
      <c r="X211" s="50">
        <f>'AESS-all'!X211/'AESS-all'!X$1</f>
        <v>0</v>
      </c>
      <c r="Y211" s="50">
        <f>'AESS-all'!Y211/'AESS-all'!Y$1</f>
        <v>0</v>
      </c>
      <c r="Z211" s="51">
        <f>'AESS-all'!Z211/'AESS-all'!Z$1</f>
        <v>0</v>
      </c>
      <c r="AA211" s="49">
        <f>'AESS-all'!AA211/'AESS-all'!AA$1</f>
        <v>0</v>
      </c>
      <c r="AB211" s="50">
        <f>'AESS-all'!AB211/'AESS-all'!AB$1</f>
        <v>0</v>
      </c>
      <c r="AC211" s="50">
        <f>'AESS-all'!AC211/'AESS-all'!AC$1</f>
        <v>0</v>
      </c>
      <c r="AD211" s="51">
        <f>'AESS-all'!AD211/'AESS-all'!AD$1</f>
        <v>0</v>
      </c>
    </row>
    <row r="212" spans="1:30" x14ac:dyDescent="0.35">
      <c r="A212" t="str">
        <f>'AESS-all'!A212</f>
        <v>OTU_174</v>
      </c>
      <c r="B212">
        <f>'AESS-all'!B212</f>
        <v>3</v>
      </c>
      <c r="C212" t="str">
        <f>'AESS-all'!C212</f>
        <v>Root</v>
      </c>
      <c r="D212" t="str">
        <f>'AESS-all'!D212</f>
        <v>Bacteria</v>
      </c>
      <c r="E212" t="str">
        <f>'AESS-all'!E212</f>
        <v>Bacteroidetes</v>
      </c>
      <c r="F212" t="str">
        <f>'AESS-all'!F212</f>
        <v>.</v>
      </c>
      <c r="G212" t="str">
        <f>'AESS-all'!G212</f>
        <v>Bacteroidia</v>
      </c>
      <c r="H212" t="str">
        <f>'AESS-all'!H212</f>
        <v>.</v>
      </c>
      <c r="I212" t="str">
        <f>'AESS-all'!I212</f>
        <v>Bacteroidales</v>
      </c>
      <c r="J212" t="str">
        <f>'AESS-all'!J212</f>
        <v>.</v>
      </c>
      <c r="K212" t="str">
        <f>'AESS-all'!K212</f>
        <v>Porphyromonadaceae</v>
      </c>
      <c r="L212" t="str">
        <f>'AESS-all'!L212</f>
        <v>.</v>
      </c>
      <c r="M212" t="str">
        <f>'AESS-all'!M212</f>
        <v>.</v>
      </c>
      <c r="N212" t="str">
        <f>'AESS-all'!N212</f>
        <v>.</v>
      </c>
      <c r="O212">
        <f>'AESS-all'!O212</f>
        <v>0.97</v>
      </c>
      <c r="P212" t="str">
        <f>'AESS-all'!P212</f>
        <v>Muribaculum_intestinale_strain_YL27_(NR_144616.1)</v>
      </c>
      <c r="Q212">
        <f>'AESS-all'!Q212</f>
        <v>91.7</v>
      </c>
      <c r="R212">
        <f>'AESS-all'!R212</f>
        <v>1</v>
      </c>
      <c r="S212" s="49">
        <f>'AESS-all'!S212/'AESS-all'!S$1</f>
        <v>4.6623306991164881E-5</v>
      </c>
      <c r="T212" s="50">
        <f>'AESS-all'!T212/'AESS-all'!T$1</f>
        <v>0</v>
      </c>
      <c r="U212" s="50">
        <f>'AESS-all'!U212/'AESS-all'!U$1</f>
        <v>0</v>
      </c>
      <c r="V212" s="51">
        <f>'AESS-all'!V212/'AESS-all'!V$1</f>
        <v>0</v>
      </c>
      <c r="W212" s="49">
        <f>'AESS-all'!W212/'AESS-all'!W$1</f>
        <v>0</v>
      </c>
      <c r="X212" s="50">
        <f>'AESS-all'!X212/'AESS-all'!X$1</f>
        <v>0</v>
      </c>
      <c r="Y212" s="50">
        <f>'AESS-all'!Y212/'AESS-all'!Y$1</f>
        <v>0</v>
      </c>
      <c r="Z212" s="51">
        <f>'AESS-all'!Z212/'AESS-all'!Z$1</f>
        <v>0</v>
      </c>
      <c r="AA212" s="49">
        <f>'AESS-all'!AA212/'AESS-all'!AA$1</f>
        <v>2.8673012960201859E-5</v>
      </c>
      <c r="AB212" s="50">
        <f>'AESS-all'!AB212/'AESS-all'!AB$1</f>
        <v>0</v>
      </c>
      <c r="AC212" s="50">
        <f>'AESS-all'!AC212/'AESS-all'!AC$1</f>
        <v>0</v>
      </c>
      <c r="AD212" s="51">
        <f>'AESS-all'!AD212/'AESS-all'!AD$1</f>
        <v>0</v>
      </c>
    </row>
    <row r="213" spans="1:30" x14ac:dyDescent="0.35">
      <c r="A213" t="str">
        <f>'AESS-all'!A213</f>
        <v>OTU_202</v>
      </c>
      <c r="B213">
        <f>'AESS-all'!B213</f>
        <v>3</v>
      </c>
      <c r="C213" t="str">
        <f>'AESS-all'!C213</f>
        <v>Root</v>
      </c>
      <c r="D213" t="str">
        <f>'AESS-all'!D213</f>
        <v>Archaea</v>
      </c>
      <c r="E213" t="str">
        <f>'AESS-all'!E213</f>
        <v>Euryarchaeota</v>
      </c>
      <c r="F213" t="str">
        <f>'AESS-all'!F213</f>
        <v>.</v>
      </c>
      <c r="G213" t="str">
        <f>'AESS-all'!G213</f>
        <v>Methanomicrobia</v>
      </c>
      <c r="H213" t="str">
        <f>'AESS-all'!H213</f>
        <v>.</v>
      </c>
      <c r="I213" t="str">
        <f>'AESS-all'!I213</f>
        <v>Methanomicrobiales</v>
      </c>
      <c r="J213" t="str">
        <f>'AESS-all'!J213</f>
        <v>.</v>
      </c>
      <c r="K213" t="str">
        <f>'AESS-all'!K213</f>
        <v>Methanoregulaceae</v>
      </c>
      <c r="L213" t="str">
        <f>'AESS-all'!L213</f>
        <v>.</v>
      </c>
      <c r="M213" t="str">
        <f>'AESS-all'!M213</f>
        <v>Methanoregula</v>
      </c>
      <c r="N213" t="str">
        <f>'AESS-all'!N213</f>
        <v>.</v>
      </c>
      <c r="O213">
        <f>'AESS-all'!O213</f>
        <v>1</v>
      </c>
      <c r="P213" t="str">
        <f>'AESS-all'!P213</f>
        <v>Methanoregula_formicica_(T)_SMSP_(AB479390)</v>
      </c>
      <c r="Q213">
        <f>'AESS-all'!Q213</f>
        <v>99.6</v>
      </c>
      <c r="R213">
        <f>'AESS-all'!R213</f>
        <v>1</v>
      </c>
      <c r="S213" s="49">
        <f>'AESS-all'!S213/'AESS-all'!S$1</f>
        <v>6.9934960486747332E-5</v>
      </c>
      <c r="T213" s="50">
        <f>'AESS-all'!T213/'AESS-all'!T$1</f>
        <v>0</v>
      </c>
      <c r="U213" s="50">
        <f>'AESS-all'!U213/'AESS-all'!U$1</f>
        <v>0</v>
      </c>
      <c r="V213" s="51">
        <f>'AESS-all'!V213/'AESS-all'!V$1</f>
        <v>0</v>
      </c>
      <c r="W213" s="49">
        <f>'AESS-all'!W213/'AESS-all'!W$1</f>
        <v>0</v>
      </c>
      <c r="X213" s="50">
        <f>'AESS-all'!X213/'AESS-all'!X$1</f>
        <v>0</v>
      </c>
      <c r="Y213" s="50">
        <f>'AESS-all'!Y213/'AESS-all'!Y$1</f>
        <v>0</v>
      </c>
      <c r="Z213" s="51">
        <f>'AESS-all'!Z213/'AESS-all'!Z$1</f>
        <v>0</v>
      </c>
      <c r="AA213" s="49">
        <f>'AESS-all'!AA213/'AESS-all'!AA$1</f>
        <v>0</v>
      </c>
      <c r="AB213" s="50">
        <f>'AESS-all'!AB213/'AESS-all'!AB$1</f>
        <v>0</v>
      </c>
      <c r="AC213" s="50">
        <f>'AESS-all'!AC213/'AESS-all'!AC$1</f>
        <v>0</v>
      </c>
      <c r="AD213" s="51">
        <f>'AESS-all'!AD213/'AESS-all'!AD$1</f>
        <v>0</v>
      </c>
    </row>
    <row r="214" spans="1:30" x14ac:dyDescent="0.35">
      <c r="A214" t="str">
        <f>'AESS-all'!A214</f>
        <v>OTU_224</v>
      </c>
      <c r="B214">
        <f>'AESS-all'!B214</f>
        <v>3</v>
      </c>
      <c r="C214" t="str">
        <f>'AESS-all'!C214</f>
        <v>Root</v>
      </c>
      <c r="D214" t="str">
        <f>'AESS-all'!D214</f>
        <v>Bacteria</v>
      </c>
      <c r="E214" t="str">
        <f>'AESS-all'!E214</f>
        <v>Firmicutes</v>
      </c>
      <c r="F214" t="str">
        <f>'AESS-all'!F214</f>
        <v>.</v>
      </c>
      <c r="G214" t="str">
        <f>'AESS-all'!G214</f>
        <v>Clostridia</v>
      </c>
      <c r="H214" t="str">
        <f>'AESS-all'!H214</f>
        <v>.</v>
      </c>
      <c r="I214" t="str">
        <f>'AESS-all'!I214</f>
        <v>Clostridiales</v>
      </c>
      <c r="J214" t="str">
        <f>'AESS-all'!J214</f>
        <v>.</v>
      </c>
      <c r="K214" t="str">
        <f>'AESS-all'!K214</f>
        <v>.</v>
      </c>
      <c r="L214" t="str">
        <f>'AESS-all'!L214</f>
        <v>.</v>
      </c>
      <c r="M214" t="str">
        <f>'AESS-all'!M214</f>
        <v>.</v>
      </c>
      <c r="N214" t="str">
        <f>'AESS-all'!N214</f>
        <v>.</v>
      </c>
      <c r="O214">
        <f>'AESS-all'!O214</f>
        <v>0.65</v>
      </c>
      <c r="P214" t="str">
        <f>'AESS-all'!P214</f>
        <v>Gracilibacter_thermotolerans_(T)_JW/YJL-S1_(DQ117465)</v>
      </c>
      <c r="Q214">
        <f>'AESS-all'!Q214</f>
        <v>90.5</v>
      </c>
      <c r="R214">
        <f>'AESS-all'!R214</f>
        <v>1</v>
      </c>
      <c r="S214" s="49">
        <f>'AESS-all'!S214/'AESS-all'!S$1</f>
        <v>0</v>
      </c>
      <c r="T214" s="50">
        <f>'AESS-all'!T214/'AESS-all'!T$1</f>
        <v>0</v>
      </c>
      <c r="U214" s="50">
        <f>'AESS-all'!U214/'AESS-all'!U$1</f>
        <v>0</v>
      </c>
      <c r="V214" s="51">
        <f>'AESS-all'!V214/'AESS-all'!V$1</f>
        <v>0</v>
      </c>
      <c r="W214" s="49">
        <f>'AESS-all'!W214/'AESS-all'!W$1</f>
        <v>4.3455588388666785E-5</v>
      </c>
      <c r="X214" s="50">
        <f>'AESS-all'!X214/'AESS-all'!X$1</f>
        <v>0</v>
      </c>
      <c r="Y214" s="50">
        <f>'AESS-all'!Y214/'AESS-all'!Y$1</f>
        <v>0</v>
      </c>
      <c r="Z214" s="51">
        <f>'AESS-all'!Z214/'AESS-all'!Z$1</f>
        <v>0</v>
      </c>
      <c r="AA214" s="49">
        <f>'AESS-all'!AA214/'AESS-all'!AA$1</f>
        <v>2.8673012960201859E-5</v>
      </c>
      <c r="AB214" s="50">
        <f>'AESS-all'!AB214/'AESS-all'!AB$1</f>
        <v>0</v>
      </c>
      <c r="AC214" s="50">
        <f>'AESS-all'!AC214/'AESS-all'!AC$1</f>
        <v>0</v>
      </c>
      <c r="AD214" s="51">
        <f>'AESS-all'!AD214/'AESS-all'!AD$1</f>
        <v>0</v>
      </c>
    </row>
    <row r="215" spans="1:30" x14ac:dyDescent="0.35">
      <c r="A215" t="str">
        <f>'AESS-all'!A215</f>
        <v>OTU_213</v>
      </c>
      <c r="B215">
        <f>'AESS-all'!B215</f>
        <v>3</v>
      </c>
      <c r="C215" t="str">
        <f>'AESS-all'!C215</f>
        <v>Root</v>
      </c>
      <c r="D215" t="str">
        <f>'AESS-all'!D215</f>
        <v>Bacteria</v>
      </c>
      <c r="E215" t="str">
        <f>'AESS-all'!E215</f>
        <v>Acidobacteria</v>
      </c>
      <c r="F215" t="str">
        <f>'AESS-all'!F215</f>
        <v>.</v>
      </c>
      <c r="G215" t="str">
        <f>'AESS-all'!G215</f>
        <v>Acidobacteria_Gp23</v>
      </c>
      <c r="H215" t="str">
        <f>'AESS-all'!H215</f>
        <v>.</v>
      </c>
      <c r="I215" t="str">
        <f>'AESS-all'!I215</f>
        <v>.</v>
      </c>
      <c r="J215" t="str">
        <f>'AESS-all'!J215</f>
        <v>.</v>
      </c>
      <c r="K215" t="str">
        <f>'AESS-all'!K215</f>
        <v>.</v>
      </c>
      <c r="L215" t="str">
        <f>'AESS-all'!L215</f>
        <v>.</v>
      </c>
      <c r="M215" t="str">
        <f>'AESS-all'!M215</f>
        <v>Thermoanaerobaculum</v>
      </c>
      <c r="N215" t="str">
        <f>'AESS-all'!N215</f>
        <v>.</v>
      </c>
      <c r="O215">
        <f>'AESS-all'!O215</f>
        <v>0.56000000000000005</v>
      </c>
      <c r="P215" t="str">
        <f>'AESS-all'!P215</f>
        <v>uncultured_bacterium_FW34_(AF523981)</v>
      </c>
      <c r="Q215">
        <f>'AESS-all'!Q215</f>
        <v>94.5</v>
      </c>
      <c r="R215">
        <f>'AESS-all'!R215</f>
        <v>1</v>
      </c>
      <c r="S215" s="49">
        <f>'AESS-all'!S215/'AESS-all'!S$1</f>
        <v>6.9934960486747332E-5</v>
      </c>
      <c r="T215" s="50">
        <f>'AESS-all'!T215/'AESS-all'!T$1</f>
        <v>0</v>
      </c>
      <c r="U215" s="50">
        <f>'AESS-all'!U215/'AESS-all'!U$1</f>
        <v>0</v>
      </c>
      <c r="V215" s="51">
        <f>'AESS-all'!V215/'AESS-all'!V$1</f>
        <v>0</v>
      </c>
      <c r="W215" s="49">
        <f>'AESS-all'!W215/'AESS-all'!W$1</f>
        <v>0</v>
      </c>
      <c r="X215" s="50">
        <f>'AESS-all'!X215/'AESS-all'!X$1</f>
        <v>0</v>
      </c>
      <c r="Y215" s="50">
        <f>'AESS-all'!Y215/'AESS-all'!Y$1</f>
        <v>0</v>
      </c>
      <c r="Z215" s="51">
        <f>'AESS-all'!Z215/'AESS-all'!Z$1</f>
        <v>0</v>
      </c>
      <c r="AA215" s="49">
        <f>'AESS-all'!AA215/'AESS-all'!AA$1</f>
        <v>0</v>
      </c>
      <c r="AB215" s="50">
        <f>'AESS-all'!AB215/'AESS-all'!AB$1</f>
        <v>0</v>
      </c>
      <c r="AC215" s="50">
        <f>'AESS-all'!AC215/'AESS-all'!AC$1</f>
        <v>0</v>
      </c>
      <c r="AD215" s="51">
        <f>'AESS-all'!AD215/'AESS-all'!AD$1</f>
        <v>0</v>
      </c>
    </row>
    <row r="216" spans="1:30" x14ac:dyDescent="0.35">
      <c r="A216" t="str">
        <f>'AESS-all'!A216</f>
        <v>OTU_223</v>
      </c>
      <c r="B216">
        <f>'AESS-all'!B216</f>
        <v>3</v>
      </c>
      <c r="C216" t="str">
        <f>'AESS-all'!C216</f>
        <v>Root</v>
      </c>
      <c r="D216" t="str">
        <f>'AESS-all'!D216</f>
        <v>Bacteria</v>
      </c>
      <c r="E216" t="str">
        <f>'AESS-all'!E216</f>
        <v>Acidobacteria</v>
      </c>
      <c r="F216" t="str">
        <f>'AESS-all'!F216</f>
        <v>.</v>
      </c>
      <c r="G216" t="str">
        <f>'AESS-all'!G216</f>
        <v>Acidobacteria_Gp23</v>
      </c>
      <c r="H216" t="str">
        <f>'AESS-all'!H216</f>
        <v>.</v>
      </c>
      <c r="I216" t="str">
        <f>'AESS-all'!I216</f>
        <v>.</v>
      </c>
      <c r="J216" t="str">
        <f>'AESS-all'!J216</f>
        <v>.</v>
      </c>
      <c r="K216" t="str">
        <f>'AESS-all'!K216</f>
        <v>.</v>
      </c>
      <c r="L216" t="str">
        <f>'AESS-all'!L216</f>
        <v>.</v>
      </c>
      <c r="M216" t="str">
        <f>'AESS-all'!M216</f>
        <v>Gp23</v>
      </c>
      <c r="N216" t="str">
        <f>'AESS-all'!N216</f>
        <v>.</v>
      </c>
      <c r="O216">
        <f>'AESS-all'!O216</f>
        <v>0.65</v>
      </c>
      <c r="P216" t="str">
        <f>'AESS-all'!P216</f>
        <v>uncultured_bacterium_FW34_(AF523981)</v>
      </c>
      <c r="Q216">
        <f>'AESS-all'!Q216</f>
        <v>96</v>
      </c>
      <c r="R216">
        <f>'AESS-all'!R216</f>
        <v>1</v>
      </c>
      <c r="S216" s="49">
        <f>'AESS-all'!S216/'AESS-all'!S$1</f>
        <v>6.9934960486747332E-5</v>
      </c>
      <c r="T216" s="50">
        <f>'AESS-all'!T216/'AESS-all'!T$1</f>
        <v>0</v>
      </c>
      <c r="U216" s="50">
        <f>'AESS-all'!U216/'AESS-all'!U$1</f>
        <v>0</v>
      </c>
      <c r="V216" s="51">
        <f>'AESS-all'!V216/'AESS-all'!V$1</f>
        <v>0</v>
      </c>
      <c r="W216" s="49">
        <f>'AESS-all'!W216/'AESS-all'!W$1</f>
        <v>0</v>
      </c>
      <c r="X216" s="50">
        <f>'AESS-all'!X216/'AESS-all'!X$1</f>
        <v>0</v>
      </c>
      <c r="Y216" s="50">
        <f>'AESS-all'!Y216/'AESS-all'!Y$1</f>
        <v>0</v>
      </c>
      <c r="Z216" s="51">
        <f>'AESS-all'!Z216/'AESS-all'!Z$1</f>
        <v>0</v>
      </c>
      <c r="AA216" s="49">
        <f>'AESS-all'!AA216/'AESS-all'!AA$1</f>
        <v>0</v>
      </c>
      <c r="AB216" s="50">
        <f>'AESS-all'!AB216/'AESS-all'!AB$1</f>
        <v>0</v>
      </c>
      <c r="AC216" s="50">
        <f>'AESS-all'!AC216/'AESS-all'!AC$1</f>
        <v>0</v>
      </c>
      <c r="AD216" s="51">
        <f>'AESS-all'!AD216/'AESS-all'!AD$1</f>
        <v>0</v>
      </c>
    </row>
    <row r="217" spans="1:30" x14ac:dyDescent="0.35">
      <c r="A217" t="str">
        <f>'AESS-all'!A217</f>
        <v>OTU_225</v>
      </c>
      <c r="B217">
        <f>'AESS-all'!B217</f>
        <v>3</v>
      </c>
      <c r="C217" t="str">
        <f>'AESS-all'!C217</f>
        <v>Root</v>
      </c>
      <c r="D217" t="str">
        <f>'AESS-all'!D217</f>
        <v>Bacteria</v>
      </c>
      <c r="E217" t="str">
        <f>'AESS-all'!E217</f>
        <v>Bacteroidetes</v>
      </c>
      <c r="F217" t="str">
        <f>'AESS-all'!F217</f>
        <v>.</v>
      </c>
      <c r="G217" t="str">
        <f>'AESS-all'!G217</f>
        <v>Bacteroidia</v>
      </c>
      <c r="H217" t="str">
        <f>'AESS-all'!H217</f>
        <v>.</v>
      </c>
      <c r="I217" t="str">
        <f>'AESS-all'!I217</f>
        <v>Bacteroidales</v>
      </c>
      <c r="J217" t="str">
        <f>'AESS-all'!J217</f>
        <v>.</v>
      </c>
      <c r="K217" t="str">
        <f>'AESS-all'!K217</f>
        <v>Porphyromonadaceae</v>
      </c>
      <c r="L217" t="str">
        <f>'AESS-all'!L217</f>
        <v>.</v>
      </c>
      <c r="M217" t="str">
        <f>'AESS-all'!M217</f>
        <v>.</v>
      </c>
      <c r="N217" t="str">
        <f>'AESS-all'!N217</f>
        <v>.</v>
      </c>
      <c r="O217">
        <f>'AESS-all'!O217</f>
        <v>0.97</v>
      </c>
      <c r="P217" t="str">
        <f>'AESS-all'!P217</f>
        <v>Muribaculum_intestinale_strain_YL27_(NR_144616.1)</v>
      </c>
      <c r="Q217">
        <f>'AESS-all'!Q217</f>
        <v>93.7</v>
      </c>
      <c r="R217">
        <f>'AESS-all'!R217</f>
        <v>1</v>
      </c>
      <c r="S217" s="49">
        <f>'AESS-all'!S217/'AESS-all'!S$1</f>
        <v>0</v>
      </c>
      <c r="T217" s="50">
        <f>'AESS-all'!T217/'AESS-all'!T$1</f>
        <v>0</v>
      </c>
      <c r="U217" s="50">
        <f>'AESS-all'!U217/'AESS-all'!U$1</f>
        <v>0</v>
      </c>
      <c r="V217" s="51">
        <f>'AESS-all'!V217/'AESS-all'!V$1</f>
        <v>0</v>
      </c>
      <c r="W217" s="49">
        <f>'AESS-all'!W217/'AESS-all'!W$1</f>
        <v>2.1727794194333393E-5</v>
      </c>
      <c r="X217" s="50">
        <f>'AESS-all'!X217/'AESS-all'!X$1</f>
        <v>0</v>
      </c>
      <c r="Y217" s="50">
        <f>'AESS-all'!Y217/'AESS-all'!Y$1</f>
        <v>0</v>
      </c>
      <c r="Z217" s="51">
        <f>'AESS-all'!Z217/'AESS-all'!Z$1</f>
        <v>0</v>
      </c>
      <c r="AA217" s="49">
        <f>'AESS-all'!AA217/'AESS-all'!AA$1</f>
        <v>5.7346025920403718E-5</v>
      </c>
      <c r="AB217" s="50">
        <f>'AESS-all'!AB217/'AESS-all'!AB$1</f>
        <v>0</v>
      </c>
      <c r="AC217" s="50">
        <f>'AESS-all'!AC217/'AESS-all'!AC$1</f>
        <v>0</v>
      </c>
      <c r="AD217" s="51">
        <f>'AESS-all'!AD217/'AESS-all'!AD$1</f>
        <v>0</v>
      </c>
    </row>
    <row r="218" spans="1:30" x14ac:dyDescent="0.35">
      <c r="A218" t="str">
        <f>'AESS-all'!A218</f>
        <v>OTU_189</v>
      </c>
      <c r="B218">
        <f>'AESS-all'!B218</f>
        <v>2</v>
      </c>
      <c r="C218" t="str">
        <f>'AESS-all'!C218</f>
        <v>Root</v>
      </c>
      <c r="D218" t="str">
        <f>'AESS-all'!D218</f>
        <v>Bacteria</v>
      </c>
      <c r="E218" t="str">
        <f>'AESS-all'!E218</f>
        <v>Firmicutes</v>
      </c>
      <c r="F218" t="str">
        <f>'AESS-all'!F218</f>
        <v>.</v>
      </c>
      <c r="G218" t="str">
        <f>'AESS-all'!G218</f>
        <v>Clostridia</v>
      </c>
      <c r="H218" t="str">
        <f>'AESS-all'!H218</f>
        <v>.</v>
      </c>
      <c r="I218" t="str">
        <f>'AESS-all'!I218</f>
        <v>Clostridiales</v>
      </c>
      <c r="J218" t="str">
        <f>'AESS-all'!J218</f>
        <v>.</v>
      </c>
      <c r="K218" t="str">
        <f>'AESS-all'!K218</f>
        <v>Peptococcaceae 1</v>
      </c>
      <c r="L218" t="str">
        <f>'AESS-all'!L218</f>
        <v>.</v>
      </c>
      <c r="M218" t="str">
        <f>'AESS-all'!M218</f>
        <v>.</v>
      </c>
      <c r="N218" t="str">
        <f>'AESS-all'!N218</f>
        <v>.</v>
      </c>
      <c r="O218">
        <f>'AESS-all'!O218</f>
        <v>0.94</v>
      </c>
      <c r="P218" t="str">
        <f>'AESS-all'!P218</f>
        <v>Dehalobacter_restrictus_(T)_PER-K23_(U84497)</v>
      </c>
      <c r="Q218">
        <f>'AESS-all'!Q218</f>
        <v>95.6</v>
      </c>
      <c r="R218">
        <f>'AESS-all'!R218</f>
        <v>1</v>
      </c>
      <c r="S218" s="49">
        <f>'AESS-all'!S218/'AESS-all'!S$1</f>
        <v>4.6623306991164881E-5</v>
      </c>
      <c r="T218" s="50">
        <f>'AESS-all'!T218/'AESS-all'!T$1</f>
        <v>0</v>
      </c>
      <c r="U218" s="50">
        <f>'AESS-all'!U218/'AESS-all'!U$1</f>
        <v>0</v>
      </c>
      <c r="V218" s="51">
        <f>'AESS-all'!V218/'AESS-all'!V$1</f>
        <v>0</v>
      </c>
      <c r="W218" s="49">
        <f>'AESS-all'!W218/'AESS-all'!W$1</f>
        <v>0</v>
      </c>
      <c r="X218" s="50">
        <f>'AESS-all'!X218/'AESS-all'!X$1</f>
        <v>0</v>
      </c>
      <c r="Y218" s="50">
        <f>'AESS-all'!Y218/'AESS-all'!Y$1</f>
        <v>0</v>
      </c>
      <c r="Z218" s="51">
        <f>'AESS-all'!Z218/'AESS-all'!Z$1</f>
        <v>0</v>
      </c>
      <c r="AA218" s="49">
        <f>'AESS-all'!AA218/'AESS-all'!AA$1</f>
        <v>0</v>
      </c>
      <c r="AB218" s="50">
        <f>'AESS-all'!AB218/'AESS-all'!AB$1</f>
        <v>0</v>
      </c>
      <c r="AC218" s="50">
        <f>'AESS-all'!AC218/'AESS-all'!AC$1</f>
        <v>0</v>
      </c>
      <c r="AD218" s="51">
        <f>'AESS-all'!AD218/'AESS-all'!AD$1</f>
        <v>0</v>
      </c>
    </row>
    <row r="219" spans="1:30" x14ac:dyDescent="0.35">
      <c r="A219" t="str">
        <f>'AESS-all'!A219</f>
        <v>OTU_216</v>
      </c>
      <c r="B219">
        <f>'AESS-all'!B219</f>
        <v>2</v>
      </c>
      <c r="C219" t="str">
        <f>'AESS-all'!C219</f>
        <v>Root</v>
      </c>
      <c r="D219" t="str">
        <f>'AESS-all'!D219</f>
        <v>Bacteria</v>
      </c>
      <c r="E219" t="str">
        <f>'AESS-all'!E219</f>
        <v>Bacteroidetes</v>
      </c>
      <c r="F219" t="str">
        <f>'AESS-all'!F219</f>
        <v>.</v>
      </c>
      <c r="G219" t="str">
        <f>'AESS-all'!G219</f>
        <v>Bacteroidia</v>
      </c>
      <c r="H219" t="str">
        <f>'AESS-all'!H219</f>
        <v>.</v>
      </c>
      <c r="I219" t="str">
        <f>'AESS-all'!I219</f>
        <v>Bacteroidales</v>
      </c>
      <c r="J219" t="str">
        <f>'AESS-all'!J219</f>
        <v>.</v>
      </c>
      <c r="K219" t="str">
        <f>'AESS-all'!K219</f>
        <v>Bacteroidaceae</v>
      </c>
      <c r="L219" t="str">
        <f>'AESS-all'!L219</f>
        <v>.</v>
      </c>
      <c r="M219" t="str">
        <f>'AESS-all'!M219</f>
        <v>Bacteroides</v>
      </c>
      <c r="N219" t="str">
        <f>'AESS-all'!N219</f>
        <v>.</v>
      </c>
      <c r="O219">
        <f>'AESS-all'!O219</f>
        <v>1</v>
      </c>
      <c r="P219" t="str">
        <f>'AESS-all'!P219</f>
        <v>Bacteroides_acidifaciens_(T)_A40_(AB021164)</v>
      </c>
      <c r="Q219">
        <f>'AESS-all'!Q219</f>
        <v>100</v>
      </c>
      <c r="R219">
        <f>'AESS-all'!R219</f>
        <v>1</v>
      </c>
      <c r="S219" s="49">
        <f>'AESS-all'!S219/'AESS-all'!S$1</f>
        <v>2.3311653495582441E-5</v>
      </c>
      <c r="T219" s="50">
        <f>'AESS-all'!T219/'AESS-all'!T$1</f>
        <v>0</v>
      </c>
      <c r="U219" s="50">
        <f>'AESS-all'!U219/'AESS-all'!U$1</f>
        <v>0</v>
      </c>
      <c r="V219" s="51">
        <f>'AESS-all'!V219/'AESS-all'!V$1</f>
        <v>0</v>
      </c>
      <c r="W219" s="49">
        <f>'AESS-all'!W219/'AESS-all'!W$1</f>
        <v>2.1727794194333393E-5</v>
      </c>
      <c r="X219" s="50">
        <f>'AESS-all'!X219/'AESS-all'!X$1</f>
        <v>0</v>
      </c>
      <c r="Y219" s="50">
        <f>'AESS-all'!Y219/'AESS-all'!Y$1</f>
        <v>0</v>
      </c>
      <c r="Z219" s="51">
        <f>'AESS-all'!Z219/'AESS-all'!Z$1</f>
        <v>0</v>
      </c>
      <c r="AA219" s="49">
        <f>'AESS-all'!AA219/'AESS-all'!AA$1</f>
        <v>0</v>
      </c>
      <c r="AB219" s="50">
        <f>'AESS-all'!AB219/'AESS-all'!AB$1</f>
        <v>0</v>
      </c>
      <c r="AC219" s="50">
        <f>'AESS-all'!AC219/'AESS-all'!AC$1</f>
        <v>0</v>
      </c>
      <c r="AD219" s="51">
        <f>'AESS-all'!AD219/'AESS-all'!AD$1</f>
        <v>0</v>
      </c>
    </row>
    <row r="220" spans="1:30" x14ac:dyDescent="0.35">
      <c r="A220" t="str">
        <f>'AESS-all'!A220</f>
        <v>OTU_194</v>
      </c>
      <c r="B220">
        <f>'AESS-all'!B220</f>
        <v>2</v>
      </c>
      <c r="C220" t="str">
        <f>'AESS-all'!C220</f>
        <v>Root</v>
      </c>
      <c r="D220" t="str">
        <f>'AESS-all'!D220</f>
        <v>Bacteria</v>
      </c>
      <c r="E220" t="str">
        <f>'AESS-all'!E220</f>
        <v>Firmicutes</v>
      </c>
      <c r="F220" t="str">
        <f>'AESS-all'!F220</f>
        <v>.</v>
      </c>
      <c r="G220" t="str">
        <f>'AESS-all'!G220</f>
        <v>Clostridia</v>
      </c>
      <c r="H220" t="str">
        <f>'AESS-all'!H220</f>
        <v>.</v>
      </c>
      <c r="I220" t="str">
        <f>'AESS-all'!I220</f>
        <v>Clostridiales</v>
      </c>
      <c r="J220" t="str">
        <f>'AESS-all'!J220</f>
        <v>.</v>
      </c>
      <c r="K220" t="str">
        <f>'AESS-all'!K220</f>
        <v>Ruminococcaceae</v>
      </c>
      <c r="L220" t="str">
        <f>'AESS-all'!L220</f>
        <v>.</v>
      </c>
      <c r="M220" t="str">
        <f>'AESS-all'!M220</f>
        <v>Saccharofermentans</v>
      </c>
      <c r="N220" t="str">
        <f>'AESS-all'!N220</f>
        <v>.</v>
      </c>
      <c r="O220">
        <f>'AESS-all'!O220</f>
        <v>0.91</v>
      </c>
      <c r="P220" t="str">
        <f>'AESS-all'!P220</f>
        <v>Saccharofermentans_acetigenes_(T)_P6_(AY949857)</v>
      </c>
      <c r="Q220">
        <f>'AESS-all'!Q220</f>
        <v>95.3</v>
      </c>
      <c r="R220">
        <f>'AESS-all'!R220</f>
        <v>1</v>
      </c>
      <c r="S220" s="49">
        <f>'AESS-all'!S220/'AESS-all'!S$1</f>
        <v>4.6623306991164881E-5</v>
      </c>
      <c r="T220" s="50">
        <f>'AESS-all'!T220/'AESS-all'!T$1</f>
        <v>0</v>
      </c>
      <c r="U220" s="50">
        <f>'AESS-all'!U220/'AESS-all'!U$1</f>
        <v>0</v>
      </c>
      <c r="V220" s="51">
        <f>'AESS-all'!V220/'AESS-all'!V$1</f>
        <v>0</v>
      </c>
      <c r="W220" s="49">
        <f>'AESS-all'!W220/'AESS-all'!W$1</f>
        <v>0</v>
      </c>
      <c r="X220" s="50">
        <f>'AESS-all'!X220/'AESS-all'!X$1</f>
        <v>0</v>
      </c>
      <c r="Y220" s="50">
        <f>'AESS-all'!Y220/'AESS-all'!Y$1</f>
        <v>0</v>
      </c>
      <c r="Z220" s="51">
        <f>'AESS-all'!Z220/'AESS-all'!Z$1</f>
        <v>0</v>
      </c>
      <c r="AA220" s="49">
        <f>'AESS-all'!AA220/'AESS-all'!AA$1</f>
        <v>0</v>
      </c>
      <c r="AB220" s="50">
        <f>'AESS-all'!AB220/'AESS-all'!AB$1</f>
        <v>0</v>
      </c>
      <c r="AC220" s="50">
        <f>'AESS-all'!AC220/'AESS-all'!AC$1</f>
        <v>0</v>
      </c>
      <c r="AD220" s="51">
        <f>'AESS-all'!AD220/'AESS-all'!AD$1</f>
        <v>0</v>
      </c>
    </row>
    <row r="221" spans="1:30" x14ac:dyDescent="0.35">
      <c r="A221" t="str">
        <f>'AESS-all'!A221</f>
        <v>OTU_190</v>
      </c>
      <c r="B221">
        <f>'AESS-all'!B221</f>
        <v>2</v>
      </c>
      <c r="C221" t="str">
        <f>'AESS-all'!C221</f>
        <v>Root</v>
      </c>
      <c r="D221" t="str">
        <f>'AESS-all'!D221</f>
        <v>Bacteria</v>
      </c>
      <c r="E221" t="str">
        <f>'AESS-all'!E221</f>
        <v>Firmicutes</v>
      </c>
      <c r="F221" t="str">
        <f>'AESS-all'!F221</f>
        <v>.</v>
      </c>
      <c r="G221" t="str">
        <f>'AESS-all'!G221</f>
        <v>Clostridia</v>
      </c>
      <c r="H221" t="str">
        <f>'AESS-all'!H221</f>
        <v>.</v>
      </c>
      <c r="I221" t="str">
        <f>'AESS-all'!I221</f>
        <v>.</v>
      </c>
      <c r="J221" t="str">
        <f>'AESS-all'!J221</f>
        <v>.</v>
      </c>
      <c r="K221" t="str">
        <f>'AESS-all'!K221</f>
        <v>.</v>
      </c>
      <c r="L221" t="str">
        <f>'AESS-all'!L221</f>
        <v>.</v>
      </c>
      <c r="M221" t="str">
        <f>'AESS-all'!M221</f>
        <v>.</v>
      </c>
      <c r="N221" t="str">
        <f>'AESS-all'!N221</f>
        <v>.</v>
      </c>
      <c r="O221">
        <f>'AESS-all'!O221</f>
        <v>0.88</v>
      </c>
      <c r="P221" t="str">
        <f>'AESS-all'!P221</f>
        <v>Desulfurispora_thermophila_(T)_RA50E1_(AY548776)</v>
      </c>
      <c r="Q221">
        <f>'AESS-all'!Q221</f>
        <v>90.9</v>
      </c>
      <c r="R221">
        <f>'AESS-all'!R221</f>
        <v>1</v>
      </c>
      <c r="S221" s="49">
        <f>'AESS-all'!S221/'AESS-all'!S$1</f>
        <v>0</v>
      </c>
      <c r="T221" s="50">
        <f>'AESS-all'!T221/'AESS-all'!T$1</f>
        <v>0</v>
      </c>
      <c r="U221" s="50">
        <f>'AESS-all'!U221/'AESS-all'!U$1</f>
        <v>0</v>
      </c>
      <c r="V221" s="51">
        <f>'AESS-all'!V221/'AESS-all'!V$1</f>
        <v>0</v>
      </c>
      <c r="W221" s="49">
        <f>'AESS-all'!W221/'AESS-all'!W$1</f>
        <v>4.3455588388666785E-5</v>
      </c>
      <c r="X221" s="50">
        <f>'AESS-all'!X221/'AESS-all'!X$1</f>
        <v>0</v>
      </c>
      <c r="Y221" s="50">
        <f>'AESS-all'!Y221/'AESS-all'!Y$1</f>
        <v>0</v>
      </c>
      <c r="Z221" s="51">
        <f>'AESS-all'!Z221/'AESS-all'!Z$1</f>
        <v>0</v>
      </c>
      <c r="AA221" s="49">
        <f>'AESS-all'!AA221/'AESS-all'!AA$1</f>
        <v>0</v>
      </c>
      <c r="AB221" s="50">
        <f>'AESS-all'!AB221/'AESS-all'!AB$1</f>
        <v>0</v>
      </c>
      <c r="AC221" s="50">
        <f>'AESS-all'!AC221/'AESS-all'!AC$1</f>
        <v>0</v>
      </c>
      <c r="AD221" s="51">
        <f>'AESS-all'!AD221/'AESS-all'!AD$1</f>
        <v>0</v>
      </c>
    </row>
    <row r="222" spans="1:30" x14ac:dyDescent="0.35">
      <c r="A222" t="str">
        <f>'AESS-all'!A222</f>
        <v>OTU_211</v>
      </c>
      <c r="B222">
        <f>'AESS-all'!B222</f>
        <v>2</v>
      </c>
      <c r="C222" t="str">
        <f>'AESS-all'!C222</f>
        <v>Root</v>
      </c>
      <c r="D222" t="str">
        <f>'AESS-all'!D222</f>
        <v>Bacteria</v>
      </c>
      <c r="E222" t="str">
        <f>'AESS-all'!E222</f>
        <v>Proteobacteria</v>
      </c>
      <c r="F222" t="str">
        <f>'AESS-all'!F222</f>
        <v>.</v>
      </c>
      <c r="G222" t="str">
        <f>'AESS-all'!G222</f>
        <v>Betaproteobacteria</v>
      </c>
      <c r="H222" t="str">
        <f>'AESS-all'!H222</f>
        <v>.</v>
      </c>
      <c r="I222" t="str">
        <f>'AESS-all'!I222</f>
        <v>Burkholderiales</v>
      </c>
      <c r="J222" t="str">
        <f>'AESS-all'!J222</f>
        <v>.</v>
      </c>
      <c r="K222" t="str">
        <f>'AESS-all'!K222</f>
        <v>Comamonadaceae</v>
      </c>
      <c r="L222" t="str">
        <f>'AESS-all'!L222</f>
        <v>.</v>
      </c>
      <c r="M222" t="str">
        <f>'AESS-all'!M222</f>
        <v>Hydrogenophaga</v>
      </c>
      <c r="N222" t="str">
        <f>'AESS-all'!N222</f>
        <v>.</v>
      </c>
      <c r="O222">
        <f>'AESS-all'!O222</f>
        <v>0.51</v>
      </c>
      <c r="P222" t="str">
        <f>'AESS-all'!P222</f>
        <v>Hydrogenophaga_defluvii_(T)_type_strain:_BSB_9.5_(AJ585993)</v>
      </c>
      <c r="Q222">
        <f>'AESS-all'!Q222</f>
        <v>98.8</v>
      </c>
      <c r="R222">
        <f>'AESS-all'!R222</f>
        <v>3</v>
      </c>
      <c r="S222" s="49">
        <f>'AESS-all'!S222/'AESS-all'!S$1</f>
        <v>0</v>
      </c>
      <c r="T222" s="50">
        <f>'AESS-all'!T222/'AESS-all'!T$1</f>
        <v>0</v>
      </c>
      <c r="U222" s="50">
        <f>'AESS-all'!U222/'AESS-all'!U$1</f>
        <v>0</v>
      </c>
      <c r="V222" s="51">
        <f>'AESS-all'!V222/'AESS-all'!V$1</f>
        <v>0</v>
      </c>
      <c r="W222" s="49">
        <f>'AESS-all'!W222/'AESS-all'!W$1</f>
        <v>0</v>
      </c>
      <c r="X222" s="50">
        <f>'AESS-all'!X222/'AESS-all'!X$1</f>
        <v>0</v>
      </c>
      <c r="Y222" s="50">
        <f>'AESS-all'!Y222/'AESS-all'!Y$1</f>
        <v>0</v>
      </c>
      <c r="Z222" s="51">
        <f>'AESS-all'!Z222/'AESS-all'!Z$1</f>
        <v>0</v>
      </c>
      <c r="AA222" s="49">
        <f>'AESS-all'!AA222/'AESS-all'!AA$1</f>
        <v>5.7346025920403718E-5</v>
      </c>
      <c r="AB222" s="50">
        <f>'AESS-all'!AB222/'AESS-all'!AB$1</f>
        <v>0</v>
      </c>
      <c r="AC222" s="50">
        <f>'AESS-all'!AC222/'AESS-all'!AC$1</f>
        <v>0</v>
      </c>
      <c r="AD222" s="51">
        <f>'AESS-all'!AD222/'AESS-all'!AD$1</f>
        <v>0</v>
      </c>
    </row>
    <row r="223" spans="1:30" x14ac:dyDescent="0.35">
      <c r="A223" t="str">
        <f>'AESS-all'!A223</f>
        <v>OTU_210</v>
      </c>
      <c r="B223">
        <f>'AESS-all'!B223</f>
        <v>2</v>
      </c>
      <c r="C223" t="str">
        <f>'AESS-all'!C223</f>
        <v>Root</v>
      </c>
      <c r="D223" t="str">
        <f>'AESS-all'!D223</f>
        <v>Bacteria</v>
      </c>
      <c r="E223" t="str">
        <f>'AESS-all'!E223</f>
        <v>Firmicutes</v>
      </c>
      <c r="F223" t="str">
        <f>'AESS-all'!F223</f>
        <v>.</v>
      </c>
      <c r="G223" t="str">
        <f>'AESS-all'!G223</f>
        <v>Clostridia</v>
      </c>
      <c r="H223" t="str">
        <f>'AESS-all'!H223</f>
        <v>.</v>
      </c>
      <c r="I223" t="str">
        <f>'AESS-all'!I223</f>
        <v>Clostridiales</v>
      </c>
      <c r="J223" t="str">
        <f>'AESS-all'!J223</f>
        <v>.</v>
      </c>
      <c r="K223" t="str">
        <f>'AESS-all'!K223</f>
        <v>Ruminococcaceae</v>
      </c>
      <c r="L223" t="str">
        <f>'AESS-all'!L223</f>
        <v>.</v>
      </c>
      <c r="M223" t="str">
        <f>'AESS-all'!M223</f>
        <v>Ercella</v>
      </c>
      <c r="N223" t="str">
        <f>'AESS-all'!N223</f>
        <v>.</v>
      </c>
      <c r="O223">
        <f>'AESS-all'!O223</f>
        <v>0.62</v>
      </c>
      <c r="P223" t="str">
        <f>'AESS-all'!P223</f>
        <v>Ruminococcaceae_bacterium_ZWB_4_(HG003571)</v>
      </c>
      <c r="Q223">
        <f>'AESS-all'!Q223</f>
        <v>92.9</v>
      </c>
      <c r="R223">
        <f>'AESS-all'!R223</f>
        <v>1</v>
      </c>
      <c r="S223" s="49">
        <f>'AESS-all'!S223/'AESS-all'!S$1</f>
        <v>0</v>
      </c>
      <c r="T223" s="50">
        <f>'AESS-all'!T223/'AESS-all'!T$1</f>
        <v>0</v>
      </c>
      <c r="U223" s="50">
        <f>'AESS-all'!U223/'AESS-all'!U$1</f>
        <v>0</v>
      </c>
      <c r="V223" s="51">
        <f>'AESS-all'!V223/'AESS-all'!V$1</f>
        <v>0</v>
      </c>
      <c r="W223" s="49">
        <f>'AESS-all'!W223/'AESS-all'!W$1</f>
        <v>2.1727794194333393E-5</v>
      </c>
      <c r="X223" s="50">
        <f>'AESS-all'!X223/'AESS-all'!X$1</f>
        <v>0</v>
      </c>
      <c r="Y223" s="50">
        <f>'AESS-all'!Y223/'AESS-all'!Y$1</f>
        <v>0</v>
      </c>
      <c r="Z223" s="51">
        <f>'AESS-all'!Z223/'AESS-all'!Z$1</f>
        <v>0</v>
      </c>
      <c r="AA223" s="49">
        <f>'AESS-all'!AA223/'AESS-all'!AA$1</f>
        <v>2.8673012960201859E-5</v>
      </c>
      <c r="AB223" s="50">
        <f>'AESS-all'!AB223/'AESS-all'!AB$1</f>
        <v>0</v>
      </c>
      <c r="AC223" s="50">
        <f>'AESS-all'!AC223/'AESS-all'!AC$1</f>
        <v>0</v>
      </c>
      <c r="AD223" s="51">
        <f>'AESS-all'!AD223/'AESS-all'!AD$1</f>
        <v>0</v>
      </c>
    </row>
    <row r="224" spans="1:30" x14ac:dyDescent="0.35">
      <c r="A224" t="str">
        <f>'AESS-all'!A224</f>
        <v>OTU_222</v>
      </c>
      <c r="B224">
        <f>'AESS-all'!B224</f>
        <v>2</v>
      </c>
      <c r="C224" t="str">
        <f>'AESS-all'!C224</f>
        <v>Root</v>
      </c>
      <c r="D224" t="str">
        <f>'AESS-all'!D224</f>
        <v>Bacteria</v>
      </c>
      <c r="E224" t="str">
        <f>'AESS-all'!E224</f>
        <v>Cloacimonetes</v>
      </c>
      <c r="F224" t="str">
        <f>'AESS-all'!F224</f>
        <v>.</v>
      </c>
      <c r="G224" t="str">
        <f>'AESS-all'!G224</f>
        <v>.</v>
      </c>
      <c r="H224" t="str">
        <f>'AESS-all'!H224</f>
        <v>.</v>
      </c>
      <c r="I224" t="str">
        <f>'AESS-all'!I224</f>
        <v>.</v>
      </c>
      <c r="J224" t="str">
        <f>'AESS-all'!J224</f>
        <v>.</v>
      </c>
      <c r="K224" t="str">
        <f>'AESS-all'!K224</f>
        <v>.</v>
      </c>
      <c r="L224" t="str">
        <f>'AESS-all'!L224</f>
        <v>.</v>
      </c>
      <c r="M224" t="str">
        <f>'AESS-all'!M224</f>
        <v>Candidatus Cloacamonas</v>
      </c>
      <c r="N224" t="str">
        <f>'AESS-all'!N224</f>
        <v>.</v>
      </c>
      <c r="O224">
        <f>'AESS-all'!O224</f>
        <v>0.99</v>
      </c>
      <c r="P224" t="str">
        <f>'AESS-all'!P224</f>
        <v>Candidatus_Cloacimonas_acidaminovorans_str._Evry_(CU466930)</v>
      </c>
      <c r="Q224">
        <f>'AESS-all'!Q224</f>
        <v>91.7</v>
      </c>
      <c r="R224">
        <f>'AESS-all'!R224</f>
        <v>1</v>
      </c>
      <c r="S224" s="49">
        <f>'AESS-all'!S224/'AESS-all'!S$1</f>
        <v>4.6623306991164881E-5</v>
      </c>
      <c r="T224" s="50">
        <f>'AESS-all'!T224/'AESS-all'!T$1</f>
        <v>0</v>
      </c>
      <c r="U224" s="50">
        <f>'AESS-all'!U224/'AESS-all'!U$1</f>
        <v>0</v>
      </c>
      <c r="V224" s="51">
        <f>'AESS-all'!V224/'AESS-all'!V$1</f>
        <v>0</v>
      </c>
      <c r="W224" s="49">
        <f>'AESS-all'!W224/'AESS-all'!W$1</f>
        <v>0</v>
      </c>
      <c r="X224" s="50">
        <f>'AESS-all'!X224/'AESS-all'!X$1</f>
        <v>0</v>
      </c>
      <c r="Y224" s="50">
        <f>'AESS-all'!Y224/'AESS-all'!Y$1</f>
        <v>0</v>
      </c>
      <c r="Z224" s="51">
        <f>'AESS-all'!Z224/'AESS-all'!Z$1</f>
        <v>0</v>
      </c>
      <c r="AA224" s="49">
        <f>'AESS-all'!AA224/'AESS-all'!AA$1</f>
        <v>0</v>
      </c>
      <c r="AB224" s="50">
        <f>'AESS-all'!AB224/'AESS-all'!AB$1</f>
        <v>0</v>
      </c>
      <c r="AC224" s="50">
        <f>'AESS-all'!AC224/'AESS-all'!AC$1</f>
        <v>0</v>
      </c>
      <c r="AD224" s="51">
        <f>'AESS-all'!AD224/'AESS-all'!AD$1</f>
        <v>0</v>
      </c>
    </row>
    <row r="225" spans="1:30" x14ac:dyDescent="0.35">
      <c r="A225" t="str">
        <f>'AESS-all'!A225</f>
        <v>OTU_200</v>
      </c>
      <c r="B225">
        <f>'AESS-all'!B225</f>
        <v>2</v>
      </c>
      <c r="C225" t="str">
        <f>'AESS-all'!C225</f>
        <v>Root</v>
      </c>
      <c r="D225" t="str">
        <f>'AESS-all'!D225</f>
        <v>Bacteria</v>
      </c>
      <c r="E225" t="str">
        <f>'AESS-all'!E225</f>
        <v>Firmicutes</v>
      </c>
      <c r="F225" t="str">
        <f>'AESS-all'!F225</f>
        <v>.</v>
      </c>
      <c r="G225" t="str">
        <f>'AESS-all'!G225</f>
        <v>Clostridia</v>
      </c>
      <c r="H225" t="str">
        <f>'AESS-all'!H225</f>
        <v>.</v>
      </c>
      <c r="I225" t="str">
        <f>'AESS-all'!I225</f>
        <v>Clostridiales</v>
      </c>
      <c r="J225" t="str">
        <f>'AESS-all'!J225</f>
        <v>.</v>
      </c>
      <c r="K225" t="str">
        <f>'AESS-all'!K225</f>
        <v>Lachnospiraceae</v>
      </c>
      <c r="L225" t="str">
        <f>'AESS-all'!L225</f>
        <v>.</v>
      </c>
      <c r="M225" t="str">
        <f>'AESS-all'!M225</f>
        <v>.</v>
      </c>
      <c r="N225" t="str">
        <f>'AESS-all'!N225</f>
        <v>.</v>
      </c>
      <c r="O225">
        <f>'AESS-all'!O225</f>
        <v>0.98</v>
      </c>
      <c r="P225" t="str">
        <f>'AESS-all'!P225</f>
        <v>Clostridium_lavalense_(T)_CCRI-9842_(EF564277)</v>
      </c>
      <c r="Q225">
        <f>'AESS-all'!Q225</f>
        <v>93.7</v>
      </c>
      <c r="R225">
        <f>'AESS-all'!R225</f>
        <v>2</v>
      </c>
      <c r="S225" s="49">
        <f>'AESS-all'!S225/'AESS-all'!S$1</f>
        <v>4.6623306991164881E-5</v>
      </c>
      <c r="T225" s="50">
        <f>'AESS-all'!T225/'AESS-all'!T$1</f>
        <v>0</v>
      </c>
      <c r="U225" s="50">
        <f>'AESS-all'!U225/'AESS-all'!U$1</f>
        <v>0</v>
      </c>
      <c r="V225" s="51">
        <f>'AESS-all'!V225/'AESS-all'!V$1</f>
        <v>0</v>
      </c>
      <c r="W225" s="49">
        <f>'AESS-all'!W225/'AESS-all'!W$1</f>
        <v>0</v>
      </c>
      <c r="X225" s="50">
        <f>'AESS-all'!X225/'AESS-all'!X$1</f>
        <v>0</v>
      </c>
      <c r="Y225" s="50">
        <f>'AESS-all'!Y225/'AESS-all'!Y$1</f>
        <v>0</v>
      </c>
      <c r="Z225" s="51">
        <f>'AESS-all'!Z225/'AESS-all'!Z$1</f>
        <v>0</v>
      </c>
      <c r="AA225" s="49">
        <f>'AESS-all'!AA225/'AESS-all'!AA$1</f>
        <v>0</v>
      </c>
      <c r="AB225" s="50">
        <f>'AESS-all'!AB225/'AESS-all'!AB$1</f>
        <v>0</v>
      </c>
      <c r="AC225" s="50">
        <f>'AESS-all'!AC225/'AESS-all'!AC$1</f>
        <v>0</v>
      </c>
      <c r="AD225" s="51">
        <f>'AESS-all'!AD225/'AESS-all'!AD$1</f>
        <v>0</v>
      </c>
    </row>
    <row r="226" spans="1:30" x14ac:dyDescent="0.35">
      <c r="A226" t="str">
        <f>'AESS-all'!A226</f>
        <v>OTU_203</v>
      </c>
      <c r="B226">
        <f>'AESS-all'!B226</f>
        <v>2</v>
      </c>
      <c r="C226" t="str">
        <f>'AESS-all'!C226</f>
        <v>Root</v>
      </c>
      <c r="D226" t="str">
        <f>'AESS-all'!D226</f>
        <v>Bacteria</v>
      </c>
      <c r="E226" t="str">
        <f>'AESS-all'!E226</f>
        <v>Firmicutes</v>
      </c>
      <c r="F226" t="str">
        <f>'AESS-all'!F226</f>
        <v>.</v>
      </c>
      <c r="G226" t="str">
        <f>'AESS-all'!G226</f>
        <v>Clostridia</v>
      </c>
      <c r="H226" t="str">
        <f>'AESS-all'!H226</f>
        <v>.</v>
      </c>
      <c r="I226" t="str">
        <f>'AESS-all'!I226</f>
        <v>Thermoanaerobacterales</v>
      </c>
      <c r="J226" t="str">
        <f>'AESS-all'!J226</f>
        <v>.</v>
      </c>
      <c r="K226" t="str">
        <f>'AESS-all'!K226</f>
        <v>Thermoanaerobacteraceae</v>
      </c>
      <c r="L226" t="str">
        <f>'AESS-all'!L226</f>
        <v>.</v>
      </c>
      <c r="M226" t="str">
        <f>'AESS-all'!M226</f>
        <v>.</v>
      </c>
      <c r="N226" t="str">
        <f>'AESS-all'!N226</f>
        <v>.</v>
      </c>
      <c r="O226">
        <f>'AESS-all'!O226</f>
        <v>0.51</v>
      </c>
      <c r="P226" t="str">
        <f>'AESS-all'!P226</f>
        <v>uncultured_soil_bacterium_PBS-III-27_(AJ390456)</v>
      </c>
      <c r="Q226">
        <f>'AESS-all'!Q226</f>
        <v>86.2</v>
      </c>
      <c r="R226">
        <f>'AESS-all'!R226</f>
        <v>2</v>
      </c>
      <c r="S226" s="49">
        <f>'AESS-all'!S226/'AESS-all'!S$1</f>
        <v>0</v>
      </c>
      <c r="T226" s="50">
        <f>'AESS-all'!T226/'AESS-all'!T$1</f>
        <v>0</v>
      </c>
      <c r="U226" s="50">
        <f>'AESS-all'!U226/'AESS-all'!U$1</f>
        <v>0</v>
      </c>
      <c r="V226" s="51">
        <f>'AESS-all'!V226/'AESS-all'!V$1</f>
        <v>0</v>
      </c>
      <c r="W226" s="49">
        <f>'AESS-all'!W226/'AESS-all'!W$1</f>
        <v>4.3455588388666785E-5</v>
      </c>
      <c r="X226" s="50">
        <f>'AESS-all'!X226/'AESS-all'!X$1</f>
        <v>0</v>
      </c>
      <c r="Y226" s="50">
        <f>'AESS-all'!Y226/'AESS-all'!Y$1</f>
        <v>0</v>
      </c>
      <c r="Z226" s="51">
        <f>'AESS-all'!Z226/'AESS-all'!Z$1</f>
        <v>0</v>
      </c>
      <c r="AA226" s="49">
        <f>'AESS-all'!AA226/'AESS-all'!AA$1</f>
        <v>0</v>
      </c>
      <c r="AB226" s="50">
        <f>'AESS-all'!AB226/'AESS-all'!AB$1</f>
        <v>0</v>
      </c>
      <c r="AC226" s="50">
        <f>'AESS-all'!AC226/'AESS-all'!AC$1</f>
        <v>0</v>
      </c>
      <c r="AD226" s="51">
        <f>'AESS-all'!AD226/'AESS-all'!AD$1</f>
        <v>0</v>
      </c>
    </row>
    <row r="227" spans="1:30" x14ac:dyDescent="0.35">
      <c r="A227" t="str">
        <f>'AESS-all'!A227</f>
        <v>OTU_198</v>
      </c>
      <c r="B227">
        <f>'AESS-all'!B227</f>
        <v>2</v>
      </c>
      <c r="C227" t="str">
        <f>'AESS-all'!C227</f>
        <v>Root</v>
      </c>
      <c r="D227" t="str">
        <f>'AESS-all'!D227</f>
        <v>Bacteria</v>
      </c>
      <c r="E227" t="str">
        <f>'AESS-all'!E227</f>
        <v>Proteobacteria</v>
      </c>
      <c r="F227" t="str">
        <f>'AESS-all'!F227</f>
        <v>.</v>
      </c>
      <c r="G227" t="str">
        <f>'AESS-all'!G227</f>
        <v>Gammaproteobacteria</v>
      </c>
      <c r="H227" t="str">
        <f>'AESS-all'!H227</f>
        <v>.</v>
      </c>
      <c r="I227" t="str">
        <f>'AESS-all'!I227</f>
        <v>Pseudomonadales</v>
      </c>
      <c r="J227" t="str">
        <f>'AESS-all'!J227</f>
        <v>.</v>
      </c>
      <c r="K227" t="str">
        <f>'AESS-all'!K227</f>
        <v>Moraxellaceae</v>
      </c>
      <c r="L227" t="str">
        <f>'AESS-all'!L227</f>
        <v>.</v>
      </c>
      <c r="M227" t="str">
        <f>'AESS-all'!M227</f>
        <v>Acinetobacter</v>
      </c>
      <c r="N227" t="str">
        <f>'AESS-all'!N227</f>
        <v>.</v>
      </c>
      <c r="O227">
        <f>'AESS-all'!O227</f>
        <v>1</v>
      </c>
      <c r="P227" t="str">
        <f>'AESS-all'!P227</f>
        <v>Acinetobacter_indicus_(T)_A648_(HM047743)</v>
      </c>
      <c r="Q227">
        <f>'AESS-all'!Q227</f>
        <v>100</v>
      </c>
      <c r="R227">
        <f>'AESS-all'!R227</f>
        <v>1</v>
      </c>
      <c r="S227" s="49">
        <f>'AESS-all'!S227/'AESS-all'!S$1</f>
        <v>0</v>
      </c>
      <c r="T227" s="50">
        <f>'AESS-all'!T227/'AESS-all'!T$1</f>
        <v>0</v>
      </c>
      <c r="U227" s="50">
        <f>'AESS-all'!U227/'AESS-all'!U$1</f>
        <v>0</v>
      </c>
      <c r="V227" s="51">
        <f>'AESS-all'!V227/'AESS-all'!V$1</f>
        <v>0</v>
      </c>
      <c r="W227" s="49">
        <f>'AESS-all'!W227/'AESS-all'!W$1</f>
        <v>0</v>
      </c>
      <c r="X227" s="50">
        <f>'AESS-all'!X227/'AESS-all'!X$1</f>
        <v>0</v>
      </c>
      <c r="Y227" s="50">
        <f>'AESS-all'!Y227/'AESS-all'!Y$1</f>
        <v>0</v>
      </c>
      <c r="Z227" s="51">
        <f>'AESS-all'!Z227/'AESS-all'!Z$1</f>
        <v>0</v>
      </c>
      <c r="AA227" s="49">
        <f>'AESS-all'!AA227/'AESS-all'!AA$1</f>
        <v>5.7346025920403718E-5</v>
      </c>
      <c r="AB227" s="50">
        <f>'AESS-all'!AB227/'AESS-all'!AB$1</f>
        <v>0</v>
      </c>
      <c r="AC227" s="50">
        <f>'AESS-all'!AC227/'AESS-all'!AC$1</f>
        <v>0</v>
      </c>
      <c r="AD227" s="51">
        <f>'AESS-all'!AD227/'AESS-all'!AD$1</f>
        <v>0</v>
      </c>
    </row>
    <row r="228" spans="1:30" x14ac:dyDescent="0.35">
      <c r="A228" t="str">
        <f>'AESS-all'!A228</f>
        <v>OTU_197</v>
      </c>
      <c r="B228">
        <f>'AESS-all'!B228</f>
        <v>2</v>
      </c>
      <c r="C228" t="str">
        <f>'AESS-all'!C228</f>
        <v>Root</v>
      </c>
      <c r="D228" t="str">
        <f>'AESS-all'!D228</f>
        <v>Bacteria</v>
      </c>
      <c r="E228" t="str">
        <f>'AESS-all'!E228</f>
        <v>Chloroflexi</v>
      </c>
      <c r="F228" t="str">
        <f>'AESS-all'!F228</f>
        <v>.</v>
      </c>
      <c r="G228" t="str">
        <f>'AESS-all'!G228</f>
        <v>Anaerolineae</v>
      </c>
      <c r="H228" t="str">
        <f>'AESS-all'!H228</f>
        <v>.</v>
      </c>
      <c r="I228" t="str">
        <f>'AESS-all'!I228</f>
        <v>Anaerolineales</v>
      </c>
      <c r="J228" t="str">
        <f>'AESS-all'!J228</f>
        <v>.</v>
      </c>
      <c r="K228" t="str">
        <f>'AESS-all'!K228</f>
        <v>Anaerolineaceae</v>
      </c>
      <c r="L228" t="str">
        <f>'AESS-all'!L228</f>
        <v>.</v>
      </c>
      <c r="M228" t="str">
        <f>'AESS-all'!M228</f>
        <v>.</v>
      </c>
      <c r="N228" t="str">
        <f>'AESS-all'!N228</f>
        <v>.</v>
      </c>
      <c r="O228">
        <f>'AESS-all'!O228</f>
        <v>1</v>
      </c>
      <c r="P228" t="str">
        <f>'AESS-all'!P228</f>
        <v>Ornatilinea_apprima_P3M-1_(JQ292916)</v>
      </c>
      <c r="Q228">
        <f>'AESS-all'!Q228</f>
        <v>90.9</v>
      </c>
      <c r="R228">
        <f>'AESS-all'!R228</f>
        <v>1</v>
      </c>
      <c r="S228" s="49">
        <f>'AESS-all'!S228/'AESS-all'!S$1</f>
        <v>0</v>
      </c>
      <c r="T228" s="50">
        <f>'AESS-all'!T228/'AESS-all'!T$1</f>
        <v>0</v>
      </c>
      <c r="U228" s="50">
        <f>'AESS-all'!U228/'AESS-all'!U$1</f>
        <v>0</v>
      </c>
      <c r="V228" s="51">
        <f>'AESS-all'!V228/'AESS-all'!V$1</f>
        <v>0</v>
      </c>
      <c r="W228" s="49">
        <f>'AESS-all'!W228/'AESS-all'!W$1</f>
        <v>2.1727794194333393E-5</v>
      </c>
      <c r="X228" s="50">
        <f>'AESS-all'!X228/'AESS-all'!X$1</f>
        <v>0</v>
      </c>
      <c r="Y228" s="50">
        <f>'AESS-all'!Y228/'AESS-all'!Y$1</f>
        <v>0</v>
      </c>
      <c r="Z228" s="51">
        <f>'AESS-all'!Z228/'AESS-all'!Z$1</f>
        <v>0</v>
      </c>
      <c r="AA228" s="49">
        <f>'AESS-all'!AA228/'AESS-all'!AA$1</f>
        <v>2.8673012960201859E-5</v>
      </c>
      <c r="AB228" s="50">
        <f>'AESS-all'!AB228/'AESS-all'!AB$1</f>
        <v>0</v>
      </c>
      <c r="AC228" s="50">
        <f>'AESS-all'!AC228/'AESS-all'!AC$1</f>
        <v>0</v>
      </c>
      <c r="AD228" s="51">
        <f>'AESS-all'!AD228/'AESS-all'!AD$1</f>
        <v>0</v>
      </c>
    </row>
    <row r="229" spans="1:30" x14ac:dyDescent="0.35">
      <c r="A229">
        <f>'AESS-all'!A229</f>
        <v>0</v>
      </c>
      <c r="B229">
        <f>'AESS-all'!B229</f>
        <v>0</v>
      </c>
      <c r="C229">
        <f>'AESS-all'!C229</f>
        <v>0</v>
      </c>
      <c r="D229">
        <f>'AESS-all'!D229</f>
        <v>0</v>
      </c>
      <c r="E229">
        <f>'AESS-all'!E229</f>
        <v>0</v>
      </c>
      <c r="F229">
        <f>'AESS-all'!F229</f>
        <v>0</v>
      </c>
      <c r="G229">
        <f>'AESS-all'!G229</f>
        <v>0</v>
      </c>
      <c r="H229">
        <f>'AESS-all'!H229</f>
        <v>0</v>
      </c>
      <c r="I229">
        <f>'AESS-all'!I229</f>
        <v>0</v>
      </c>
      <c r="J229">
        <f>'AESS-all'!J229</f>
        <v>0</v>
      </c>
      <c r="K229">
        <f>'AESS-all'!K229</f>
        <v>0</v>
      </c>
      <c r="L229">
        <f>'AESS-all'!L229</f>
        <v>0</v>
      </c>
      <c r="M229">
        <f>'AESS-all'!M229</f>
        <v>0</v>
      </c>
      <c r="N229">
        <f>'AESS-all'!N229</f>
        <v>0</v>
      </c>
      <c r="O229">
        <f>'AESS-all'!O229</f>
        <v>0</v>
      </c>
      <c r="P229">
        <f>'AESS-all'!P229</f>
        <v>0</v>
      </c>
      <c r="Q229">
        <f>'AESS-all'!Q229</f>
        <v>0</v>
      </c>
      <c r="R229">
        <f>'AESS-all'!R229</f>
        <v>0</v>
      </c>
      <c r="S229" s="49">
        <f>'AESS-all'!S229/'AESS-all'!S$1</f>
        <v>0</v>
      </c>
      <c r="T229" s="50">
        <f>'AESS-all'!T229/'AESS-all'!T$1</f>
        <v>0</v>
      </c>
      <c r="U229" s="50">
        <f>'AESS-all'!U229/'AESS-all'!U$1</f>
        <v>0</v>
      </c>
      <c r="V229" s="51">
        <f>'AESS-all'!V229/'AESS-all'!V$1</f>
        <v>0</v>
      </c>
      <c r="W229" s="49">
        <f>'AESS-all'!W229/'AESS-all'!W$1</f>
        <v>0</v>
      </c>
      <c r="X229" s="50">
        <f>'AESS-all'!X229/'AESS-all'!X$1</f>
        <v>0</v>
      </c>
      <c r="Y229" s="50">
        <f>'AESS-all'!Y229/'AESS-all'!Y$1</f>
        <v>0</v>
      </c>
      <c r="Z229" s="51">
        <f>'AESS-all'!Z229/'AESS-all'!Z$1</f>
        <v>0</v>
      </c>
      <c r="AA229" s="49">
        <f>'AESS-all'!AA229/'AESS-all'!AA$1</f>
        <v>0</v>
      </c>
      <c r="AB229" s="50">
        <f>'AESS-all'!AB229/'AESS-all'!AB$1</f>
        <v>0</v>
      </c>
      <c r="AC229" s="50">
        <f>'AESS-all'!AC229/'AESS-all'!AC$1</f>
        <v>0</v>
      </c>
      <c r="AD229" s="51">
        <f>'AESS-all'!AD229/'AESS-all'!AD$1</f>
        <v>0</v>
      </c>
    </row>
  </sheetData>
  <conditionalFormatting sqref="S4:AD22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26"/>
  <sheetViews>
    <sheetView topLeftCell="M1" zoomScale="80" zoomScaleNormal="80" workbookViewId="0">
      <selection activeCell="K32" sqref="K32"/>
    </sheetView>
  </sheetViews>
  <sheetFormatPr defaultColWidth="8.81640625" defaultRowHeight="14.5" x14ac:dyDescent="0.35"/>
  <cols>
    <col min="1" max="1" width="8.81640625" style="9"/>
    <col min="16" max="16" width="28.54296875" style="14" customWidth="1"/>
    <col min="19" max="19" width="10.81640625" style="8" customWidth="1"/>
    <col min="20" max="20" width="10.81640625" style="14" customWidth="1"/>
    <col min="21" max="22" width="10.81640625" style="8" customWidth="1"/>
    <col min="24" max="24" width="11.81640625" style="40" customWidth="1"/>
    <col min="25" max="25" width="11.81640625" customWidth="1"/>
    <col min="27" max="29" width="10.81640625" customWidth="1"/>
    <col min="31" max="32" width="10.81640625" customWidth="1"/>
    <col min="33" max="33" width="8.81640625" customWidth="1"/>
  </cols>
  <sheetData>
    <row r="1" spans="1:63" x14ac:dyDescent="0.35">
      <c r="S1" s="8">
        <f>SUM(S5:S126)</f>
        <v>42799</v>
      </c>
      <c r="T1" s="14">
        <f>SUM(T5:T126)</f>
        <v>19600</v>
      </c>
      <c r="U1" s="8">
        <f>SUM(U5:U126)</f>
        <v>7683</v>
      </c>
      <c r="V1" s="8">
        <f>SUM(V5:V126)</f>
        <v>16895</v>
      </c>
    </row>
    <row r="2" spans="1:63" x14ac:dyDescent="0.35">
      <c r="R2" s="19">
        <v>0.98</v>
      </c>
      <c r="S2" s="8">
        <f>COUNTIF(S5:S37,"&gt;0")</f>
        <v>32</v>
      </c>
      <c r="T2" s="14">
        <f>COUNTIFS(S5:S37, "&gt;0",T5:T37,"&gt;0")</f>
        <v>32</v>
      </c>
      <c r="U2" s="8">
        <f>COUNTIFS(T5:T37, "&gt;0",U5:U37,"&gt;0")</f>
        <v>16</v>
      </c>
      <c r="V2" s="8">
        <f>COUNTIFS(U5:U37, "&gt;0",V5:V37,"&gt;0")</f>
        <v>15</v>
      </c>
    </row>
    <row r="3" spans="1:63" x14ac:dyDescent="0.35">
      <c r="R3" s="19">
        <v>0.99</v>
      </c>
      <c r="S3" s="8">
        <f>COUNTIF(S5:S54,"&gt;0")</f>
        <v>48</v>
      </c>
      <c r="T3" s="14">
        <f>COUNTIFS(S5:S54,"&gt;0",T5:T54,"&gt;0")</f>
        <v>39</v>
      </c>
      <c r="U3" s="8">
        <f>COUNTIFS(T5:T54,"&gt;0",U5:U54,"&gt;0")</f>
        <v>17</v>
      </c>
      <c r="V3" s="8">
        <f>COUNTIFS(U5:U54,"&gt;0",V5:V54,"&gt;0")</f>
        <v>15</v>
      </c>
      <c r="AA3" t="s">
        <v>626</v>
      </c>
    </row>
    <row r="4" spans="1:63" s="1" customFormat="1" ht="43.5" x14ac:dyDescent="0.35">
      <c r="A4" s="10" t="s">
        <v>0</v>
      </c>
      <c r="B4" s="1" t="s">
        <v>1</v>
      </c>
      <c r="C4" s="1" t="s">
        <v>2</v>
      </c>
      <c r="P4" s="35" t="s">
        <v>3</v>
      </c>
      <c r="Q4" s="1" t="s">
        <v>4</v>
      </c>
      <c r="R4" s="1" t="s">
        <v>5</v>
      </c>
      <c r="S4" s="13" t="s">
        <v>2087</v>
      </c>
      <c r="T4" s="35" t="s">
        <v>2088</v>
      </c>
      <c r="U4" s="13" t="s">
        <v>2121</v>
      </c>
      <c r="V4" s="13" t="s">
        <v>2122</v>
      </c>
      <c r="X4" s="41" t="s">
        <v>617</v>
      </c>
      <c r="Y4" s="1" t="s">
        <v>618</v>
      </c>
      <c r="AA4" s="1" t="s">
        <v>2089</v>
      </c>
      <c r="AB4" s="1" t="s">
        <v>2091</v>
      </c>
      <c r="AC4" s="1" t="s">
        <v>1970</v>
      </c>
      <c r="AE4" s="1" t="s">
        <v>2123</v>
      </c>
      <c r="AF4" s="1" t="s">
        <v>1082</v>
      </c>
      <c r="AH4" s="1" t="s">
        <v>1477</v>
      </c>
      <c r="AI4" s="1" t="s">
        <v>621</v>
      </c>
      <c r="AJ4" s="1" t="s">
        <v>622</v>
      </c>
      <c r="AK4" s="1" t="s">
        <v>1478</v>
      </c>
      <c r="AL4" s="1" t="str">
        <f>AH4</f>
        <v>Kelpie</v>
      </c>
      <c r="AM4" s="1" t="str">
        <f>AI4</f>
        <v>Spades</v>
      </c>
      <c r="AN4" s="1" t="str">
        <f>AJ4</f>
        <v>Spades 16S</v>
      </c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x14ac:dyDescent="0.35">
      <c r="A5" s="9" t="s">
        <v>6</v>
      </c>
      <c r="B5">
        <v>54743</v>
      </c>
      <c r="C5" t="s">
        <v>7</v>
      </c>
      <c r="D5" t="s">
        <v>8</v>
      </c>
      <c r="E5" t="s">
        <v>9</v>
      </c>
      <c r="G5" t="s">
        <v>10</v>
      </c>
      <c r="I5" t="s">
        <v>11</v>
      </c>
      <c r="K5" t="s">
        <v>12</v>
      </c>
      <c r="M5" t="s">
        <v>13</v>
      </c>
      <c r="O5">
        <v>0.91</v>
      </c>
      <c r="P5" s="14" t="s">
        <v>14</v>
      </c>
      <c r="Q5">
        <v>96.8</v>
      </c>
      <c r="R5">
        <v>1</v>
      </c>
      <c r="S5" s="8">
        <v>27333</v>
      </c>
      <c r="T5" s="14">
        <v>13574</v>
      </c>
      <c r="U5">
        <v>5292</v>
      </c>
      <c r="V5">
        <v>8544</v>
      </c>
      <c r="X5" s="26">
        <f t="shared" ref="X5:X36" si="0">S5/S$1</f>
        <v>0.63863641673870886</v>
      </c>
      <c r="Y5" s="12">
        <f>X5</f>
        <v>0.63863641673870886</v>
      </c>
      <c r="AA5" s="25">
        <f>IF(P5="*","-",IFERROR(VLOOKUP(P5,'AESS-W2'!$P$5:$S$107,4,FALSE),"-"))</f>
        <v>132</v>
      </c>
      <c r="AB5" s="25">
        <f>IF(P5="*","-",IFERROR(VLOOKUP(P5,'AESS-W3'!$P$5:$S$129,4,FALSE),"-"))</f>
        <v>1554</v>
      </c>
      <c r="AC5" s="25">
        <f>IF(P5="*","-",IFERROR(VLOOKUP(P5,'All MECSM samples'!$P$4:$AD$454,15,FALSE),"-"))</f>
        <v>27497</v>
      </c>
      <c r="AD5" s="25"/>
      <c r="AE5">
        <v>100</v>
      </c>
      <c r="AF5">
        <v>8104</v>
      </c>
      <c r="AH5">
        <f>IF(AND(S5&gt;0,AE5&gt;=90, T5&gt;0), 1, 0)</f>
        <v>1</v>
      </c>
      <c r="AI5">
        <f>IF(AND(S5&gt;0,AE5&gt;=90, U5&gt;0), 1, 0)</f>
        <v>1</v>
      </c>
      <c r="AJ5">
        <f>IF(AND(S5&gt;0,AE5&gt;=90, V5&gt;0), 1, 0)</f>
        <v>1</v>
      </c>
      <c r="AK5">
        <f>IF(AND(S5&gt;0,AE5&gt;=90),1,0)</f>
        <v>1</v>
      </c>
      <c r="AL5" s="11">
        <f>SUM(AH$5:AH5)/SUM(AK$5:AK5)</f>
        <v>1</v>
      </c>
      <c r="AM5" s="11">
        <f>SUM(AI$5:AI5)/SUM(AK$5:AK5)</f>
        <v>1</v>
      </c>
      <c r="AN5" s="11">
        <f>SUM(AJ$5:AJ5)/SUM(AL$5:AL5)</f>
        <v>1</v>
      </c>
    </row>
    <row r="6" spans="1:63" x14ac:dyDescent="0.35">
      <c r="A6" s="9" t="s">
        <v>15</v>
      </c>
      <c r="B6">
        <v>7818</v>
      </c>
      <c r="C6" t="s">
        <v>7</v>
      </c>
      <c r="D6" t="s">
        <v>24</v>
      </c>
      <c r="E6" t="s">
        <v>25</v>
      </c>
      <c r="G6" t="s">
        <v>40</v>
      </c>
      <c r="I6" t="s">
        <v>41</v>
      </c>
      <c r="K6" t="s">
        <v>52</v>
      </c>
      <c r="M6" t="s">
        <v>53</v>
      </c>
      <c r="O6">
        <v>1</v>
      </c>
      <c r="P6" s="14" t="s">
        <v>54</v>
      </c>
      <c r="Q6">
        <v>100</v>
      </c>
      <c r="R6">
        <v>7</v>
      </c>
      <c r="S6" s="8">
        <v>1238</v>
      </c>
      <c r="T6" s="14">
        <v>2733</v>
      </c>
      <c r="U6">
        <v>1738</v>
      </c>
      <c r="V6">
        <v>2109</v>
      </c>
      <c r="X6" s="26">
        <f t="shared" si="0"/>
        <v>2.8925909483866447E-2</v>
      </c>
      <c r="Y6" s="12">
        <f t="shared" ref="Y6:Y37" si="1">Y5+X6</f>
        <v>0.66756232622257528</v>
      </c>
      <c r="AA6" s="25">
        <f>IF(P6="*","-",IFERROR(VLOOKUP(P6,'AESS-W2'!$P$5:$S$107,4,FALSE),"-"))</f>
        <v>11</v>
      </c>
      <c r="AB6" s="25">
        <f>IF(P6="*","-",IFERROR(VLOOKUP(P6,'AESS-W3'!$P$5:$S$129,4,FALSE),"-"))</f>
        <v>54</v>
      </c>
      <c r="AC6" s="25">
        <f>IF(P6="*","-",IFERROR(VLOOKUP(P6,'All MECSM samples'!$P$4:$AD$454,15,FALSE),"-"))</f>
        <v>2085</v>
      </c>
      <c r="AD6" s="25"/>
      <c r="AE6">
        <v>100</v>
      </c>
      <c r="AF6">
        <v>1868</v>
      </c>
      <c r="AH6">
        <f t="shared" ref="AH6:AH69" si="2">IF(AND(S6&gt;0,AE6&gt;=90, T6&gt;0), 1, 0)</f>
        <v>1</v>
      </c>
      <c r="AI6">
        <f t="shared" ref="AI6:AI69" si="3">IF(AND(S6&gt;0,AE6&gt;=90, U6&gt;0), 1, 0)</f>
        <v>1</v>
      </c>
      <c r="AJ6">
        <f t="shared" ref="AJ6:AJ69" si="4">IF(AND(S6&gt;0,AE6&gt;=90, V6&gt;0), 1, 0)</f>
        <v>1</v>
      </c>
      <c r="AK6">
        <f t="shared" ref="AK6:AK69" si="5">IF(AND(S6&gt;0,AE6&gt;=90),1,0)</f>
        <v>1</v>
      </c>
      <c r="AL6" s="11">
        <f>SUM(AH$5:AH6)/SUM(AK$5:AK6)</f>
        <v>1</v>
      </c>
      <c r="AM6" s="11">
        <f>SUM(AI$5:AI6)/SUM(AK$5:AK6)</f>
        <v>1</v>
      </c>
      <c r="AN6" s="11">
        <f>SUM(AJ$5:AJ6)/SUM(AL$5:AL6)</f>
        <v>1</v>
      </c>
    </row>
    <row r="7" spans="1:63" x14ac:dyDescent="0.35">
      <c r="A7" s="9" t="s">
        <v>17</v>
      </c>
      <c r="B7">
        <v>4323</v>
      </c>
      <c r="C7" t="s">
        <v>7</v>
      </c>
      <c r="D7" t="s">
        <v>8</v>
      </c>
      <c r="E7" t="s">
        <v>9</v>
      </c>
      <c r="G7" t="s">
        <v>78</v>
      </c>
      <c r="I7" t="s">
        <v>79</v>
      </c>
      <c r="K7" t="s">
        <v>80</v>
      </c>
      <c r="M7" t="s">
        <v>81</v>
      </c>
      <c r="O7">
        <v>0.62</v>
      </c>
      <c r="P7" s="14" t="s">
        <v>82</v>
      </c>
      <c r="Q7">
        <v>97.2</v>
      </c>
      <c r="R7">
        <v>1</v>
      </c>
      <c r="S7" s="8">
        <v>2340</v>
      </c>
      <c r="T7" s="14">
        <v>508</v>
      </c>
      <c r="U7">
        <v>0</v>
      </c>
      <c r="V7">
        <v>1475</v>
      </c>
      <c r="X7" s="26">
        <f t="shared" si="0"/>
        <v>5.4674174630248373E-2</v>
      </c>
      <c r="Y7" s="12">
        <f t="shared" si="1"/>
        <v>0.72223650085282365</v>
      </c>
      <c r="AA7" s="25">
        <f>IF(P7="*","-",IFERROR(VLOOKUP(P7,'AESS-W2'!$P$5:$S$107,4,FALSE),"-"))</f>
        <v>41</v>
      </c>
      <c r="AB7" s="25">
        <f>IF(P7="*","-",IFERROR(VLOOKUP(P7,'AESS-W3'!$P$5:$S$129,4,FALSE),"-"))</f>
        <v>31</v>
      </c>
      <c r="AC7" s="25">
        <f>IF(P7="*","-",IFERROR(VLOOKUP(P7,'All MECSM samples'!$P$4:$AD$454,15,FALSE),"-"))</f>
        <v>14011</v>
      </c>
      <c r="AD7" s="25"/>
      <c r="AE7">
        <v>100</v>
      </c>
      <c r="AF7">
        <v>311</v>
      </c>
      <c r="AH7">
        <f t="shared" si="2"/>
        <v>1</v>
      </c>
      <c r="AI7">
        <f t="shared" si="3"/>
        <v>0</v>
      </c>
      <c r="AJ7">
        <f t="shared" si="4"/>
        <v>1</v>
      </c>
      <c r="AK7">
        <f t="shared" si="5"/>
        <v>1</v>
      </c>
      <c r="AL7" s="11">
        <f>SUM(AH$5:AH7)/SUM(AK$5:AK7)</f>
        <v>1</v>
      </c>
      <c r="AM7" s="11">
        <f>SUM(AI$5:AI7)/SUM(AK$5:AK7)</f>
        <v>0.66666666666666663</v>
      </c>
      <c r="AN7" s="11">
        <f>SUM(AJ$5:AJ7)/SUM(AL$5:AL7)</f>
        <v>1</v>
      </c>
    </row>
    <row r="8" spans="1:63" x14ac:dyDescent="0.35">
      <c r="A8" s="9" t="s">
        <v>23</v>
      </c>
      <c r="B8">
        <v>4106</v>
      </c>
      <c r="C8" t="s">
        <v>7</v>
      </c>
      <c r="D8" t="s">
        <v>24</v>
      </c>
      <c r="E8" t="s">
        <v>25</v>
      </c>
      <c r="G8" t="s">
        <v>40</v>
      </c>
      <c r="I8" t="s">
        <v>56</v>
      </c>
      <c r="K8" t="s">
        <v>57</v>
      </c>
      <c r="M8" t="s">
        <v>58</v>
      </c>
      <c r="O8">
        <v>1</v>
      </c>
      <c r="P8" s="14" t="s">
        <v>59</v>
      </c>
      <c r="Q8">
        <v>99.6</v>
      </c>
      <c r="R8">
        <v>1</v>
      </c>
      <c r="S8" s="8">
        <v>3312</v>
      </c>
      <c r="T8" s="14">
        <v>476</v>
      </c>
      <c r="U8">
        <v>0</v>
      </c>
      <c r="V8">
        <v>318</v>
      </c>
      <c r="X8" s="26">
        <f t="shared" si="0"/>
        <v>7.7384985630505387E-2</v>
      </c>
      <c r="Y8" s="12">
        <f t="shared" si="1"/>
        <v>0.79962148648332909</v>
      </c>
      <c r="AA8" s="25">
        <f>IF(P8="*","-",IFERROR(VLOOKUP(P8,'AESS-W2'!$P$5:$S$107,4,FALSE),"-"))</f>
        <v>30</v>
      </c>
      <c r="AB8" s="25">
        <f>IF(P8="*","-",IFERROR(VLOOKUP(P8,'AESS-W3'!$P$5:$S$129,4,FALSE),"-"))</f>
        <v>29</v>
      </c>
      <c r="AC8" s="25">
        <f>IF(P8="*","-",IFERROR(VLOOKUP(P8,'All MECSM samples'!$P$4:$AD$454,15,FALSE),"-"))</f>
        <v>10512</v>
      </c>
      <c r="AD8" s="25"/>
      <c r="AE8">
        <v>100</v>
      </c>
      <c r="AF8">
        <v>305</v>
      </c>
      <c r="AH8">
        <f t="shared" si="2"/>
        <v>1</v>
      </c>
      <c r="AI8">
        <f t="shared" si="3"/>
        <v>0</v>
      </c>
      <c r="AJ8">
        <f t="shared" si="4"/>
        <v>1</v>
      </c>
      <c r="AK8">
        <f t="shared" si="5"/>
        <v>1</v>
      </c>
      <c r="AL8" s="11">
        <f>SUM(AH$5:AH8)/SUM(AK$5:AK8)</f>
        <v>1</v>
      </c>
      <c r="AM8" s="11">
        <f>SUM(AI$5:AI8)/SUM(AK$5:AK8)</f>
        <v>0.5</v>
      </c>
      <c r="AN8" s="11">
        <f>SUM(AJ$5:AJ8)/SUM(AL$5:AL8)</f>
        <v>1</v>
      </c>
    </row>
    <row r="9" spans="1:63" x14ac:dyDescent="0.35">
      <c r="A9" s="9" t="s">
        <v>34</v>
      </c>
      <c r="B9">
        <v>1874</v>
      </c>
      <c r="C9" t="s">
        <v>7</v>
      </c>
      <c r="D9" t="s">
        <v>8</v>
      </c>
      <c r="E9" t="s">
        <v>32</v>
      </c>
      <c r="G9" t="s">
        <v>35</v>
      </c>
      <c r="I9" t="s">
        <v>36</v>
      </c>
      <c r="K9" t="s">
        <v>37</v>
      </c>
      <c r="O9">
        <v>0.67</v>
      </c>
      <c r="P9" s="14" t="s">
        <v>38</v>
      </c>
      <c r="Q9">
        <v>85.8</v>
      </c>
      <c r="R9">
        <v>1</v>
      </c>
      <c r="S9" s="8">
        <v>1270</v>
      </c>
      <c r="T9" s="14">
        <v>271</v>
      </c>
      <c r="U9">
        <v>193</v>
      </c>
      <c r="V9">
        <v>140</v>
      </c>
      <c r="X9" s="26">
        <f t="shared" si="0"/>
        <v>2.967359050445104E-2</v>
      </c>
      <c r="Y9" s="12">
        <f t="shared" si="1"/>
        <v>0.82929507698778016</v>
      </c>
      <c r="AA9" s="25">
        <f>IF(P9="*","-",IFERROR(VLOOKUP(P9,'AESS-W2'!$P$5:$S$107,4,FALSE),"-"))</f>
        <v>9</v>
      </c>
      <c r="AB9" s="25">
        <f>IF(P9="*","-",IFERROR(VLOOKUP(P9,'AESS-W3'!$P$5:$S$129,4,FALSE),"-"))</f>
        <v>3116</v>
      </c>
      <c r="AC9" s="25">
        <f>IF(P9="*","-",IFERROR(VLOOKUP(P9,'All MECSM samples'!$P$4:$AD$454,15,FALSE),"-"))</f>
        <v>3129</v>
      </c>
      <c r="AD9" s="25"/>
      <c r="AE9">
        <v>100</v>
      </c>
      <c r="AF9">
        <v>175</v>
      </c>
      <c r="AH9">
        <f t="shared" si="2"/>
        <v>1</v>
      </c>
      <c r="AI9">
        <f t="shared" si="3"/>
        <v>1</v>
      </c>
      <c r="AJ9">
        <f t="shared" si="4"/>
        <v>1</v>
      </c>
      <c r="AK9">
        <f t="shared" si="5"/>
        <v>1</v>
      </c>
      <c r="AL9" s="11">
        <f>SUM(AH$5:AH9)/SUM(AK$5:AK9)</f>
        <v>1</v>
      </c>
      <c r="AM9" s="11">
        <f>SUM(AI$5:AI9)/SUM(AK$5:AK9)</f>
        <v>0.6</v>
      </c>
      <c r="AN9" s="11">
        <f>SUM(AJ$5:AJ9)/SUM(AL$5:AL9)</f>
        <v>1</v>
      </c>
    </row>
    <row r="10" spans="1:63" x14ac:dyDescent="0.35">
      <c r="A10" s="9" t="s">
        <v>39</v>
      </c>
      <c r="B10">
        <v>1431</v>
      </c>
      <c r="C10" t="s">
        <v>7</v>
      </c>
      <c r="D10" t="s">
        <v>8</v>
      </c>
      <c r="E10" t="s">
        <v>46</v>
      </c>
      <c r="G10" t="s">
        <v>47</v>
      </c>
      <c r="I10" t="s">
        <v>61</v>
      </c>
      <c r="K10" t="s">
        <v>94</v>
      </c>
      <c r="M10" t="s">
        <v>95</v>
      </c>
      <c r="O10">
        <v>1</v>
      </c>
      <c r="P10" s="14" t="s">
        <v>96</v>
      </c>
      <c r="Q10">
        <v>100</v>
      </c>
      <c r="R10">
        <v>3</v>
      </c>
      <c r="S10" s="8">
        <v>929</v>
      </c>
      <c r="T10" s="14">
        <v>304</v>
      </c>
      <c r="U10">
        <v>37</v>
      </c>
      <c r="V10">
        <v>161</v>
      </c>
      <c r="X10" s="26">
        <f t="shared" si="0"/>
        <v>2.170611462884647E-2</v>
      </c>
      <c r="Y10" s="12">
        <f t="shared" si="1"/>
        <v>0.85100119161662657</v>
      </c>
      <c r="AA10" s="25">
        <f>IF(P10="*","-",IFERROR(VLOOKUP(P10,'AESS-W2'!$P$5:$S$107,4,FALSE),"-"))</f>
        <v>16</v>
      </c>
      <c r="AB10" s="25">
        <f>IF(P10="*","-",IFERROR(VLOOKUP(P10,'AESS-W3'!$P$5:$S$129,4,FALSE),"-"))</f>
        <v>153</v>
      </c>
      <c r="AC10" s="25">
        <f>IF(P10="*","-",IFERROR(VLOOKUP(P10,'All MECSM samples'!$P$4:$AD$454,15,FALSE),"-"))</f>
        <v>2442</v>
      </c>
      <c r="AD10" s="25"/>
      <c r="AE10">
        <v>100</v>
      </c>
      <c r="AF10">
        <v>174</v>
      </c>
      <c r="AH10">
        <f t="shared" si="2"/>
        <v>1</v>
      </c>
      <c r="AI10">
        <f t="shared" si="3"/>
        <v>1</v>
      </c>
      <c r="AJ10">
        <f t="shared" si="4"/>
        <v>1</v>
      </c>
      <c r="AK10">
        <f t="shared" si="5"/>
        <v>1</v>
      </c>
      <c r="AL10" s="11">
        <f>SUM(AH$5:AH10)/SUM(AK$5:AK10)</f>
        <v>1</v>
      </c>
      <c r="AM10" s="11">
        <f>SUM(AI$5:AI10)/SUM(AK$5:AK10)</f>
        <v>0.66666666666666663</v>
      </c>
      <c r="AN10" s="11">
        <f>SUM(AJ$5:AJ10)/SUM(AL$5:AL10)</f>
        <v>1</v>
      </c>
    </row>
    <row r="11" spans="1:63" x14ac:dyDescent="0.35">
      <c r="A11" s="9" t="s">
        <v>51</v>
      </c>
      <c r="B11">
        <v>1346</v>
      </c>
      <c r="C11" t="s">
        <v>7</v>
      </c>
      <c r="D11" t="s">
        <v>8</v>
      </c>
      <c r="E11" t="s">
        <v>9</v>
      </c>
      <c r="G11" t="s">
        <v>10</v>
      </c>
      <c r="O11">
        <v>0.5</v>
      </c>
      <c r="P11" s="14" t="s">
        <v>154</v>
      </c>
      <c r="Q11">
        <v>89.7</v>
      </c>
      <c r="R11">
        <v>1</v>
      </c>
      <c r="S11" s="8">
        <v>304</v>
      </c>
      <c r="T11" s="14">
        <v>98</v>
      </c>
      <c r="U11">
        <v>50</v>
      </c>
      <c r="V11">
        <v>894</v>
      </c>
      <c r="X11" s="26">
        <f t="shared" si="0"/>
        <v>7.1029696955536344E-3</v>
      </c>
      <c r="Y11" s="12">
        <f t="shared" si="1"/>
        <v>0.85810416131218026</v>
      </c>
      <c r="AA11" s="25" t="str">
        <f>IF(P11="*","-",IFERROR(VLOOKUP(P11,'AESS-W2'!$P$5:$S$107,4,FALSE),"-"))</f>
        <v>-</v>
      </c>
      <c r="AB11" s="25">
        <f>IF(P11="*","-",IFERROR(VLOOKUP(P11,'AESS-W3'!$P$5:$S$129,4,FALSE),"-"))</f>
        <v>5</v>
      </c>
      <c r="AC11" s="25">
        <f>IF(P11="*","-",IFERROR(VLOOKUP(P11,'All MECSM samples'!$P$4:$AD$454,15,FALSE),"-"))</f>
        <v>305</v>
      </c>
      <c r="AD11" s="25"/>
      <c r="AE11">
        <v>100</v>
      </c>
      <c r="AF11">
        <v>64</v>
      </c>
      <c r="AH11">
        <f t="shared" si="2"/>
        <v>1</v>
      </c>
      <c r="AI11">
        <f t="shared" si="3"/>
        <v>1</v>
      </c>
      <c r="AJ11">
        <f t="shared" si="4"/>
        <v>1</v>
      </c>
      <c r="AK11">
        <f t="shared" si="5"/>
        <v>1</v>
      </c>
      <c r="AL11" s="11">
        <f>SUM(AH$5:AH11)/SUM(AK$5:AK11)</f>
        <v>1</v>
      </c>
      <c r="AM11" s="11">
        <f>SUM(AI$5:AI11)/SUM(AK$5:AK11)</f>
        <v>0.7142857142857143</v>
      </c>
      <c r="AN11" s="11">
        <f>SUM(AJ$5:AJ11)/SUM(AL$5:AL11)</f>
        <v>1</v>
      </c>
    </row>
    <row r="12" spans="1:63" x14ac:dyDescent="0.35">
      <c r="A12" s="9" t="s">
        <v>49</v>
      </c>
      <c r="B12">
        <v>1317</v>
      </c>
      <c r="C12" t="s">
        <v>7</v>
      </c>
      <c r="D12" t="s">
        <v>8</v>
      </c>
      <c r="E12" t="s">
        <v>120</v>
      </c>
      <c r="G12" t="s">
        <v>121</v>
      </c>
      <c r="I12" t="s">
        <v>122</v>
      </c>
      <c r="K12" t="s">
        <v>123</v>
      </c>
      <c r="M12" t="s">
        <v>124</v>
      </c>
      <c r="O12">
        <v>0.93</v>
      </c>
      <c r="P12" s="14" t="s">
        <v>125</v>
      </c>
      <c r="Q12">
        <v>89.7</v>
      </c>
      <c r="R12">
        <v>1</v>
      </c>
      <c r="S12" s="8">
        <v>796</v>
      </c>
      <c r="T12" s="14">
        <v>254</v>
      </c>
      <c r="U12">
        <v>154</v>
      </c>
      <c r="V12">
        <v>113</v>
      </c>
      <c r="X12" s="26">
        <f t="shared" si="0"/>
        <v>1.8598565387041754E-2</v>
      </c>
      <c r="Y12" s="12">
        <f t="shared" si="1"/>
        <v>0.876702726699222</v>
      </c>
      <c r="AA12" s="25">
        <f>IF(P12="*","-",IFERROR(VLOOKUP(P12,'AESS-W2'!$P$5:$S$107,4,FALSE),"-"))</f>
        <v>4</v>
      </c>
      <c r="AB12" s="25">
        <f>IF(P12="*","-",IFERROR(VLOOKUP(P12,'AESS-W3'!$P$5:$S$129,4,FALSE),"-"))</f>
        <v>8</v>
      </c>
      <c r="AC12" s="25">
        <f>IF(P12="*","-",IFERROR(VLOOKUP(P12,'All MECSM samples'!$P$4:$AD$454,15,FALSE),"-"))</f>
        <v>799</v>
      </c>
      <c r="AD12" s="25"/>
      <c r="AE12">
        <v>100</v>
      </c>
      <c r="AF12">
        <v>123</v>
      </c>
      <c r="AH12">
        <f t="shared" si="2"/>
        <v>1</v>
      </c>
      <c r="AI12">
        <f t="shared" si="3"/>
        <v>1</v>
      </c>
      <c r="AJ12">
        <f t="shared" si="4"/>
        <v>1</v>
      </c>
      <c r="AK12">
        <f t="shared" si="5"/>
        <v>1</v>
      </c>
      <c r="AL12" s="11">
        <f>SUM(AH$5:AH12)/SUM(AK$5:AK12)</f>
        <v>1</v>
      </c>
      <c r="AM12" s="11">
        <f>SUM(AI$5:AI12)/SUM(AK$5:AK12)</f>
        <v>0.75</v>
      </c>
      <c r="AN12" s="11">
        <f>SUM(AJ$5:AJ12)/SUM(AL$5:AL12)</f>
        <v>1</v>
      </c>
    </row>
    <row r="13" spans="1:63" x14ac:dyDescent="0.35">
      <c r="A13" s="9" t="s">
        <v>63</v>
      </c>
      <c r="B13">
        <v>1293</v>
      </c>
      <c r="C13" t="s">
        <v>7</v>
      </c>
      <c r="D13" t="s">
        <v>8</v>
      </c>
      <c r="E13" t="s">
        <v>32</v>
      </c>
      <c r="G13" t="s">
        <v>35</v>
      </c>
      <c r="I13" t="s">
        <v>36</v>
      </c>
      <c r="O13">
        <v>0.61</v>
      </c>
      <c r="P13" s="14" t="s">
        <v>92</v>
      </c>
      <c r="Q13">
        <v>86.2</v>
      </c>
      <c r="R13">
        <v>2</v>
      </c>
      <c r="S13" s="8">
        <v>1059</v>
      </c>
      <c r="T13" s="14">
        <v>128</v>
      </c>
      <c r="U13">
        <v>45</v>
      </c>
      <c r="V13">
        <v>61</v>
      </c>
      <c r="X13" s="26">
        <f t="shared" si="0"/>
        <v>2.4743568774971379E-2</v>
      </c>
      <c r="Y13" s="12">
        <f t="shared" si="1"/>
        <v>0.90144629547419342</v>
      </c>
      <c r="AA13" s="25">
        <f>IF(P13="*","-",IFERROR(VLOOKUP(P13,'AESS-W2'!$P$5:$S$107,4,FALSE),"-"))</f>
        <v>29</v>
      </c>
      <c r="AB13" s="25">
        <f>IF(P13="*","-",IFERROR(VLOOKUP(P13,'AESS-W3'!$P$5:$S$129,4,FALSE),"-"))</f>
        <v>389</v>
      </c>
      <c r="AC13" s="25">
        <f>IF(P13="*","-",IFERROR(VLOOKUP(P13,'All MECSM samples'!$P$4:$AD$454,15,FALSE),"-"))</f>
        <v>6717</v>
      </c>
      <c r="AD13" s="25"/>
      <c r="AE13">
        <v>100</v>
      </c>
      <c r="AF13">
        <v>77</v>
      </c>
      <c r="AH13">
        <f t="shared" si="2"/>
        <v>1</v>
      </c>
      <c r="AI13">
        <f t="shared" si="3"/>
        <v>1</v>
      </c>
      <c r="AJ13">
        <f t="shared" si="4"/>
        <v>1</v>
      </c>
      <c r="AK13">
        <f t="shared" si="5"/>
        <v>1</v>
      </c>
      <c r="AL13" s="11">
        <f>SUM(AH$5:AH13)/SUM(AK$5:AK13)</f>
        <v>1</v>
      </c>
      <c r="AM13" s="11">
        <f>SUM(AI$5:AI13)/SUM(AK$5:AK13)</f>
        <v>0.77777777777777779</v>
      </c>
      <c r="AN13" s="11">
        <f>SUM(AJ$5:AJ13)/SUM(AL$5:AL13)</f>
        <v>1</v>
      </c>
    </row>
    <row r="14" spans="1:63" x14ac:dyDescent="0.35">
      <c r="A14" s="9" t="s">
        <v>45</v>
      </c>
      <c r="B14">
        <v>1224</v>
      </c>
      <c r="C14" t="s">
        <v>7</v>
      </c>
      <c r="D14" t="s">
        <v>24</v>
      </c>
      <c r="E14" t="s">
        <v>25</v>
      </c>
      <c r="G14" t="s">
        <v>40</v>
      </c>
      <c r="I14" t="s">
        <v>41</v>
      </c>
      <c r="K14" t="s">
        <v>42</v>
      </c>
      <c r="M14" t="s">
        <v>43</v>
      </c>
      <c r="O14">
        <v>1</v>
      </c>
      <c r="P14" s="14" t="s">
        <v>44</v>
      </c>
      <c r="Q14">
        <v>97.2</v>
      </c>
      <c r="R14">
        <v>1</v>
      </c>
      <c r="S14" s="8">
        <v>1032</v>
      </c>
      <c r="T14" s="14">
        <v>192</v>
      </c>
      <c r="U14">
        <v>0</v>
      </c>
      <c r="V14">
        <v>0</v>
      </c>
      <c r="X14" s="26">
        <f t="shared" si="0"/>
        <v>2.4112712913853127E-2</v>
      </c>
      <c r="Y14" s="12">
        <f t="shared" si="1"/>
        <v>0.9255590083880465</v>
      </c>
      <c r="AA14" s="25">
        <f>IF(P14="*","-",IFERROR(VLOOKUP(P14,'AESS-W2'!$P$5:$S$107,4,FALSE),"-"))</f>
        <v>16</v>
      </c>
      <c r="AB14" s="25">
        <f>IF(P14="*","-",IFERROR(VLOOKUP(P14,'AESS-W3'!$P$5:$S$129,4,FALSE),"-"))</f>
        <v>3332</v>
      </c>
      <c r="AC14" s="25">
        <f>IF(P14="*","-",IFERROR(VLOOKUP(P14,'All MECSM samples'!$P$4:$AD$454,15,FALSE),"-"))</f>
        <v>11703</v>
      </c>
      <c r="AD14" s="25"/>
      <c r="AE14">
        <v>100</v>
      </c>
      <c r="AF14">
        <v>120</v>
      </c>
      <c r="AH14">
        <f t="shared" si="2"/>
        <v>1</v>
      </c>
      <c r="AI14">
        <f t="shared" si="3"/>
        <v>0</v>
      </c>
      <c r="AJ14">
        <f t="shared" si="4"/>
        <v>0</v>
      </c>
      <c r="AK14">
        <f t="shared" si="5"/>
        <v>1</v>
      </c>
      <c r="AL14" s="11">
        <f>SUM(AH$5:AH14)/SUM(AK$5:AK14)</f>
        <v>1</v>
      </c>
      <c r="AM14" s="11">
        <f>SUM(AI$5:AI14)/SUM(AK$5:AK14)</f>
        <v>0.7</v>
      </c>
      <c r="AN14" s="11">
        <f>SUM(AJ$5:AJ14)/SUM(AL$5:AL14)</f>
        <v>0.9</v>
      </c>
    </row>
    <row r="15" spans="1:63" x14ac:dyDescent="0.35">
      <c r="A15" s="9" t="s">
        <v>31</v>
      </c>
      <c r="B15">
        <v>1024</v>
      </c>
      <c r="C15" t="s">
        <v>7</v>
      </c>
      <c r="D15" t="s">
        <v>8</v>
      </c>
      <c r="E15" t="s">
        <v>46</v>
      </c>
      <c r="G15" t="s">
        <v>47</v>
      </c>
      <c r="I15" t="s">
        <v>61</v>
      </c>
      <c r="K15" t="s">
        <v>190</v>
      </c>
      <c r="M15" t="s">
        <v>273</v>
      </c>
      <c r="O15">
        <v>0.95</v>
      </c>
      <c r="P15" s="14" t="s">
        <v>274</v>
      </c>
      <c r="Q15">
        <v>97.2</v>
      </c>
      <c r="R15">
        <v>3</v>
      </c>
      <c r="S15" s="8">
        <v>13</v>
      </c>
      <c r="T15" s="14">
        <v>14</v>
      </c>
      <c r="U15">
        <v>0</v>
      </c>
      <c r="V15">
        <v>997</v>
      </c>
      <c r="X15" s="26">
        <f t="shared" si="0"/>
        <v>3.0374541461249095E-4</v>
      </c>
      <c r="Y15" s="12">
        <f t="shared" si="1"/>
        <v>0.92586275380265903</v>
      </c>
      <c r="AA15" s="25" t="str">
        <f>IF(P15="*","-",IFERROR(VLOOKUP(P15,'AESS-W2'!$P$5:$S$107,4,FALSE),"-"))</f>
        <v>-</v>
      </c>
      <c r="AB15" s="25" t="str">
        <f>IF(P15="*","-",IFERROR(VLOOKUP(P15,'AESS-W3'!$P$5:$S$129,4,FALSE),"-"))</f>
        <v>-</v>
      </c>
      <c r="AC15" s="25">
        <f>IF(P15="*","-",IFERROR(VLOOKUP(P15,'All MECSM samples'!$P$4:$AD$454,15,FALSE),"-"))</f>
        <v>13</v>
      </c>
      <c r="AD15" s="25"/>
      <c r="AE15">
        <v>100</v>
      </c>
      <c r="AF15">
        <v>17</v>
      </c>
      <c r="AH15">
        <f t="shared" si="2"/>
        <v>1</v>
      </c>
      <c r="AI15">
        <f t="shared" si="3"/>
        <v>0</v>
      </c>
      <c r="AJ15">
        <f t="shared" si="4"/>
        <v>1</v>
      </c>
      <c r="AK15">
        <f t="shared" si="5"/>
        <v>1</v>
      </c>
      <c r="AL15" s="11">
        <f>SUM(AH$5:AH15)/SUM(AK$5:AK15)</f>
        <v>1</v>
      </c>
      <c r="AM15" s="11">
        <f>SUM(AI$5:AI15)/SUM(AK$5:AK15)</f>
        <v>0.63636363636363635</v>
      </c>
      <c r="AN15" s="11">
        <f>SUM(AJ$5:AJ15)/SUM(AL$5:AL15)</f>
        <v>0.90909090909090906</v>
      </c>
    </row>
    <row r="16" spans="1:63" x14ac:dyDescent="0.35">
      <c r="A16" s="9" t="s">
        <v>77</v>
      </c>
      <c r="B16">
        <v>599</v>
      </c>
      <c r="C16" t="s">
        <v>7</v>
      </c>
      <c r="D16" t="s">
        <v>8</v>
      </c>
      <c r="E16" t="s">
        <v>165</v>
      </c>
      <c r="G16" t="s">
        <v>166</v>
      </c>
      <c r="I16" t="s">
        <v>167</v>
      </c>
      <c r="K16" t="s">
        <v>168</v>
      </c>
      <c r="M16" t="s">
        <v>198</v>
      </c>
      <c r="O16">
        <v>0.66</v>
      </c>
      <c r="P16" s="14" t="s">
        <v>199</v>
      </c>
      <c r="Q16">
        <v>91.7</v>
      </c>
      <c r="R16">
        <v>1</v>
      </c>
      <c r="S16" s="8">
        <v>128</v>
      </c>
      <c r="T16" s="14">
        <v>62</v>
      </c>
      <c r="U16">
        <v>6</v>
      </c>
      <c r="V16">
        <v>403</v>
      </c>
      <c r="X16" s="26">
        <f t="shared" si="0"/>
        <v>2.9907240823383724E-3</v>
      </c>
      <c r="Y16" s="12">
        <f t="shared" si="1"/>
        <v>0.92885347788499739</v>
      </c>
      <c r="AA16" s="25" t="str">
        <f>IF(P16="*","-",IFERROR(VLOOKUP(P16,'AESS-W2'!$P$5:$S$107,4,FALSE),"-"))</f>
        <v>-</v>
      </c>
      <c r="AB16" s="25" t="str">
        <f>IF(P16="*","-",IFERROR(VLOOKUP(P16,'AESS-W3'!$P$5:$S$129,4,FALSE),"-"))</f>
        <v>-</v>
      </c>
      <c r="AC16" s="25">
        <f>IF(P16="*","-",IFERROR(VLOOKUP(P16,'All MECSM samples'!$P$4:$AD$454,15,FALSE),"-"))</f>
        <v>128</v>
      </c>
      <c r="AD16" s="25"/>
      <c r="AE16">
        <v>100</v>
      </c>
      <c r="AF16">
        <v>32</v>
      </c>
      <c r="AH16">
        <f t="shared" si="2"/>
        <v>1</v>
      </c>
      <c r="AI16">
        <f t="shared" si="3"/>
        <v>1</v>
      </c>
      <c r="AJ16">
        <f t="shared" si="4"/>
        <v>1</v>
      </c>
      <c r="AK16">
        <f t="shared" si="5"/>
        <v>1</v>
      </c>
      <c r="AL16" s="11">
        <f>SUM(AH$5:AH16)/SUM(AK$5:AK16)</f>
        <v>1</v>
      </c>
      <c r="AM16" s="11">
        <f>SUM(AI$5:AI16)/SUM(AK$5:AK16)</f>
        <v>0.66666666666666663</v>
      </c>
      <c r="AN16" s="11">
        <f>SUM(AJ$5:AJ16)/SUM(AL$5:AL16)</f>
        <v>0.91666666666666663</v>
      </c>
    </row>
    <row r="17" spans="1:63" x14ac:dyDescent="0.35">
      <c r="A17" s="9" t="s">
        <v>68</v>
      </c>
      <c r="B17">
        <v>599</v>
      </c>
      <c r="C17" t="s">
        <v>7</v>
      </c>
      <c r="D17" t="s">
        <v>8</v>
      </c>
      <c r="E17" t="s">
        <v>165</v>
      </c>
      <c r="G17" t="s">
        <v>166</v>
      </c>
      <c r="I17" t="s">
        <v>167</v>
      </c>
      <c r="K17" t="s">
        <v>168</v>
      </c>
      <c r="M17" t="s">
        <v>169</v>
      </c>
      <c r="O17">
        <v>1</v>
      </c>
      <c r="P17" s="14" t="s">
        <v>170</v>
      </c>
      <c r="Q17">
        <v>99.6</v>
      </c>
      <c r="R17">
        <v>1</v>
      </c>
      <c r="S17" s="8">
        <v>205</v>
      </c>
      <c r="T17" s="14">
        <v>82</v>
      </c>
      <c r="U17">
        <v>53</v>
      </c>
      <c r="V17">
        <v>259</v>
      </c>
      <c r="X17" s="26">
        <f t="shared" si="0"/>
        <v>4.7898315381200499E-3</v>
      </c>
      <c r="Y17" s="12">
        <f t="shared" si="1"/>
        <v>0.93364330942311746</v>
      </c>
      <c r="AA17" s="25" t="str">
        <f>IF(P17="*","-",IFERROR(VLOOKUP(P17,'AESS-W2'!$P$5:$S$107,4,FALSE),"-"))</f>
        <v>-</v>
      </c>
      <c r="AB17" s="25">
        <f>IF(P17="*","-",IFERROR(VLOOKUP(P17,'AESS-W3'!$P$5:$S$129,4,FALSE),"-"))</f>
        <v>0</v>
      </c>
      <c r="AC17" s="25">
        <f>IF(P17="*","-",IFERROR(VLOOKUP(P17,'All MECSM samples'!$P$4:$AD$454,15,FALSE),"-"))</f>
        <v>205</v>
      </c>
      <c r="AD17" s="25"/>
      <c r="AE17">
        <v>100</v>
      </c>
      <c r="AF17">
        <v>61</v>
      </c>
      <c r="AH17">
        <f t="shared" si="2"/>
        <v>1</v>
      </c>
      <c r="AI17">
        <f t="shared" si="3"/>
        <v>1</v>
      </c>
      <c r="AJ17">
        <f t="shared" si="4"/>
        <v>1</v>
      </c>
      <c r="AK17">
        <f t="shared" si="5"/>
        <v>1</v>
      </c>
      <c r="AL17" s="11">
        <f>SUM(AH$5:AH17)/SUM(AK$5:AK17)</f>
        <v>1</v>
      </c>
      <c r="AM17" s="11">
        <f>SUM(AI$5:AI17)/SUM(AK$5:AK17)</f>
        <v>0.69230769230769229</v>
      </c>
      <c r="AN17" s="11">
        <f>SUM(AJ$5:AJ17)/SUM(AL$5:AL17)</f>
        <v>0.92307692307692313</v>
      </c>
    </row>
    <row r="18" spans="1:63" x14ac:dyDescent="0.35">
      <c r="A18" s="9" t="s">
        <v>55</v>
      </c>
      <c r="B18">
        <v>474</v>
      </c>
      <c r="C18" t="s">
        <v>7</v>
      </c>
      <c r="D18" t="s">
        <v>8</v>
      </c>
      <c r="E18" t="s">
        <v>9</v>
      </c>
      <c r="G18" t="s">
        <v>10</v>
      </c>
      <c r="I18" t="s">
        <v>131</v>
      </c>
      <c r="K18" t="s">
        <v>132</v>
      </c>
      <c r="M18" t="s">
        <v>133</v>
      </c>
      <c r="O18">
        <v>1</v>
      </c>
      <c r="P18" s="14" t="s">
        <v>134</v>
      </c>
      <c r="Q18">
        <v>100</v>
      </c>
      <c r="R18">
        <v>1</v>
      </c>
      <c r="S18" s="8">
        <v>219</v>
      </c>
      <c r="T18" s="14">
        <v>65</v>
      </c>
      <c r="U18">
        <v>0</v>
      </c>
      <c r="V18">
        <v>190</v>
      </c>
      <c r="X18" s="26">
        <f t="shared" si="0"/>
        <v>5.1169419846258087E-3</v>
      </c>
      <c r="Y18" s="12">
        <f t="shared" si="1"/>
        <v>0.93876025140774322</v>
      </c>
      <c r="AA18" s="25">
        <f>IF(P18="*","-",IFERROR(VLOOKUP(P18,'AESS-W2'!$P$5:$S$107,4,FALSE),"-"))</f>
        <v>17</v>
      </c>
      <c r="AB18" s="25">
        <f>IF(P18="*","-",IFERROR(VLOOKUP(P18,'AESS-W3'!$P$5:$S$129,4,FALSE),"-"))</f>
        <v>254</v>
      </c>
      <c r="AC18" s="25">
        <f>IF(P18="*","-",IFERROR(VLOOKUP(P18,'All MECSM samples'!$P$4:$AD$454,15,FALSE),"-"))</f>
        <v>255</v>
      </c>
      <c r="AD18" s="25"/>
      <c r="AE18">
        <v>100</v>
      </c>
      <c r="AF18">
        <v>39</v>
      </c>
      <c r="AH18">
        <f t="shared" si="2"/>
        <v>1</v>
      </c>
      <c r="AI18">
        <f t="shared" si="3"/>
        <v>0</v>
      </c>
      <c r="AJ18">
        <f t="shared" si="4"/>
        <v>1</v>
      </c>
      <c r="AK18">
        <f t="shared" si="5"/>
        <v>1</v>
      </c>
      <c r="AL18" s="11">
        <f>SUM(AH$5:AH18)/SUM(AK$5:AK18)</f>
        <v>1</v>
      </c>
      <c r="AM18" s="11">
        <f>SUM(AI$5:AI18)/SUM(AK$5:AK18)</f>
        <v>0.6428571428571429</v>
      </c>
      <c r="AN18" s="11">
        <f>SUM(AJ$5:AJ18)/SUM(AL$5:AL18)</f>
        <v>0.9285714285714286</v>
      </c>
    </row>
    <row r="19" spans="1:63" x14ac:dyDescent="0.35">
      <c r="A19" s="9" t="s">
        <v>60</v>
      </c>
      <c r="B19">
        <v>408</v>
      </c>
      <c r="C19" t="s">
        <v>7</v>
      </c>
      <c r="D19" t="s">
        <v>24</v>
      </c>
      <c r="E19" t="s">
        <v>25</v>
      </c>
      <c r="G19" t="s">
        <v>40</v>
      </c>
      <c r="I19" t="s">
        <v>56</v>
      </c>
      <c r="K19" t="s">
        <v>204</v>
      </c>
      <c r="M19" t="s">
        <v>205</v>
      </c>
      <c r="O19">
        <v>1</v>
      </c>
      <c r="P19" s="14" t="s">
        <v>206</v>
      </c>
      <c r="Q19">
        <v>98.4</v>
      </c>
      <c r="R19">
        <v>2</v>
      </c>
      <c r="S19" s="8">
        <v>67</v>
      </c>
      <c r="T19" s="14">
        <v>135</v>
      </c>
      <c r="U19">
        <v>0</v>
      </c>
      <c r="V19">
        <v>206</v>
      </c>
      <c r="X19" s="26">
        <f t="shared" si="0"/>
        <v>1.5654571368489919E-3</v>
      </c>
      <c r="Y19" s="12">
        <f t="shared" si="1"/>
        <v>0.94032570854459219</v>
      </c>
      <c r="AA19" s="25" t="str">
        <f>IF(P19="*","-",IFERROR(VLOOKUP(P19,'AESS-W2'!$P$5:$S$107,4,FALSE),"-"))</f>
        <v>-</v>
      </c>
      <c r="AB19" s="25" t="str">
        <f>IF(P19="*","-",IFERROR(VLOOKUP(P19,'AESS-W3'!$P$5:$S$129,4,FALSE),"-"))</f>
        <v>-</v>
      </c>
      <c r="AC19" s="25">
        <f>IF(P19="*","-",IFERROR(VLOOKUP(P19,'All MECSM samples'!$P$4:$AD$454,15,FALSE),"-"))</f>
        <v>465</v>
      </c>
      <c r="AD19" s="25"/>
      <c r="AE19">
        <v>100</v>
      </c>
      <c r="AF19">
        <v>90</v>
      </c>
      <c r="AH19">
        <f t="shared" si="2"/>
        <v>1</v>
      </c>
      <c r="AI19">
        <f t="shared" si="3"/>
        <v>0</v>
      </c>
      <c r="AJ19">
        <f t="shared" si="4"/>
        <v>1</v>
      </c>
      <c r="AK19">
        <f t="shared" si="5"/>
        <v>1</v>
      </c>
      <c r="AL19" s="11">
        <f>SUM(AH$5:AH19)/SUM(AK$5:AK19)</f>
        <v>1</v>
      </c>
      <c r="AM19" s="11">
        <f>SUM(AI$5:AI19)/SUM(AK$5:AK19)</f>
        <v>0.6</v>
      </c>
      <c r="AN19" s="11">
        <f>SUM(AJ$5:AJ19)/SUM(AL$5:AL19)</f>
        <v>0.93333333333333335</v>
      </c>
    </row>
    <row r="20" spans="1:63" x14ac:dyDescent="0.35">
      <c r="A20" s="9" t="s">
        <v>72</v>
      </c>
      <c r="B20">
        <v>394</v>
      </c>
      <c r="C20" t="s">
        <v>7</v>
      </c>
      <c r="D20" t="s">
        <v>8</v>
      </c>
      <c r="E20" t="s">
        <v>46</v>
      </c>
      <c r="G20" t="s">
        <v>47</v>
      </c>
      <c r="I20" t="s">
        <v>61</v>
      </c>
      <c r="K20" t="s">
        <v>157</v>
      </c>
      <c r="O20">
        <v>0.77</v>
      </c>
      <c r="P20" s="14" t="s">
        <v>158</v>
      </c>
      <c r="Q20">
        <v>94.8</v>
      </c>
      <c r="R20">
        <v>1</v>
      </c>
      <c r="S20" s="8">
        <v>230</v>
      </c>
      <c r="T20" s="14">
        <v>115</v>
      </c>
      <c r="U20">
        <v>0</v>
      </c>
      <c r="V20">
        <v>49</v>
      </c>
      <c r="X20" s="26">
        <f t="shared" si="0"/>
        <v>5.3739573354517631E-3</v>
      </c>
      <c r="Y20" s="12">
        <f t="shared" si="1"/>
        <v>0.94569966588004395</v>
      </c>
      <c r="AA20" s="25" t="str">
        <f>IF(P20="*","-",IFERROR(VLOOKUP(P20,'AESS-W2'!$P$5:$S$107,4,FALSE),"-"))</f>
        <v>-</v>
      </c>
      <c r="AB20" s="25">
        <f>IF(P20="*","-",IFERROR(VLOOKUP(P20,'AESS-W3'!$P$5:$S$129,4,FALSE),"-"))</f>
        <v>4</v>
      </c>
      <c r="AC20" s="25">
        <f>IF(P20="*","-",IFERROR(VLOOKUP(P20,'All MECSM samples'!$P$4:$AD$454,15,FALSE),"-"))</f>
        <v>231</v>
      </c>
      <c r="AD20" s="25"/>
      <c r="AE20">
        <v>100</v>
      </c>
      <c r="AF20">
        <v>53</v>
      </c>
      <c r="AH20">
        <f t="shared" si="2"/>
        <v>1</v>
      </c>
      <c r="AI20">
        <f t="shared" si="3"/>
        <v>0</v>
      </c>
      <c r="AJ20">
        <f t="shared" si="4"/>
        <v>1</v>
      </c>
      <c r="AK20">
        <f t="shared" si="5"/>
        <v>1</v>
      </c>
      <c r="AL20" s="11">
        <f>SUM(AH$5:AH20)/SUM(AK$5:AK20)</f>
        <v>1</v>
      </c>
      <c r="AM20" s="11">
        <f>SUM(AI$5:AI20)/SUM(AK$5:AK20)</f>
        <v>0.5625</v>
      </c>
      <c r="AN20" s="11">
        <f>SUM(AJ$5:AJ20)/SUM(AL$5:AL20)</f>
        <v>0.9375</v>
      </c>
    </row>
    <row r="21" spans="1:63" x14ac:dyDescent="0.35">
      <c r="A21" s="9" t="s">
        <v>126</v>
      </c>
      <c r="B21">
        <v>379</v>
      </c>
      <c r="C21" t="s">
        <v>7</v>
      </c>
      <c r="D21" t="s">
        <v>8</v>
      </c>
      <c r="E21" t="s">
        <v>9</v>
      </c>
      <c r="G21" t="s">
        <v>10</v>
      </c>
      <c r="I21" t="s">
        <v>131</v>
      </c>
      <c r="K21" t="s">
        <v>150</v>
      </c>
      <c r="M21" t="s">
        <v>151</v>
      </c>
      <c r="O21">
        <v>1</v>
      </c>
      <c r="P21" s="14" t="s">
        <v>152</v>
      </c>
      <c r="Q21">
        <v>96.8</v>
      </c>
      <c r="R21">
        <v>1</v>
      </c>
      <c r="S21" s="8">
        <v>77</v>
      </c>
      <c r="T21" s="14">
        <v>33</v>
      </c>
      <c r="U21">
        <v>0</v>
      </c>
      <c r="V21">
        <v>269</v>
      </c>
      <c r="X21" s="26">
        <f t="shared" si="0"/>
        <v>1.7991074557816773E-3</v>
      </c>
      <c r="Y21" s="12">
        <f t="shared" si="1"/>
        <v>0.94749877333582566</v>
      </c>
      <c r="AA21" s="25">
        <f>IF(P21="*","-",IFERROR(VLOOKUP(P21,'AESS-W2'!$P$5:$S$107,4,FALSE),"-"))</f>
        <v>220</v>
      </c>
      <c r="AB21" s="25">
        <f>IF(P21="*","-",IFERROR(VLOOKUP(P21,'AESS-W3'!$P$5:$S$129,4,FALSE),"-"))</f>
        <v>108</v>
      </c>
      <c r="AC21" s="25">
        <f>IF(P21="*","-",IFERROR(VLOOKUP(P21,'All MECSM samples'!$P$4:$AD$454,15,FALSE),"-"))</f>
        <v>577</v>
      </c>
      <c r="AD21" s="25"/>
      <c r="AE21">
        <v>100</v>
      </c>
      <c r="AF21">
        <v>21</v>
      </c>
      <c r="AH21">
        <f t="shared" si="2"/>
        <v>1</v>
      </c>
      <c r="AI21">
        <f t="shared" si="3"/>
        <v>0</v>
      </c>
      <c r="AJ21">
        <f t="shared" si="4"/>
        <v>1</v>
      </c>
      <c r="AK21">
        <f t="shared" si="5"/>
        <v>1</v>
      </c>
      <c r="AL21" s="11">
        <f>SUM(AH$5:AH21)/SUM(AK$5:AK21)</f>
        <v>1</v>
      </c>
      <c r="AM21" s="11">
        <f>SUM(AI$5:AI21)/SUM(AK$5:AK21)</f>
        <v>0.52941176470588236</v>
      </c>
      <c r="AN21" s="11">
        <f>SUM(AJ$5:AJ21)/SUM(AL$5:AL21)</f>
        <v>0.94117647058823528</v>
      </c>
    </row>
    <row r="22" spans="1:63" x14ac:dyDescent="0.35">
      <c r="A22" s="9" t="s">
        <v>74</v>
      </c>
      <c r="B22">
        <v>272</v>
      </c>
      <c r="C22" t="s">
        <v>7</v>
      </c>
      <c r="D22" t="s">
        <v>8</v>
      </c>
      <c r="E22" t="s">
        <v>46</v>
      </c>
      <c r="G22" t="s">
        <v>47</v>
      </c>
      <c r="I22" t="s">
        <v>61</v>
      </c>
      <c r="K22" t="s">
        <v>190</v>
      </c>
      <c r="M22" t="s">
        <v>191</v>
      </c>
      <c r="O22">
        <v>0.83</v>
      </c>
      <c r="P22" s="14" t="s">
        <v>192</v>
      </c>
      <c r="Q22">
        <v>96</v>
      </c>
      <c r="R22">
        <v>1</v>
      </c>
      <c r="S22" s="8">
        <v>169</v>
      </c>
      <c r="T22" s="14">
        <v>47</v>
      </c>
      <c r="U22">
        <v>31</v>
      </c>
      <c r="V22">
        <v>25</v>
      </c>
      <c r="X22" s="26">
        <f t="shared" si="0"/>
        <v>3.9486903899623822E-3</v>
      </c>
      <c r="Y22" s="12">
        <f t="shared" si="1"/>
        <v>0.95144746372578803</v>
      </c>
      <c r="AA22" s="25" t="str">
        <f>IF(P22="*","-",IFERROR(VLOOKUP(P22,'AESS-W2'!$P$5:$S$107,4,FALSE),"-"))</f>
        <v>-</v>
      </c>
      <c r="AB22" s="25">
        <f>IF(P22="*","-",IFERROR(VLOOKUP(P22,'AESS-W3'!$P$5:$S$129,4,FALSE),"-"))</f>
        <v>46</v>
      </c>
      <c r="AC22" s="25">
        <f>IF(P22="*","-",IFERROR(VLOOKUP(P22,'All MECSM samples'!$P$4:$AD$454,15,FALSE),"-"))</f>
        <v>245</v>
      </c>
      <c r="AD22" s="25"/>
      <c r="AE22">
        <v>100</v>
      </c>
      <c r="AF22">
        <v>38</v>
      </c>
      <c r="AH22">
        <f t="shared" si="2"/>
        <v>1</v>
      </c>
      <c r="AI22">
        <f t="shared" si="3"/>
        <v>1</v>
      </c>
      <c r="AJ22">
        <f t="shared" si="4"/>
        <v>1</v>
      </c>
      <c r="AK22">
        <f t="shared" si="5"/>
        <v>1</v>
      </c>
      <c r="AL22" s="11">
        <f>SUM(AH$5:AH22)/SUM(AK$5:AK22)</f>
        <v>1</v>
      </c>
      <c r="AM22" s="11">
        <f>SUM(AI$5:AI22)/SUM(AK$5:AK22)</f>
        <v>0.55555555555555558</v>
      </c>
      <c r="AN22" s="11">
        <f>SUM(AJ$5:AJ22)/SUM(AL$5:AL22)</f>
        <v>0.94444444444444442</v>
      </c>
    </row>
    <row r="23" spans="1:63" x14ac:dyDescent="0.35">
      <c r="A23" s="9" t="s">
        <v>97</v>
      </c>
      <c r="B23">
        <v>268</v>
      </c>
      <c r="C23" t="s">
        <v>7</v>
      </c>
      <c r="D23" t="s">
        <v>8</v>
      </c>
      <c r="E23" t="s">
        <v>9</v>
      </c>
      <c r="G23" t="s">
        <v>10</v>
      </c>
      <c r="I23" t="s">
        <v>107</v>
      </c>
      <c r="K23" t="s">
        <v>108</v>
      </c>
      <c r="M23" t="s">
        <v>109</v>
      </c>
      <c r="O23">
        <v>1</v>
      </c>
      <c r="P23" s="14" t="s">
        <v>129</v>
      </c>
      <c r="Q23">
        <v>99.2</v>
      </c>
      <c r="R23">
        <v>1</v>
      </c>
      <c r="S23" s="8">
        <v>108</v>
      </c>
      <c r="T23" s="14">
        <v>23</v>
      </c>
      <c r="U23">
        <v>8</v>
      </c>
      <c r="V23">
        <v>129</v>
      </c>
      <c r="W23" s="9"/>
      <c r="X23" s="42">
        <f t="shared" si="0"/>
        <v>2.5234234444730017E-3</v>
      </c>
      <c r="Y23" s="16">
        <f t="shared" si="1"/>
        <v>0.95397088717026102</v>
      </c>
      <c r="AA23" s="25">
        <f>IF(P23="*","-",IFERROR(VLOOKUP(P23,'AESS-W2'!$P$5:$S$107,4,FALSE),"-"))</f>
        <v>4</v>
      </c>
      <c r="AB23" s="25">
        <f>IF(P23="*","-",IFERROR(VLOOKUP(P23,'AESS-W3'!$P$5:$S$129,4,FALSE),"-"))</f>
        <v>429</v>
      </c>
      <c r="AC23" s="25">
        <f>IF(P23="*","-",IFERROR(VLOOKUP(P23,'All MECSM samples'!$P$4:$AD$454,15,FALSE),"-"))</f>
        <v>762</v>
      </c>
      <c r="AD23" s="25"/>
      <c r="AE23">
        <v>100</v>
      </c>
      <c r="AF23">
        <v>19</v>
      </c>
      <c r="AH23">
        <f t="shared" si="2"/>
        <v>1</v>
      </c>
      <c r="AI23">
        <f t="shared" si="3"/>
        <v>1</v>
      </c>
      <c r="AJ23">
        <f t="shared" si="4"/>
        <v>1</v>
      </c>
      <c r="AK23">
        <f t="shared" si="5"/>
        <v>1</v>
      </c>
      <c r="AL23" s="11">
        <f>SUM(AH$5:AH23)/SUM(AK$5:AK23)</f>
        <v>1</v>
      </c>
      <c r="AM23" s="11">
        <f>SUM(AI$5:AI23)/SUM(AK$5:AK23)</f>
        <v>0.57894736842105265</v>
      </c>
      <c r="AN23" s="11">
        <f>SUM(AJ$5:AJ23)/SUM(AL$5:AL23)</f>
        <v>0.94736842105263153</v>
      </c>
    </row>
    <row r="24" spans="1:63" x14ac:dyDescent="0.35">
      <c r="A24" s="9" t="s">
        <v>99</v>
      </c>
      <c r="B24">
        <v>233</v>
      </c>
      <c r="C24" t="s">
        <v>7</v>
      </c>
      <c r="D24" t="s">
        <v>8</v>
      </c>
      <c r="E24" t="s">
        <v>32</v>
      </c>
      <c r="O24">
        <v>1</v>
      </c>
      <c r="P24" s="14" t="s">
        <v>217</v>
      </c>
      <c r="Q24">
        <v>87</v>
      </c>
      <c r="R24">
        <v>3</v>
      </c>
      <c r="S24" s="8">
        <v>125</v>
      </c>
      <c r="T24" s="14">
        <v>58</v>
      </c>
      <c r="U24">
        <v>9</v>
      </c>
      <c r="V24">
        <v>41</v>
      </c>
      <c r="X24" s="26">
        <f t="shared" si="0"/>
        <v>2.9206289866585667E-3</v>
      </c>
      <c r="Y24" s="12">
        <f t="shared" si="1"/>
        <v>0.95689151615691959</v>
      </c>
      <c r="AA24" s="25">
        <f>IF(P24="*","-",IFERROR(VLOOKUP(P24,'AESS-W2'!$P$5:$S$107,4,FALSE),"-"))</f>
        <v>8</v>
      </c>
      <c r="AB24" s="25" t="str">
        <f>IF(P24="*","-",IFERROR(VLOOKUP(P24,'AESS-W3'!$P$5:$S$129,4,FALSE),"-"))</f>
        <v>-</v>
      </c>
      <c r="AC24" s="25">
        <f>IF(P24="*","-",IFERROR(VLOOKUP(P24,'All MECSM samples'!$P$4:$AD$454,15,FALSE),"-"))</f>
        <v>257</v>
      </c>
      <c r="AD24" s="25"/>
      <c r="AE24">
        <v>100</v>
      </c>
      <c r="AF24">
        <v>35</v>
      </c>
      <c r="AH24">
        <f t="shared" si="2"/>
        <v>1</v>
      </c>
      <c r="AI24">
        <f t="shared" si="3"/>
        <v>1</v>
      </c>
      <c r="AJ24">
        <f t="shared" si="4"/>
        <v>1</v>
      </c>
      <c r="AK24">
        <f t="shared" si="5"/>
        <v>1</v>
      </c>
      <c r="AL24" s="11">
        <f>SUM(AH$5:AH24)/SUM(AK$5:AK24)</f>
        <v>1</v>
      </c>
      <c r="AM24" s="11">
        <f>SUM(AI$5:AI24)/SUM(AK$5:AK24)</f>
        <v>0.6</v>
      </c>
      <c r="AN24" s="11">
        <f>SUM(AJ$5:AJ24)/SUM(AL$5:AL24)</f>
        <v>0.95</v>
      </c>
    </row>
    <row r="25" spans="1:63" x14ac:dyDescent="0.35">
      <c r="A25" s="9" t="s">
        <v>106</v>
      </c>
      <c r="B25">
        <v>231</v>
      </c>
      <c r="C25" t="s">
        <v>7</v>
      </c>
      <c r="D25" t="s">
        <v>8</v>
      </c>
      <c r="O25">
        <v>0.94</v>
      </c>
      <c r="P25" s="14" t="s">
        <v>98</v>
      </c>
      <c r="Q25">
        <v>0</v>
      </c>
      <c r="R25">
        <v>1</v>
      </c>
      <c r="S25" s="8">
        <v>161</v>
      </c>
      <c r="T25" s="14">
        <v>70</v>
      </c>
      <c r="U25">
        <v>0</v>
      </c>
      <c r="V25">
        <v>0</v>
      </c>
      <c r="W25" s="9"/>
      <c r="X25" s="42">
        <f t="shared" si="0"/>
        <v>3.7617701348162339E-3</v>
      </c>
      <c r="Y25" s="16">
        <f t="shared" si="1"/>
        <v>0.96065328629173585</v>
      </c>
      <c r="AA25" s="25" t="str">
        <f>IF(P25="*","-",IFERROR(VLOOKUP(P25,'AESS-W2'!$P$5:$S$107,4,FALSE),"-"))</f>
        <v>-</v>
      </c>
      <c r="AB25" s="25" t="str">
        <f>IF(P25="*","-",IFERROR(VLOOKUP(P25,'AESS-W3'!$P$5:$S$129,4,FALSE),"-"))</f>
        <v>-</v>
      </c>
      <c r="AC25" s="25" t="str">
        <f>IF(P25="*","-",IFERROR(VLOOKUP(P25,'All MECSM samples'!$P$4:$AD$454,15,FALSE),"-"))</f>
        <v>-</v>
      </c>
      <c r="AD25" s="25"/>
      <c r="AE25">
        <v>100</v>
      </c>
      <c r="AF25">
        <v>40</v>
      </c>
      <c r="AH25">
        <f t="shared" si="2"/>
        <v>1</v>
      </c>
      <c r="AI25">
        <f t="shared" si="3"/>
        <v>0</v>
      </c>
      <c r="AJ25">
        <f t="shared" si="4"/>
        <v>0</v>
      </c>
      <c r="AK25">
        <f t="shared" si="5"/>
        <v>1</v>
      </c>
      <c r="AL25" s="11">
        <f>SUM(AH$5:AH25)/SUM(AK$5:AK25)</f>
        <v>1</v>
      </c>
      <c r="AM25" s="11">
        <f>SUM(AI$5:AI25)/SUM(AK$5:AK25)</f>
        <v>0.5714285714285714</v>
      </c>
      <c r="AN25" s="11">
        <f>SUM(AJ$5:AJ25)/SUM(AL$5:AL25)</f>
        <v>0.90476190476190477</v>
      </c>
    </row>
    <row r="26" spans="1:63" x14ac:dyDescent="0.35">
      <c r="A26" s="9" t="s">
        <v>135</v>
      </c>
      <c r="B26">
        <v>226</v>
      </c>
      <c r="C26" t="s">
        <v>7</v>
      </c>
      <c r="D26" t="s">
        <v>8</v>
      </c>
      <c r="E26" t="s">
        <v>9</v>
      </c>
      <c r="G26" t="s">
        <v>10</v>
      </c>
      <c r="I26" t="s">
        <v>107</v>
      </c>
      <c r="K26" t="s">
        <v>308</v>
      </c>
      <c r="M26" t="s">
        <v>309</v>
      </c>
      <c r="O26">
        <v>1</v>
      </c>
      <c r="P26" s="14" t="s">
        <v>310</v>
      </c>
      <c r="Q26">
        <v>98.8</v>
      </c>
      <c r="R26">
        <v>2</v>
      </c>
      <c r="S26" s="8">
        <v>25</v>
      </c>
      <c r="T26" s="14">
        <v>8</v>
      </c>
      <c r="U26">
        <v>0</v>
      </c>
      <c r="V26">
        <v>193</v>
      </c>
      <c r="X26" s="26">
        <f t="shared" si="0"/>
        <v>5.8412579733171336E-4</v>
      </c>
      <c r="Y26" s="12">
        <f t="shared" si="1"/>
        <v>0.96123741208906754</v>
      </c>
      <c r="AA26" s="25" t="str">
        <f>IF(P26="*","-",IFERROR(VLOOKUP(P26,'AESS-W2'!$P$5:$S$107,4,FALSE),"-"))</f>
        <v>-</v>
      </c>
      <c r="AB26" s="25" t="str">
        <f>IF(P26="*","-",IFERROR(VLOOKUP(P26,'AESS-W3'!$P$5:$S$129,4,FALSE),"-"))</f>
        <v>-</v>
      </c>
      <c r="AC26" s="25" t="str">
        <f>IF(P26="*","-",IFERROR(VLOOKUP(P26,'All MECSM samples'!$P$4:$AD$454,15,FALSE),"-"))</f>
        <v>-</v>
      </c>
      <c r="AD26" s="25"/>
      <c r="AE26">
        <v>100</v>
      </c>
      <c r="AF26">
        <v>6</v>
      </c>
      <c r="AH26">
        <f t="shared" si="2"/>
        <v>1</v>
      </c>
      <c r="AI26">
        <f t="shared" si="3"/>
        <v>0</v>
      </c>
      <c r="AJ26">
        <f t="shared" si="4"/>
        <v>1</v>
      </c>
      <c r="AK26">
        <f t="shared" si="5"/>
        <v>1</v>
      </c>
      <c r="AL26" s="11">
        <f>SUM(AH$5:AH26)/SUM(AK$5:AK26)</f>
        <v>1</v>
      </c>
      <c r="AM26" s="11">
        <f>SUM(AI$5:AI26)/SUM(AK$5:AK26)</f>
        <v>0.54545454545454541</v>
      </c>
      <c r="AN26" s="11">
        <f>SUM(AJ$5:AJ26)/SUM(AL$5:AL26)</f>
        <v>0.90909090909090906</v>
      </c>
    </row>
    <row r="27" spans="1:63" x14ac:dyDescent="0.35">
      <c r="A27" s="9" t="s">
        <v>91</v>
      </c>
      <c r="B27">
        <v>208</v>
      </c>
      <c r="C27" t="s">
        <v>7</v>
      </c>
      <c r="D27" t="s">
        <v>8</v>
      </c>
      <c r="E27" t="s">
        <v>32</v>
      </c>
      <c r="G27" t="s">
        <v>35</v>
      </c>
      <c r="I27" t="s">
        <v>36</v>
      </c>
      <c r="K27" t="s">
        <v>37</v>
      </c>
      <c r="M27" t="s">
        <v>201</v>
      </c>
      <c r="O27">
        <v>0.54</v>
      </c>
      <c r="P27" s="14" t="s">
        <v>202</v>
      </c>
      <c r="Q27">
        <v>86.2</v>
      </c>
      <c r="R27">
        <v>1</v>
      </c>
      <c r="S27" s="8">
        <v>175</v>
      </c>
      <c r="T27" s="14">
        <v>33</v>
      </c>
      <c r="U27">
        <v>0</v>
      </c>
      <c r="V27">
        <v>0</v>
      </c>
      <c r="X27" s="26">
        <f t="shared" si="0"/>
        <v>4.0888805813219936E-3</v>
      </c>
      <c r="Y27" s="12">
        <f t="shared" si="1"/>
        <v>0.9653262926703895</v>
      </c>
      <c r="AA27" s="25" t="str">
        <f>IF(P27="*","-",IFERROR(VLOOKUP(P27,'AESS-W2'!$P$5:$S$107,4,FALSE),"-"))</f>
        <v>-</v>
      </c>
      <c r="AB27" s="25">
        <f>IF(P27="*","-",IFERROR(VLOOKUP(P27,'AESS-W3'!$P$5:$S$129,4,FALSE),"-"))</f>
        <v>4</v>
      </c>
      <c r="AC27" s="25">
        <f>IF(P27="*","-",IFERROR(VLOOKUP(P27,'All MECSM samples'!$P$4:$AD$454,15,FALSE),"-"))</f>
        <v>611</v>
      </c>
      <c r="AD27" s="25"/>
      <c r="AE27">
        <v>100</v>
      </c>
      <c r="AF27">
        <v>38</v>
      </c>
      <c r="AH27">
        <f t="shared" si="2"/>
        <v>1</v>
      </c>
      <c r="AI27">
        <f t="shared" si="3"/>
        <v>0</v>
      </c>
      <c r="AJ27">
        <f t="shared" si="4"/>
        <v>0</v>
      </c>
      <c r="AK27">
        <f t="shared" si="5"/>
        <v>1</v>
      </c>
      <c r="AL27" s="11">
        <f>SUM(AH$5:AH27)/SUM(AK$5:AK27)</f>
        <v>1</v>
      </c>
      <c r="AM27" s="11">
        <f>SUM(AI$5:AI27)/SUM(AK$5:AK27)</f>
        <v>0.52173913043478259</v>
      </c>
      <c r="AN27" s="11">
        <f>SUM(AJ$5:AJ27)/SUM(AL$5:AL27)</f>
        <v>0.86956521739130432</v>
      </c>
    </row>
    <row r="28" spans="1:63" x14ac:dyDescent="0.35">
      <c r="A28" s="9" t="s">
        <v>83</v>
      </c>
      <c r="B28">
        <v>201</v>
      </c>
      <c r="C28" t="s">
        <v>7</v>
      </c>
      <c r="D28" t="s">
        <v>8</v>
      </c>
      <c r="E28" t="s">
        <v>32</v>
      </c>
      <c r="G28" t="s">
        <v>35</v>
      </c>
      <c r="I28" t="s">
        <v>36</v>
      </c>
      <c r="K28" t="s">
        <v>37</v>
      </c>
      <c r="M28" t="s">
        <v>231</v>
      </c>
      <c r="O28">
        <v>1</v>
      </c>
      <c r="P28" s="14" t="s">
        <v>232</v>
      </c>
      <c r="Q28">
        <v>100</v>
      </c>
      <c r="R28">
        <v>1</v>
      </c>
      <c r="S28" s="8">
        <v>104</v>
      </c>
      <c r="T28" s="14">
        <v>16</v>
      </c>
      <c r="U28">
        <v>16</v>
      </c>
      <c r="V28">
        <v>65</v>
      </c>
      <c r="X28" s="26">
        <f t="shared" si="0"/>
        <v>2.4299633168999276E-3</v>
      </c>
      <c r="Y28" s="12">
        <f t="shared" si="1"/>
        <v>0.96775625598728943</v>
      </c>
      <c r="AA28" s="25" t="str">
        <f>IF(P28="*","-",IFERROR(VLOOKUP(P28,'AESS-W2'!$P$5:$S$107,4,FALSE),"-"))</f>
        <v>-</v>
      </c>
      <c r="AB28" s="25" t="str">
        <f>IF(P28="*","-",IFERROR(VLOOKUP(P28,'AESS-W3'!$P$5:$S$129,4,FALSE),"-"))</f>
        <v>-</v>
      </c>
      <c r="AC28" s="25">
        <f>IF(P28="*","-",IFERROR(VLOOKUP(P28,'All MECSM samples'!$P$4:$AD$454,15,FALSE),"-"))</f>
        <v>465</v>
      </c>
      <c r="AD28" s="25"/>
      <c r="AE28">
        <v>100</v>
      </c>
      <c r="AF28">
        <v>10</v>
      </c>
      <c r="AH28">
        <f t="shared" si="2"/>
        <v>1</v>
      </c>
      <c r="AI28">
        <f t="shared" si="3"/>
        <v>1</v>
      </c>
      <c r="AJ28">
        <f t="shared" si="4"/>
        <v>1</v>
      </c>
      <c r="AK28">
        <f t="shared" si="5"/>
        <v>1</v>
      </c>
      <c r="AL28" s="11">
        <f>SUM(AH$5:AH28)/SUM(AK$5:AK28)</f>
        <v>1</v>
      </c>
      <c r="AM28" s="11">
        <f>SUM(AI$5:AI28)/SUM(AK$5:AK28)</f>
        <v>0.54166666666666663</v>
      </c>
      <c r="AN28" s="11">
        <f>SUM(AJ$5:AJ28)/SUM(AL$5:AL28)</f>
        <v>0.875</v>
      </c>
    </row>
    <row r="29" spans="1:63" x14ac:dyDescent="0.35">
      <c r="A29" s="9" t="s">
        <v>93</v>
      </c>
      <c r="B29">
        <v>143</v>
      </c>
      <c r="C29" t="s">
        <v>7</v>
      </c>
      <c r="D29" t="s">
        <v>8</v>
      </c>
      <c r="E29" t="s">
        <v>120</v>
      </c>
      <c r="G29" t="s">
        <v>121</v>
      </c>
      <c r="I29" t="s">
        <v>122</v>
      </c>
      <c r="K29" t="s">
        <v>123</v>
      </c>
      <c r="M29" t="s">
        <v>124</v>
      </c>
      <c r="O29">
        <v>1</v>
      </c>
      <c r="P29" s="14" t="s">
        <v>125</v>
      </c>
      <c r="Q29">
        <v>99.6</v>
      </c>
      <c r="R29">
        <v>1</v>
      </c>
      <c r="S29" s="8">
        <v>109</v>
      </c>
      <c r="T29" s="14">
        <v>34</v>
      </c>
      <c r="U29">
        <v>0</v>
      </c>
      <c r="V29">
        <v>0</v>
      </c>
      <c r="W29" s="9"/>
      <c r="X29" s="42">
        <f t="shared" si="0"/>
        <v>2.5467884763662701E-3</v>
      </c>
      <c r="Y29" s="16">
        <f t="shared" si="1"/>
        <v>0.97030304446365567</v>
      </c>
      <c r="AA29" s="25">
        <f>IF(P29="*","-",IFERROR(VLOOKUP(P29,'AESS-W2'!$P$5:$S$107,4,FALSE),"-"))</f>
        <v>4</v>
      </c>
      <c r="AB29" s="25">
        <f>IF(P29="*","-",IFERROR(VLOOKUP(P29,'AESS-W3'!$P$5:$S$129,4,FALSE),"-"))</f>
        <v>8</v>
      </c>
      <c r="AC29" s="25">
        <f>IF(P29="*","-",IFERROR(VLOOKUP(P29,'All MECSM samples'!$P$4:$AD$454,15,FALSE),"-"))</f>
        <v>799</v>
      </c>
      <c r="AD29" s="25"/>
      <c r="AE29">
        <v>100</v>
      </c>
      <c r="AF29">
        <v>31</v>
      </c>
      <c r="AH29">
        <f t="shared" si="2"/>
        <v>1</v>
      </c>
      <c r="AI29">
        <f t="shared" si="3"/>
        <v>0</v>
      </c>
      <c r="AJ29">
        <f t="shared" si="4"/>
        <v>0</v>
      </c>
      <c r="AK29">
        <f t="shared" si="5"/>
        <v>1</v>
      </c>
      <c r="AL29" s="11">
        <f>SUM(AH$5:AH29)/SUM(AK$5:AK29)</f>
        <v>1</v>
      </c>
      <c r="AM29" s="11">
        <f>SUM(AI$5:AI29)/SUM(AK$5:AK29)</f>
        <v>0.52</v>
      </c>
      <c r="AN29" s="11">
        <f>SUM(AJ$5:AJ29)/SUM(AL$5:AL29)</f>
        <v>0.84</v>
      </c>
    </row>
    <row r="30" spans="1:63" x14ac:dyDescent="0.35">
      <c r="A30" s="9" t="s">
        <v>89</v>
      </c>
      <c r="B30">
        <v>134</v>
      </c>
      <c r="C30" t="s">
        <v>7</v>
      </c>
      <c r="D30" t="s">
        <v>8</v>
      </c>
      <c r="E30" t="s">
        <v>32</v>
      </c>
      <c r="G30" t="s">
        <v>35</v>
      </c>
      <c r="I30" t="s">
        <v>36</v>
      </c>
      <c r="K30" t="s">
        <v>143</v>
      </c>
      <c r="O30">
        <v>0.87</v>
      </c>
      <c r="P30" s="14" t="s">
        <v>144</v>
      </c>
      <c r="Q30">
        <v>91.7</v>
      </c>
      <c r="R30">
        <v>1</v>
      </c>
      <c r="S30" s="8">
        <v>53</v>
      </c>
      <c r="T30" s="14">
        <v>13</v>
      </c>
      <c r="U30">
        <v>15</v>
      </c>
      <c r="V30">
        <v>53</v>
      </c>
      <c r="W30" s="9"/>
      <c r="X30" s="42">
        <f t="shared" si="0"/>
        <v>1.2383466903432324E-3</v>
      </c>
      <c r="Y30" s="16">
        <f t="shared" si="1"/>
        <v>0.97154139115399896</v>
      </c>
      <c r="AA30" s="25">
        <f>IF(P30="*","-",IFERROR(VLOOKUP(P30,'AESS-W2'!$P$5:$S$107,4,FALSE),"-"))</f>
        <v>112</v>
      </c>
      <c r="AB30" s="25">
        <f>IF(P30="*","-",IFERROR(VLOOKUP(P30,'AESS-W3'!$P$5:$S$129,4,FALSE),"-"))</f>
        <v>119</v>
      </c>
      <c r="AC30" s="25">
        <f>IF(P30="*","-",IFERROR(VLOOKUP(P30,'All MECSM samples'!$P$4:$AD$454,15,FALSE),"-"))</f>
        <v>1118</v>
      </c>
      <c r="AD30" s="25"/>
      <c r="AE30">
        <v>100</v>
      </c>
      <c r="AF30">
        <v>15</v>
      </c>
      <c r="AH30">
        <f t="shared" si="2"/>
        <v>1</v>
      </c>
      <c r="AI30">
        <f t="shared" si="3"/>
        <v>1</v>
      </c>
      <c r="AJ30">
        <f t="shared" si="4"/>
        <v>1</v>
      </c>
      <c r="AK30">
        <f t="shared" si="5"/>
        <v>1</v>
      </c>
      <c r="AL30" s="11">
        <f>SUM(AH$5:AH30)/SUM(AK$5:AK30)</f>
        <v>1</v>
      </c>
      <c r="AM30" s="11">
        <f>SUM(AI$5:AI30)/SUM(AK$5:AK30)</f>
        <v>0.53846153846153844</v>
      </c>
      <c r="AN30" s="11">
        <f>SUM(AJ$5:AJ30)/SUM(AL$5:AL30)</f>
        <v>0.84615384615384615</v>
      </c>
    </row>
    <row r="31" spans="1:63" s="14" customFormat="1" x14ac:dyDescent="0.35">
      <c r="A31" s="9" t="s">
        <v>145</v>
      </c>
      <c r="B31">
        <v>129</v>
      </c>
      <c r="C31" t="s">
        <v>7</v>
      </c>
      <c r="D31" t="s">
        <v>8</v>
      </c>
      <c r="E31" t="s">
        <v>46</v>
      </c>
      <c r="F31"/>
      <c r="G31" t="s">
        <v>47</v>
      </c>
      <c r="H31"/>
      <c r="I31" t="s">
        <v>61</v>
      </c>
      <c r="J31"/>
      <c r="K31"/>
      <c r="L31"/>
      <c r="M31"/>
      <c r="N31"/>
      <c r="O31">
        <v>0.69</v>
      </c>
      <c r="P31" s="14" t="s">
        <v>604</v>
      </c>
      <c r="Q31">
        <v>88.5</v>
      </c>
      <c r="R31">
        <v>1</v>
      </c>
      <c r="S31" s="8">
        <v>0</v>
      </c>
      <c r="T31" s="14">
        <v>0</v>
      </c>
      <c r="U31">
        <v>0</v>
      </c>
      <c r="V31">
        <v>129</v>
      </c>
      <c r="W31" s="9"/>
      <c r="X31" s="42">
        <f t="shared" si="0"/>
        <v>0</v>
      </c>
      <c r="Y31" s="16">
        <f t="shared" si="1"/>
        <v>0.97154139115399896</v>
      </c>
      <c r="Z31"/>
      <c r="AA31" s="25" t="str">
        <f>IF(P31="*","-",IFERROR(VLOOKUP(P31,'AESS-W2'!$P$5:$S$107,4,FALSE),"-"))</f>
        <v>-</v>
      </c>
      <c r="AB31" s="25" t="str">
        <f>IF(P31="*","-",IFERROR(VLOOKUP(P31,'AESS-W3'!$P$5:$S$129,4,FALSE),"-"))</f>
        <v>-</v>
      </c>
      <c r="AC31" s="25" t="str">
        <f>IF(P31="*","-",IFERROR(VLOOKUP(P31,'All MECSM samples'!$P$4:$AD$454,15,FALSE),"-"))</f>
        <v>-</v>
      </c>
      <c r="AD31" s="25"/>
      <c r="AE31">
        <v>91</v>
      </c>
      <c r="AF31">
        <v>19</v>
      </c>
      <c r="AG31"/>
      <c r="AH31">
        <f t="shared" si="2"/>
        <v>0</v>
      </c>
      <c r="AI31">
        <f t="shared" si="3"/>
        <v>0</v>
      </c>
      <c r="AJ31">
        <f t="shared" si="4"/>
        <v>0</v>
      </c>
      <c r="AK31">
        <f t="shared" si="5"/>
        <v>0</v>
      </c>
      <c r="AL31" s="11">
        <f>SUM(AH$5:AH31)/SUM(AK$5:AK31)</f>
        <v>1</v>
      </c>
      <c r="AM31" s="11">
        <f>SUM(AI$5:AI31)/SUM(AK$5:AK31)</f>
        <v>0.53846153846153844</v>
      </c>
      <c r="AN31" s="11">
        <f>SUM(AJ$5:AJ31)/SUM(AL$5:AL31)</f>
        <v>0.81481481481481477</v>
      </c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9" customFormat="1" x14ac:dyDescent="0.35">
      <c r="A32" s="9" t="s">
        <v>87</v>
      </c>
      <c r="B32">
        <v>109</v>
      </c>
      <c r="C32" t="s">
        <v>7</v>
      </c>
      <c r="D32" t="s">
        <v>8</v>
      </c>
      <c r="E32" t="s">
        <v>32</v>
      </c>
      <c r="F32"/>
      <c r="G32"/>
      <c r="H32"/>
      <c r="I32"/>
      <c r="J32"/>
      <c r="K32"/>
      <c r="L32"/>
      <c r="M32"/>
      <c r="N32"/>
      <c r="O32">
        <v>0.96</v>
      </c>
      <c r="P32" s="14" t="s">
        <v>285</v>
      </c>
      <c r="Q32">
        <v>88.1</v>
      </c>
      <c r="R32">
        <v>4</v>
      </c>
      <c r="S32" s="8">
        <v>38</v>
      </c>
      <c r="T32" s="14">
        <v>37</v>
      </c>
      <c r="U32">
        <v>6</v>
      </c>
      <c r="V32">
        <v>28</v>
      </c>
      <c r="W32" s="14"/>
      <c r="X32" s="42">
        <f t="shared" si="0"/>
        <v>8.878712119442043E-4</v>
      </c>
      <c r="Y32" s="20">
        <f t="shared" si="1"/>
        <v>0.97242926236594318</v>
      </c>
      <c r="Z32" s="14"/>
      <c r="AA32" s="25" t="str">
        <f>IF(P32="*","-",IFERROR(VLOOKUP(P32,'AESS-W2'!$P$5:$S$107,4,FALSE),"-"))</f>
        <v>-</v>
      </c>
      <c r="AB32" s="25" t="str">
        <f>IF(P32="*","-",IFERROR(VLOOKUP(P32,'AESS-W3'!$P$5:$S$129,4,FALSE),"-"))</f>
        <v>-</v>
      </c>
      <c r="AC32" s="25">
        <f>IF(P32="*","-",IFERROR(VLOOKUP(P32,'All MECSM samples'!$P$4:$AD$454,15,FALSE),"-"))</f>
        <v>242</v>
      </c>
      <c r="AD32" s="25"/>
      <c r="AE32">
        <v>100</v>
      </c>
      <c r="AF32">
        <v>10</v>
      </c>
      <c r="AG32"/>
      <c r="AH32">
        <f t="shared" si="2"/>
        <v>1</v>
      </c>
      <c r="AI32">
        <f t="shared" si="3"/>
        <v>1</v>
      </c>
      <c r="AJ32">
        <f t="shared" si="4"/>
        <v>1</v>
      </c>
      <c r="AK32">
        <f t="shared" si="5"/>
        <v>1</v>
      </c>
      <c r="AL32" s="11">
        <f>SUM(AH$5:AH32)/SUM(AK$5:AK32)</f>
        <v>1</v>
      </c>
      <c r="AM32" s="11">
        <f>SUM(AI$5:AI32)/SUM(AK$5:AK32)</f>
        <v>0.55555555555555558</v>
      </c>
      <c r="AN32" s="11">
        <f>SUM(AJ$5:AJ32)/SUM(AL$5:AL32)</f>
        <v>0.8214285714285714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14" customFormat="1" x14ac:dyDescent="0.35">
      <c r="A33" s="9" t="s">
        <v>294</v>
      </c>
      <c r="B33">
        <v>104</v>
      </c>
      <c r="C33" t="s">
        <v>7</v>
      </c>
      <c r="D33" t="s">
        <v>8</v>
      </c>
      <c r="E33" t="s">
        <v>9</v>
      </c>
      <c r="F33"/>
      <c r="G33" t="s">
        <v>243</v>
      </c>
      <c r="H33"/>
      <c r="I33" t="s">
        <v>244</v>
      </c>
      <c r="J33"/>
      <c r="K33" t="s">
        <v>245</v>
      </c>
      <c r="L33"/>
      <c r="M33" t="s">
        <v>246</v>
      </c>
      <c r="N33"/>
      <c r="O33">
        <v>0.98</v>
      </c>
      <c r="P33" s="14" t="s">
        <v>247</v>
      </c>
      <c r="Q33">
        <v>99.2</v>
      </c>
      <c r="R33">
        <v>1</v>
      </c>
      <c r="S33" s="8">
        <v>71</v>
      </c>
      <c r="T33" s="14">
        <v>18</v>
      </c>
      <c r="U33">
        <v>15</v>
      </c>
      <c r="V33">
        <v>0</v>
      </c>
      <c r="W33" s="9"/>
      <c r="X33" s="42">
        <f t="shared" si="0"/>
        <v>1.658917264422066E-3</v>
      </c>
      <c r="Y33" s="16">
        <f t="shared" si="1"/>
        <v>0.9740881796303652</v>
      </c>
      <c r="Z33"/>
      <c r="AA33" s="25">
        <f>IF(P33="*","-",IFERROR(VLOOKUP(P33,'AESS-W2'!$P$5:$S$107,4,FALSE),"-"))</f>
        <v>10</v>
      </c>
      <c r="AB33" s="25">
        <f>IF(P33="*","-",IFERROR(VLOOKUP(P33,'AESS-W3'!$P$5:$S$129,4,FALSE),"-"))</f>
        <v>13</v>
      </c>
      <c r="AC33" s="25">
        <f>IF(P33="*","-",IFERROR(VLOOKUP(P33,'All MECSM samples'!$P$4:$AD$454,15,FALSE),"-"))</f>
        <v>7416</v>
      </c>
      <c r="AD33" s="25"/>
      <c r="AE33">
        <v>100</v>
      </c>
      <c r="AF33">
        <v>19</v>
      </c>
      <c r="AG33"/>
      <c r="AH33">
        <f t="shared" si="2"/>
        <v>1</v>
      </c>
      <c r="AI33">
        <f t="shared" si="3"/>
        <v>1</v>
      </c>
      <c r="AJ33">
        <f t="shared" si="4"/>
        <v>0</v>
      </c>
      <c r="AK33">
        <f t="shared" si="5"/>
        <v>1</v>
      </c>
      <c r="AL33" s="11">
        <f>SUM(AH$5:AH33)/SUM(AK$5:AK33)</f>
        <v>1</v>
      </c>
      <c r="AM33" s="11">
        <f>SUM(AI$5:AI33)/SUM(AK$5:AK33)</f>
        <v>0.5714285714285714</v>
      </c>
      <c r="AN33" s="11">
        <f>SUM(AJ$5:AJ33)/SUM(AL$5:AL33)</f>
        <v>0.7931034482758621</v>
      </c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x14ac:dyDescent="0.35">
      <c r="A34" s="9" t="s">
        <v>153</v>
      </c>
      <c r="B34">
        <v>91</v>
      </c>
      <c r="C34" t="s">
        <v>7</v>
      </c>
      <c r="D34" t="s">
        <v>8</v>
      </c>
      <c r="E34" t="s">
        <v>9</v>
      </c>
      <c r="G34" t="s">
        <v>10</v>
      </c>
      <c r="I34" t="s">
        <v>131</v>
      </c>
      <c r="K34" t="s">
        <v>150</v>
      </c>
      <c r="M34" t="s">
        <v>151</v>
      </c>
      <c r="O34">
        <v>0.57999999999999996</v>
      </c>
      <c r="P34" s="14" t="s">
        <v>152</v>
      </c>
      <c r="Q34">
        <v>92.5</v>
      </c>
      <c r="R34">
        <v>2</v>
      </c>
      <c r="S34" s="8">
        <v>59</v>
      </c>
      <c r="T34" s="14">
        <v>32</v>
      </c>
      <c r="U34">
        <v>0</v>
      </c>
      <c r="V34">
        <v>0</v>
      </c>
      <c r="W34" s="9"/>
      <c r="X34" s="42">
        <f t="shared" si="0"/>
        <v>1.3785368817028436E-3</v>
      </c>
      <c r="Y34" s="16">
        <f t="shared" si="1"/>
        <v>0.97546671651206807</v>
      </c>
      <c r="AA34" s="25">
        <f>IF(P34="*","-",IFERROR(VLOOKUP(P34,'AESS-W2'!$P$5:$S$107,4,FALSE),"-"))</f>
        <v>220</v>
      </c>
      <c r="AB34" s="25">
        <f>IF(P34="*","-",IFERROR(VLOOKUP(P34,'AESS-W3'!$P$5:$S$129,4,FALSE),"-"))</f>
        <v>108</v>
      </c>
      <c r="AC34" s="25">
        <f>IF(P34="*","-",IFERROR(VLOOKUP(P34,'All MECSM samples'!$P$4:$AD$454,15,FALSE),"-"))</f>
        <v>577</v>
      </c>
      <c r="AD34" s="25"/>
      <c r="AE34">
        <v>100</v>
      </c>
      <c r="AF34">
        <v>19</v>
      </c>
      <c r="AH34">
        <f t="shared" si="2"/>
        <v>1</v>
      </c>
      <c r="AI34">
        <f t="shared" si="3"/>
        <v>0</v>
      </c>
      <c r="AJ34">
        <f t="shared" si="4"/>
        <v>0</v>
      </c>
      <c r="AK34">
        <f t="shared" si="5"/>
        <v>1</v>
      </c>
      <c r="AL34" s="11">
        <f>SUM(AH$5:AH34)/SUM(AK$5:AK34)</f>
        <v>1</v>
      </c>
      <c r="AM34" s="11">
        <f>SUM(AI$5:AI34)/SUM(AK$5:AK34)</f>
        <v>0.55172413793103448</v>
      </c>
      <c r="AN34" s="11">
        <f>SUM(AJ$5:AJ34)/SUM(AL$5:AL34)</f>
        <v>0.76666666666666672</v>
      </c>
    </row>
    <row r="35" spans="1:63" x14ac:dyDescent="0.35">
      <c r="A35" s="9" t="s">
        <v>602</v>
      </c>
      <c r="B35">
        <v>86</v>
      </c>
      <c r="C35" t="s">
        <v>7</v>
      </c>
      <c r="D35" t="s">
        <v>8</v>
      </c>
      <c r="E35" t="s">
        <v>46</v>
      </c>
      <c r="G35" t="s">
        <v>47</v>
      </c>
      <c r="I35" t="s">
        <v>61</v>
      </c>
      <c r="K35" t="s">
        <v>210</v>
      </c>
      <c r="M35" t="s">
        <v>211</v>
      </c>
      <c r="O35">
        <v>1</v>
      </c>
      <c r="P35" s="14" t="s">
        <v>212</v>
      </c>
      <c r="Q35">
        <v>96.8</v>
      </c>
      <c r="R35">
        <v>1</v>
      </c>
      <c r="S35" s="8">
        <v>53</v>
      </c>
      <c r="T35" s="14">
        <v>21</v>
      </c>
      <c r="U35">
        <v>0</v>
      </c>
      <c r="V35">
        <v>12</v>
      </c>
      <c r="W35" s="9"/>
      <c r="X35" s="42">
        <f t="shared" si="0"/>
        <v>1.2383466903432324E-3</v>
      </c>
      <c r="Y35" s="16">
        <f t="shared" si="1"/>
        <v>0.97670506320241135</v>
      </c>
      <c r="AA35" s="25">
        <f>IF(P35="*","-",IFERROR(VLOOKUP(P35,'AESS-W2'!$P$5:$S$107,4,FALSE),"-"))</f>
        <v>4</v>
      </c>
      <c r="AB35" s="25">
        <f>IF(P35="*","-",IFERROR(VLOOKUP(P35,'AESS-W3'!$P$5:$S$129,4,FALSE),"-"))</f>
        <v>61</v>
      </c>
      <c r="AC35" s="25">
        <f>IF(P35="*","-",IFERROR(VLOOKUP(P35,'All MECSM samples'!$P$4:$AD$454,15,FALSE),"-"))</f>
        <v>439</v>
      </c>
      <c r="AD35" s="25"/>
      <c r="AE35">
        <v>100</v>
      </c>
      <c r="AF35">
        <v>12</v>
      </c>
      <c r="AH35">
        <f t="shared" si="2"/>
        <v>1</v>
      </c>
      <c r="AI35">
        <f t="shared" si="3"/>
        <v>0</v>
      </c>
      <c r="AJ35">
        <f t="shared" si="4"/>
        <v>1</v>
      </c>
      <c r="AK35">
        <f t="shared" si="5"/>
        <v>1</v>
      </c>
      <c r="AL35" s="11">
        <f>SUM(AH$5:AH35)/SUM(AK$5:AK35)</f>
        <v>1</v>
      </c>
      <c r="AM35" s="11">
        <f>SUM(AI$5:AI35)/SUM(AK$5:AK35)</f>
        <v>0.53333333333333333</v>
      </c>
      <c r="AN35" s="11">
        <f>SUM(AJ$5:AJ35)/SUM(AL$5:AL35)</f>
        <v>0.77419354838709675</v>
      </c>
    </row>
    <row r="36" spans="1:63" x14ac:dyDescent="0.35">
      <c r="A36" s="9" t="s">
        <v>130</v>
      </c>
      <c r="B36">
        <v>78</v>
      </c>
      <c r="C36" t="s">
        <v>7</v>
      </c>
      <c r="D36" t="s">
        <v>8</v>
      </c>
      <c r="E36" t="s">
        <v>9</v>
      </c>
      <c r="G36" t="s">
        <v>10</v>
      </c>
      <c r="I36" t="s">
        <v>131</v>
      </c>
      <c r="K36" t="s">
        <v>150</v>
      </c>
      <c r="M36" t="s">
        <v>278</v>
      </c>
      <c r="O36">
        <v>0.75</v>
      </c>
      <c r="P36" s="14" t="s">
        <v>152</v>
      </c>
      <c r="Q36">
        <v>95.3</v>
      </c>
      <c r="R36">
        <v>1</v>
      </c>
      <c r="S36" s="8">
        <v>54</v>
      </c>
      <c r="T36" s="14">
        <v>24</v>
      </c>
      <c r="U36">
        <v>0</v>
      </c>
      <c r="V36">
        <v>0</v>
      </c>
      <c r="W36" s="9"/>
      <c r="X36" s="42">
        <f t="shared" si="0"/>
        <v>1.2617117222365009E-3</v>
      </c>
      <c r="Y36" s="16">
        <f t="shared" si="1"/>
        <v>0.9779667749246479</v>
      </c>
      <c r="AA36" s="25">
        <f>IF(P36="*","-",IFERROR(VLOOKUP(P36,'AESS-W2'!$P$5:$S$107,4,FALSE),"-"))</f>
        <v>220</v>
      </c>
      <c r="AB36" s="25">
        <f>IF(P36="*","-",IFERROR(VLOOKUP(P36,'AESS-W3'!$P$5:$S$129,4,FALSE),"-"))</f>
        <v>108</v>
      </c>
      <c r="AC36" s="25">
        <f>IF(P36="*","-",IFERROR(VLOOKUP(P36,'All MECSM samples'!$P$4:$AD$454,15,FALSE),"-"))</f>
        <v>577</v>
      </c>
      <c r="AD36" s="25"/>
      <c r="AE36">
        <v>100</v>
      </c>
      <c r="AF36">
        <v>12</v>
      </c>
      <c r="AH36">
        <f t="shared" si="2"/>
        <v>1</v>
      </c>
      <c r="AI36">
        <f t="shared" si="3"/>
        <v>0</v>
      </c>
      <c r="AJ36">
        <f t="shared" si="4"/>
        <v>0</v>
      </c>
      <c r="AK36">
        <f t="shared" si="5"/>
        <v>1</v>
      </c>
      <c r="AL36" s="11">
        <f>SUM(AH$5:AH36)/SUM(AK$5:AK36)</f>
        <v>1</v>
      </c>
      <c r="AM36" s="11">
        <f>SUM(AI$5:AI36)/SUM(AK$5:AK36)</f>
        <v>0.5161290322580645</v>
      </c>
      <c r="AN36" s="11">
        <f>SUM(AJ$5:AJ36)/SUM(AL$5:AL36)</f>
        <v>0.75</v>
      </c>
    </row>
    <row r="37" spans="1:63" x14ac:dyDescent="0.35">
      <c r="A37" s="9" t="s">
        <v>111</v>
      </c>
      <c r="B37">
        <v>78</v>
      </c>
      <c r="C37" t="s">
        <v>7</v>
      </c>
      <c r="D37" t="s">
        <v>8</v>
      </c>
      <c r="E37" t="s">
        <v>46</v>
      </c>
      <c r="G37" t="s">
        <v>47</v>
      </c>
      <c r="I37" t="s">
        <v>61</v>
      </c>
      <c r="O37">
        <v>0.73</v>
      </c>
      <c r="P37" s="14" t="s">
        <v>98</v>
      </c>
      <c r="Q37">
        <v>0</v>
      </c>
      <c r="R37">
        <v>1</v>
      </c>
      <c r="S37" s="8">
        <v>43</v>
      </c>
      <c r="T37" s="14">
        <v>35</v>
      </c>
      <c r="U37">
        <v>0</v>
      </c>
      <c r="V37">
        <v>0</v>
      </c>
      <c r="W37" s="9"/>
      <c r="X37" s="42">
        <f t="shared" ref="X37:X68" si="6">S37/S$1</f>
        <v>1.0046963714105471E-3</v>
      </c>
      <c r="Y37" s="16">
        <f t="shared" si="1"/>
        <v>0.97897147129605844</v>
      </c>
      <c r="AA37" s="25" t="str">
        <f>IF(P37="*","-",IFERROR(VLOOKUP(P37,'AESS-W2'!$P$5:$S$107,4,FALSE),"-"))</f>
        <v>-</v>
      </c>
      <c r="AB37" s="25" t="str">
        <f>IF(P37="*","-",IFERROR(VLOOKUP(P37,'AESS-W3'!$P$5:$S$129,4,FALSE),"-"))</f>
        <v>-</v>
      </c>
      <c r="AC37" s="25" t="str">
        <f>IF(P37="*","-",IFERROR(VLOOKUP(P37,'All MECSM samples'!$P$4:$AD$454,15,FALSE),"-"))</f>
        <v>-</v>
      </c>
      <c r="AD37" s="25"/>
      <c r="AE37">
        <v>100</v>
      </c>
      <c r="AF37">
        <v>22</v>
      </c>
      <c r="AH37">
        <f t="shared" si="2"/>
        <v>1</v>
      </c>
      <c r="AI37">
        <f t="shared" si="3"/>
        <v>0</v>
      </c>
      <c r="AJ37">
        <f t="shared" si="4"/>
        <v>0</v>
      </c>
      <c r="AK37">
        <f t="shared" si="5"/>
        <v>1</v>
      </c>
      <c r="AL37" s="11">
        <f>SUM(AH$5:AH37)/SUM(AK$5:AK37)</f>
        <v>1</v>
      </c>
      <c r="AM37" s="11">
        <f>SUM(AI$5:AI37)/SUM(AK$5:AK37)</f>
        <v>0.5</v>
      </c>
      <c r="AN37" s="11">
        <f>SUM(AJ$5:AJ37)/SUM(AL$5:AL37)</f>
        <v>0.72727272727272729</v>
      </c>
    </row>
    <row r="38" spans="1:63" x14ac:dyDescent="0.35">
      <c r="A38" s="9" t="s">
        <v>356</v>
      </c>
      <c r="B38">
        <v>65</v>
      </c>
      <c r="C38" t="s">
        <v>7</v>
      </c>
      <c r="D38" t="s">
        <v>8</v>
      </c>
      <c r="E38" t="s">
        <v>165</v>
      </c>
      <c r="G38" t="s">
        <v>166</v>
      </c>
      <c r="I38" t="s">
        <v>167</v>
      </c>
      <c r="K38" t="s">
        <v>168</v>
      </c>
      <c r="M38" t="s">
        <v>198</v>
      </c>
      <c r="O38">
        <v>0.89</v>
      </c>
      <c r="P38" s="14" t="s">
        <v>199</v>
      </c>
      <c r="Q38">
        <v>91.7</v>
      </c>
      <c r="R38">
        <v>1</v>
      </c>
      <c r="S38" s="8">
        <v>60</v>
      </c>
      <c r="T38" s="14">
        <v>5</v>
      </c>
      <c r="U38">
        <v>0</v>
      </c>
      <c r="V38">
        <v>0</v>
      </c>
      <c r="W38" s="9"/>
      <c r="X38" s="42">
        <f t="shared" si="6"/>
        <v>1.4019019135961121E-3</v>
      </c>
      <c r="Y38" s="53">
        <f t="shared" ref="Y38:Y69" si="7">Y37+X38</f>
        <v>0.98037337320965456</v>
      </c>
      <c r="AA38" s="25" t="str">
        <f>IF(P38="*","-",IFERROR(VLOOKUP(P38,'AESS-W2'!$P$5:$S$107,4,FALSE),"-"))</f>
        <v>-</v>
      </c>
      <c r="AB38" s="25" t="str">
        <f>IF(P38="*","-",IFERROR(VLOOKUP(P38,'AESS-W3'!$P$5:$S$129,4,FALSE),"-"))</f>
        <v>-</v>
      </c>
      <c r="AC38" s="25">
        <f>IF(P38="*","-",IFERROR(VLOOKUP(P38,'All MECSM samples'!$P$4:$AD$454,15,FALSE),"-"))</f>
        <v>128</v>
      </c>
      <c r="AD38" s="25"/>
      <c r="AE38">
        <v>93</v>
      </c>
      <c r="AF38">
        <v>24</v>
      </c>
      <c r="AH38">
        <f t="shared" si="2"/>
        <v>1</v>
      </c>
      <c r="AI38">
        <f t="shared" si="3"/>
        <v>0</v>
      </c>
      <c r="AJ38">
        <f t="shared" si="4"/>
        <v>0</v>
      </c>
      <c r="AK38">
        <f t="shared" si="5"/>
        <v>1</v>
      </c>
      <c r="AL38" s="11">
        <f>SUM(AH$5:AH38)/SUM(AK$5:AK38)</f>
        <v>1</v>
      </c>
      <c r="AM38" s="11">
        <f>SUM(AI$5:AI38)/SUM(AK$5:AK38)</f>
        <v>0.48484848484848486</v>
      </c>
      <c r="AN38" s="11">
        <f>SUM(AJ$5:AJ38)/SUM(AL$5:AL38)</f>
        <v>0.70588235294117652</v>
      </c>
    </row>
    <row r="39" spans="1:63" x14ac:dyDescent="0.35">
      <c r="A39" s="9" t="s">
        <v>113</v>
      </c>
      <c r="B39">
        <v>51</v>
      </c>
      <c r="C39" t="s">
        <v>7</v>
      </c>
      <c r="D39" t="s">
        <v>8</v>
      </c>
      <c r="E39" t="s">
        <v>258</v>
      </c>
      <c r="G39" t="s">
        <v>258</v>
      </c>
      <c r="H39" t="s">
        <v>259</v>
      </c>
      <c r="I39" t="s">
        <v>260</v>
      </c>
      <c r="J39" t="s">
        <v>261</v>
      </c>
      <c r="K39" t="s">
        <v>262</v>
      </c>
      <c r="O39">
        <v>0.59</v>
      </c>
      <c r="P39" s="14" t="s">
        <v>263</v>
      </c>
      <c r="Q39">
        <v>88.5</v>
      </c>
      <c r="R39">
        <v>1</v>
      </c>
      <c r="S39" s="14">
        <v>51</v>
      </c>
      <c r="T39" s="14">
        <v>0</v>
      </c>
      <c r="U39">
        <v>0</v>
      </c>
      <c r="V39">
        <v>0</v>
      </c>
      <c r="W39" s="9"/>
      <c r="X39" s="42">
        <f t="shared" si="6"/>
        <v>1.1916166265566954E-3</v>
      </c>
      <c r="Y39" s="16">
        <f t="shared" si="7"/>
        <v>0.98156498983621121</v>
      </c>
      <c r="AA39" s="25">
        <f>IF(P39="*","-",IFERROR(VLOOKUP(P39,'AESS-W2'!$P$5:$S$107,4,FALSE),"-"))</f>
        <v>14</v>
      </c>
      <c r="AB39" s="25">
        <f>IF(P39="*","-",IFERROR(VLOOKUP(P39,'AESS-W3'!$P$5:$S$129,4,FALSE),"-"))</f>
        <v>14</v>
      </c>
      <c r="AC39" s="61">
        <f>IF(P39="*","-",IFERROR(VLOOKUP(P39,'All MECSM samples'!$P$4:$AD$454,15,FALSE),"-"))</f>
        <v>9732</v>
      </c>
      <c r="AD39" s="25"/>
      <c r="AE39">
        <v>47</v>
      </c>
      <c r="AF39">
        <v>6</v>
      </c>
      <c r="AH39">
        <f t="shared" si="2"/>
        <v>0</v>
      </c>
      <c r="AI39">
        <f t="shared" si="3"/>
        <v>0</v>
      </c>
      <c r="AJ39">
        <f t="shared" si="4"/>
        <v>0</v>
      </c>
      <c r="AK39">
        <f t="shared" si="5"/>
        <v>0</v>
      </c>
      <c r="AL39" s="11">
        <f>SUM(AH$5:AH39)/SUM(AK$5:AK39)</f>
        <v>1</v>
      </c>
      <c r="AM39" s="11">
        <f>SUM(AI$5:AI39)/SUM(AK$5:AK39)</f>
        <v>0.48484848484848486</v>
      </c>
      <c r="AN39" s="11">
        <f>SUM(AJ$5:AJ39)/SUM(AL$5:AL39)</f>
        <v>0.68571428571428572</v>
      </c>
    </row>
    <row r="40" spans="1:63" x14ac:dyDescent="0.35">
      <c r="A40" s="9" t="s">
        <v>272</v>
      </c>
      <c r="B40">
        <v>46</v>
      </c>
      <c r="C40" t="s">
        <v>7</v>
      </c>
      <c r="D40" t="s">
        <v>8</v>
      </c>
      <c r="E40" t="s">
        <v>46</v>
      </c>
      <c r="G40" t="s">
        <v>47</v>
      </c>
      <c r="I40" t="s">
        <v>61</v>
      </c>
      <c r="O40">
        <v>0.94</v>
      </c>
      <c r="P40" s="14" t="s">
        <v>302</v>
      </c>
      <c r="Q40">
        <v>92.1</v>
      </c>
      <c r="R40">
        <v>1</v>
      </c>
      <c r="S40" s="8">
        <v>23</v>
      </c>
      <c r="T40" s="14">
        <v>23</v>
      </c>
      <c r="U40">
        <v>0</v>
      </c>
      <c r="V40">
        <v>0</v>
      </c>
      <c r="W40" s="9"/>
      <c r="X40" s="42">
        <f t="shared" si="6"/>
        <v>5.3739573354517629E-4</v>
      </c>
      <c r="Y40" s="16">
        <f t="shared" si="7"/>
        <v>0.98210238556975638</v>
      </c>
      <c r="AA40" s="25">
        <f>IF(P40="*","-",IFERROR(VLOOKUP(P40,'AESS-W2'!$P$5:$S$107,4,FALSE),"-"))</f>
        <v>4</v>
      </c>
      <c r="AB40" s="25" t="str">
        <f>IF(P40="*","-",IFERROR(VLOOKUP(P40,'AESS-W3'!$P$5:$S$129,4,FALSE),"-"))</f>
        <v>-</v>
      </c>
      <c r="AC40" s="25">
        <f>IF(P40="*","-",IFERROR(VLOOKUP(P40,'All MECSM samples'!$P$4:$AD$454,15,FALSE),"-"))</f>
        <v>469</v>
      </c>
      <c r="AD40" s="25"/>
      <c r="AE40">
        <v>100</v>
      </c>
      <c r="AF40">
        <v>21</v>
      </c>
      <c r="AH40">
        <f t="shared" si="2"/>
        <v>1</v>
      </c>
      <c r="AI40">
        <f t="shared" si="3"/>
        <v>0</v>
      </c>
      <c r="AJ40">
        <f t="shared" si="4"/>
        <v>0</v>
      </c>
      <c r="AK40">
        <f t="shared" si="5"/>
        <v>1</v>
      </c>
      <c r="AL40" s="11">
        <f>SUM(AH$5:AH40)/SUM(AK$5:AK40)</f>
        <v>1</v>
      </c>
      <c r="AM40" s="11">
        <f>SUM(AI$5:AI40)/SUM(AK$5:AK40)</f>
        <v>0.47058823529411764</v>
      </c>
      <c r="AN40" s="11">
        <f>SUM(AJ$5:AJ40)/SUM(AL$5:AL40)</f>
        <v>0.66666666666666663</v>
      </c>
    </row>
    <row r="41" spans="1:63" x14ac:dyDescent="0.35">
      <c r="A41" s="9" t="s">
        <v>128</v>
      </c>
      <c r="B41">
        <v>45</v>
      </c>
      <c r="C41" t="s">
        <v>7</v>
      </c>
      <c r="D41" t="s">
        <v>8</v>
      </c>
      <c r="E41" t="s">
        <v>9</v>
      </c>
      <c r="G41" t="s">
        <v>138</v>
      </c>
      <c r="I41" t="s">
        <v>345</v>
      </c>
      <c r="O41">
        <v>0.63</v>
      </c>
      <c r="P41" s="14" t="s">
        <v>625</v>
      </c>
      <c r="Q41">
        <v>92.1</v>
      </c>
      <c r="R41">
        <v>3</v>
      </c>
      <c r="S41" s="8">
        <v>20</v>
      </c>
      <c r="T41" s="14">
        <v>11</v>
      </c>
      <c r="U41">
        <v>0</v>
      </c>
      <c r="V41">
        <v>14</v>
      </c>
      <c r="W41" s="9"/>
      <c r="X41" s="42">
        <f t="shared" si="6"/>
        <v>4.6730063786537069E-4</v>
      </c>
      <c r="Y41" s="16">
        <f t="shared" si="7"/>
        <v>0.98256968620762175</v>
      </c>
      <c r="Z41" s="9"/>
      <c r="AA41" s="25" t="str">
        <f>IF(P41="*","-",IFERROR(VLOOKUP(P41,'AESS-W2'!$P$5:$S$107,4,FALSE),"-"))</f>
        <v>-</v>
      </c>
      <c r="AB41" s="25" t="str">
        <f>IF(P41="*","-",IFERROR(VLOOKUP(P41,'AESS-W3'!$P$5:$S$129,4,FALSE),"-"))</f>
        <v>-</v>
      </c>
      <c r="AC41" s="25">
        <f>IF(P41="*","-",IFERROR(VLOOKUP(P41,'All MECSM samples'!$P$4:$AD$454,15,FALSE),"-"))</f>
        <v>137</v>
      </c>
      <c r="AD41" s="25"/>
      <c r="AE41">
        <v>100</v>
      </c>
      <c r="AF41">
        <v>8</v>
      </c>
      <c r="AH41">
        <f t="shared" si="2"/>
        <v>1</v>
      </c>
      <c r="AI41">
        <f t="shared" si="3"/>
        <v>0</v>
      </c>
      <c r="AJ41">
        <f t="shared" si="4"/>
        <v>1</v>
      </c>
      <c r="AK41">
        <f t="shared" si="5"/>
        <v>1</v>
      </c>
      <c r="AL41" s="11">
        <f>SUM(AH$5:AH41)/SUM(AK$5:AK41)</f>
        <v>1</v>
      </c>
      <c r="AM41" s="11">
        <f>SUM(AI$5:AI41)/SUM(AK$5:AK41)</f>
        <v>0.45714285714285713</v>
      </c>
      <c r="AN41" s="11">
        <f>SUM(AJ$5:AJ41)/SUM(AL$5:AL41)</f>
        <v>0.67567567567567566</v>
      </c>
    </row>
    <row r="42" spans="1:63" x14ac:dyDescent="0.35">
      <c r="A42" s="9" t="s">
        <v>137</v>
      </c>
      <c r="B42">
        <v>41</v>
      </c>
      <c r="C42" t="s">
        <v>7</v>
      </c>
      <c r="D42" t="s">
        <v>8</v>
      </c>
      <c r="E42" t="s">
        <v>46</v>
      </c>
      <c r="G42" t="s">
        <v>47</v>
      </c>
      <c r="I42" t="s">
        <v>61</v>
      </c>
      <c r="K42" t="s">
        <v>190</v>
      </c>
      <c r="M42" t="s">
        <v>273</v>
      </c>
      <c r="O42">
        <v>0.54</v>
      </c>
      <c r="P42" s="14" t="s">
        <v>90</v>
      </c>
      <c r="Q42">
        <v>94.9</v>
      </c>
      <c r="R42">
        <v>2</v>
      </c>
      <c r="S42" s="8">
        <v>32</v>
      </c>
      <c r="T42" s="14">
        <v>9</v>
      </c>
      <c r="U42">
        <v>0</v>
      </c>
      <c r="V42">
        <v>0</v>
      </c>
      <c r="W42" s="9"/>
      <c r="X42" s="42">
        <f t="shared" si="6"/>
        <v>7.476810205845931E-4</v>
      </c>
      <c r="Y42" s="16">
        <f t="shared" si="7"/>
        <v>0.9833173672282064</v>
      </c>
      <c r="AA42" s="25">
        <f>IF(P42="*","-",IFERROR(VLOOKUP(P42,'AESS-W2'!$P$5:$S$107,4,FALSE),"-"))</f>
        <v>5</v>
      </c>
      <c r="AB42" s="25">
        <f>IF(P42="*","-",IFERROR(VLOOKUP(P42,'AESS-W3'!$P$5:$S$129,4,FALSE),"-"))</f>
        <v>1124</v>
      </c>
      <c r="AC42" s="25">
        <f>IF(P42="*","-",IFERROR(VLOOKUP(P42,'All MECSM samples'!$P$4:$AD$454,15,FALSE),"-"))</f>
        <v>1132</v>
      </c>
      <c r="AD42" s="25"/>
      <c r="AE42">
        <v>100</v>
      </c>
      <c r="AF42">
        <v>8</v>
      </c>
      <c r="AH42">
        <f t="shared" si="2"/>
        <v>1</v>
      </c>
      <c r="AI42">
        <f t="shared" si="3"/>
        <v>0</v>
      </c>
      <c r="AJ42">
        <f t="shared" si="4"/>
        <v>0</v>
      </c>
      <c r="AK42">
        <f t="shared" si="5"/>
        <v>1</v>
      </c>
      <c r="AL42" s="11">
        <f>SUM(AH$5:AH42)/SUM(AK$5:AK42)</f>
        <v>1</v>
      </c>
      <c r="AM42" s="11">
        <f>SUM(AI$5:AI42)/SUM(AK$5:AK42)</f>
        <v>0.44444444444444442</v>
      </c>
      <c r="AN42" s="11">
        <f>SUM(AJ$5:AJ42)/SUM(AL$5:AL42)</f>
        <v>0.65789473684210531</v>
      </c>
    </row>
    <row r="43" spans="1:63" x14ac:dyDescent="0.35">
      <c r="A43" s="9" t="s">
        <v>197</v>
      </c>
      <c r="B43">
        <v>33</v>
      </c>
      <c r="C43" t="s">
        <v>7</v>
      </c>
      <c r="D43" t="s">
        <v>8</v>
      </c>
      <c r="E43" t="s">
        <v>32</v>
      </c>
      <c r="G43" t="s">
        <v>35</v>
      </c>
      <c r="I43" t="s">
        <v>36</v>
      </c>
      <c r="K43" t="s">
        <v>37</v>
      </c>
      <c r="M43" t="s">
        <v>304</v>
      </c>
      <c r="O43">
        <v>0.88</v>
      </c>
      <c r="P43" s="14" t="s">
        <v>305</v>
      </c>
      <c r="Q43">
        <v>98</v>
      </c>
      <c r="R43">
        <v>1</v>
      </c>
      <c r="S43" s="8">
        <v>27</v>
      </c>
      <c r="T43" s="14">
        <v>6</v>
      </c>
      <c r="U43">
        <v>0</v>
      </c>
      <c r="V43">
        <v>0</v>
      </c>
      <c r="W43" s="9"/>
      <c r="X43" s="42">
        <f t="shared" si="6"/>
        <v>6.3085586111825043E-4</v>
      </c>
      <c r="Y43" s="16">
        <f t="shared" si="7"/>
        <v>0.98394822308932461</v>
      </c>
      <c r="AA43" s="25">
        <f>IF(P43="*","-",IFERROR(VLOOKUP(P43,'AESS-W2'!$P$5:$S$107,4,FALSE),"-"))</f>
        <v>4</v>
      </c>
      <c r="AB43" s="25">
        <f>IF(P43="*","-",IFERROR(VLOOKUP(P43,'AESS-W3'!$P$5:$S$129,4,FALSE),"-"))</f>
        <v>7</v>
      </c>
      <c r="AC43" s="25">
        <f>IF(P43="*","-",IFERROR(VLOOKUP(P43,'All MECSM samples'!$P$4:$AD$454,15,FALSE),"-"))</f>
        <v>2600</v>
      </c>
      <c r="AD43" s="25"/>
      <c r="AE43">
        <v>100</v>
      </c>
      <c r="AF43">
        <v>5</v>
      </c>
      <c r="AH43">
        <f t="shared" si="2"/>
        <v>1</v>
      </c>
      <c r="AI43">
        <f t="shared" si="3"/>
        <v>0</v>
      </c>
      <c r="AJ43">
        <f t="shared" si="4"/>
        <v>0</v>
      </c>
      <c r="AK43">
        <f t="shared" si="5"/>
        <v>1</v>
      </c>
      <c r="AL43" s="11">
        <f>SUM(AH$5:AH43)/SUM(AK$5:AK43)</f>
        <v>1</v>
      </c>
      <c r="AM43" s="11">
        <f>SUM(AI$5:AI43)/SUM(AK$5:AK43)</f>
        <v>0.43243243243243246</v>
      </c>
      <c r="AN43" s="11">
        <f>SUM(AJ$5:AJ43)/SUM(AL$5:AL43)</f>
        <v>0.64102564102564108</v>
      </c>
    </row>
    <row r="44" spans="1:63" x14ac:dyDescent="0.35">
      <c r="A44" s="9" t="s">
        <v>149</v>
      </c>
      <c r="B44">
        <v>30</v>
      </c>
      <c r="C44" t="s">
        <v>7</v>
      </c>
      <c r="D44" t="s">
        <v>8</v>
      </c>
      <c r="E44" t="s">
        <v>32</v>
      </c>
      <c r="O44">
        <v>0.99</v>
      </c>
      <c r="P44" s="14" t="s">
        <v>326</v>
      </c>
      <c r="Q44">
        <v>88.9</v>
      </c>
      <c r="R44">
        <v>2</v>
      </c>
      <c r="S44" s="8">
        <v>30</v>
      </c>
      <c r="T44" s="14">
        <v>0</v>
      </c>
      <c r="U44">
        <v>0</v>
      </c>
      <c r="V44">
        <v>0</v>
      </c>
      <c r="W44" s="9"/>
      <c r="X44" s="42">
        <f t="shared" si="6"/>
        <v>7.0095095679805603E-4</v>
      </c>
      <c r="Y44" s="16">
        <f t="shared" si="7"/>
        <v>0.98464917404612262</v>
      </c>
      <c r="AA44" s="25" t="str">
        <f>IF(P44="*","-",IFERROR(VLOOKUP(P44,'AESS-W2'!$P$5:$S$107,4,FALSE),"-"))</f>
        <v>-</v>
      </c>
      <c r="AB44" s="25" t="str">
        <f>IF(P44="*","-",IFERROR(VLOOKUP(P44,'AESS-W3'!$P$5:$S$129,4,FALSE),"-"))</f>
        <v>-</v>
      </c>
      <c r="AC44" s="25">
        <f>IF(P44="*","-",IFERROR(VLOOKUP(P44,'All MECSM samples'!$P$4:$AD$454,15,FALSE),"-"))</f>
        <v>31</v>
      </c>
      <c r="AD44" s="25"/>
      <c r="AE44">
        <v>97</v>
      </c>
      <c r="AF44">
        <v>3</v>
      </c>
      <c r="AH44">
        <f t="shared" si="2"/>
        <v>0</v>
      </c>
      <c r="AI44">
        <f t="shared" si="3"/>
        <v>0</v>
      </c>
      <c r="AJ44">
        <f t="shared" si="4"/>
        <v>0</v>
      </c>
      <c r="AK44">
        <f t="shared" si="5"/>
        <v>1</v>
      </c>
      <c r="AL44" s="11">
        <f>SUM(AH$5:AH44)/SUM(AK$5:AK44)</f>
        <v>0.97368421052631582</v>
      </c>
      <c r="AM44" s="11">
        <f>SUM(AI$5:AI44)/SUM(AK$5:AK44)</f>
        <v>0.42105263157894735</v>
      </c>
      <c r="AN44" s="11">
        <f>SUM(AJ$5:AJ44)/SUM(AL$5:AL44)</f>
        <v>0.62541145490454242</v>
      </c>
    </row>
    <row r="45" spans="1:63" x14ac:dyDescent="0.35">
      <c r="A45" s="9" t="s">
        <v>119</v>
      </c>
      <c r="B45">
        <v>29</v>
      </c>
      <c r="C45" t="s">
        <v>7</v>
      </c>
      <c r="D45" t="s">
        <v>8</v>
      </c>
      <c r="E45" t="s">
        <v>32</v>
      </c>
      <c r="G45" t="s">
        <v>35</v>
      </c>
      <c r="I45" t="s">
        <v>36</v>
      </c>
      <c r="K45" t="s">
        <v>37</v>
      </c>
      <c r="M45" t="s">
        <v>231</v>
      </c>
      <c r="O45">
        <v>0.95</v>
      </c>
      <c r="P45" s="14" t="s">
        <v>312</v>
      </c>
      <c r="Q45">
        <v>97.2</v>
      </c>
      <c r="R45">
        <v>1</v>
      </c>
      <c r="S45" s="8">
        <v>29</v>
      </c>
      <c r="T45" s="14">
        <v>0</v>
      </c>
      <c r="U45">
        <v>0</v>
      </c>
      <c r="V45">
        <v>0</v>
      </c>
      <c r="W45" s="9"/>
      <c r="X45" s="42">
        <f t="shared" si="6"/>
        <v>6.7758592490478749E-4</v>
      </c>
      <c r="Y45" s="16">
        <f t="shared" si="7"/>
        <v>0.98532675997102737</v>
      </c>
      <c r="AA45" s="25" t="str">
        <f>IF(P45="*","-",IFERROR(VLOOKUP(P45,'AESS-W2'!$P$5:$S$107,4,FALSE),"-"))</f>
        <v>-</v>
      </c>
      <c r="AB45" s="25">
        <f>IF(P45="*","-",IFERROR(VLOOKUP(P45,'AESS-W3'!$P$5:$S$129,4,FALSE),"-"))</f>
        <v>4</v>
      </c>
      <c r="AC45" s="25">
        <f>IF(P45="*","-",IFERROR(VLOOKUP(P45,'All MECSM samples'!$P$4:$AD$454,15,FALSE),"-"))</f>
        <v>1018</v>
      </c>
      <c r="AD45" s="25"/>
      <c r="AE45">
        <v>75</v>
      </c>
      <c r="AF45">
        <v>3</v>
      </c>
      <c r="AH45">
        <f t="shared" si="2"/>
        <v>0</v>
      </c>
      <c r="AI45">
        <f t="shared" si="3"/>
        <v>0</v>
      </c>
      <c r="AJ45">
        <f t="shared" si="4"/>
        <v>0</v>
      </c>
      <c r="AK45">
        <f t="shared" si="5"/>
        <v>0</v>
      </c>
      <c r="AL45" s="11">
        <f>SUM(AH$5:AH45)/SUM(AK$5:AK45)</f>
        <v>0.97368421052631582</v>
      </c>
      <c r="AM45" s="11">
        <f>SUM(AI$5:AI45)/SUM(AK$5:AK45)</f>
        <v>0.42105263157894735</v>
      </c>
      <c r="AN45" s="11">
        <f>SUM(AJ$5:AJ45)/SUM(AL$5:AL45)</f>
        <v>0.61053984575835474</v>
      </c>
    </row>
    <row r="46" spans="1:63" x14ac:dyDescent="0.35">
      <c r="A46" s="9" t="s">
        <v>181</v>
      </c>
      <c r="B46">
        <v>29</v>
      </c>
      <c r="C46" t="s">
        <v>7</v>
      </c>
      <c r="D46" t="s">
        <v>8</v>
      </c>
      <c r="E46" t="s">
        <v>9</v>
      </c>
      <c r="G46" t="s">
        <v>10</v>
      </c>
      <c r="I46" t="s">
        <v>107</v>
      </c>
      <c r="K46" t="s">
        <v>108</v>
      </c>
      <c r="M46" t="s">
        <v>109</v>
      </c>
      <c r="O46">
        <v>1</v>
      </c>
      <c r="P46" s="14" t="s">
        <v>110</v>
      </c>
      <c r="Q46">
        <v>99.6</v>
      </c>
      <c r="R46">
        <v>1</v>
      </c>
      <c r="S46" s="8">
        <v>19</v>
      </c>
      <c r="T46" s="14">
        <v>10</v>
      </c>
      <c r="U46">
        <v>0</v>
      </c>
      <c r="V46">
        <v>0</v>
      </c>
      <c r="W46" s="9"/>
      <c r="X46" s="42">
        <f t="shared" si="6"/>
        <v>4.4393560597210215E-4</v>
      </c>
      <c r="Y46" s="16">
        <f t="shared" si="7"/>
        <v>0.98577069557699948</v>
      </c>
      <c r="AA46" s="25" t="str">
        <f>IF(P46="*","-",IFERROR(VLOOKUP(P46,'AESS-W2'!$P$5:$S$107,4,FALSE),"-"))</f>
        <v>-</v>
      </c>
      <c r="AB46" s="25">
        <f>IF(P46="*","-",IFERROR(VLOOKUP(P46,'AESS-W3'!$P$5:$S$129,4,FALSE),"-"))</f>
        <v>860</v>
      </c>
      <c r="AC46" s="25">
        <f>IF(P46="*","-",IFERROR(VLOOKUP(P46,'All MECSM samples'!$P$4:$AD$454,15,FALSE),"-"))</f>
        <v>866</v>
      </c>
      <c r="AD46" s="25"/>
      <c r="AE46">
        <v>100</v>
      </c>
      <c r="AF46">
        <v>4</v>
      </c>
      <c r="AH46">
        <f t="shared" si="2"/>
        <v>1</v>
      </c>
      <c r="AI46">
        <f t="shared" si="3"/>
        <v>0</v>
      </c>
      <c r="AJ46">
        <f t="shared" si="4"/>
        <v>0</v>
      </c>
      <c r="AK46">
        <f t="shared" si="5"/>
        <v>1</v>
      </c>
      <c r="AL46" s="11">
        <f>SUM(AH$5:AH46)/SUM(AK$5:AK46)</f>
        <v>0.97435897435897434</v>
      </c>
      <c r="AM46" s="11">
        <f>SUM(AI$5:AI46)/SUM(AK$5:AK46)</f>
        <v>0.41025641025641024</v>
      </c>
      <c r="AN46" s="11">
        <f>SUM(AJ$5:AJ46)/SUM(AL$5:AL46)</f>
        <v>0.5963494720576874</v>
      </c>
    </row>
    <row r="47" spans="1:63" x14ac:dyDescent="0.35">
      <c r="A47" s="9" t="s">
        <v>142</v>
      </c>
      <c r="B47">
        <v>28</v>
      </c>
      <c r="C47" t="s">
        <v>7</v>
      </c>
      <c r="D47" t="s">
        <v>8</v>
      </c>
      <c r="E47" t="s">
        <v>9</v>
      </c>
      <c r="G47" t="s">
        <v>10</v>
      </c>
      <c r="K47" t="s">
        <v>227</v>
      </c>
      <c r="M47" t="s">
        <v>228</v>
      </c>
      <c r="O47">
        <v>1</v>
      </c>
      <c r="P47" s="14" t="s">
        <v>229</v>
      </c>
      <c r="Q47" s="9">
        <v>97.2</v>
      </c>
      <c r="R47" s="9">
        <v>1</v>
      </c>
      <c r="S47" s="14">
        <v>25</v>
      </c>
      <c r="T47" s="14">
        <v>3</v>
      </c>
      <c r="U47">
        <v>0</v>
      </c>
      <c r="V47">
        <v>0</v>
      </c>
      <c r="W47" s="9"/>
      <c r="X47" s="42">
        <f t="shared" si="6"/>
        <v>5.8412579733171336E-4</v>
      </c>
      <c r="Y47" s="16">
        <f t="shared" si="7"/>
        <v>0.98635482137433117</v>
      </c>
      <c r="AA47" s="25">
        <f>IF(P47="*","-",IFERROR(VLOOKUP(P47,'AESS-W2'!$P$5:$S$107,4,FALSE),"-"))</f>
        <v>52</v>
      </c>
      <c r="AB47" s="25">
        <f>IF(P47="*","-",IFERROR(VLOOKUP(P47,'AESS-W3'!$P$5:$S$129,4,FALSE),"-"))</f>
        <v>82</v>
      </c>
      <c r="AC47" s="25">
        <f>IF(P47="*","-",IFERROR(VLOOKUP(P47,'All MECSM samples'!$P$4:$AD$454,15,FALSE),"-"))</f>
        <v>1516</v>
      </c>
      <c r="AD47" s="25"/>
      <c r="AE47">
        <v>100</v>
      </c>
      <c r="AF47">
        <v>6</v>
      </c>
      <c r="AH47">
        <f t="shared" si="2"/>
        <v>1</v>
      </c>
      <c r="AI47">
        <f t="shared" si="3"/>
        <v>0</v>
      </c>
      <c r="AJ47">
        <f t="shared" si="4"/>
        <v>0</v>
      </c>
      <c r="AK47">
        <f t="shared" si="5"/>
        <v>1</v>
      </c>
      <c r="AL47" s="11">
        <f>SUM(AH$5:AH47)/SUM(AK$5:AK47)</f>
        <v>0.97499999999999998</v>
      </c>
      <c r="AM47" s="11">
        <f>SUM(AI$5:AI47)/SUM(AK$5:AK47)</f>
        <v>0.4</v>
      </c>
      <c r="AN47" s="11">
        <f>SUM(AJ$5:AJ47)/SUM(AL$5:AL47)</f>
        <v>0.58279504097261492</v>
      </c>
    </row>
    <row r="48" spans="1:63" x14ac:dyDescent="0.35">
      <c r="A48" s="9" t="s">
        <v>193</v>
      </c>
      <c r="B48">
        <v>28</v>
      </c>
      <c r="C48" t="s">
        <v>7</v>
      </c>
      <c r="D48" t="s">
        <v>8</v>
      </c>
      <c r="E48" t="s">
        <v>18</v>
      </c>
      <c r="G48" t="s">
        <v>19</v>
      </c>
      <c r="I48" t="s">
        <v>20</v>
      </c>
      <c r="K48" t="s">
        <v>21</v>
      </c>
      <c r="M48" t="s">
        <v>357</v>
      </c>
      <c r="O48">
        <v>1</v>
      </c>
      <c r="P48" s="59" t="s">
        <v>358</v>
      </c>
      <c r="Q48">
        <v>98.8</v>
      </c>
      <c r="R48">
        <v>1</v>
      </c>
      <c r="S48" s="8">
        <v>0</v>
      </c>
      <c r="T48" s="59">
        <v>20</v>
      </c>
      <c r="U48">
        <v>8</v>
      </c>
      <c r="V48">
        <v>0</v>
      </c>
      <c r="W48" s="9"/>
      <c r="X48" s="42">
        <f t="shared" si="6"/>
        <v>0</v>
      </c>
      <c r="Y48" s="16">
        <f t="shared" si="7"/>
        <v>0.98635482137433117</v>
      </c>
      <c r="AA48" s="25" t="str">
        <f>IF(P48="*","-",IFERROR(VLOOKUP(P48,'AESS-W2'!$P$5:$S$107,4,FALSE),"-"))</f>
        <v>-</v>
      </c>
      <c r="AB48" s="25" t="str">
        <f>IF(P48="*","-",IFERROR(VLOOKUP(P48,'AESS-W3'!$P$5:$S$129,4,FALSE),"-"))</f>
        <v>-</v>
      </c>
      <c r="AC48" s="25" t="str">
        <f>IF(P48="*","-",IFERROR(VLOOKUP(P48,'All MECSM samples'!$P$4:$AD$454,15,FALSE),"-"))</f>
        <v>-</v>
      </c>
      <c r="AD48" s="25"/>
      <c r="AE48">
        <v>100</v>
      </c>
      <c r="AF48">
        <v>13</v>
      </c>
      <c r="AH48">
        <f t="shared" si="2"/>
        <v>0</v>
      </c>
      <c r="AI48">
        <f t="shared" si="3"/>
        <v>0</v>
      </c>
      <c r="AJ48">
        <f t="shared" si="4"/>
        <v>0</v>
      </c>
      <c r="AK48">
        <f t="shared" si="5"/>
        <v>0</v>
      </c>
      <c r="AL48" s="11">
        <f>SUM(AH$5:AH48)/SUM(AK$5:AK48)</f>
        <v>0.97499999999999998</v>
      </c>
      <c r="AM48" s="11">
        <f>SUM(AI$5:AI48)/SUM(AK$5:AK48)</f>
        <v>0.4</v>
      </c>
      <c r="AN48" s="11">
        <f>SUM(AJ$5:AJ48)/SUM(AL$5:AL48)</f>
        <v>0.56984307398424128</v>
      </c>
    </row>
    <row r="49" spans="1:40" x14ac:dyDescent="0.35">
      <c r="A49" s="9" t="s">
        <v>349</v>
      </c>
      <c r="B49">
        <v>27</v>
      </c>
      <c r="C49" t="s">
        <v>7</v>
      </c>
      <c r="D49" t="s">
        <v>24</v>
      </c>
      <c r="E49" t="s">
        <v>25</v>
      </c>
      <c r="G49" t="s">
        <v>26</v>
      </c>
      <c r="I49" t="s">
        <v>27</v>
      </c>
      <c r="O49">
        <v>0.53</v>
      </c>
      <c r="P49" s="14" t="s">
        <v>337</v>
      </c>
      <c r="Q49">
        <v>85.8</v>
      </c>
      <c r="R49">
        <v>1</v>
      </c>
      <c r="S49" s="8">
        <v>23</v>
      </c>
      <c r="T49" s="14">
        <v>0</v>
      </c>
      <c r="U49">
        <v>4</v>
      </c>
      <c r="V49">
        <v>0</v>
      </c>
      <c r="W49" s="9"/>
      <c r="X49" s="42">
        <f t="shared" si="6"/>
        <v>5.3739573354517629E-4</v>
      </c>
      <c r="Y49" s="16">
        <f t="shared" si="7"/>
        <v>0.98689221710787634</v>
      </c>
      <c r="AA49" s="25" t="str">
        <f>IF(P49="*","-",IFERROR(VLOOKUP(P49,'AESS-W2'!$P$5:$S$107,4,FALSE),"-"))</f>
        <v>-</v>
      </c>
      <c r="AB49" s="25" t="str">
        <f>IF(P49="*","-",IFERROR(VLOOKUP(P49,'AESS-W3'!$P$5:$S$129,4,FALSE),"-"))</f>
        <v>-</v>
      </c>
      <c r="AC49" s="25">
        <f>IF(P49="*","-",IFERROR(VLOOKUP(P49,'All MECSM samples'!$P$4:$AD$454,15,FALSE),"-"))</f>
        <v>24</v>
      </c>
      <c r="AD49" s="25"/>
      <c r="AE49">
        <v>100</v>
      </c>
      <c r="AF49">
        <v>6</v>
      </c>
      <c r="AH49">
        <f t="shared" si="2"/>
        <v>0</v>
      </c>
      <c r="AI49">
        <f t="shared" si="3"/>
        <v>1</v>
      </c>
      <c r="AJ49">
        <f t="shared" si="4"/>
        <v>0</v>
      </c>
      <c r="AK49">
        <f t="shared" si="5"/>
        <v>1</v>
      </c>
      <c r="AL49" s="11">
        <f>SUM(AH$5:AH49)/SUM(AK$5:AK49)</f>
        <v>0.95121951219512191</v>
      </c>
      <c r="AM49" s="11">
        <f>SUM(AI$5:AI49)/SUM(AK$5:AK49)</f>
        <v>0.41463414634146339</v>
      </c>
      <c r="AN49" s="11">
        <f>SUM(AJ$5:AJ49)/SUM(AL$5:AL49)</f>
        <v>0.5577500303925208</v>
      </c>
    </row>
    <row r="50" spans="1:40" x14ac:dyDescent="0.35">
      <c r="A50" s="9" t="s">
        <v>237</v>
      </c>
      <c r="B50">
        <v>25</v>
      </c>
      <c r="C50" t="s">
        <v>7</v>
      </c>
      <c r="D50" t="s">
        <v>8</v>
      </c>
      <c r="E50" t="s">
        <v>46</v>
      </c>
      <c r="G50" t="s">
        <v>47</v>
      </c>
      <c r="I50" t="s">
        <v>61</v>
      </c>
      <c r="O50">
        <v>0.97</v>
      </c>
      <c r="P50" s="14" t="s">
        <v>339</v>
      </c>
      <c r="Q50">
        <v>93.7</v>
      </c>
      <c r="R50">
        <v>2</v>
      </c>
      <c r="S50" s="8">
        <v>25</v>
      </c>
      <c r="T50" s="14">
        <v>0</v>
      </c>
      <c r="U50">
        <v>0</v>
      </c>
      <c r="V50">
        <v>0</v>
      </c>
      <c r="W50" s="9"/>
      <c r="X50" s="42">
        <f t="shared" si="6"/>
        <v>5.8412579733171336E-4</v>
      </c>
      <c r="Y50" s="16">
        <f t="shared" si="7"/>
        <v>0.98747634290520803</v>
      </c>
      <c r="AA50" s="25" t="str">
        <f>IF(P50="*","-",IFERROR(VLOOKUP(P50,'AESS-W2'!$P$5:$S$107,4,FALSE),"-"))</f>
        <v>-</v>
      </c>
      <c r="AB50" s="25" t="str">
        <f>IF(P50="*","-",IFERROR(VLOOKUP(P50,'AESS-W3'!$P$5:$S$129,4,FALSE),"-"))</f>
        <v>-</v>
      </c>
      <c r="AC50" s="25">
        <f>IF(P50="*","-",IFERROR(VLOOKUP(P50,'All MECSM samples'!$P$4:$AD$454,15,FALSE),"-"))</f>
        <v>25</v>
      </c>
      <c r="AD50" s="25"/>
      <c r="AE50">
        <v>100</v>
      </c>
      <c r="AF50">
        <v>17</v>
      </c>
      <c r="AH50">
        <f t="shared" si="2"/>
        <v>0</v>
      </c>
      <c r="AI50">
        <f t="shared" si="3"/>
        <v>0</v>
      </c>
      <c r="AJ50">
        <f t="shared" si="4"/>
        <v>0</v>
      </c>
      <c r="AK50">
        <f t="shared" si="5"/>
        <v>1</v>
      </c>
      <c r="AL50" s="11">
        <f>SUM(AH$5:AH50)/SUM(AK$5:AK50)</f>
        <v>0.9285714285714286</v>
      </c>
      <c r="AM50" s="11">
        <f>SUM(AI$5:AI50)/SUM(AK$5:AK50)</f>
        <v>0.40476190476190477</v>
      </c>
      <c r="AN50" s="11">
        <f>SUM(AJ$5:AJ50)/SUM(AL$5:AL50)</f>
        <v>0.54642995269145356</v>
      </c>
    </row>
    <row r="51" spans="1:40" x14ac:dyDescent="0.35">
      <c r="A51" s="9" t="s">
        <v>164</v>
      </c>
      <c r="B51">
        <v>24</v>
      </c>
      <c r="C51" t="s">
        <v>7</v>
      </c>
      <c r="D51" t="s">
        <v>8</v>
      </c>
      <c r="O51">
        <v>0.99</v>
      </c>
      <c r="P51" s="14" t="s">
        <v>16</v>
      </c>
      <c r="Q51">
        <v>87</v>
      </c>
      <c r="R51">
        <v>1</v>
      </c>
      <c r="S51" s="54">
        <v>24</v>
      </c>
      <c r="T51" s="14">
        <v>0</v>
      </c>
      <c r="U51">
        <v>0</v>
      </c>
      <c r="V51">
        <v>0</v>
      </c>
      <c r="W51" s="9"/>
      <c r="X51" s="42">
        <f t="shared" si="6"/>
        <v>5.6076076543844482E-4</v>
      </c>
      <c r="Y51" s="16">
        <f t="shared" si="7"/>
        <v>0.98803710367064645</v>
      </c>
      <c r="AA51" s="61">
        <f>IF(P51="*","-",IFERROR(VLOOKUP(P51,'AESS-W2'!$P$5:$S$107,4,FALSE),"-"))</f>
        <v>17120</v>
      </c>
      <c r="AB51" s="25">
        <f>IF(P51="*","-",IFERROR(VLOOKUP(P51,'AESS-W3'!$P$5:$S$129,4,FALSE),"-"))</f>
        <v>10</v>
      </c>
      <c r="AC51" s="61">
        <f>IF(P51="*","-",IFERROR(VLOOKUP(P51,'All MECSM samples'!$P$4:$AD$454,15,FALSE),"-"))</f>
        <v>17201</v>
      </c>
      <c r="AD51" s="25"/>
      <c r="AE51">
        <v>84</v>
      </c>
      <c r="AF51">
        <v>2</v>
      </c>
      <c r="AH51">
        <f t="shared" si="2"/>
        <v>0</v>
      </c>
      <c r="AI51">
        <f t="shared" si="3"/>
        <v>0</v>
      </c>
      <c r="AJ51">
        <f t="shared" si="4"/>
        <v>0</v>
      </c>
      <c r="AK51">
        <f t="shared" si="5"/>
        <v>0</v>
      </c>
      <c r="AL51" s="11">
        <f>SUM(AH$5:AH51)/SUM(AK$5:AK51)</f>
        <v>0.9285714285714286</v>
      </c>
      <c r="AM51" s="11">
        <f>SUM(AI$5:AI51)/SUM(AK$5:AK51)</f>
        <v>0.40476190476190477</v>
      </c>
      <c r="AN51" s="11">
        <f>SUM(AJ$5:AJ51)/SUM(AL$5:AL51)</f>
        <v>0.53556023833696054</v>
      </c>
    </row>
    <row r="52" spans="1:40" x14ac:dyDescent="0.35">
      <c r="A52" s="9" t="s">
        <v>603</v>
      </c>
      <c r="B52">
        <v>18</v>
      </c>
      <c r="C52" t="s">
        <v>7</v>
      </c>
      <c r="D52" t="s">
        <v>8</v>
      </c>
      <c r="E52" t="s">
        <v>9</v>
      </c>
      <c r="G52" t="s">
        <v>172</v>
      </c>
      <c r="I52" t="s">
        <v>173</v>
      </c>
      <c r="K52" t="s">
        <v>174</v>
      </c>
      <c r="M52" t="s">
        <v>175</v>
      </c>
      <c r="O52">
        <v>0.88</v>
      </c>
      <c r="P52" s="14" t="s">
        <v>332</v>
      </c>
      <c r="Q52">
        <v>98.4</v>
      </c>
      <c r="R52">
        <v>1</v>
      </c>
      <c r="S52" s="8">
        <v>18</v>
      </c>
      <c r="T52" s="14">
        <v>0</v>
      </c>
      <c r="U52">
        <v>0</v>
      </c>
      <c r="V52">
        <v>0</v>
      </c>
      <c r="W52" s="9"/>
      <c r="X52" s="42">
        <f t="shared" si="6"/>
        <v>4.2057057407883362E-4</v>
      </c>
      <c r="Y52" s="16">
        <f t="shared" si="7"/>
        <v>0.9884576742447253</v>
      </c>
      <c r="AA52" s="25">
        <f>IF(P52="*","-",IFERROR(VLOOKUP(P52,'AESS-W2'!$P$5:$S$107,4,FALSE),"-"))</f>
        <v>4</v>
      </c>
      <c r="AB52" s="25" t="str">
        <f>IF(P52="*","-",IFERROR(VLOOKUP(P52,'AESS-W3'!$P$5:$S$129,4,FALSE),"-"))</f>
        <v>-</v>
      </c>
      <c r="AC52" s="25">
        <f>IF(P52="*","-",IFERROR(VLOOKUP(P52,'All MECSM samples'!$P$4:$AD$454,15,FALSE),"-"))</f>
        <v>4692</v>
      </c>
      <c r="AD52" s="25"/>
      <c r="AE52">
        <v>16</v>
      </c>
      <c r="AF52">
        <v>1</v>
      </c>
      <c r="AH52">
        <f t="shared" si="2"/>
        <v>0</v>
      </c>
      <c r="AI52">
        <f t="shared" si="3"/>
        <v>0</v>
      </c>
      <c r="AJ52">
        <f t="shared" si="4"/>
        <v>0</v>
      </c>
      <c r="AK52">
        <f t="shared" si="5"/>
        <v>0</v>
      </c>
      <c r="AL52" s="11">
        <f>SUM(AH$5:AH52)/SUM(AK$5:AK52)</f>
        <v>0.9285714285714286</v>
      </c>
      <c r="AM52" s="11">
        <f>SUM(AI$5:AI52)/SUM(AK$5:AK52)</f>
        <v>0.40476190476190477</v>
      </c>
      <c r="AN52" s="11">
        <f>SUM(AJ$5:AJ52)/SUM(AL$5:AL52)</f>
        <v>0.52511453532550145</v>
      </c>
    </row>
    <row r="53" spans="1:40" x14ac:dyDescent="0.35">
      <c r="A53" s="9" t="s">
        <v>148</v>
      </c>
      <c r="B53">
        <v>18</v>
      </c>
      <c r="C53" t="s">
        <v>7</v>
      </c>
      <c r="D53" t="s">
        <v>8</v>
      </c>
      <c r="E53" t="s">
        <v>46</v>
      </c>
      <c r="G53" t="s">
        <v>47</v>
      </c>
      <c r="I53" t="s">
        <v>61</v>
      </c>
      <c r="K53" t="s">
        <v>94</v>
      </c>
      <c r="M53" t="s">
        <v>316</v>
      </c>
      <c r="O53">
        <v>1</v>
      </c>
      <c r="P53" s="14" t="s">
        <v>317</v>
      </c>
      <c r="Q53">
        <v>100</v>
      </c>
      <c r="R53">
        <v>1</v>
      </c>
      <c r="S53" s="8">
        <v>18</v>
      </c>
      <c r="T53" s="14">
        <v>0</v>
      </c>
      <c r="U53">
        <v>0</v>
      </c>
      <c r="V53">
        <v>0</v>
      </c>
      <c r="W53" s="9"/>
      <c r="X53" s="42">
        <f t="shared" si="6"/>
        <v>4.2057057407883362E-4</v>
      </c>
      <c r="Y53" s="16">
        <f t="shared" si="7"/>
        <v>0.98887824481880415</v>
      </c>
      <c r="AA53" s="25">
        <f>IF(P53="*","-",IFERROR(VLOOKUP(P53,'AESS-W2'!$P$5:$S$107,4,FALSE),"-"))</f>
        <v>9</v>
      </c>
      <c r="AB53" s="25">
        <f>IF(P53="*","-",IFERROR(VLOOKUP(P53,'AESS-W3'!$P$5:$S$129,4,FALSE),"-"))</f>
        <v>6</v>
      </c>
      <c r="AC53" s="25">
        <f>IF(P53="*","-",IFERROR(VLOOKUP(P53,'All MECSM samples'!$P$4:$AD$454,15,FALSE),"-"))</f>
        <v>2300</v>
      </c>
      <c r="AD53" s="25"/>
      <c r="AE53">
        <v>29</v>
      </c>
      <c r="AF53">
        <v>52</v>
      </c>
      <c r="AH53">
        <f t="shared" si="2"/>
        <v>0</v>
      </c>
      <c r="AI53">
        <f t="shared" si="3"/>
        <v>0</v>
      </c>
      <c r="AJ53">
        <f t="shared" si="4"/>
        <v>0</v>
      </c>
      <c r="AK53">
        <f t="shared" si="5"/>
        <v>0</v>
      </c>
      <c r="AL53" s="11">
        <f>SUM(AH$5:AH53)/SUM(AK$5:AK53)</f>
        <v>0.9285714285714286</v>
      </c>
      <c r="AM53" s="11">
        <f>SUM(AI$5:AI53)/SUM(AK$5:AK53)</f>
        <v>0.40476190476190477</v>
      </c>
      <c r="AN53" s="11">
        <f>SUM(AJ$5:AJ53)/SUM(AL$5:AL53)</f>
        <v>0.51506850822648442</v>
      </c>
    </row>
    <row r="54" spans="1:40" x14ac:dyDescent="0.35">
      <c r="A54" s="9" t="s">
        <v>209</v>
      </c>
      <c r="B54">
        <v>18</v>
      </c>
      <c r="C54" t="s">
        <v>7</v>
      </c>
      <c r="D54" t="s">
        <v>8</v>
      </c>
      <c r="E54" t="s">
        <v>46</v>
      </c>
      <c r="G54" t="s">
        <v>47</v>
      </c>
      <c r="I54" t="s">
        <v>61</v>
      </c>
      <c r="O54">
        <v>0.84</v>
      </c>
      <c r="P54" s="14" t="s">
        <v>321</v>
      </c>
      <c r="Q54">
        <v>90.5</v>
      </c>
      <c r="R54">
        <v>1</v>
      </c>
      <c r="S54" s="8">
        <v>18</v>
      </c>
      <c r="T54" s="14">
        <v>0</v>
      </c>
      <c r="U54">
        <v>0</v>
      </c>
      <c r="V54">
        <v>0</v>
      </c>
      <c r="W54" s="9"/>
      <c r="X54" s="42">
        <f t="shared" si="6"/>
        <v>4.2057057407883362E-4</v>
      </c>
      <c r="Y54" s="16">
        <f t="shared" si="7"/>
        <v>0.989298815392883</v>
      </c>
      <c r="AA54" s="25" t="str">
        <f>IF(P54="*","-",IFERROR(VLOOKUP(P54,'AESS-W2'!$P$5:$S$107,4,FALSE),"-"))</f>
        <v>-</v>
      </c>
      <c r="AB54" s="25">
        <f>IF(P54="*","-",IFERROR(VLOOKUP(P54,'AESS-W3'!$P$5:$S$129,4,FALSE),"-"))</f>
        <v>14</v>
      </c>
      <c r="AC54" s="25">
        <f>IF(P54="*","-",IFERROR(VLOOKUP(P54,'All MECSM samples'!$P$4:$AD$454,15,FALSE),"-"))</f>
        <v>276</v>
      </c>
      <c r="AD54" s="25"/>
      <c r="AE54">
        <v>100</v>
      </c>
      <c r="AF54">
        <v>12</v>
      </c>
      <c r="AH54">
        <f t="shared" si="2"/>
        <v>0</v>
      </c>
      <c r="AI54">
        <f t="shared" si="3"/>
        <v>0</v>
      </c>
      <c r="AJ54">
        <f t="shared" si="4"/>
        <v>0</v>
      </c>
      <c r="AK54">
        <f t="shared" si="5"/>
        <v>1</v>
      </c>
      <c r="AL54" s="11">
        <f>SUM(AH$5:AH54)/SUM(AK$5:AK54)</f>
        <v>0.90697674418604646</v>
      </c>
      <c r="AM54" s="11">
        <f>SUM(AI$5:AI54)/SUM(AK$5:AK54)</f>
        <v>0.39534883720930231</v>
      </c>
      <c r="AN54" s="11">
        <f>SUM(AJ$5:AJ54)/SUM(AL$5:AL54)</f>
        <v>0.5056203814465563</v>
      </c>
    </row>
    <row r="55" spans="1:40" x14ac:dyDescent="0.35">
      <c r="A55" s="9" t="s">
        <v>171</v>
      </c>
      <c r="B55">
        <v>17</v>
      </c>
      <c r="C55" t="s">
        <v>7</v>
      </c>
      <c r="D55" t="s">
        <v>8</v>
      </c>
      <c r="E55" t="s">
        <v>46</v>
      </c>
      <c r="G55" t="s">
        <v>47</v>
      </c>
      <c r="I55" t="s">
        <v>61</v>
      </c>
      <c r="O55">
        <v>0.81</v>
      </c>
      <c r="P55" s="14" t="s">
        <v>136</v>
      </c>
      <c r="Q55">
        <v>91.3</v>
      </c>
      <c r="R55">
        <v>2</v>
      </c>
      <c r="S55" s="8">
        <v>17</v>
      </c>
      <c r="T55" s="14">
        <v>0</v>
      </c>
      <c r="U55">
        <v>0</v>
      </c>
      <c r="V55">
        <v>0</v>
      </c>
      <c r="W55" s="9"/>
      <c r="X55" s="42">
        <f t="shared" si="6"/>
        <v>3.9720554218556508E-4</v>
      </c>
      <c r="Y55" s="53">
        <f t="shared" si="7"/>
        <v>0.98969602093506859</v>
      </c>
      <c r="AA55" s="25" t="str">
        <f>IF(P55="*","-",IFERROR(VLOOKUP(P55,'AESS-W2'!$P$5:$S$107,4,FALSE),"-"))</f>
        <v>-</v>
      </c>
      <c r="AB55" s="25">
        <f>IF(P55="*","-",IFERROR(VLOOKUP(P55,'AESS-W3'!$P$5:$S$129,4,FALSE),"-"))</f>
        <v>477</v>
      </c>
      <c r="AC55" s="25">
        <f>IF(P55="*","-",IFERROR(VLOOKUP(P55,'All MECSM samples'!$P$4:$AD$454,15,FALSE),"-"))</f>
        <v>780</v>
      </c>
      <c r="AD55" s="25"/>
      <c r="AE55">
        <v>97</v>
      </c>
      <c r="AF55">
        <v>15</v>
      </c>
      <c r="AH55">
        <f t="shared" si="2"/>
        <v>0</v>
      </c>
      <c r="AI55">
        <f t="shared" si="3"/>
        <v>0</v>
      </c>
      <c r="AJ55">
        <f t="shared" si="4"/>
        <v>0</v>
      </c>
      <c r="AK55">
        <f t="shared" si="5"/>
        <v>1</v>
      </c>
      <c r="AL55" s="11">
        <f>SUM(AH$5:AH55)/SUM(AK$5:AK55)</f>
        <v>0.88636363636363635</v>
      </c>
      <c r="AM55" s="11">
        <f>SUM(AI$5:AI55)/SUM(AK$5:AK55)</f>
        <v>0.38636363636363635</v>
      </c>
      <c r="AN55" s="11">
        <f>SUM(AJ$5:AJ55)/SUM(AL$5:AL55)</f>
        <v>0.49671598212853557</v>
      </c>
    </row>
    <row r="56" spans="1:40" x14ac:dyDescent="0.35">
      <c r="A56" s="9" t="s">
        <v>177</v>
      </c>
      <c r="B56">
        <v>16</v>
      </c>
      <c r="C56" t="s">
        <v>7</v>
      </c>
      <c r="D56" t="s">
        <v>8</v>
      </c>
      <c r="E56" t="s">
        <v>32</v>
      </c>
      <c r="G56" t="s">
        <v>35</v>
      </c>
      <c r="I56" t="s">
        <v>36</v>
      </c>
      <c r="K56" t="s">
        <v>143</v>
      </c>
      <c r="O56">
        <v>0.67</v>
      </c>
      <c r="P56" s="14" t="s">
        <v>373</v>
      </c>
      <c r="Q56">
        <v>91.3</v>
      </c>
      <c r="R56">
        <v>1</v>
      </c>
      <c r="S56" s="8">
        <v>16</v>
      </c>
      <c r="T56" s="14">
        <v>0</v>
      </c>
      <c r="U56">
        <v>0</v>
      </c>
      <c r="V56">
        <v>0</v>
      </c>
      <c r="X56" s="26">
        <f t="shared" si="6"/>
        <v>3.7384051029229655E-4</v>
      </c>
      <c r="Y56" s="12">
        <f t="shared" si="7"/>
        <v>0.99006986144536091</v>
      </c>
      <c r="AA56" s="25" t="str">
        <f>IF(P56="*","-",IFERROR(VLOOKUP(P56,'AESS-W2'!$P$5:$S$107,4,FALSE),"-"))</f>
        <v>-</v>
      </c>
      <c r="AB56" s="25" t="str">
        <f>IF(P56="*","-",IFERROR(VLOOKUP(P56,'AESS-W3'!$P$5:$S$129,4,FALSE),"-"))</f>
        <v>-</v>
      </c>
      <c r="AC56" s="25">
        <f>IF(P56="*","-",IFERROR(VLOOKUP(P56,'All MECSM samples'!$P$4:$AD$454,15,FALSE),"-"))</f>
        <v>164</v>
      </c>
      <c r="AD56" s="25"/>
      <c r="AE56">
        <v>77</v>
      </c>
      <c r="AF56">
        <v>4</v>
      </c>
      <c r="AH56">
        <f t="shared" si="2"/>
        <v>0</v>
      </c>
      <c r="AI56">
        <f t="shared" si="3"/>
        <v>0</v>
      </c>
      <c r="AJ56">
        <f t="shared" si="4"/>
        <v>0</v>
      </c>
      <c r="AK56">
        <f t="shared" si="5"/>
        <v>0</v>
      </c>
      <c r="AL56" s="11">
        <f>SUM(AH$5:AH56)/SUM(AK$5:AK56)</f>
        <v>0.88636363636363635</v>
      </c>
      <c r="AM56" s="11">
        <f>SUM(AI$5:AI56)/SUM(AK$5:AK56)</f>
        <v>0.38636363636363635</v>
      </c>
      <c r="AN56" s="11">
        <f>SUM(AJ$5:AJ56)/SUM(AL$5:AL56)</f>
        <v>0.4881197830379051</v>
      </c>
    </row>
    <row r="57" spans="1:40" x14ac:dyDescent="0.35">
      <c r="A57" s="9" t="s">
        <v>156</v>
      </c>
      <c r="B57">
        <v>15</v>
      </c>
      <c r="C57" t="s">
        <v>7</v>
      </c>
      <c r="D57" t="s">
        <v>8</v>
      </c>
      <c r="E57" t="s">
        <v>32</v>
      </c>
      <c r="O57">
        <v>0.98</v>
      </c>
      <c r="P57" s="14" t="s">
        <v>341</v>
      </c>
      <c r="Q57">
        <v>86.6</v>
      </c>
      <c r="R57">
        <v>1</v>
      </c>
      <c r="S57" s="8">
        <v>15</v>
      </c>
      <c r="T57" s="14">
        <v>0</v>
      </c>
      <c r="U57">
        <v>0</v>
      </c>
      <c r="V57">
        <v>0</v>
      </c>
      <c r="X57" s="26">
        <f t="shared" si="6"/>
        <v>3.5047547839902801E-4</v>
      </c>
      <c r="Y57" s="12">
        <f t="shared" si="7"/>
        <v>0.99042033692375997</v>
      </c>
      <c r="AA57" s="25">
        <f>IF(P57="*","-",IFERROR(VLOOKUP(P57,'AESS-W2'!$P$5:$S$107,4,FALSE),"-"))</f>
        <v>5</v>
      </c>
      <c r="AB57" s="25">
        <f>IF(P57="*","-",IFERROR(VLOOKUP(P57,'AESS-W3'!$P$5:$S$129,4,FALSE),"-"))</f>
        <v>5</v>
      </c>
      <c r="AC57" s="25">
        <f>IF(P57="*","-",IFERROR(VLOOKUP(P57,'All MECSM samples'!$P$4:$AD$454,15,FALSE),"-"))</f>
        <v>1251</v>
      </c>
      <c r="AD57" s="25"/>
      <c r="AE57">
        <v>35</v>
      </c>
      <c r="AF57">
        <v>6</v>
      </c>
      <c r="AH57">
        <f t="shared" si="2"/>
        <v>0</v>
      </c>
      <c r="AI57">
        <f t="shared" si="3"/>
        <v>0</v>
      </c>
      <c r="AJ57">
        <f t="shared" si="4"/>
        <v>0</v>
      </c>
      <c r="AK57">
        <f t="shared" si="5"/>
        <v>0</v>
      </c>
      <c r="AL57" s="11">
        <f>SUM(AH$5:AH57)/SUM(AK$5:AK57)</f>
        <v>0.88636363636363635</v>
      </c>
      <c r="AM57" s="11">
        <f>SUM(AI$5:AI57)/SUM(AK$5:AK57)</f>
        <v>0.38636363636363635</v>
      </c>
      <c r="AN57" s="11">
        <f>SUM(AJ$5:AJ57)/SUM(AL$5:AL57)</f>
        <v>0.47981605518209608</v>
      </c>
    </row>
    <row r="58" spans="1:40" x14ac:dyDescent="0.35">
      <c r="A58" s="9" t="s">
        <v>189</v>
      </c>
      <c r="B58">
        <v>15</v>
      </c>
      <c r="C58" t="s">
        <v>7</v>
      </c>
      <c r="D58" t="s">
        <v>8</v>
      </c>
      <c r="E58" t="s">
        <v>46</v>
      </c>
      <c r="G58" t="s">
        <v>47</v>
      </c>
      <c r="I58" t="s">
        <v>160</v>
      </c>
      <c r="K58" t="s">
        <v>161</v>
      </c>
      <c r="M58" t="s">
        <v>162</v>
      </c>
      <c r="O58">
        <v>0.57999999999999996</v>
      </c>
      <c r="P58" s="14" t="s">
        <v>163</v>
      </c>
      <c r="Q58">
        <v>89.7</v>
      </c>
      <c r="R58">
        <v>1</v>
      </c>
      <c r="S58" s="8">
        <v>15</v>
      </c>
      <c r="T58" s="14">
        <v>0</v>
      </c>
      <c r="U58">
        <v>0</v>
      </c>
      <c r="V58">
        <v>0</v>
      </c>
      <c r="X58" s="26">
        <f t="shared" si="6"/>
        <v>3.5047547839902801E-4</v>
      </c>
      <c r="Y58" s="12">
        <f t="shared" si="7"/>
        <v>0.99077081240215903</v>
      </c>
      <c r="AA58" s="25">
        <f>IF(P58="*","-",IFERROR(VLOOKUP(P58,'AESS-W2'!$P$5:$S$107,4,FALSE),"-"))</f>
        <v>102</v>
      </c>
      <c r="AB58" s="25">
        <f>IF(P58="*","-",IFERROR(VLOOKUP(P58,'AESS-W3'!$P$5:$S$129,4,FALSE),"-"))</f>
        <v>0</v>
      </c>
      <c r="AC58" s="25">
        <f>IF(P58="*","-",IFERROR(VLOOKUP(P58,'All MECSM samples'!$P$4:$AD$454,15,FALSE),"-"))</f>
        <v>3869</v>
      </c>
      <c r="AD58" s="25"/>
      <c r="AE58">
        <v>4</v>
      </c>
      <c r="AF58">
        <v>3</v>
      </c>
      <c r="AH58">
        <f t="shared" si="2"/>
        <v>0</v>
      </c>
      <c r="AI58">
        <f t="shared" si="3"/>
        <v>0</v>
      </c>
      <c r="AJ58">
        <f t="shared" si="4"/>
        <v>0</v>
      </c>
      <c r="AK58">
        <f t="shared" si="5"/>
        <v>0</v>
      </c>
      <c r="AL58" s="11">
        <f>SUM(AH$5:AH58)/SUM(AK$5:AK58)</f>
        <v>0.88636363636363635</v>
      </c>
      <c r="AM58" s="11">
        <f>SUM(AI$5:AI58)/SUM(AK$5:AK58)</f>
        <v>0.38636363636363635</v>
      </c>
      <c r="AN58" s="11">
        <f>SUM(AJ$5:AJ58)/SUM(AL$5:AL58)</f>
        <v>0.47179012197053832</v>
      </c>
    </row>
    <row r="59" spans="1:40" x14ac:dyDescent="0.35">
      <c r="A59" s="9" t="s">
        <v>230</v>
      </c>
      <c r="B59">
        <v>14</v>
      </c>
      <c r="C59" t="s">
        <v>7</v>
      </c>
      <c r="D59" t="s">
        <v>8</v>
      </c>
      <c r="E59" t="s">
        <v>9</v>
      </c>
      <c r="G59" t="s">
        <v>172</v>
      </c>
      <c r="I59" t="s">
        <v>347</v>
      </c>
      <c r="O59">
        <v>0.56000000000000005</v>
      </c>
      <c r="P59" s="14" t="s">
        <v>348</v>
      </c>
      <c r="Q59">
        <v>92.9</v>
      </c>
      <c r="R59">
        <v>2</v>
      </c>
      <c r="S59" s="8">
        <v>14</v>
      </c>
      <c r="T59" s="14">
        <v>0</v>
      </c>
      <c r="U59">
        <v>0</v>
      </c>
      <c r="V59">
        <v>0</v>
      </c>
      <c r="X59" s="26">
        <f t="shared" si="6"/>
        <v>3.2711044650575948E-4</v>
      </c>
      <c r="Y59" s="12">
        <f t="shared" si="7"/>
        <v>0.99109792284866483</v>
      </c>
      <c r="AA59" s="25">
        <f>IF(P59="*","-",IFERROR(VLOOKUP(P59,'AESS-W2'!$P$5:$S$107,4,FALSE),"-"))</f>
        <v>5</v>
      </c>
      <c r="AB59" s="25">
        <f>IF(P59="*","-",IFERROR(VLOOKUP(P59,'AESS-W3'!$P$5:$S$129,4,FALSE),"-"))</f>
        <v>4</v>
      </c>
      <c r="AC59" s="25">
        <f>IF(P59="*","-",IFERROR(VLOOKUP(P59,'All MECSM samples'!$P$4:$AD$454,15,FALSE),"-"))</f>
        <v>5401</v>
      </c>
      <c r="AD59" s="25"/>
      <c r="AE59">
        <v>0</v>
      </c>
      <c r="AF59">
        <v>0</v>
      </c>
      <c r="AH59">
        <f t="shared" si="2"/>
        <v>0</v>
      </c>
      <c r="AI59">
        <f t="shared" si="3"/>
        <v>0</v>
      </c>
      <c r="AJ59">
        <f t="shared" si="4"/>
        <v>0</v>
      </c>
      <c r="AK59">
        <f t="shared" si="5"/>
        <v>0</v>
      </c>
      <c r="AL59" s="11">
        <f>SUM(AH$5:AH59)/SUM(AK$5:AK59)</f>
        <v>0.88636363636363635</v>
      </c>
      <c r="AM59" s="11">
        <f>SUM(AI$5:AI59)/SUM(AK$5:AK59)</f>
        <v>0.38636363636363635</v>
      </c>
      <c r="AN59" s="11">
        <f>SUM(AJ$5:AJ59)/SUM(AL$5:AL59)</f>
        <v>0.46402827264453739</v>
      </c>
    </row>
    <row r="60" spans="1:40" x14ac:dyDescent="0.35">
      <c r="A60" s="9" t="s">
        <v>203</v>
      </c>
      <c r="B60">
        <v>14</v>
      </c>
      <c r="C60" t="s">
        <v>7</v>
      </c>
      <c r="D60" t="s">
        <v>8</v>
      </c>
      <c r="E60" t="s">
        <v>387</v>
      </c>
      <c r="G60" t="s">
        <v>388</v>
      </c>
      <c r="I60" t="s">
        <v>389</v>
      </c>
      <c r="K60" t="s">
        <v>390</v>
      </c>
      <c r="M60" t="s">
        <v>391</v>
      </c>
      <c r="O60">
        <v>1</v>
      </c>
      <c r="P60" s="14" t="s">
        <v>392</v>
      </c>
      <c r="Q60">
        <v>100</v>
      </c>
      <c r="R60">
        <v>1</v>
      </c>
      <c r="S60" s="8">
        <v>14</v>
      </c>
      <c r="T60" s="14">
        <v>0</v>
      </c>
      <c r="U60">
        <v>0</v>
      </c>
      <c r="V60">
        <v>0</v>
      </c>
      <c r="X60" s="26">
        <f t="shared" si="6"/>
        <v>3.2711044650575948E-4</v>
      </c>
      <c r="Y60" s="12">
        <f t="shared" si="7"/>
        <v>0.99142503329517062</v>
      </c>
      <c r="AA60" s="25" t="str">
        <f>IF(P60="*","-",IFERROR(VLOOKUP(P60,'AESS-W2'!$P$5:$S$107,4,FALSE),"-"))</f>
        <v>-</v>
      </c>
      <c r="AB60" s="25" t="str">
        <f>IF(P60="*","-",IFERROR(VLOOKUP(P60,'AESS-W3'!$P$5:$S$129,4,FALSE),"-"))</f>
        <v>-</v>
      </c>
      <c r="AC60" s="25">
        <f>IF(P60="*","-",IFERROR(VLOOKUP(P60,'All MECSM samples'!$P$4:$AD$454,15,FALSE),"-"))</f>
        <v>17</v>
      </c>
      <c r="AD60" s="25"/>
      <c r="AE60">
        <v>0</v>
      </c>
      <c r="AF60">
        <v>0</v>
      </c>
      <c r="AH60">
        <f t="shared" si="2"/>
        <v>0</v>
      </c>
      <c r="AI60">
        <f t="shared" si="3"/>
        <v>0</v>
      </c>
      <c r="AJ60">
        <f t="shared" si="4"/>
        <v>0</v>
      </c>
      <c r="AK60">
        <f t="shared" si="5"/>
        <v>0</v>
      </c>
      <c r="AL60" s="11">
        <f>SUM(AH$5:AH60)/SUM(AK$5:AK60)</f>
        <v>0.88636363636363635</v>
      </c>
      <c r="AM60" s="11">
        <f>SUM(AI$5:AI60)/SUM(AK$5:AK60)</f>
        <v>0.38636363636363635</v>
      </c>
      <c r="AN60" s="11">
        <f>SUM(AJ$5:AJ60)/SUM(AL$5:AL60)</f>
        <v>0.45651768411430238</v>
      </c>
    </row>
    <row r="61" spans="1:40" x14ac:dyDescent="0.35">
      <c r="A61" s="9" t="s">
        <v>159</v>
      </c>
      <c r="B61">
        <v>14</v>
      </c>
      <c r="C61" t="s">
        <v>7</v>
      </c>
      <c r="D61" t="s">
        <v>8</v>
      </c>
      <c r="E61" t="s">
        <v>9</v>
      </c>
      <c r="G61" t="s">
        <v>138</v>
      </c>
      <c r="I61" t="s">
        <v>139</v>
      </c>
      <c r="K61" t="s">
        <v>140</v>
      </c>
      <c r="O61">
        <v>0.67</v>
      </c>
      <c r="P61" s="14" t="s">
        <v>141</v>
      </c>
      <c r="Q61">
        <v>90.1</v>
      </c>
      <c r="R61">
        <v>1</v>
      </c>
      <c r="S61" s="8">
        <v>6</v>
      </c>
      <c r="T61" s="14">
        <v>0</v>
      </c>
      <c r="U61">
        <v>0</v>
      </c>
      <c r="V61">
        <v>8</v>
      </c>
      <c r="X61" s="26">
        <f t="shared" si="6"/>
        <v>1.4019019135961121E-4</v>
      </c>
      <c r="Y61" s="12">
        <f t="shared" si="7"/>
        <v>0.9915652234865302</v>
      </c>
      <c r="AA61" s="25">
        <f>IF(P61="*","-",IFERROR(VLOOKUP(P61,'AESS-W2'!$P$5:$S$107,4,FALSE),"-"))</f>
        <v>5</v>
      </c>
      <c r="AB61" s="25">
        <f>IF(P61="*","-",IFERROR(VLOOKUP(P61,'AESS-W3'!$P$5:$S$129,4,FALSE),"-"))</f>
        <v>290</v>
      </c>
      <c r="AC61" s="25">
        <f>IF(P61="*","-",IFERROR(VLOOKUP(P61,'All MECSM samples'!$P$4:$AD$454,15,FALSE),"-"))</f>
        <v>469</v>
      </c>
      <c r="AD61" s="25"/>
      <c r="AE61">
        <v>100</v>
      </c>
      <c r="AF61">
        <v>5</v>
      </c>
      <c r="AH61">
        <f t="shared" si="2"/>
        <v>0</v>
      </c>
      <c r="AI61">
        <f t="shared" si="3"/>
        <v>0</v>
      </c>
      <c r="AJ61">
        <f t="shared" si="4"/>
        <v>1</v>
      </c>
      <c r="AK61">
        <f t="shared" si="5"/>
        <v>1</v>
      </c>
      <c r="AL61" s="11">
        <f>SUM(AH$5:AH61)/SUM(AK$5:AK61)</f>
        <v>0.8666666666666667</v>
      </c>
      <c r="AM61" s="11">
        <f>SUM(AI$5:AI61)/SUM(AK$5:AK61)</f>
        <v>0.37777777777777777</v>
      </c>
      <c r="AN61" s="11">
        <f>SUM(AJ$5:AJ61)/SUM(AL$5:AL61)</f>
        <v>0.46738163478651751</v>
      </c>
    </row>
    <row r="62" spans="1:40" x14ac:dyDescent="0.35">
      <c r="A62" s="9" t="s">
        <v>234</v>
      </c>
      <c r="B62">
        <v>13</v>
      </c>
      <c r="C62" t="s">
        <v>7</v>
      </c>
      <c r="D62" t="s">
        <v>8</v>
      </c>
      <c r="E62" t="s">
        <v>32</v>
      </c>
      <c r="O62">
        <v>0.99</v>
      </c>
      <c r="P62" s="14" t="s">
        <v>314</v>
      </c>
      <c r="Q62">
        <v>87</v>
      </c>
      <c r="R62">
        <v>1</v>
      </c>
      <c r="S62" s="8">
        <v>13</v>
      </c>
      <c r="T62" s="14">
        <v>0</v>
      </c>
      <c r="U62">
        <v>0</v>
      </c>
      <c r="V62">
        <v>0</v>
      </c>
      <c r="X62" s="26">
        <f t="shared" si="6"/>
        <v>3.0374541461249095E-4</v>
      </c>
      <c r="Y62" s="12">
        <f t="shared" si="7"/>
        <v>0.99186896890114273</v>
      </c>
      <c r="AA62" s="25">
        <f>IF(P62="*","-",IFERROR(VLOOKUP(P62,'AESS-W2'!$P$5:$S$107,4,FALSE),"-"))</f>
        <v>18</v>
      </c>
      <c r="AB62" s="25">
        <f>IF(P62="*","-",IFERROR(VLOOKUP(P62,'AESS-W3'!$P$5:$S$129,4,FALSE),"-"))</f>
        <v>4</v>
      </c>
      <c r="AC62" s="25">
        <f>IF(P62="*","-",IFERROR(VLOOKUP(P62,'All MECSM samples'!$P$4:$AD$454,15,FALSE),"-"))</f>
        <v>4137</v>
      </c>
      <c r="AD62" s="25"/>
      <c r="AE62">
        <v>4</v>
      </c>
      <c r="AF62">
        <v>77</v>
      </c>
      <c r="AH62">
        <f t="shared" si="2"/>
        <v>0</v>
      </c>
      <c r="AI62">
        <f t="shared" si="3"/>
        <v>0</v>
      </c>
      <c r="AJ62">
        <f t="shared" si="4"/>
        <v>0</v>
      </c>
      <c r="AK62">
        <f t="shared" si="5"/>
        <v>0</v>
      </c>
      <c r="AL62" s="11">
        <f>SUM(AH$5:AH62)/SUM(AK$5:AK62)</f>
        <v>0.8666666666666667</v>
      </c>
      <c r="AM62" s="11">
        <f>SUM(AI$5:AI62)/SUM(AK$5:AK62)</f>
        <v>0.37777777777777777</v>
      </c>
      <c r="AN62" s="11">
        <f>SUM(AJ$5:AJ62)/SUM(AL$5:AL62)</f>
        <v>0.46021181641635917</v>
      </c>
    </row>
    <row r="63" spans="1:40" x14ac:dyDescent="0.35">
      <c r="A63" s="9" t="s">
        <v>255</v>
      </c>
      <c r="B63">
        <v>13</v>
      </c>
      <c r="C63" t="s">
        <v>7</v>
      </c>
      <c r="D63" t="s">
        <v>8</v>
      </c>
      <c r="E63" t="s">
        <v>18</v>
      </c>
      <c r="G63" t="s">
        <v>19</v>
      </c>
      <c r="I63" t="s">
        <v>20</v>
      </c>
      <c r="K63" t="s">
        <v>21</v>
      </c>
      <c r="M63" t="s">
        <v>429</v>
      </c>
      <c r="O63">
        <v>1</v>
      </c>
      <c r="P63" s="14" t="s">
        <v>430</v>
      </c>
      <c r="Q63">
        <v>96</v>
      </c>
      <c r="R63">
        <v>1</v>
      </c>
      <c r="S63" s="8">
        <v>8</v>
      </c>
      <c r="T63" s="14">
        <v>0</v>
      </c>
      <c r="U63">
        <v>3</v>
      </c>
      <c r="V63">
        <v>2</v>
      </c>
      <c r="X63" s="26">
        <f t="shared" si="6"/>
        <v>1.8692025514614827E-4</v>
      </c>
      <c r="Y63" s="12">
        <f t="shared" si="7"/>
        <v>0.99205588915628884</v>
      </c>
      <c r="AA63" s="25" t="str">
        <f>IF(P63="*","-",IFERROR(VLOOKUP(P63,'AESS-W2'!$P$5:$S$107,4,FALSE),"-"))</f>
        <v>-</v>
      </c>
      <c r="AB63" s="25" t="str">
        <f>IF(P63="*","-",IFERROR(VLOOKUP(P63,'AESS-W3'!$P$5:$S$129,4,FALSE),"-"))</f>
        <v>-</v>
      </c>
      <c r="AC63" s="25">
        <f>IF(P63="*","-",IFERROR(VLOOKUP(P63,'All MECSM samples'!$P$4:$AD$454,15,FALSE),"-"))</f>
        <v>34</v>
      </c>
      <c r="AD63" s="25"/>
      <c r="AE63">
        <v>100</v>
      </c>
      <c r="AF63">
        <v>3</v>
      </c>
      <c r="AH63">
        <f t="shared" si="2"/>
        <v>0</v>
      </c>
      <c r="AI63">
        <f t="shared" si="3"/>
        <v>1</v>
      </c>
      <c r="AJ63">
        <f t="shared" si="4"/>
        <v>1</v>
      </c>
      <c r="AK63">
        <f t="shared" si="5"/>
        <v>1</v>
      </c>
      <c r="AL63" s="11">
        <f>SUM(AH$5:AH63)/SUM(AK$5:AK63)</f>
        <v>0.84782608695652173</v>
      </c>
      <c r="AM63" s="11">
        <f>SUM(AI$5:AI63)/SUM(AK$5:AK63)</f>
        <v>0.39130434782608697</v>
      </c>
      <c r="AN63" s="11">
        <f>SUM(AJ$5:AJ63)/SUM(AL$5:AL63)</f>
        <v>0.47084632387338737</v>
      </c>
    </row>
    <row r="64" spans="1:40" x14ac:dyDescent="0.35">
      <c r="A64" s="9" t="s">
        <v>213</v>
      </c>
      <c r="B64">
        <v>13</v>
      </c>
      <c r="C64" t="s">
        <v>7</v>
      </c>
      <c r="D64" t="s">
        <v>8</v>
      </c>
      <c r="E64" t="s">
        <v>18</v>
      </c>
      <c r="G64" t="s">
        <v>19</v>
      </c>
      <c r="I64" t="s">
        <v>20</v>
      </c>
      <c r="K64" t="s">
        <v>21</v>
      </c>
      <c r="O64">
        <v>0.56999999999999995</v>
      </c>
      <c r="P64" s="14" t="s">
        <v>22</v>
      </c>
      <c r="Q64">
        <v>85.8</v>
      </c>
      <c r="R64">
        <v>1</v>
      </c>
      <c r="S64" s="8">
        <v>13</v>
      </c>
      <c r="T64" s="14">
        <v>0</v>
      </c>
      <c r="U64">
        <v>0</v>
      </c>
      <c r="V64">
        <v>0</v>
      </c>
      <c r="X64" s="26">
        <f t="shared" si="6"/>
        <v>3.0374541461249095E-4</v>
      </c>
      <c r="Y64" s="12">
        <f t="shared" si="7"/>
        <v>0.99235963457090137</v>
      </c>
      <c r="AA64" s="25">
        <f>IF(P64="*","-",IFERROR(VLOOKUP(P64,'AESS-W2'!$P$5:$S$107,4,FALSE),"-"))</f>
        <v>1171</v>
      </c>
      <c r="AB64" s="25">
        <f>IF(P64="*","-",IFERROR(VLOOKUP(P64,'AESS-W3'!$P$5:$S$129,4,FALSE),"-"))</f>
        <v>5956</v>
      </c>
      <c r="AC64" s="25">
        <f>IF(P64="*","-",IFERROR(VLOOKUP(P64,'All MECSM samples'!$P$4:$AD$454,15,FALSE),"-"))</f>
        <v>5986</v>
      </c>
      <c r="AD64" s="25"/>
      <c r="AE64">
        <v>0</v>
      </c>
      <c r="AF64">
        <v>0</v>
      </c>
      <c r="AH64">
        <f t="shared" si="2"/>
        <v>0</v>
      </c>
      <c r="AI64">
        <f t="shared" si="3"/>
        <v>0</v>
      </c>
      <c r="AJ64">
        <f t="shared" si="4"/>
        <v>0</v>
      </c>
      <c r="AK64">
        <f t="shared" si="5"/>
        <v>0</v>
      </c>
      <c r="AL64" s="11">
        <f>SUM(AH$5:AH64)/SUM(AK$5:AK64)</f>
        <v>0.84782608695652173</v>
      </c>
      <c r="AM64" s="11">
        <f>SUM(AI$5:AI64)/SUM(AK$5:AK64)</f>
        <v>0.39130434782608697</v>
      </c>
      <c r="AN64" s="11">
        <f>SUM(AJ$5:AJ64)/SUM(AL$5:AL64)</f>
        <v>0.46398627314037727</v>
      </c>
    </row>
    <row r="65" spans="1:40" x14ac:dyDescent="0.35">
      <c r="A65" s="9" t="s">
        <v>265</v>
      </c>
      <c r="B65">
        <v>12</v>
      </c>
      <c r="C65" t="s">
        <v>7</v>
      </c>
      <c r="D65" t="s">
        <v>8</v>
      </c>
      <c r="E65" t="s">
        <v>46</v>
      </c>
      <c r="G65" t="s">
        <v>47</v>
      </c>
      <c r="I65" t="s">
        <v>61</v>
      </c>
      <c r="K65" t="s">
        <v>84</v>
      </c>
      <c r="M65" t="s">
        <v>85</v>
      </c>
      <c r="O65">
        <v>0.87</v>
      </c>
      <c r="P65" s="14" t="s">
        <v>86</v>
      </c>
      <c r="Q65">
        <v>99.2</v>
      </c>
      <c r="R65">
        <v>1</v>
      </c>
      <c r="S65" s="8">
        <v>12</v>
      </c>
      <c r="T65" s="14">
        <v>0</v>
      </c>
      <c r="U65">
        <v>0</v>
      </c>
      <c r="V65">
        <v>0</v>
      </c>
      <c r="X65" s="26">
        <f t="shared" si="6"/>
        <v>2.8038038271922241E-4</v>
      </c>
      <c r="Y65" s="12">
        <f t="shared" si="7"/>
        <v>0.99264001495362064</v>
      </c>
      <c r="AA65" s="25" t="str">
        <f>IF(P65="*","-",IFERROR(VLOOKUP(P65,'AESS-W2'!$P$5:$S$107,4,FALSE),"-"))</f>
        <v>-</v>
      </c>
      <c r="AB65" s="25">
        <f>IF(P65="*","-",IFERROR(VLOOKUP(P65,'AESS-W3'!$P$5:$S$129,4,FALSE),"-"))</f>
        <v>1293</v>
      </c>
      <c r="AC65" s="25">
        <f>IF(P65="*","-",IFERROR(VLOOKUP(P65,'All MECSM samples'!$P$4:$AD$454,15,FALSE),"-"))</f>
        <v>1299</v>
      </c>
      <c r="AD65" s="25"/>
      <c r="AE65">
        <v>64</v>
      </c>
      <c r="AF65">
        <v>17</v>
      </c>
      <c r="AH65">
        <f t="shared" si="2"/>
        <v>0</v>
      </c>
      <c r="AI65">
        <f t="shared" si="3"/>
        <v>0</v>
      </c>
      <c r="AJ65">
        <f t="shared" si="4"/>
        <v>0</v>
      </c>
      <c r="AK65">
        <f t="shared" si="5"/>
        <v>0</v>
      </c>
      <c r="AL65" s="11">
        <f>SUM(AH$5:AH65)/SUM(AK$5:AK65)</f>
        <v>0.84782608695652173</v>
      </c>
      <c r="AM65" s="11">
        <f>SUM(AI$5:AI65)/SUM(AK$5:AK65)</f>
        <v>0.39130434782608697</v>
      </c>
      <c r="AN65" s="11">
        <f>SUM(AJ$5:AJ65)/SUM(AL$5:AL65)</f>
        <v>0.45732324844076788</v>
      </c>
    </row>
    <row r="66" spans="1:40" x14ac:dyDescent="0.35">
      <c r="A66" s="9" t="s">
        <v>218</v>
      </c>
      <c r="B66">
        <v>11</v>
      </c>
      <c r="C66" t="s">
        <v>7</v>
      </c>
      <c r="D66" t="s">
        <v>8</v>
      </c>
      <c r="E66" t="s">
        <v>46</v>
      </c>
      <c r="G66" t="s">
        <v>47</v>
      </c>
      <c r="I66" t="s">
        <v>61</v>
      </c>
      <c r="K66" t="s">
        <v>210</v>
      </c>
      <c r="M66" t="s">
        <v>211</v>
      </c>
      <c r="O66">
        <v>0.98</v>
      </c>
      <c r="P66" s="14" t="s">
        <v>360</v>
      </c>
      <c r="Q66">
        <v>95.3</v>
      </c>
      <c r="R66">
        <v>1</v>
      </c>
      <c r="S66" s="8">
        <v>11</v>
      </c>
      <c r="T66" s="14">
        <v>0</v>
      </c>
      <c r="U66">
        <v>0</v>
      </c>
      <c r="V66">
        <v>0</v>
      </c>
      <c r="X66" s="26">
        <f t="shared" si="6"/>
        <v>2.5701535082595388E-4</v>
      </c>
      <c r="Y66" s="12">
        <f t="shared" si="7"/>
        <v>0.99289703030444665</v>
      </c>
      <c r="AA66" s="25">
        <f>IF(P66="*","-",IFERROR(VLOOKUP(P66,'AESS-W2'!$P$5:$S$107,4,FALSE),"-"))</f>
        <v>9</v>
      </c>
      <c r="AB66" s="25">
        <f>IF(P66="*","-",IFERROR(VLOOKUP(P66,'AESS-W3'!$P$5:$S$129,4,FALSE),"-"))</f>
        <v>2</v>
      </c>
      <c r="AC66" s="25">
        <f>IF(P66="*","-",IFERROR(VLOOKUP(P66,'All MECSM samples'!$P$4:$AD$454,15,FALSE),"-"))</f>
        <v>1108</v>
      </c>
      <c r="AD66" s="25"/>
      <c r="AE66">
        <v>100</v>
      </c>
      <c r="AF66">
        <v>5</v>
      </c>
      <c r="AH66">
        <f t="shared" si="2"/>
        <v>0</v>
      </c>
      <c r="AI66">
        <f t="shared" si="3"/>
        <v>0</v>
      </c>
      <c r="AJ66">
        <f t="shared" si="4"/>
        <v>0</v>
      </c>
      <c r="AK66">
        <f t="shared" si="5"/>
        <v>1</v>
      </c>
      <c r="AL66" s="11">
        <f>SUM(AH$5:AH66)/SUM(AK$5:AK66)</f>
        <v>0.82978723404255317</v>
      </c>
      <c r="AM66" s="11">
        <f>SUM(AI$5:AI66)/SUM(AK$5:AK66)</f>
        <v>0.38297872340425532</v>
      </c>
      <c r="AN66" s="11">
        <f>SUM(AJ$5:AJ66)/SUM(AL$5:AL66)</f>
        <v>0.45098472505315518</v>
      </c>
    </row>
    <row r="67" spans="1:40" x14ac:dyDescent="0.35">
      <c r="A67" s="9" t="s">
        <v>303</v>
      </c>
      <c r="B67">
        <v>11</v>
      </c>
      <c r="C67" t="s">
        <v>7</v>
      </c>
      <c r="D67" t="s">
        <v>8</v>
      </c>
      <c r="E67" t="s">
        <v>258</v>
      </c>
      <c r="G67" t="s">
        <v>258</v>
      </c>
      <c r="H67" t="s">
        <v>259</v>
      </c>
      <c r="I67" t="s">
        <v>260</v>
      </c>
      <c r="J67" t="s">
        <v>261</v>
      </c>
      <c r="K67" t="s">
        <v>262</v>
      </c>
      <c r="O67">
        <v>0.56000000000000005</v>
      </c>
      <c r="P67" s="14" t="s">
        <v>328</v>
      </c>
      <c r="Q67">
        <v>89.3</v>
      </c>
      <c r="R67">
        <v>1</v>
      </c>
      <c r="S67" s="8">
        <v>11</v>
      </c>
      <c r="T67" s="14">
        <v>0</v>
      </c>
      <c r="U67">
        <v>0</v>
      </c>
      <c r="V67">
        <v>0</v>
      </c>
      <c r="X67" s="26">
        <f t="shared" si="6"/>
        <v>2.5701535082595388E-4</v>
      </c>
      <c r="Y67" s="12">
        <f t="shared" si="7"/>
        <v>0.99315404565527265</v>
      </c>
      <c r="AA67" s="25">
        <f>IF(P67="*","-",IFERROR(VLOOKUP(P67,'AESS-W2'!$P$5:$S$107,4,FALSE),"-"))</f>
        <v>20</v>
      </c>
      <c r="AB67" s="25">
        <f>IF(P67="*","-",IFERROR(VLOOKUP(P67,'AESS-W3'!$P$5:$S$129,4,FALSE),"-"))</f>
        <v>5</v>
      </c>
      <c r="AC67" s="25">
        <f>IF(P67="*","-",IFERROR(VLOOKUP(P67,'All MECSM samples'!$P$4:$AD$454,15,FALSE),"-"))</f>
        <v>3418</v>
      </c>
      <c r="AD67" s="25"/>
      <c r="AE67">
        <v>51</v>
      </c>
      <c r="AF67">
        <v>6</v>
      </c>
      <c r="AH67">
        <f t="shared" si="2"/>
        <v>0</v>
      </c>
      <c r="AI67">
        <f t="shared" si="3"/>
        <v>0</v>
      </c>
      <c r="AJ67">
        <f t="shared" si="4"/>
        <v>0</v>
      </c>
      <c r="AK67">
        <f t="shared" si="5"/>
        <v>0</v>
      </c>
      <c r="AL67" s="11">
        <f>SUM(AH$5:AH67)/SUM(AK$5:AK67)</f>
        <v>0.82978723404255317</v>
      </c>
      <c r="AM67" s="11">
        <f>SUM(AI$5:AI67)/SUM(AK$5:AK67)</f>
        <v>0.38297872340425532</v>
      </c>
      <c r="AN67" s="11">
        <f>SUM(AJ$5:AJ67)/SUM(AL$5:AL67)</f>
        <v>0.44481950419413729</v>
      </c>
    </row>
    <row r="68" spans="1:40" x14ac:dyDescent="0.35">
      <c r="A68" s="9" t="s">
        <v>221</v>
      </c>
      <c r="B68">
        <v>11</v>
      </c>
      <c r="C68" t="s">
        <v>7</v>
      </c>
      <c r="D68" t="s">
        <v>8</v>
      </c>
      <c r="E68" t="s">
        <v>46</v>
      </c>
      <c r="O68">
        <v>0.55000000000000004</v>
      </c>
      <c r="P68" s="14" t="s">
        <v>343</v>
      </c>
      <c r="Q68">
        <v>86.6</v>
      </c>
      <c r="R68">
        <v>3</v>
      </c>
      <c r="S68" s="8">
        <v>11</v>
      </c>
      <c r="T68" s="14">
        <v>0</v>
      </c>
      <c r="U68">
        <v>0</v>
      </c>
      <c r="V68">
        <v>0</v>
      </c>
      <c r="X68" s="26">
        <f t="shared" si="6"/>
        <v>2.5701535082595388E-4</v>
      </c>
      <c r="Y68" s="12">
        <f t="shared" si="7"/>
        <v>0.99341106100609866</v>
      </c>
      <c r="AA68" s="25">
        <f>IF(P68="*","-",IFERROR(VLOOKUP(P68,'AESS-W2'!$P$5:$S$107,4,FALSE),"-"))</f>
        <v>9</v>
      </c>
      <c r="AB68" s="25" t="str">
        <f>IF(P68="*","-",IFERROR(VLOOKUP(P68,'AESS-W3'!$P$5:$S$129,4,FALSE),"-"))</f>
        <v>-</v>
      </c>
      <c r="AC68" s="25">
        <f>IF(P68="*","-",IFERROR(VLOOKUP(P68,'All MECSM samples'!$P$4:$AD$454,15,FALSE),"-"))</f>
        <v>1254</v>
      </c>
      <c r="AD68" s="25"/>
      <c r="AE68">
        <v>66</v>
      </c>
      <c r="AF68">
        <v>1</v>
      </c>
      <c r="AH68">
        <f t="shared" si="2"/>
        <v>0</v>
      </c>
      <c r="AI68">
        <f t="shared" si="3"/>
        <v>0</v>
      </c>
      <c r="AJ68">
        <f t="shared" si="4"/>
        <v>0</v>
      </c>
      <c r="AK68">
        <f t="shared" si="5"/>
        <v>0</v>
      </c>
      <c r="AL68" s="11">
        <f>SUM(AH$5:AH68)/SUM(AK$5:AK68)</f>
        <v>0.82978723404255317</v>
      </c>
      <c r="AM68" s="11">
        <f>SUM(AI$5:AI68)/SUM(AK$5:AK68)</f>
        <v>0.38297872340425532</v>
      </c>
      <c r="AN68" s="11">
        <f>SUM(AJ$5:AJ68)/SUM(AL$5:AL68)</f>
        <v>0.4388205742800505</v>
      </c>
    </row>
    <row r="69" spans="1:40" x14ac:dyDescent="0.35">
      <c r="A69" s="9" t="s">
        <v>267</v>
      </c>
      <c r="B69">
        <v>11</v>
      </c>
      <c r="C69" t="s">
        <v>7</v>
      </c>
      <c r="D69" t="s">
        <v>8</v>
      </c>
      <c r="E69" t="s">
        <v>258</v>
      </c>
      <c r="G69" t="s">
        <v>258</v>
      </c>
      <c r="H69" t="s">
        <v>351</v>
      </c>
      <c r="O69">
        <v>0.56000000000000005</v>
      </c>
      <c r="P69" s="14" t="s">
        <v>352</v>
      </c>
      <c r="Q69">
        <v>89.3</v>
      </c>
      <c r="R69">
        <v>3</v>
      </c>
      <c r="S69" s="8">
        <v>11</v>
      </c>
      <c r="T69" s="14">
        <v>0</v>
      </c>
      <c r="U69">
        <v>0</v>
      </c>
      <c r="V69">
        <v>0</v>
      </c>
      <c r="X69" s="26">
        <f t="shared" ref="X69:X100" si="8">S69/S$1</f>
        <v>2.5701535082595388E-4</v>
      </c>
      <c r="Y69" s="12">
        <f t="shared" si="7"/>
        <v>0.99366807635692467</v>
      </c>
      <c r="AA69" s="25" t="str">
        <f>IF(P69="*","-",IFERROR(VLOOKUP(P69,'AESS-W2'!$P$5:$S$107,4,FALSE),"-"))</f>
        <v>-</v>
      </c>
      <c r="AB69" s="25">
        <f>IF(P69="*","-",IFERROR(VLOOKUP(P69,'AESS-W3'!$P$5:$S$129,4,FALSE),"-"))</f>
        <v>8</v>
      </c>
      <c r="AC69" s="25">
        <f>IF(P69="*","-",IFERROR(VLOOKUP(P69,'All MECSM samples'!$P$4:$AD$454,15,FALSE),"-"))</f>
        <v>18</v>
      </c>
      <c r="AD69" s="25"/>
      <c r="AE69">
        <v>100</v>
      </c>
      <c r="AF69">
        <v>2</v>
      </c>
      <c r="AH69">
        <f t="shared" si="2"/>
        <v>0</v>
      </c>
      <c r="AI69">
        <f t="shared" si="3"/>
        <v>0</v>
      </c>
      <c r="AJ69">
        <f t="shared" si="4"/>
        <v>0</v>
      </c>
      <c r="AK69">
        <f t="shared" si="5"/>
        <v>1</v>
      </c>
      <c r="AL69" s="11">
        <f>SUM(AH$5:AH69)/SUM(AK$5:AK69)</f>
        <v>0.8125</v>
      </c>
      <c r="AM69" s="11">
        <f>SUM(AI$5:AI69)/SUM(AK$5:AK69)</f>
        <v>0.375</v>
      </c>
      <c r="AN69" s="11">
        <f>SUM(AJ$5:AJ69)/SUM(AL$5:AL69)</f>
        <v>0.43310136304146879</v>
      </c>
    </row>
    <row r="70" spans="1:40" x14ac:dyDescent="0.35">
      <c r="A70" s="9" t="s">
        <v>188</v>
      </c>
      <c r="B70">
        <v>10</v>
      </c>
      <c r="C70" t="s">
        <v>7</v>
      </c>
      <c r="D70" t="s">
        <v>24</v>
      </c>
      <c r="E70" t="s">
        <v>25</v>
      </c>
      <c r="G70" t="s">
        <v>26</v>
      </c>
      <c r="I70" t="s">
        <v>27</v>
      </c>
      <c r="K70" t="s">
        <v>28</v>
      </c>
      <c r="M70" t="s">
        <v>29</v>
      </c>
      <c r="O70">
        <v>1</v>
      </c>
      <c r="P70" s="14" t="s">
        <v>283</v>
      </c>
      <c r="Q70">
        <v>99.6</v>
      </c>
      <c r="R70">
        <v>1</v>
      </c>
      <c r="S70" s="8">
        <v>10</v>
      </c>
      <c r="T70" s="14">
        <v>0</v>
      </c>
      <c r="U70">
        <v>0</v>
      </c>
      <c r="V70">
        <v>0</v>
      </c>
      <c r="X70" s="26">
        <f t="shared" si="8"/>
        <v>2.3365031893268534E-4</v>
      </c>
      <c r="Y70" s="12">
        <f t="shared" ref="Y70:Y101" si="9">Y69+X70</f>
        <v>0.9939017266758573</v>
      </c>
      <c r="AA70" s="25">
        <f>IF(P70="*","-",IFERROR(VLOOKUP(P70,'AESS-W2'!$P$5:$S$107,4,FALSE),"-"))</f>
        <v>18</v>
      </c>
      <c r="AB70" s="25">
        <f>IF(P70="*","-",IFERROR(VLOOKUP(P70,'AESS-W3'!$P$5:$S$129,4,FALSE),"-"))</f>
        <v>33</v>
      </c>
      <c r="AC70" s="25">
        <f>IF(P70="*","-",IFERROR(VLOOKUP(P70,'All MECSM samples'!$P$4:$AD$454,15,FALSE),"-"))</f>
        <v>22906</v>
      </c>
      <c r="AD70" s="25"/>
      <c r="AE70">
        <v>0</v>
      </c>
      <c r="AF70">
        <v>0</v>
      </c>
      <c r="AH70">
        <f t="shared" ref="AH70:AH126" si="10">IF(AND(S70&gt;0,AE70&gt;=90, T70&gt;0), 1, 0)</f>
        <v>0</v>
      </c>
      <c r="AI70">
        <f t="shared" ref="AI70:AI126" si="11">IF(AND(S70&gt;0,AE70&gt;=90, U70&gt;0), 1, 0)</f>
        <v>0</v>
      </c>
      <c r="AJ70">
        <f t="shared" ref="AJ70:AJ126" si="12">IF(AND(S70&gt;0,AE70&gt;=90, V70&gt;0), 1, 0)</f>
        <v>0</v>
      </c>
      <c r="AK70">
        <f t="shared" ref="AK70:AK126" si="13">IF(AND(S70&gt;0,AE70&gt;=90),1,0)</f>
        <v>0</v>
      </c>
      <c r="AL70" s="11">
        <f>SUM(AH$5:AH70)/SUM(AK$5:AK70)</f>
        <v>0.8125</v>
      </c>
      <c r="AM70" s="11">
        <f>SUM(AI$5:AI70)/SUM(AK$5:AK70)</f>
        <v>0.375</v>
      </c>
      <c r="AN70" s="11">
        <f>SUM(AJ$5:AJ70)/SUM(AL$5:AL70)</f>
        <v>0.42752931243173098</v>
      </c>
    </row>
    <row r="71" spans="1:40" x14ac:dyDescent="0.35">
      <c r="A71" s="9" t="s">
        <v>307</v>
      </c>
      <c r="B71">
        <v>10</v>
      </c>
      <c r="C71" t="s">
        <v>7</v>
      </c>
      <c r="D71" t="s">
        <v>8</v>
      </c>
      <c r="E71" t="s">
        <v>46</v>
      </c>
      <c r="O71">
        <v>0.96</v>
      </c>
      <c r="P71" s="14" t="s">
        <v>330</v>
      </c>
      <c r="Q71">
        <v>90.9</v>
      </c>
      <c r="R71">
        <v>1</v>
      </c>
      <c r="S71" s="8">
        <v>10</v>
      </c>
      <c r="T71" s="14">
        <v>0</v>
      </c>
      <c r="U71">
        <v>0</v>
      </c>
      <c r="V71">
        <v>0</v>
      </c>
      <c r="X71" s="26">
        <f t="shared" si="8"/>
        <v>2.3365031893268534E-4</v>
      </c>
      <c r="Y71" s="12">
        <f t="shared" si="9"/>
        <v>0.99413537699478993</v>
      </c>
      <c r="AA71" s="25">
        <f>IF(P71="*","-",IFERROR(VLOOKUP(P71,'AESS-W2'!$P$5:$S$107,4,FALSE),"-"))</f>
        <v>10</v>
      </c>
      <c r="AB71" s="25">
        <f>IF(P71="*","-",IFERROR(VLOOKUP(P71,'AESS-W3'!$P$5:$S$129,4,FALSE),"-"))</f>
        <v>7</v>
      </c>
      <c r="AC71" s="25">
        <f>IF(P71="*","-",IFERROR(VLOOKUP(P71,'All MECSM samples'!$P$4:$AD$454,15,FALSE),"-"))</f>
        <v>3140</v>
      </c>
      <c r="AD71" s="25"/>
      <c r="AE71">
        <v>26</v>
      </c>
      <c r="AF71">
        <v>56</v>
      </c>
      <c r="AH71">
        <f t="shared" si="10"/>
        <v>0</v>
      </c>
      <c r="AI71">
        <f t="shared" si="11"/>
        <v>0</v>
      </c>
      <c r="AJ71">
        <f t="shared" si="12"/>
        <v>0</v>
      </c>
      <c r="AK71">
        <f t="shared" si="13"/>
        <v>0</v>
      </c>
      <c r="AL71" s="11">
        <f>SUM(AH$5:AH71)/SUM(AK$5:AK71)</f>
        <v>0.8125</v>
      </c>
      <c r="AM71" s="11">
        <f>SUM(AI$5:AI71)/SUM(AK$5:AK71)</f>
        <v>0.375</v>
      </c>
      <c r="AN71" s="11">
        <f>SUM(AJ$5:AJ71)/SUM(AL$5:AL71)</f>
        <v>0.42209881472687089</v>
      </c>
    </row>
    <row r="72" spans="1:40" x14ac:dyDescent="0.35">
      <c r="A72" s="9" t="s">
        <v>214</v>
      </c>
      <c r="B72">
        <v>9</v>
      </c>
      <c r="C72" t="s">
        <v>7</v>
      </c>
      <c r="D72" t="s">
        <v>8</v>
      </c>
      <c r="E72" t="s">
        <v>9</v>
      </c>
      <c r="G72" t="s">
        <v>10</v>
      </c>
      <c r="I72" t="s">
        <v>131</v>
      </c>
      <c r="K72" t="s">
        <v>150</v>
      </c>
      <c r="O72">
        <v>0.97</v>
      </c>
      <c r="P72" s="14" t="s">
        <v>152</v>
      </c>
      <c r="Q72">
        <v>94.5</v>
      </c>
      <c r="R72">
        <v>1</v>
      </c>
      <c r="S72" s="8">
        <v>9</v>
      </c>
      <c r="T72" s="14">
        <v>0</v>
      </c>
      <c r="U72">
        <v>0</v>
      </c>
      <c r="V72">
        <v>0</v>
      </c>
      <c r="X72" s="26">
        <f t="shared" si="8"/>
        <v>2.1028528703941681E-4</v>
      </c>
      <c r="Y72" s="12">
        <f t="shared" si="9"/>
        <v>0.9943456622818293</v>
      </c>
      <c r="AA72" s="25">
        <f>IF(P72="*","-",IFERROR(VLOOKUP(P72,'AESS-W2'!$P$5:$S$107,4,FALSE),"-"))</f>
        <v>220</v>
      </c>
      <c r="AB72" s="25">
        <f>IF(P72="*","-",IFERROR(VLOOKUP(P72,'AESS-W3'!$P$5:$S$129,4,FALSE),"-"))</f>
        <v>108</v>
      </c>
      <c r="AC72" s="25">
        <f>IF(P72="*","-",IFERROR(VLOOKUP(P72,'All MECSM samples'!$P$4:$AD$454,15,FALSE),"-"))</f>
        <v>577</v>
      </c>
      <c r="AD72" s="25"/>
      <c r="AE72">
        <v>99</v>
      </c>
      <c r="AF72">
        <v>5</v>
      </c>
      <c r="AH72">
        <f t="shared" si="10"/>
        <v>0</v>
      </c>
      <c r="AI72">
        <f t="shared" si="11"/>
        <v>0</v>
      </c>
      <c r="AJ72">
        <f t="shared" si="12"/>
        <v>0</v>
      </c>
      <c r="AK72">
        <f t="shared" si="13"/>
        <v>1</v>
      </c>
      <c r="AL72" s="11">
        <f>SUM(AH$5:AH72)/SUM(AK$5:AK72)</f>
        <v>0.79591836734693877</v>
      </c>
      <c r="AM72" s="11">
        <f>SUM(AI$5:AI72)/SUM(AK$5:AK72)</f>
        <v>0.36734693877551022</v>
      </c>
      <c r="AN72" s="11">
        <f>SUM(AJ$5:AJ72)/SUM(AL$5:AL72)</f>
        <v>0.4169112620192072</v>
      </c>
    </row>
    <row r="73" spans="1:40" x14ac:dyDescent="0.35">
      <c r="A73" s="9" t="s">
        <v>266</v>
      </c>
      <c r="B73">
        <v>9</v>
      </c>
      <c r="C73" t="s">
        <v>7</v>
      </c>
      <c r="D73" t="s">
        <v>8</v>
      </c>
      <c r="E73" t="s">
        <v>32</v>
      </c>
      <c r="O73">
        <v>0.99</v>
      </c>
      <c r="P73" s="14" t="s">
        <v>33</v>
      </c>
      <c r="Q73">
        <v>87.7</v>
      </c>
      <c r="R73">
        <v>1</v>
      </c>
      <c r="S73" s="8">
        <v>9</v>
      </c>
      <c r="T73" s="14">
        <v>0</v>
      </c>
      <c r="U73">
        <v>0</v>
      </c>
      <c r="V73">
        <v>0</v>
      </c>
      <c r="X73" s="26">
        <f t="shared" si="8"/>
        <v>2.1028528703941681E-4</v>
      </c>
      <c r="Y73" s="12">
        <f t="shared" si="9"/>
        <v>0.99455594756886867</v>
      </c>
      <c r="AA73" s="25">
        <f>IF(P73="*","-",IFERROR(VLOOKUP(P73,'AESS-W2'!$P$5:$S$107,4,FALSE),"-"))</f>
        <v>5845</v>
      </c>
      <c r="AB73" s="25">
        <f>IF(P73="*","-",IFERROR(VLOOKUP(P73,'AESS-W3'!$P$5:$S$129,4,FALSE),"-"))</f>
        <v>7</v>
      </c>
      <c r="AC73" s="25">
        <f>IF(P73="*","-",IFERROR(VLOOKUP(P73,'All MECSM samples'!$P$4:$AD$454,15,FALSE),"-"))</f>
        <v>5880</v>
      </c>
      <c r="AD73" s="25"/>
      <c r="AE73">
        <v>2</v>
      </c>
      <c r="AF73">
        <v>102</v>
      </c>
      <c r="AH73">
        <f t="shared" si="10"/>
        <v>0</v>
      </c>
      <c r="AI73">
        <f t="shared" si="11"/>
        <v>0</v>
      </c>
      <c r="AJ73">
        <f t="shared" si="12"/>
        <v>0</v>
      </c>
      <c r="AK73">
        <f t="shared" si="13"/>
        <v>0</v>
      </c>
      <c r="AL73" s="11">
        <f>SUM(AH$5:AH73)/SUM(AK$5:AK73)</f>
        <v>0.79591836734693877</v>
      </c>
      <c r="AM73" s="11">
        <f>SUM(AI$5:AI73)/SUM(AK$5:AK73)</f>
        <v>0.36734693877551022</v>
      </c>
      <c r="AN73" s="11">
        <f>SUM(AJ$5:AJ73)/SUM(AL$5:AL73)</f>
        <v>0.41184967028360242</v>
      </c>
    </row>
    <row r="74" spans="1:40" x14ac:dyDescent="0.35">
      <c r="A74" s="9" t="s">
        <v>216</v>
      </c>
      <c r="B74">
        <v>9</v>
      </c>
      <c r="C74" t="s">
        <v>7</v>
      </c>
      <c r="D74" t="s">
        <v>8</v>
      </c>
      <c r="E74" t="s">
        <v>46</v>
      </c>
      <c r="G74" t="s">
        <v>47</v>
      </c>
      <c r="I74" t="s">
        <v>61</v>
      </c>
      <c r="K74" t="s">
        <v>190</v>
      </c>
      <c r="O74">
        <v>0.5</v>
      </c>
      <c r="P74" s="14" t="s">
        <v>319</v>
      </c>
      <c r="Q74">
        <v>89.3</v>
      </c>
      <c r="R74">
        <v>1</v>
      </c>
      <c r="S74" s="8">
        <v>9</v>
      </c>
      <c r="T74" s="14">
        <v>0</v>
      </c>
      <c r="U74">
        <v>0</v>
      </c>
      <c r="V74">
        <v>0</v>
      </c>
      <c r="X74" s="26">
        <f t="shared" si="8"/>
        <v>2.1028528703941681E-4</v>
      </c>
      <c r="Y74" s="12">
        <f t="shared" si="9"/>
        <v>0.99476623285590804</v>
      </c>
      <c r="AA74" s="25">
        <f>IF(P74="*","-",IFERROR(VLOOKUP(P74,'AESS-W2'!$P$5:$S$107,4,FALSE),"-"))</f>
        <v>10</v>
      </c>
      <c r="AB74" s="25">
        <f>IF(P74="*","-",IFERROR(VLOOKUP(P74,'AESS-W3'!$P$5:$S$129,4,FALSE),"-"))</f>
        <v>14</v>
      </c>
      <c r="AC74" s="25">
        <f>IF(P74="*","-",IFERROR(VLOOKUP(P74,'All MECSM samples'!$P$4:$AD$454,15,FALSE),"-"))</f>
        <v>5160</v>
      </c>
      <c r="AD74" s="25"/>
      <c r="AE74">
        <v>39</v>
      </c>
      <c r="AF74">
        <v>27</v>
      </c>
      <c r="AH74">
        <f t="shared" si="10"/>
        <v>0</v>
      </c>
      <c r="AI74">
        <f t="shared" si="11"/>
        <v>0</v>
      </c>
      <c r="AJ74">
        <f t="shared" si="12"/>
        <v>0</v>
      </c>
      <c r="AK74">
        <f t="shared" si="13"/>
        <v>0</v>
      </c>
      <c r="AL74" s="11">
        <f>SUM(AH$5:AH74)/SUM(AK$5:AK74)</f>
        <v>0.79591836734693877</v>
      </c>
      <c r="AM74" s="11">
        <f>SUM(AI$5:AI74)/SUM(AK$5:AK74)</f>
        <v>0.36734693877551022</v>
      </c>
      <c r="AN74" s="11">
        <f>SUM(AJ$5:AJ74)/SUM(AL$5:AL74)</f>
        <v>0.40690950678998034</v>
      </c>
    </row>
    <row r="75" spans="1:40" x14ac:dyDescent="0.35">
      <c r="A75" s="9" t="s">
        <v>264</v>
      </c>
      <c r="B75">
        <v>8</v>
      </c>
      <c r="C75" t="s">
        <v>7</v>
      </c>
      <c r="D75" t="s">
        <v>8</v>
      </c>
      <c r="E75" t="s">
        <v>46</v>
      </c>
      <c r="O75">
        <v>0.72</v>
      </c>
      <c r="P75" s="14" t="s">
        <v>354</v>
      </c>
      <c r="Q75">
        <v>87.4</v>
      </c>
      <c r="R75">
        <v>1</v>
      </c>
      <c r="S75" s="8">
        <v>8</v>
      </c>
      <c r="T75" s="14">
        <v>0</v>
      </c>
      <c r="U75">
        <v>0</v>
      </c>
      <c r="V75">
        <v>0</v>
      </c>
      <c r="X75" s="26">
        <f t="shared" si="8"/>
        <v>1.8692025514614827E-4</v>
      </c>
      <c r="Y75" s="12">
        <f t="shared" si="9"/>
        <v>0.99495315311105414</v>
      </c>
      <c r="AA75" s="25">
        <f>IF(P75="*","-",IFERROR(VLOOKUP(P75,'AESS-W2'!$P$5:$S$107,4,FALSE),"-"))</f>
        <v>4</v>
      </c>
      <c r="AB75" s="25">
        <f>IF(P75="*","-",IFERROR(VLOOKUP(P75,'AESS-W3'!$P$5:$S$129,4,FALSE),"-"))</f>
        <v>10</v>
      </c>
      <c r="AC75" s="25">
        <f>IF(P75="*","-",IFERROR(VLOOKUP(P75,'All MECSM samples'!$P$4:$AD$454,15,FALSE),"-"))</f>
        <v>905</v>
      </c>
      <c r="AD75" s="25"/>
      <c r="AE75">
        <v>97</v>
      </c>
      <c r="AF75">
        <v>7</v>
      </c>
      <c r="AH75">
        <f t="shared" si="10"/>
        <v>0</v>
      </c>
      <c r="AI75">
        <f t="shared" si="11"/>
        <v>0</v>
      </c>
      <c r="AJ75">
        <f t="shared" si="12"/>
        <v>0</v>
      </c>
      <c r="AK75">
        <f t="shared" si="13"/>
        <v>1</v>
      </c>
      <c r="AL75" s="11">
        <f>SUM(AH$5:AH75)/SUM(AK$5:AK75)</f>
        <v>0.78</v>
      </c>
      <c r="AM75" s="11">
        <f>SUM(AI$5:AI75)/SUM(AK$5:AK75)</f>
        <v>0.36</v>
      </c>
      <c r="AN75" s="11">
        <f>SUM(AJ$5:AJ75)/SUM(AL$5:AL75)</f>
        <v>0.40218179403254478</v>
      </c>
    </row>
    <row r="76" spans="1:40" x14ac:dyDescent="0.35">
      <c r="A76" s="9" t="s">
        <v>223</v>
      </c>
      <c r="B76">
        <v>8</v>
      </c>
      <c r="C76" t="s">
        <v>7</v>
      </c>
      <c r="D76" t="s">
        <v>8</v>
      </c>
      <c r="E76" t="s">
        <v>46</v>
      </c>
      <c r="G76" t="s">
        <v>47</v>
      </c>
      <c r="I76" t="s">
        <v>61</v>
      </c>
      <c r="O76">
        <v>0.99</v>
      </c>
      <c r="P76" s="14" t="s">
        <v>470</v>
      </c>
      <c r="Q76">
        <v>93.3</v>
      </c>
      <c r="R76">
        <v>1</v>
      </c>
      <c r="S76" s="8">
        <v>8</v>
      </c>
      <c r="T76" s="14">
        <v>0</v>
      </c>
      <c r="U76">
        <v>0</v>
      </c>
      <c r="V76">
        <v>0</v>
      </c>
      <c r="X76" s="26">
        <f t="shared" si="8"/>
        <v>1.8692025514614827E-4</v>
      </c>
      <c r="Y76" s="12">
        <f t="shared" si="9"/>
        <v>0.99514007336620025</v>
      </c>
      <c r="AA76" s="25" t="str">
        <f>IF(P76="*","-",IFERROR(VLOOKUP(P76,'AESS-W2'!$P$5:$S$107,4,FALSE),"-"))</f>
        <v>-</v>
      </c>
      <c r="AB76" s="25" t="str">
        <f>IF(P76="*","-",IFERROR(VLOOKUP(P76,'AESS-W3'!$P$5:$S$129,4,FALSE),"-"))</f>
        <v>-</v>
      </c>
      <c r="AC76" s="25">
        <f>IF(P76="*","-",IFERROR(VLOOKUP(P76,'All MECSM samples'!$P$4:$AD$454,15,FALSE),"-"))</f>
        <v>39</v>
      </c>
      <c r="AD76" s="25"/>
      <c r="AE76">
        <v>20</v>
      </c>
      <c r="AF76">
        <v>4</v>
      </c>
      <c r="AH76">
        <f t="shared" si="10"/>
        <v>0</v>
      </c>
      <c r="AI76">
        <f t="shared" si="11"/>
        <v>0</v>
      </c>
      <c r="AJ76">
        <f t="shared" si="12"/>
        <v>0</v>
      </c>
      <c r="AK76">
        <f t="shared" si="13"/>
        <v>0</v>
      </c>
      <c r="AL76" s="11">
        <f>SUM(AH$5:AH76)/SUM(AK$5:AK76)</f>
        <v>0.78</v>
      </c>
      <c r="AM76" s="11">
        <f>SUM(AI$5:AI76)/SUM(AK$5:AK76)</f>
        <v>0.36</v>
      </c>
      <c r="AN76" s="11">
        <f>SUM(AJ$5:AJ76)/SUM(AL$5:AL76)</f>
        <v>0.39756267819907737</v>
      </c>
    </row>
    <row r="77" spans="1:40" x14ac:dyDescent="0.35">
      <c r="A77" s="9" t="s">
        <v>185</v>
      </c>
      <c r="B77">
        <v>8</v>
      </c>
      <c r="C77" t="s">
        <v>7</v>
      </c>
      <c r="D77" t="s">
        <v>8</v>
      </c>
      <c r="E77" t="s">
        <v>9</v>
      </c>
      <c r="G77" t="s">
        <v>138</v>
      </c>
      <c r="I77" t="s">
        <v>296</v>
      </c>
      <c r="K77" t="s">
        <v>297</v>
      </c>
      <c r="M77" t="s">
        <v>298</v>
      </c>
      <c r="O77">
        <v>1</v>
      </c>
      <c r="P77" s="14" t="s">
        <v>299</v>
      </c>
      <c r="Q77">
        <v>100</v>
      </c>
      <c r="R77">
        <v>1</v>
      </c>
      <c r="S77" s="8">
        <v>0</v>
      </c>
      <c r="T77" s="14">
        <v>0</v>
      </c>
      <c r="U77">
        <v>0</v>
      </c>
      <c r="V77">
        <v>8</v>
      </c>
      <c r="X77" s="26">
        <f t="shared" si="8"/>
        <v>0</v>
      </c>
      <c r="Y77" s="12">
        <f t="shared" si="9"/>
        <v>0.99514007336620025</v>
      </c>
      <c r="AA77" s="25" t="str">
        <f>IF(P77="*","-",IFERROR(VLOOKUP(P77,'AESS-W2'!$P$5:$S$107,4,FALSE),"-"))</f>
        <v>-</v>
      </c>
      <c r="AB77" s="25">
        <f>IF(P77="*","-",IFERROR(VLOOKUP(P77,'AESS-W3'!$P$5:$S$129,4,FALSE),"-"))</f>
        <v>0</v>
      </c>
      <c r="AC77" s="25" t="str">
        <f>IF(P77="*","-",IFERROR(VLOOKUP(P77,'All MECSM samples'!$P$4:$AD$454,15,FALSE),"-"))</f>
        <v>-</v>
      </c>
      <c r="AD77" s="25"/>
      <c r="AE77">
        <v>100</v>
      </c>
      <c r="AF77">
        <v>11</v>
      </c>
      <c r="AH77">
        <f t="shared" si="10"/>
        <v>0</v>
      </c>
      <c r="AI77">
        <f t="shared" si="11"/>
        <v>0</v>
      </c>
      <c r="AJ77">
        <f t="shared" si="12"/>
        <v>0</v>
      </c>
      <c r="AK77">
        <f t="shared" si="13"/>
        <v>0</v>
      </c>
      <c r="AL77" s="11">
        <f>SUM(AH$5:AH77)/SUM(AK$5:AK77)</f>
        <v>0.78</v>
      </c>
      <c r="AM77" s="11">
        <f>SUM(AI$5:AI77)/SUM(AK$5:AK77)</f>
        <v>0.36</v>
      </c>
      <c r="AN77" s="11">
        <f>SUM(AJ$5:AJ77)/SUM(AL$5:AL77)</f>
        <v>0.39304846002225485</v>
      </c>
    </row>
    <row r="78" spans="1:40" x14ac:dyDescent="0.35">
      <c r="A78" s="9" t="s">
        <v>225</v>
      </c>
      <c r="B78">
        <v>7</v>
      </c>
      <c r="C78" t="s">
        <v>7</v>
      </c>
      <c r="D78" t="s">
        <v>8</v>
      </c>
      <c r="E78" t="s">
        <v>9</v>
      </c>
      <c r="G78" t="s">
        <v>10</v>
      </c>
      <c r="K78" t="s">
        <v>227</v>
      </c>
      <c r="M78" t="s">
        <v>228</v>
      </c>
      <c r="O78">
        <v>0.99</v>
      </c>
      <c r="P78" s="14" t="s">
        <v>229</v>
      </c>
      <c r="Q78">
        <v>94.9</v>
      </c>
      <c r="R78">
        <v>1</v>
      </c>
      <c r="S78" s="8">
        <v>7</v>
      </c>
      <c r="T78" s="14">
        <v>0</v>
      </c>
      <c r="U78">
        <v>0</v>
      </c>
      <c r="V78">
        <v>0</v>
      </c>
      <c r="X78" s="26">
        <f t="shared" si="8"/>
        <v>1.6355522325287974E-4</v>
      </c>
      <c r="Y78" s="12">
        <f t="shared" si="9"/>
        <v>0.99530362858945309</v>
      </c>
      <c r="AA78" s="25">
        <f>IF(P78="*","-",IFERROR(VLOOKUP(P78,'AESS-W2'!$P$5:$S$107,4,FALSE),"-"))</f>
        <v>52</v>
      </c>
      <c r="AB78" s="25">
        <f>IF(P78="*","-",IFERROR(VLOOKUP(P78,'AESS-W3'!$P$5:$S$129,4,FALSE),"-"))</f>
        <v>82</v>
      </c>
      <c r="AC78" s="25">
        <f>IF(P78="*","-",IFERROR(VLOOKUP(P78,'All MECSM samples'!$P$4:$AD$454,15,FALSE),"-"))</f>
        <v>1516</v>
      </c>
      <c r="AD78" s="25"/>
      <c r="AE78">
        <v>99</v>
      </c>
      <c r="AF78">
        <v>3</v>
      </c>
      <c r="AH78">
        <f t="shared" si="10"/>
        <v>0</v>
      </c>
      <c r="AI78">
        <f t="shared" si="11"/>
        <v>0</v>
      </c>
      <c r="AJ78">
        <f t="shared" si="12"/>
        <v>0</v>
      </c>
      <c r="AK78">
        <f t="shared" si="13"/>
        <v>1</v>
      </c>
      <c r="AL78" s="11">
        <f>SUM(AH$5:AH78)/SUM(AK$5:AK78)</f>
        <v>0.76470588235294112</v>
      </c>
      <c r="AM78" s="11">
        <f>SUM(AI$5:AI78)/SUM(AK$5:AK78)</f>
        <v>0.35294117647058826</v>
      </c>
      <c r="AN78" s="11">
        <f>SUM(AJ$5:AJ78)/SUM(AL$5:AL78)</f>
        <v>0.38872118029069325</v>
      </c>
    </row>
    <row r="79" spans="1:40" x14ac:dyDescent="0.35">
      <c r="A79" s="9" t="s">
        <v>200</v>
      </c>
      <c r="B79">
        <v>7</v>
      </c>
      <c r="C79" t="s">
        <v>7</v>
      </c>
      <c r="D79" t="s">
        <v>8</v>
      </c>
      <c r="E79" t="s">
        <v>32</v>
      </c>
      <c r="G79" t="s">
        <v>35</v>
      </c>
      <c r="I79" t="s">
        <v>36</v>
      </c>
      <c r="K79" t="s">
        <v>37</v>
      </c>
      <c r="M79" t="s">
        <v>231</v>
      </c>
      <c r="O79">
        <v>0.88</v>
      </c>
      <c r="P79" s="14" t="s">
        <v>232</v>
      </c>
      <c r="Q79">
        <v>95.3</v>
      </c>
      <c r="R79">
        <v>1</v>
      </c>
      <c r="S79" s="8">
        <v>7</v>
      </c>
      <c r="T79" s="14">
        <v>0</v>
      </c>
      <c r="U79">
        <v>0</v>
      </c>
      <c r="V79">
        <v>0</v>
      </c>
      <c r="X79" s="26">
        <f t="shared" si="8"/>
        <v>1.6355522325287974E-4</v>
      </c>
      <c r="Y79" s="12">
        <f t="shared" si="9"/>
        <v>0.99546718381270594</v>
      </c>
      <c r="AA79" s="25" t="str">
        <f>IF(P79="*","-",IFERROR(VLOOKUP(P79,'AESS-W2'!$P$5:$S$107,4,FALSE),"-"))</f>
        <v>-</v>
      </c>
      <c r="AB79" s="25" t="str">
        <f>IF(P79="*","-",IFERROR(VLOOKUP(P79,'AESS-W3'!$P$5:$S$129,4,FALSE),"-"))</f>
        <v>-</v>
      </c>
      <c r="AC79" s="25">
        <f>IF(P79="*","-",IFERROR(VLOOKUP(P79,'All MECSM samples'!$P$4:$AD$454,15,FALSE),"-"))</f>
        <v>465</v>
      </c>
      <c r="AD79" s="25"/>
      <c r="AE79">
        <v>78</v>
      </c>
      <c r="AF79">
        <v>2</v>
      </c>
      <c r="AH79">
        <f t="shared" si="10"/>
        <v>0</v>
      </c>
      <c r="AI79">
        <f t="shared" si="11"/>
        <v>0</v>
      </c>
      <c r="AJ79">
        <f t="shared" si="12"/>
        <v>0</v>
      </c>
      <c r="AK79">
        <f t="shared" si="13"/>
        <v>0</v>
      </c>
      <c r="AL79" s="11">
        <f>SUM(AH$5:AH79)/SUM(AK$5:AK79)</f>
        <v>0.76470588235294112</v>
      </c>
      <c r="AM79" s="11">
        <f>SUM(AI$5:AI79)/SUM(AK$5:AK79)</f>
        <v>0.35294117647058826</v>
      </c>
      <c r="AN79" s="11">
        <f>SUM(AJ$5:AJ79)/SUM(AL$5:AL79)</f>
        <v>0.38448814561740713</v>
      </c>
    </row>
    <row r="80" spans="1:40" x14ac:dyDescent="0.35">
      <c r="A80" s="9" t="s">
        <v>226</v>
      </c>
      <c r="B80">
        <v>7</v>
      </c>
      <c r="C80" t="s">
        <v>7</v>
      </c>
      <c r="D80" t="s">
        <v>8</v>
      </c>
      <c r="E80" t="s">
        <v>46</v>
      </c>
      <c r="G80" t="s">
        <v>47</v>
      </c>
      <c r="I80" t="s">
        <v>61</v>
      </c>
      <c r="K80" t="s">
        <v>84</v>
      </c>
      <c r="M80" t="s">
        <v>463</v>
      </c>
      <c r="O80">
        <v>0.57999999999999996</v>
      </c>
      <c r="P80" s="14" t="s">
        <v>464</v>
      </c>
      <c r="Q80">
        <v>99.2</v>
      </c>
      <c r="R80">
        <v>1</v>
      </c>
      <c r="S80" s="8">
        <v>7</v>
      </c>
      <c r="T80" s="14">
        <v>0</v>
      </c>
      <c r="U80">
        <v>0</v>
      </c>
      <c r="V80">
        <v>0</v>
      </c>
      <c r="X80" s="26">
        <f t="shared" si="8"/>
        <v>1.6355522325287974E-4</v>
      </c>
      <c r="Y80" s="12">
        <f t="shared" si="9"/>
        <v>0.99563073903595878</v>
      </c>
      <c r="AA80" s="25" t="str">
        <f>IF(P80="*","-",IFERROR(VLOOKUP(P80,'AESS-W2'!$P$5:$S$107,4,FALSE),"-"))</f>
        <v>-</v>
      </c>
      <c r="AB80" s="25" t="str">
        <f>IF(P80="*","-",IFERROR(VLOOKUP(P80,'AESS-W3'!$P$5:$S$129,4,FALSE),"-"))</f>
        <v>-</v>
      </c>
      <c r="AC80" s="25">
        <f>IF(P80="*","-",IFERROR(VLOOKUP(P80,'All MECSM samples'!$P$4:$AD$454,15,FALSE),"-"))</f>
        <v>188</v>
      </c>
      <c r="AD80" s="25"/>
      <c r="AE80">
        <v>76</v>
      </c>
      <c r="AF80">
        <v>25</v>
      </c>
      <c r="AH80">
        <f t="shared" si="10"/>
        <v>0</v>
      </c>
      <c r="AI80">
        <f t="shared" si="11"/>
        <v>0</v>
      </c>
      <c r="AJ80">
        <f t="shared" si="12"/>
        <v>0</v>
      </c>
      <c r="AK80">
        <f t="shared" si="13"/>
        <v>0</v>
      </c>
      <c r="AL80" s="11">
        <f>SUM(AH$5:AH80)/SUM(AK$5:AK80)</f>
        <v>0.76470588235294112</v>
      </c>
      <c r="AM80" s="11">
        <f>SUM(AI$5:AI80)/SUM(AK$5:AK80)</f>
        <v>0.35294117647058826</v>
      </c>
      <c r="AN80" s="11">
        <f>SUM(AJ$5:AJ80)/SUM(AL$5:AL80)</f>
        <v>0.38034631028421151</v>
      </c>
    </row>
    <row r="81" spans="1:40" x14ac:dyDescent="0.35">
      <c r="A81" s="9" t="s">
        <v>363</v>
      </c>
      <c r="B81">
        <v>7</v>
      </c>
      <c r="C81" t="s">
        <v>7</v>
      </c>
      <c r="D81" t="s">
        <v>8</v>
      </c>
      <c r="E81" t="s">
        <v>9</v>
      </c>
      <c r="G81" t="s">
        <v>10</v>
      </c>
      <c r="I81" t="s">
        <v>107</v>
      </c>
      <c r="K81" t="s">
        <v>108</v>
      </c>
      <c r="M81" t="s">
        <v>109</v>
      </c>
      <c r="O81">
        <v>1</v>
      </c>
      <c r="P81" s="14" t="s">
        <v>449</v>
      </c>
      <c r="Q81">
        <v>98.8</v>
      </c>
      <c r="R81">
        <v>1</v>
      </c>
      <c r="S81" s="8">
        <v>7</v>
      </c>
      <c r="T81" s="14">
        <v>0</v>
      </c>
      <c r="U81">
        <v>0</v>
      </c>
      <c r="V81">
        <v>0</v>
      </c>
      <c r="X81" s="26">
        <f t="shared" si="8"/>
        <v>1.6355522325287974E-4</v>
      </c>
      <c r="Y81" s="12">
        <f t="shared" si="9"/>
        <v>0.99579429425921162</v>
      </c>
      <c r="AA81" s="25" t="str">
        <f>IF(P81="*","-",IFERROR(VLOOKUP(P81,'AESS-W2'!$P$5:$S$107,4,FALSE),"-"))</f>
        <v>-</v>
      </c>
      <c r="AB81" s="25" t="str">
        <f>IF(P81="*","-",IFERROR(VLOOKUP(P81,'AESS-W3'!$P$5:$S$129,4,FALSE),"-"))</f>
        <v>-</v>
      </c>
      <c r="AC81" s="25">
        <f>IF(P81="*","-",IFERROR(VLOOKUP(P81,'All MECSM samples'!$P$4:$AD$454,15,FALSE),"-"))</f>
        <v>274</v>
      </c>
      <c r="AD81" s="25"/>
      <c r="AE81">
        <v>35</v>
      </c>
      <c r="AF81">
        <v>2</v>
      </c>
      <c r="AH81">
        <f t="shared" si="10"/>
        <v>0</v>
      </c>
      <c r="AI81">
        <f t="shared" si="11"/>
        <v>0</v>
      </c>
      <c r="AJ81">
        <f t="shared" si="12"/>
        <v>0</v>
      </c>
      <c r="AK81">
        <f t="shared" si="13"/>
        <v>0</v>
      </c>
      <c r="AL81" s="11">
        <f>SUM(AH$5:AH81)/SUM(AK$5:AK81)</f>
        <v>0.76470588235294112</v>
      </c>
      <c r="AM81" s="11">
        <f>SUM(AI$5:AI81)/SUM(AK$5:AK81)</f>
        <v>0.35294117647058826</v>
      </c>
      <c r="AN81" s="11">
        <f>SUM(AJ$5:AJ81)/SUM(AL$5:AL81)</f>
        <v>0.37629275841224213</v>
      </c>
    </row>
    <row r="82" spans="1:40" x14ac:dyDescent="0.35">
      <c r="A82" s="9" t="s">
        <v>277</v>
      </c>
      <c r="B82">
        <v>6</v>
      </c>
      <c r="C82" t="s">
        <v>7</v>
      </c>
      <c r="D82" t="s">
        <v>8</v>
      </c>
      <c r="E82" t="s">
        <v>100</v>
      </c>
      <c r="G82" t="s">
        <v>101</v>
      </c>
      <c r="I82" t="s">
        <v>102</v>
      </c>
      <c r="K82" t="s">
        <v>103</v>
      </c>
      <c r="M82" t="s">
        <v>383</v>
      </c>
      <c r="O82">
        <v>0.81</v>
      </c>
      <c r="P82" s="14" t="s">
        <v>384</v>
      </c>
      <c r="Q82">
        <v>95.7</v>
      </c>
      <c r="R82">
        <v>1</v>
      </c>
      <c r="S82" s="8">
        <v>6</v>
      </c>
      <c r="T82" s="14">
        <v>0</v>
      </c>
      <c r="U82">
        <v>0</v>
      </c>
      <c r="V82">
        <v>0</v>
      </c>
      <c r="X82" s="26">
        <f t="shared" si="8"/>
        <v>1.4019019135961121E-4</v>
      </c>
      <c r="Y82" s="12">
        <f t="shared" si="9"/>
        <v>0.9959344844505712</v>
      </c>
      <c r="AA82" s="25">
        <f>IF(P82="*","-",IFERROR(VLOOKUP(P82,'AESS-W2'!$P$5:$S$107,4,FALSE),"-"))</f>
        <v>5</v>
      </c>
      <c r="AB82" s="25">
        <f>IF(P82="*","-",IFERROR(VLOOKUP(P82,'AESS-W3'!$P$5:$S$129,4,FALSE),"-"))</f>
        <v>4</v>
      </c>
      <c r="AC82" s="25">
        <f>IF(P82="*","-",IFERROR(VLOOKUP(P82,'All MECSM samples'!$P$4:$AD$454,15,FALSE),"-"))</f>
        <v>1015</v>
      </c>
      <c r="AD82" s="25"/>
      <c r="AE82">
        <v>12</v>
      </c>
      <c r="AF82">
        <v>1</v>
      </c>
      <c r="AH82">
        <f t="shared" si="10"/>
        <v>0</v>
      </c>
      <c r="AI82">
        <f t="shared" si="11"/>
        <v>0</v>
      </c>
      <c r="AJ82">
        <f t="shared" si="12"/>
        <v>0</v>
      </c>
      <c r="AK82">
        <f t="shared" si="13"/>
        <v>0</v>
      </c>
      <c r="AL82" s="11">
        <f>SUM(AH$5:AH82)/SUM(AK$5:AK82)</f>
        <v>0.76470588235294112</v>
      </c>
      <c r="AM82" s="11">
        <f>SUM(AI$5:AI82)/SUM(AK$5:AK82)</f>
        <v>0.35294117647058826</v>
      </c>
      <c r="AN82" s="11">
        <f>SUM(AJ$5:AJ82)/SUM(AL$5:AL82)</f>
        <v>0.37232469711608401</v>
      </c>
    </row>
    <row r="83" spans="1:40" x14ac:dyDescent="0.35">
      <c r="A83" s="9" t="s">
        <v>271</v>
      </c>
      <c r="B83">
        <v>6</v>
      </c>
      <c r="C83" t="s">
        <v>7</v>
      </c>
      <c r="D83" t="s">
        <v>8</v>
      </c>
      <c r="E83" t="s">
        <v>46</v>
      </c>
      <c r="G83" t="s">
        <v>47</v>
      </c>
      <c r="I83" t="s">
        <v>61</v>
      </c>
      <c r="K83" t="s">
        <v>84</v>
      </c>
      <c r="M83" t="s">
        <v>475</v>
      </c>
      <c r="O83">
        <v>1</v>
      </c>
      <c r="P83" s="14" t="s">
        <v>505</v>
      </c>
      <c r="Q83">
        <v>100</v>
      </c>
      <c r="R83">
        <v>2</v>
      </c>
      <c r="S83" s="8">
        <v>6</v>
      </c>
      <c r="T83" s="14">
        <v>0</v>
      </c>
      <c r="U83">
        <v>0</v>
      </c>
      <c r="V83">
        <v>0</v>
      </c>
      <c r="X83" s="26">
        <f t="shared" si="8"/>
        <v>1.4019019135961121E-4</v>
      </c>
      <c r="Y83" s="12">
        <f t="shared" si="9"/>
        <v>0.99607467464193078</v>
      </c>
      <c r="AA83" s="25" t="str">
        <f>IF(P83="*","-",IFERROR(VLOOKUP(P83,'AESS-W2'!$P$5:$S$107,4,FALSE),"-"))</f>
        <v>-</v>
      </c>
      <c r="AB83" s="25" t="str">
        <f>IF(P83="*","-",IFERROR(VLOOKUP(P83,'AESS-W3'!$P$5:$S$129,4,FALSE),"-"))</f>
        <v>-</v>
      </c>
      <c r="AC83" s="25">
        <f>IF(P83="*","-",IFERROR(VLOOKUP(P83,'All MECSM samples'!$P$4:$AD$454,15,FALSE),"-"))</f>
        <v>505</v>
      </c>
      <c r="AD83" s="25"/>
      <c r="AE83">
        <v>30</v>
      </c>
      <c r="AF83">
        <v>42</v>
      </c>
      <c r="AH83">
        <f t="shared" si="10"/>
        <v>0</v>
      </c>
      <c r="AI83">
        <f t="shared" si="11"/>
        <v>0</v>
      </c>
      <c r="AJ83">
        <f t="shared" si="12"/>
        <v>0</v>
      </c>
      <c r="AK83">
        <f t="shared" si="13"/>
        <v>0</v>
      </c>
      <c r="AL83" s="11">
        <f>SUM(AH$5:AH83)/SUM(AK$5:AK83)</f>
        <v>0.76470588235294112</v>
      </c>
      <c r="AM83" s="11">
        <f>SUM(AI$5:AI83)/SUM(AK$5:AK83)</f>
        <v>0.35294117647058826</v>
      </c>
      <c r="AN83" s="11">
        <f>SUM(AJ$5:AJ83)/SUM(AL$5:AL83)</f>
        <v>0.36843945008652396</v>
      </c>
    </row>
    <row r="84" spans="1:40" x14ac:dyDescent="0.35">
      <c r="A84" s="9" t="s">
        <v>289</v>
      </c>
      <c r="B84">
        <v>6</v>
      </c>
      <c r="C84" t="s">
        <v>7</v>
      </c>
      <c r="D84" t="s">
        <v>8</v>
      </c>
      <c r="E84" t="s">
        <v>46</v>
      </c>
      <c r="G84" t="s">
        <v>47</v>
      </c>
      <c r="I84" t="s">
        <v>69</v>
      </c>
      <c r="K84" t="s">
        <v>70</v>
      </c>
      <c r="O84">
        <v>0.64</v>
      </c>
      <c r="P84" s="14" t="s">
        <v>71</v>
      </c>
      <c r="Q84">
        <v>90.5</v>
      </c>
      <c r="R84">
        <v>1</v>
      </c>
      <c r="S84" s="8">
        <v>6</v>
      </c>
      <c r="T84" s="14">
        <v>0</v>
      </c>
      <c r="U84">
        <v>0</v>
      </c>
      <c r="V84">
        <v>0</v>
      </c>
      <c r="X84" s="26">
        <f t="shared" si="8"/>
        <v>1.4019019135961121E-4</v>
      </c>
      <c r="Y84" s="12">
        <f t="shared" si="9"/>
        <v>0.99621486483329036</v>
      </c>
      <c r="AA84" s="25">
        <f>IF(P84="*","-",IFERROR(VLOOKUP(P84,'AESS-W2'!$P$5:$S$107,4,FALSE),"-"))</f>
        <v>2871</v>
      </c>
      <c r="AB84" s="25">
        <f>IF(P84="*","-",IFERROR(VLOOKUP(P84,'AESS-W3'!$P$5:$S$129,4,FALSE),"-"))</f>
        <v>7</v>
      </c>
      <c r="AC84" s="25">
        <f>IF(P84="*","-",IFERROR(VLOOKUP(P84,'All MECSM samples'!$P$4:$AD$454,15,FALSE),"-"))</f>
        <v>2892</v>
      </c>
      <c r="AD84" s="25"/>
      <c r="AE84">
        <v>33</v>
      </c>
      <c r="AF84">
        <v>17</v>
      </c>
      <c r="AH84">
        <f t="shared" si="10"/>
        <v>0</v>
      </c>
      <c r="AI84">
        <f t="shared" si="11"/>
        <v>0</v>
      </c>
      <c r="AJ84">
        <f t="shared" si="12"/>
        <v>0</v>
      </c>
      <c r="AK84">
        <f t="shared" si="13"/>
        <v>0</v>
      </c>
      <c r="AL84" s="11">
        <f>SUM(AH$5:AH84)/SUM(AK$5:AK84)</f>
        <v>0.76470588235294112</v>
      </c>
      <c r="AM84" s="11">
        <f>SUM(AI$5:AI84)/SUM(AK$5:AK84)</f>
        <v>0.35294117647058826</v>
      </c>
      <c r="AN84" s="11">
        <f>SUM(AJ$5:AJ84)/SUM(AL$5:AL84)</f>
        <v>0.36463445157094188</v>
      </c>
    </row>
    <row r="85" spans="1:40" x14ac:dyDescent="0.35">
      <c r="A85" s="9" t="s">
        <v>275</v>
      </c>
      <c r="B85">
        <v>6</v>
      </c>
      <c r="C85" t="s">
        <v>7</v>
      </c>
      <c r="D85" t="s">
        <v>24</v>
      </c>
      <c r="E85" t="s">
        <v>25</v>
      </c>
      <c r="G85" t="s">
        <v>26</v>
      </c>
      <c r="I85" t="s">
        <v>27</v>
      </c>
      <c r="K85" t="s">
        <v>28</v>
      </c>
      <c r="M85" t="s">
        <v>29</v>
      </c>
      <c r="O85">
        <v>1</v>
      </c>
      <c r="P85" s="14" t="s">
        <v>30</v>
      </c>
      <c r="Q85">
        <v>100</v>
      </c>
      <c r="R85">
        <v>1</v>
      </c>
      <c r="S85" s="8">
        <v>6</v>
      </c>
      <c r="T85" s="14">
        <v>0</v>
      </c>
      <c r="U85">
        <v>0</v>
      </c>
      <c r="V85">
        <v>0</v>
      </c>
      <c r="X85" s="26">
        <f t="shared" si="8"/>
        <v>1.4019019135961121E-4</v>
      </c>
      <c r="Y85" s="12">
        <f t="shared" si="9"/>
        <v>0.99635505502464994</v>
      </c>
      <c r="AA85" s="25">
        <f>IF(P85="*","-",IFERROR(VLOOKUP(P85,'AESS-W2'!$P$5:$S$107,4,FALSE),"-"))</f>
        <v>29</v>
      </c>
      <c r="AB85" s="25">
        <f>IF(P85="*","-",IFERROR(VLOOKUP(P85,'AESS-W3'!$P$5:$S$129,4,FALSE),"-"))</f>
        <v>7736</v>
      </c>
      <c r="AC85" s="25">
        <f>IF(P85="*","-",IFERROR(VLOOKUP(P85,'All MECSM samples'!$P$4:$AD$454,15,FALSE),"-"))</f>
        <v>7783</v>
      </c>
      <c r="AD85" s="25"/>
      <c r="AE85">
        <v>0</v>
      </c>
      <c r="AF85">
        <v>0</v>
      </c>
      <c r="AH85">
        <f t="shared" si="10"/>
        <v>0</v>
      </c>
      <c r="AI85">
        <f t="shared" si="11"/>
        <v>0</v>
      </c>
      <c r="AJ85">
        <f t="shared" si="12"/>
        <v>0</v>
      </c>
      <c r="AK85">
        <f t="shared" si="13"/>
        <v>0</v>
      </c>
      <c r="AL85" s="11">
        <f>SUM(AH$5:AH85)/SUM(AK$5:AK85)</f>
        <v>0.76470588235294112</v>
      </c>
      <c r="AM85" s="11">
        <f>SUM(AI$5:AI85)/SUM(AK$5:AK85)</f>
        <v>0.35294117647058826</v>
      </c>
      <c r="AN85" s="11">
        <f>SUM(AJ$5:AJ85)/SUM(AL$5:AL85)</f>
        <v>0.36090724072288816</v>
      </c>
    </row>
    <row r="86" spans="1:40" x14ac:dyDescent="0.35">
      <c r="A86" s="9" t="s">
        <v>242</v>
      </c>
      <c r="B86">
        <v>6</v>
      </c>
      <c r="C86" t="s">
        <v>7</v>
      </c>
      <c r="D86" t="s">
        <v>8</v>
      </c>
      <c r="E86" t="s">
        <v>46</v>
      </c>
      <c r="G86" t="s">
        <v>64</v>
      </c>
      <c r="I86" t="s">
        <v>65</v>
      </c>
      <c r="K86" t="s">
        <v>66</v>
      </c>
      <c r="O86">
        <v>0.84</v>
      </c>
      <c r="P86" s="14" t="s">
        <v>607</v>
      </c>
      <c r="Q86">
        <v>89.3</v>
      </c>
      <c r="R86">
        <v>4</v>
      </c>
      <c r="S86" s="8">
        <v>6</v>
      </c>
      <c r="T86" s="14">
        <v>0</v>
      </c>
      <c r="U86">
        <v>0</v>
      </c>
      <c r="V86">
        <v>0</v>
      </c>
      <c r="X86" s="26">
        <f t="shared" si="8"/>
        <v>1.4019019135961121E-4</v>
      </c>
      <c r="Y86" s="12">
        <f t="shared" si="9"/>
        <v>0.99649524521600952</v>
      </c>
      <c r="AA86" s="25" t="str">
        <f>IF(P86="*","-",IFERROR(VLOOKUP(P86,'AESS-W2'!$P$5:$S$107,4,FALSE),"-"))</f>
        <v>-</v>
      </c>
      <c r="AB86" s="25" t="str">
        <f>IF(P86="*","-",IFERROR(VLOOKUP(P86,'AESS-W3'!$P$5:$S$129,4,FALSE),"-"))</f>
        <v>-</v>
      </c>
      <c r="AC86" s="25" t="str">
        <f>IF(P86="*","-",IFERROR(VLOOKUP(P86,'All MECSM samples'!$P$4:$AD$454,15,FALSE),"-"))</f>
        <v>-</v>
      </c>
      <c r="AD86" s="25"/>
      <c r="AE86">
        <v>64</v>
      </c>
      <c r="AF86">
        <v>1</v>
      </c>
      <c r="AH86">
        <f t="shared" si="10"/>
        <v>0</v>
      </c>
      <c r="AI86">
        <f t="shared" si="11"/>
        <v>0</v>
      </c>
      <c r="AJ86">
        <f t="shared" si="12"/>
        <v>0</v>
      </c>
      <c r="AK86">
        <f t="shared" si="13"/>
        <v>0</v>
      </c>
      <c r="AL86" s="11">
        <f>SUM(AH$5:AH86)/SUM(AK$5:AK86)</f>
        <v>0.76470588235294112</v>
      </c>
      <c r="AM86" s="11">
        <f>SUM(AI$5:AI86)/SUM(AK$5:AK86)</f>
        <v>0.35294117647058826</v>
      </c>
      <c r="AN86" s="11">
        <f>SUM(AJ$5:AJ86)/SUM(AL$5:AL86)</f>
        <v>0.35725545629469924</v>
      </c>
    </row>
    <row r="87" spans="1:40" x14ac:dyDescent="0.35">
      <c r="A87" s="9" t="s">
        <v>355</v>
      </c>
      <c r="B87">
        <v>6</v>
      </c>
      <c r="C87" t="s">
        <v>7</v>
      </c>
      <c r="D87" t="s">
        <v>8</v>
      </c>
      <c r="E87" t="s">
        <v>9</v>
      </c>
      <c r="G87" t="s">
        <v>172</v>
      </c>
      <c r="I87" t="s">
        <v>173</v>
      </c>
      <c r="K87" t="s">
        <v>174</v>
      </c>
      <c r="M87" t="s">
        <v>175</v>
      </c>
      <c r="O87">
        <v>0.99</v>
      </c>
      <c r="P87" s="14" t="s">
        <v>176</v>
      </c>
      <c r="Q87">
        <v>100</v>
      </c>
      <c r="R87">
        <v>2</v>
      </c>
      <c r="S87" s="8">
        <v>6</v>
      </c>
      <c r="T87" s="14">
        <v>0</v>
      </c>
      <c r="U87">
        <v>0</v>
      </c>
      <c r="V87">
        <v>0</v>
      </c>
      <c r="X87" s="26">
        <f t="shared" si="8"/>
        <v>1.4019019135961121E-4</v>
      </c>
      <c r="Y87" s="12">
        <f t="shared" si="9"/>
        <v>0.9966354354073691</v>
      </c>
      <c r="AA87" s="25" t="str">
        <f>IF(P87="*","-",IFERROR(VLOOKUP(P87,'AESS-W2'!$P$5:$S$107,4,FALSE),"-"))</f>
        <v>-</v>
      </c>
      <c r="AB87" s="25">
        <f>IF(P87="*","-",IFERROR(VLOOKUP(P87,'AESS-W3'!$P$5:$S$129,4,FALSE),"-"))</f>
        <v>138</v>
      </c>
      <c r="AC87" s="25">
        <f>IF(P87="*","-",IFERROR(VLOOKUP(P87,'All MECSM samples'!$P$4:$AD$454,15,FALSE),"-"))</f>
        <v>1109</v>
      </c>
      <c r="AD87" s="25"/>
      <c r="AE87">
        <v>56</v>
      </c>
      <c r="AF87">
        <v>1</v>
      </c>
      <c r="AH87">
        <f t="shared" si="10"/>
        <v>0</v>
      </c>
      <c r="AI87">
        <f t="shared" si="11"/>
        <v>0</v>
      </c>
      <c r="AJ87">
        <f t="shared" si="12"/>
        <v>0</v>
      </c>
      <c r="AK87">
        <f t="shared" si="13"/>
        <v>0</v>
      </c>
      <c r="AL87" s="11">
        <f>SUM(AH$5:AH87)/SUM(AK$5:AK87)</f>
        <v>0.76470588235294112</v>
      </c>
      <c r="AM87" s="11">
        <f>SUM(AI$5:AI87)/SUM(AK$5:AK87)</f>
        <v>0.35294117647058826</v>
      </c>
      <c r="AN87" s="11">
        <f>SUM(AJ$5:AJ87)/SUM(AL$5:AL87)</f>
        <v>0.35367683164909663</v>
      </c>
    </row>
    <row r="88" spans="1:40" x14ac:dyDescent="0.35">
      <c r="A88" s="9" t="s">
        <v>248</v>
      </c>
      <c r="B88">
        <v>6</v>
      </c>
      <c r="C88" t="s">
        <v>7</v>
      </c>
      <c r="D88" t="s">
        <v>8</v>
      </c>
      <c r="E88" t="s">
        <v>46</v>
      </c>
      <c r="G88" t="s">
        <v>47</v>
      </c>
      <c r="I88" t="s">
        <v>69</v>
      </c>
      <c r="K88" t="s">
        <v>70</v>
      </c>
      <c r="O88">
        <v>0.8</v>
      </c>
      <c r="P88" s="14" t="s">
        <v>507</v>
      </c>
      <c r="Q88">
        <v>91.7</v>
      </c>
      <c r="R88">
        <v>3</v>
      </c>
      <c r="S88" s="8">
        <v>6</v>
      </c>
      <c r="T88" s="14">
        <v>0</v>
      </c>
      <c r="U88">
        <v>0</v>
      </c>
      <c r="V88">
        <v>0</v>
      </c>
      <c r="X88" s="26">
        <f t="shared" si="8"/>
        <v>1.4019019135961121E-4</v>
      </c>
      <c r="Y88" s="12">
        <f t="shared" si="9"/>
        <v>0.99677562559872868</v>
      </c>
      <c r="AA88" s="25" t="str">
        <f>IF(P88="*","-",IFERROR(VLOOKUP(P88,'AESS-W2'!$P$5:$S$107,4,FALSE),"-"))</f>
        <v>-</v>
      </c>
      <c r="AB88" s="25" t="str">
        <f>IF(P88="*","-",IFERROR(VLOOKUP(P88,'AESS-W3'!$P$5:$S$129,4,FALSE),"-"))</f>
        <v>-</v>
      </c>
      <c r="AC88" s="25">
        <f>IF(P88="*","-",IFERROR(VLOOKUP(P88,'All MECSM samples'!$P$4:$AD$454,15,FALSE),"-"))</f>
        <v>624</v>
      </c>
      <c r="AD88" s="25"/>
      <c r="AE88">
        <v>28</v>
      </c>
      <c r="AF88">
        <v>19</v>
      </c>
      <c r="AH88">
        <f t="shared" si="10"/>
        <v>0</v>
      </c>
      <c r="AI88">
        <f t="shared" si="11"/>
        <v>0</v>
      </c>
      <c r="AJ88">
        <f t="shared" si="12"/>
        <v>0</v>
      </c>
      <c r="AK88">
        <f t="shared" si="13"/>
        <v>0</v>
      </c>
      <c r="AL88" s="11">
        <f>SUM(AH$5:AH88)/SUM(AK$5:AK88)</f>
        <v>0.76470588235294112</v>
      </c>
      <c r="AM88" s="11">
        <f>SUM(AI$5:AI88)/SUM(AK$5:AK88)</f>
        <v>0.35294117647058826</v>
      </c>
      <c r="AN88" s="11">
        <f>SUM(AJ$5:AJ88)/SUM(AL$5:AL88)</f>
        <v>0.35016919006762554</v>
      </c>
    </row>
    <row r="89" spans="1:40" x14ac:dyDescent="0.35">
      <c r="A89" s="9" t="s">
        <v>253</v>
      </c>
      <c r="B89">
        <v>6</v>
      </c>
      <c r="C89" t="s">
        <v>7</v>
      </c>
      <c r="D89" t="s">
        <v>8</v>
      </c>
      <c r="E89" t="s">
        <v>46</v>
      </c>
      <c r="G89" t="s">
        <v>47</v>
      </c>
      <c r="I89" t="s">
        <v>61</v>
      </c>
      <c r="K89" t="s">
        <v>210</v>
      </c>
      <c r="O89">
        <v>1</v>
      </c>
      <c r="P89" s="14" t="s">
        <v>362</v>
      </c>
      <c r="Q89">
        <v>95.7</v>
      </c>
      <c r="R89">
        <v>1</v>
      </c>
      <c r="S89" s="8">
        <v>6</v>
      </c>
      <c r="T89" s="14">
        <v>0</v>
      </c>
      <c r="U89">
        <v>0</v>
      </c>
      <c r="V89">
        <v>0</v>
      </c>
      <c r="X89" s="26">
        <f t="shared" si="8"/>
        <v>1.4019019135961121E-4</v>
      </c>
      <c r="Y89" s="12">
        <f t="shared" si="9"/>
        <v>0.99691581579008826</v>
      </c>
      <c r="AA89" s="25" t="str">
        <f>IF(P89="*","-",IFERROR(VLOOKUP(P89,'AESS-W2'!$P$5:$S$107,4,FALSE),"-"))</f>
        <v>-</v>
      </c>
      <c r="AB89" s="25">
        <f>IF(P89="*","-",IFERROR(VLOOKUP(P89,'AESS-W3'!$P$5:$S$129,4,FALSE),"-"))</f>
        <v>11</v>
      </c>
      <c r="AC89" s="25">
        <f>IF(P89="*","-",IFERROR(VLOOKUP(P89,'All MECSM samples'!$P$4:$AD$454,15,FALSE),"-"))</f>
        <v>1842</v>
      </c>
      <c r="AD89" s="25"/>
      <c r="AE89">
        <v>10</v>
      </c>
      <c r="AF89">
        <v>8</v>
      </c>
      <c r="AH89">
        <f t="shared" si="10"/>
        <v>0</v>
      </c>
      <c r="AI89">
        <f t="shared" si="11"/>
        <v>0</v>
      </c>
      <c r="AJ89">
        <f t="shared" si="12"/>
        <v>0</v>
      </c>
      <c r="AK89">
        <f t="shared" si="13"/>
        <v>0</v>
      </c>
      <c r="AL89" s="11">
        <f>SUM(AH$5:AH89)/SUM(AK$5:AK89)</f>
        <v>0.76470588235294112</v>
      </c>
      <c r="AM89" s="11">
        <f>SUM(AI$5:AI89)/SUM(AK$5:AK89)</f>
        <v>0.35294117647058826</v>
      </c>
      <c r="AN89" s="11">
        <f>SUM(AJ$5:AJ89)/SUM(AL$5:AL89)</f>
        <v>0.34673044033552736</v>
      </c>
    </row>
    <row r="90" spans="1:40" x14ac:dyDescent="0.35">
      <c r="A90" s="9" t="s">
        <v>428</v>
      </c>
      <c r="B90">
        <v>5</v>
      </c>
      <c r="C90" t="s">
        <v>7</v>
      </c>
      <c r="D90" t="s">
        <v>8</v>
      </c>
      <c r="E90" t="s">
        <v>9</v>
      </c>
      <c r="G90" t="s">
        <v>138</v>
      </c>
      <c r="I90" t="s">
        <v>410</v>
      </c>
      <c r="K90" t="s">
        <v>411</v>
      </c>
      <c r="O90">
        <v>1</v>
      </c>
      <c r="P90" s="14" t="s">
        <v>412</v>
      </c>
      <c r="Q90">
        <v>99.2</v>
      </c>
      <c r="R90">
        <v>7</v>
      </c>
      <c r="S90" s="8">
        <v>5</v>
      </c>
      <c r="T90" s="14">
        <v>0</v>
      </c>
      <c r="U90">
        <v>0</v>
      </c>
      <c r="V90">
        <v>0</v>
      </c>
      <c r="X90" s="26">
        <f t="shared" si="8"/>
        <v>1.1682515946634267E-4</v>
      </c>
      <c r="Y90" s="12">
        <f t="shared" si="9"/>
        <v>0.99703264094955457</v>
      </c>
      <c r="AA90" s="25">
        <f>IF(P90="*","-",IFERROR(VLOOKUP(P90,'AESS-W2'!$P$5:$S$107,4,FALSE),"-"))</f>
        <v>4</v>
      </c>
      <c r="AB90" s="25">
        <f>IF(P90="*","-",IFERROR(VLOOKUP(P90,'AESS-W3'!$P$5:$S$129,4,FALSE),"-"))</f>
        <v>3</v>
      </c>
      <c r="AC90" s="25">
        <f>IF(P90="*","-",IFERROR(VLOOKUP(P90,'All MECSM samples'!$P$4:$AD$454,15,FALSE),"-"))</f>
        <v>1524</v>
      </c>
      <c r="AD90" s="25"/>
      <c r="AE90">
        <v>22</v>
      </c>
      <c r="AF90">
        <v>1</v>
      </c>
      <c r="AH90">
        <f t="shared" si="10"/>
        <v>0</v>
      </c>
      <c r="AI90">
        <f t="shared" si="11"/>
        <v>0</v>
      </c>
      <c r="AJ90">
        <f t="shared" si="12"/>
        <v>0</v>
      </c>
      <c r="AK90">
        <f t="shared" si="13"/>
        <v>0</v>
      </c>
      <c r="AL90" s="11">
        <f>SUM(AH$5:AH90)/SUM(AK$5:AK90)</f>
        <v>0.76470588235294112</v>
      </c>
      <c r="AM90" s="11">
        <f>SUM(AI$5:AI90)/SUM(AK$5:AK90)</f>
        <v>0.35294117647058826</v>
      </c>
      <c r="AN90" s="11">
        <f>SUM(AJ$5:AJ90)/SUM(AL$5:AL90)</f>
        <v>0.34335857258422803</v>
      </c>
    </row>
    <row r="91" spans="1:40" x14ac:dyDescent="0.35">
      <c r="A91" s="9" t="s">
        <v>284</v>
      </c>
      <c r="B91">
        <v>5</v>
      </c>
      <c r="C91" t="s">
        <v>7</v>
      </c>
      <c r="D91" t="s">
        <v>8</v>
      </c>
      <c r="E91" t="s">
        <v>32</v>
      </c>
      <c r="G91" t="s">
        <v>35</v>
      </c>
      <c r="I91" t="s">
        <v>36</v>
      </c>
      <c r="O91">
        <v>0.72</v>
      </c>
      <c r="P91" s="14" t="s">
        <v>92</v>
      </c>
      <c r="Q91">
        <v>86.2</v>
      </c>
      <c r="R91">
        <v>1</v>
      </c>
      <c r="S91" s="8">
        <v>5</v>
      </c>
      <c r="T91" s="14">
        <v>0</v>
      </c>
      <c r="U91">
        <v>0</v>
      </c>
      <c r="V91">
        <v>0</v>
      </c>
      <c r="X91" s="26">
        <f t="shared" si="8"/>
        <v>1.1682515946634267E-4</v>
      </c>
      <c r="Y91" s="12">
        <f t="shared" si="9"/>
        <v>0.99714946610902089</v>
      </c>
      <c r="AA91" s="25">
        <f>IF(P91="*","-",IFERROR(VLOOKUP(P91,'AESS-W2'!$P$5:$S$107,4,FALSE),"-"))</f>
        <v>29</v>
      </c>
      <c r="AB91" s="25">
        <f>IF(P91="*","-",IFERROR(VLOOKUP(P91,'AESS-W3'!$P$5:$S$129,4,FALSE),"-"))</f>
        <v>389</v>
      </c>
      <c r="AC91" s="25">
        <f>IF(P91="*","-",IFERROR(VLOOKUP(P91,'All MECSM samples'!$P$4:$AD$454,15,FALSE),"-"))</f>
        <v>6717</v>
      </c>
      <c r="AD91" s="25"/>
      <c r="AE91">
        <v>48</v>
      </c>
      <c r="AF91">
        <v>15</v>
      </c>
      <c r="AH91">
        <f t="shared" si="10"/>
        <v>0</v>
      </c>
      <c r="AI91">
        <f t="shared" si="11"/>
        <v>0</v>
      </c>
      <c r="AJ91">
        <f t="shared" si="12"/>
        <v>0</v>
      </c>
      <c r="AK91">
        <f t="shared" si="13"/>
        <v>0</v>
      </c>
      <c r="AL91" s="11">
        <f>SUM(AH$5:AH91)/SUM(AK$5:AK91)</f>
        <v>0.76470588235294112</v>
      </c>
      <c r="AM91" s="11">
        <f>SUM(AI$5:AI91)/SUM(AK$5:AK91)</f>
        <v>0.35294117647058826</v>
      </c>
      <c r="AN91" s="11">
        <f>SUM(AJ$5:AJ91)/SUM(AL$5:AL91)</f>
        <v>0.34005165437407497</v>
      </c>
    </row>
    <row r="92" spans="1:40" x14ac:dyDescent="0.35">
      <c r="A92" s="9" t="s">
        <v>286</v>
      </c>
      <c r="B92">
        <v>5</v>
      </c>
      <c r="C92" t="s">
        <v>7</v>
      </c>
      <c r="D92" t="s">
        <v>8</v>
      </c>
      <c r="E92" t="s">
        <v>32</v>
      </c>
      <c r="G92" t="s">
        <v>35</v>
      </c>
      <c r="I92" t="s">
        <v>36</v>
      </c>
      <c r="K92" t="s">
        <v>37</v>
      </c>
      <c r="O92">
        <v>0.97</v>
      </c>
      <c r="P92" s="14" t="s">
        <v>401</v>
      </c>
      <c r="Q92">
        <v>93.7</v>
      </c>
      <c r="R92">
        <v>1</v>
      </c>
      <c r="S92" s="8">
        <v>5</v>
      </c>
      <c r="T92" s="14">
        <v>0</v>
      </c>
      <c r="U92">
        <v>0</v>
      </c>
      <c r="V92">
        <v>0</v>
      </c>
      <c r="X92" s="26">
        <f t="shared" si="8"/>
        <v>1.1682515946634267E-4</v>
      </c>
      <c r="Y92" s="12">
        <f t="shared" si="9"/>
        <v>0.9972662912684872</v>
      </c>
      <c r="AA92" s="25">
        <f>IF(P92="*","-",IFERROR(VLOOKUP(P92,'AESS-W2'!$P$5:$S$107,4,FALSE),"-"))</f>
        <v>6</v>
      </c>
      <c r="AB92" s="25">
        <f>IF(P92="*","-",IFERROR(VLOOKUP(P92,'AESS-W3'!$P$5:$S$129,4,FALSE),"-"))</f>
        <v>5</v>
      </c>
      <c r="AC92" s="25">
        <f>IF(P92="*","-",IFERROR(VLOOKUP(P92,'All MECSM samples'!$P$4:$AD$454,15,FALSE),"-"))</f>
        <v>6</v>
      </c>
      <c r="AD92" s="25"/>
      <c r="AE92">
        <v>2</v>
      </c>
      <c r="AF92">
        <v>70</v>
      </c>
      <c r="AH92">
        <f t="shared" si="10"/>
        <v>0</v>
      </c>
      <c r="AI92">
        <f t="shared" si="11"/>
        <v>0</v>
      </c>
      <c r="AJ92">
        <f t="shared" si="12"/>
        <v>0</v>
      </c>
      <c r="AK92">
        <f t="shared" si="13"/>
        <v>0</v>
      </c>
      <c r="AL92" s="11">
        <f>SUM(AH$5:AH92)/SUM(AK$5:AK92)</f>
        <v>0.76470588235294112</v>
      </c>
      <c r="AM92" s="11">
        <f>SUM(AI$5:AI92)/SUM(AK$5:AK92)</f>
        <v>0.35294117647058826</v>
      </c>
      <c r="AN92" s="11">
        <f>SUM(AJ$5:AJ92)/SUM(AL$5:AL92)</f>
        <v>0.33680782700127976</v>
      </c>
    </row>
    <row r="93" spans="1:40" x14ac:dyDescent="0.35">
      <c r="A93" s="9" t="s">
        <v>280</v>
      </c>
      <c r="B93">
        <v>5</v>
      </c>
      <c r="C93" t="s">
        <v>7</v>
      </c>
      <c r="D93" t="s">
        <v>8</v>
      </c>
      <c r="E93" t="s">
        <v>9</v>
      </c>
      <c r="G93" t="s">
        <v>138</v>
      </c>
      <c r="I93" t="s">
        <v>345</v>
      </c>
      <c r="K93" t="s">
        <v>377</v>
      </c>
      <c r="M93" t="s">
        <v>378</v>
      </c>
      <c r="O93">
        <v>1</v>
      </c>
      <c r="P93" s="14" t="s">
        <v>379</v>
      </c>
      <c r="Q93">
        <v>100</v>
      </c>
      <c r="R93">
        <v>1</v>
      </c>
      <c r="S93" s="8">
        <v>5</v>
      </c>
      <c r="T93" s="14">
        <v>0</v>
      </c>
      <c r="U93">
        <v>0</v>
      </c>
      <c r="V93">
        <v>0</v>
      </c>
      <c r="X93" s="26">
        <f t="shared" si="8"/>
        <v>1.1682515946634267E-4</v>
      </c>
      <c r="Y93" s="12">
        <f t="shared" si="9"/>
        <v>0.99738311642795352</v>
      </c>
      <c r="AA93" s="25">
        <f>IF(P93="*","-",IFERROR(VLOOKUP(P93,'AESS-W2'!$P$5:$S$107,4,FALSE),"-"))</f>
        <v>7</v>
      </c>
      <c r="AB93" s="25" t="str">
        <f>IF(P93="*","-",IFERROR(VLOOKUP(P93,'AESS-W3'!$P$5:$S$129,4,FALSE),"-"))</f>
        <v>-</v>
      </c>
      <c r="AC93" s="25">
        <f>IF(P93="*","-",IFERROR(VLOOKUP(P93,'All MECSM samples'!$P$4:$AD$454,15,FALSE),"-"))</f>
        <v>3448</v>
      </c>
      <c r="AD93" s="25"/>
      <c r="AE93">
        <v>3</v>
      </c>
      <c r="AF93">
        <v>6</v>
      </c>
      <c r="AH93">
        <f t="shared" si="10"/>
        <v>0</v>
      </c>
      <c r="AI93">
        <f t="shared" si="11"/>
        <v>0</v>
      </c>
      <c r="AJ93">
        <f t="shared" si="12"/>
        <v>0</v>
      </c>
      <c r="AK93">
        <f t="shared" si="13"/>
        <v>0</v>
      </c>
      <c r="AL93" s="11">
        <f>SUM(AH$5:AH93)/SUM(AK$5:AK93)</f>
        <v>0.76470588235294112</v>
      </c>
      <c r="AM93" s="11">
        <f>SUM(AI$5:AI93)/SUM(AK$5:AK93)</f>
        <v>0.35294117647058826</v>
      </c>
      <c r="AN93" s="11">
        <f>SUM(AJ$5:AJ93)/SUM(AL$5:AL93)</f>
        <v>0.33362530201423668</v>
      </c>
    </row>
    <row r="94" spans="1:40" x14ac:dyDescent="0.35">
      <c r="A94" s="9" t="s">
        <v>282</v>
      </c>
      <c r="B94">
        <v>5</v>
      </c>
      <c r="C94" t="s">
        <v>7</v>
      </c>
      <c r="D94" t="s">
        <v>8</v>
      </c>
      <c r="E94" t="s">
        <v>32</v>
      </c>
      <c r="G94" t="s">
        <v>35</v>
      </c>
      <c r="I94" t="s">
        <v>36</v>
      </c>
      <c r="K94" t="s">
        <v>37</v>
      </c>
      <c r="O94">
        <v>0.85</v>
      </c>
      <c r="P94" s="14" t="s">
        <v>401</v>
      </c>
      <c r="Q94">
        <v>89.7</v>
      </c>
      <c r="R94">
        <v>1</v>
      </c>
      <c r="S94" s="8">
        <v>5</v>
      </c>
      <c r="T94" s="14">
        <v>0</v>
      </c>
      <c r="U94">
        <v>0</v>
      </c>
      <c r="V94">
        <v>0</v>
      </c>
      <c r="X94" s="26">
        <f t="shared" si="8"/>
        <v>1.1682515946634267E-4</v>
      </c>
      <c r="Y94" s="12">
        <f t="shared" si="9"/>
        <v>0.99749994158741984</v>
      </c>
      <c r="AA94" s="25">
        <f>IF(P94="*","-",IFERROR(VLOOKUP(P94,'AESS-W2'!$P$5:$S$107,4,FALSE),"-"))</f>
        <v>6</v>
      </c>
      <c r="AB94" s="25">
        <f>IF(P94="*","-",IFERROR(VLOOKUP(P94,'AESS-W3'!$P$5:$S$129,4,FALSE),"-"))</f>
        <v>5</v>
      </c>
      <c r="AC94" s="25">
        <f>IF(P94="*","-",IFERROR(VLOOKUP(P94,'All MECSM samples'!$P$4:$AD$454,15,FALSE),"-"))</f>
        <v>6</v>
      </c>
      <c r="AD94" s="25"/>
      <c r="AE94">
        <v>0</v>
      </c>
      <c r="AF94">
        <v>0</v>
      </c>
      <c r="AH94">
        <f t="shared" si="10"/>
        <v>0</v>
      </c>
      <c r="AI94">
        <f t="shared" si="11"/>
        <v>0</v>
      </c>
      <c r="AJ94">
        <f t="shared" si="12"/>
        <v>0</v>
      </c>
      <c r="AK94">
        <f t="shared" si="13"/>
        <v>0</v>
      </c>
      <c r="AL94" s="11">
        <f>SUM(AH$5:AH94)/SUM(AK$5:AK94)</f>
        <v>0.76470588235294112</v>
      </c>
      <c r="AM94" s="11">
        <f>SUM(AI$5:AI94)/SUM(AK$5:AK94)</f>
        <v>0.35294117647058826</v>
      </c>
      <c r="AN94" s="11">
        <f>SUM(AJ$5:AJ94)/SUM(AL$5:AL94)</f>
        <v>0.33050235792549798</v>
      </c>
    </row>
    <row r="95" spans="1:40" x14ac:dyDescent="0.35">
      <c r="A95" s="9" t="s">
        <v>287</v>
      </c>
      <c r="B95">
        <v>5</v>
      </c>
      <c r="C95" t="s">
        <v>7</v>
      </c>
      <c r="D95" t="s">
        <v>8</v>
      </c>
      <c r="E95" t="s">
        <v>9</v>
      </c>
      <c r="G95" t="s">
        <v>10</v>
      </c>
      <c r="I95" t="s">
        <v>11</v>
      </c>
      <c r="K95" t="s">
        <v>12</v>
      </c>
      <c r="M95" t="s">
        <v>13</v>
      </c>
      <c r="O95">
        <v>0.95</v>
      </c>
      <c r="P95" s="14" t="s">
        <v>509</v>
      </c>
      <c r="Q95">
        <v>96.4</v>
      </c>
      <c r="R95">
        <v>2</v>
      </c>
      <c r="S95" s="8">
        <v>5</v>
      </c>
      <c r="T95" s="14">
        <v>0</v>
      </c>
      <c r="U95">
        <v>0</v>
      </c>
      <c r="V95">
        <v>0</v>
      </c>
      <c r="X95" s="26">
        <f t="shared" si="8"/>
        <v>1.1682515946634267E-4</v>
      </c>
      <c r="Y95" s="12">
        <f t="shared" si="9"/>
        <v>0.99761676674688615</v>
      </c>
      <c r="AA95" s="25" t="str">
        <f>IF(P95="*","-",IFERROR(VLOOKUP(P95,'AESS-W2'!$P$5:$S$107,4,FALSE),"-"))</f>
        <v>-</v>
      </c>
      <c r="AB95" s="25" t="str">
        <f>IF(P95="*","-",IFERROR(VLOOKUP(P95,'AESS-W3'!$P$5:$S$129,4,FALSE),"-"))</f>
        <v>-</v>
      </c>
      <c r="AC95" s="25">
        <f>IF(P95="*","-",IFERROR(VLOOKUP(P95,'All MECSM samples'!$P$4:$AD$454,15,FALSE),"-"))</f>
        <v>30</v>
      </c>
      <c r="AD95" s="25"/>
      <c r="AE95">
        <v>28</v>
      </c>
      <c r="AF95">
        <v>1</v>
      </c>
      <c r="AH95">
        <f t="shared" si="10"/>
        <v>0</v>
      </c>
      <c r="AI95">
        <f t="shared" si="11"/>
        <v>0</v>
      </c>
      <c r="AJ95">
        <f t="shared" si="12"/>
        <v>0</v>
      </c>
      <c r="AK95">
        <f t="shared" si="13"/>
        <v>0</v>
      </c>
      <c r="AL95" s="11">
        <f>SUM(AH$5:AH95)/SUM(AK$5:AK95)</f>
        <v>0.76470588235294112</v>
      </c>
      <c r="AM95" s="11">
        <f>SUM(AI$5:AI95)/SUM(AK$5:AK95)</f>
        <v>0.35294117647058826</v>
      </c>
      <c r="AN95" s="11">
        <f>SUM(AJ$5:AJ95)/SUM(AL$5:AL95)</f>
        <v>0.32743733710670503</v>
      </c>
    </row>
    <row r="96" spans="1:40" x14ac:dyDescent="0.35">
      <c r="A96" s="9" t="s">
        <v>257</v>
      </c>
      <c r="B96">
        <v>5</v>
      </c>
      <c r="C96" t="s">
        <v>7</v>
      </c>
      <c r="D96" t="s">
        <v>8</v>
      </c>
      <c r="E96" t="s">
        <v>46</v>
      </c>
      <c r="G96" t="s">
        <v>47</v>
      </c>
      <c r="I96" t="s">
        <v>61</v>
      </c>
      <c r="O96">
        <v>1</v>
      </c>
      <c r="P96" s="14" t="s">
        <v>381</v>
      </c>
      <c r="Q96">
        <v>94.9</v>
      </c>
      <c r="R96">
        <v>1</v>
      </c>
      <c r="S96" s="8">
        <v>5</v>
      </c>
      <c r="T96" s="14">
        <v>0</v>
      </c>
      <c r="U96">
        <v>0</v>
      </c>
      <c r="V96">
        <v>0</v>
      </c>
      <c r="X96" s="26">
        <f t="shared" si="8"/>
        <v>1.1682515946634267E-4</v>
      </c>
      <c r="Y96" s="12">
        <f t="shared" si="9"/>
        <v>0.99773359190635247</v>
      </c>
      <c r="AA96" s="25">
        <f>IF(P96="*","-",IFERROR(VLOOKUP(P96,'AESS-W2'!$P$5:$S$107,4,FALSE),"-"))</f>
        <v>6</v>
      </c>
      <c r="AB96" s="25">
        <f>IF(P96="*","-",IFERROR(VLOOKUP(P96,'AESS-W3'!$P$5:$S$129,4,FALSE),"-"))</f>
        <v>5</v>
      </c>
      <c r="AC96" s="25">
        <f>IF(P96="*","-",IFERROR(VLOOKUP(P96,'All MECSM samples'!$P$4:$AD$454,15,FALSE),"-"))</f>
        <v>932</v>
      </c>
      <c r="AD96" s="25"/>
      <c r="AE96">
        <v>52</v>
      </c>
      <c r="AF96">
        <v>24</v>
      </c>
      <c r="AH96">
        <f t="shared" si="10"/>
        <v>0</v>
      </c>
      <c r="AI96">
        <f t="shared" si="11"/>
        <v>0</v>
      </c>
      <c r="AJ96">
        <f t="shared" si="12"/>
        <v>0</v>
      </c>
      <c r="AK96">
        <f t="shared" si="13"/>
        <v>0</v>
      </c>
      <c r="AL96" s="11">
        <f>SUM(AH$5:AH96)/SUM(AK$5:AK96)</f>
        <v>0.76470588235294112</v>
      </c>
      <c r="AM96" s="11">
        <f>SUM(AI$5:AI96)/SUM(AK$5:AK96)</f>
        <v>0.35294117647058826</v>
      </c>
      <c r="AN96" s="11">
        <f>SUM(AJ$5:AJ96)/SUM(AL$5:AL96)</f>
        <v>0.32442864285470652</v>
      </c>
    </row>
    <row r="97" spans="1:40" x14ac:dyDescent="0.35">
      <c r="A97" s="9" t="s">
        <v>306</v>
      </c>
      <c r="B97">
        <v>5</v>
      </c>
      <c r="C97" t="s">
        <v>7</v>
      </c>
      <c r="D97" t="s">
        <v>8</v>
      </c>
      <c r="E97" t="s">
        <v>46</v>
      </c>
      <c r="G97" t="s">
        <v>47</v>
      </c>
      <c r="O97">
        <v>0.57999999999999996</v>
      </c>
      <c r="P97" s="14" t="s">
        <v>48</v>
      </c>
      <c r="Q97">
        <v>87</v>
      </c>
      <c r="R97">
        <v>1</v>
      </c>
      <c r="S97" s="8">
        <v>5</v>
      </c>
      <c r="T97" s="14">
        <v>0</v>
      </c>
      <c r="U97">
        <v>0</v>
      </c>
      <c r="V97">
        <v>0</v>
      </c>
      <c r="X97" s="26">
        <f t="shared" si="8"/>
        <v>1.1682515946634267E-4</v>
      </c>
      <c r="Y97" s="12">
        <f t="shared" si="9"/>
        <v>0.99785041706581878</v>
      </c>
      <c r="AA97" s="25">
        <f>IF(P97="*","-",IFERROR(VLOOKUP(P97,'AESS-W2'!$P$5:$S$107,4,FALSE),"-"))</f>
        <v>14</v>
      </c>
      <c r="AB97" s="25">
        <f>IF(P97="*","-",IFERROR(VLOOKUP(P97,'AESS-W3'!$P$5:$S$129,4,FALSE),"-"))</f>
        <v>3285</v>
      </c>
      <c r="AC97" s="25">
        <f>IF(P97="*","-",IFERROR(VLOOKUP(P97,'All MECSM samples'!$P$4:$AD$454,15,FALSE),"-"))</f>
        <v>3303</v>
      </c>
      <c r="AD97" s="25"/>
      <c r="AE97">
        <v>13</v>
      </c>
      <c r="AF97">
        <v>67</v>
      </c>
      <c r="AH97">
        <f t="shared" si="10"/>
        <v>0</v>
      </c>
      <c r="AI97">
        <f t="shared" si="11"/>
        <v>0</v>
      </c>
      <c r="AJ97">
        <f t="shared" si="12"/>
        <v>0</v>
      </c>
      <c r="AK97">
        <f t="shared" si="13"/>
        <v>0</v>
      </c>
      <c r="AL97" s="11">
        <f>SUM(AH$5:AH97)/SUM(AK$5:AK97)</f>
        <v>0.76470588235294112</v>
      </c>
      <c r="AM97" s="11">
        <f>SUM(AI$5:AI97)/SUM(AK$5:AK97)</f>
        <v>0.35294117647058826</v>
      </c>
      <c r="AN97" s="11">
        <f>SUM(AJ$5:AJ97)/SUM(AL$5:AL97)</f>
        <v>0.32147473661795378</v>
      </c>
    </row>
    <row r="98" spans="1:40" x14ac:dyDescent="0.35">
      <c r="A98" s="9" t="s">
        <v>313</v>
      </c>
      <c r="B98">
        <v>5</v>
      </c>
      <c r="C98" t="s">
        <v>7</v>
      </c>
      <c r="D98" t="s">
        <v>8</v>
      </c>
      <c r="E98" t="s">
        <v>46</v>
      </c>
      <c r="G98" t="s">
        <v>47</v>
      </c>
      <c r="I98" t="s">
        <v>61</v>
      </c>
      <c r="O98">
        <v>0.85</v>
      </c>
      <c r="P98" s="14" t="s">
        <v>90</v>
      </c>
      <c r="Q98">
        <v>91.3</v>
      </c>
      <c r="R98">
        <v>1</v>
      </c>
      <c r="S98" s="8">
        <v>5</v>
      </c>
      <c r="T98" s="14">
        <v>0</v>
      </c>
      <c r="U98">
        <v>0</v>
      </c>
      <c r="V98">
        <v>0</v>
      </c>
      <c r="X98" s="26">
        <f t="shared" si="8"/>
        <v>1.1682515946634267E-4</v>
      </c>
      <c r="Y98" s="12">
        <f t="shared" si="9"/>
        <v>0.9979672422252851</v>
      </c>
      <c r="AA98" s="25">
        <f>IF(P98="*","-",IFERROR(VLOOKUP(P98,'AESS-W2'!$P$5:$S$107,4,FALSE),"-"))</f>
        <v>5</v>
      </c>
      <c r="AB98" s="25">
        <f>IF(P98="*","-",IFERROR(VLOOKUP(P98,'AESS-W3'!$P$5:$S$129,4,FALSE),"-"))</f>
        <v>1124</v>
      </c>
      <c r="AC98" s="25">
        <f>IF(P98="*","-",IFERROR(VLOOKUP(P98,'All MECSM samples'!$P$4:$AD$454,15,FALSE),"-"))</f>
        <v>1132</v>
      </c>
      <c r="AD98" s="25"/>
      <c r="AE98">
        <v>9</v>
      </c>
      <c r="AF98">
        <v>103</v>
      </c>
      <c r="AH98">
        <f t="shared" si="10"/>
        <v>0</v>
      </c>
      <c r="AI98">
        <f t="shared" si="11"/>
        <v>0</v>
      </c>
      <c r="AJ98">
        <f t="shared" si="12"/>
        <v>0</v>
      </c>
      <c r="AK98">
        <f t="shared" si="13"/>
        <v>0</v>
      </c>
      <c r="AL98" s="11">
        <f>SUM(AH$5:AH98)/SUM(AK$5:AK98)</f>
        <v>0.76470588235294112</v>
      </c>
      <c r="AM98" s="11">
        <f>SUM(AI$5:AI98)/SUM(AK$5:AK98)</f>
        <v>0.35294117647058826</v>
      </c>
      <c r="AN98" s="11">
        <f>SUM(AJ$5:AJ98)/SUM(AL$5:AL98)</f>
        <v>0.31857413537305079</v>
      </c>
    </row>
    <row r="99" spans="1:40" x14ac:dyDescent="0.35">
      <c r="A99" s="9" t="s">
        <v>318</v>
      </c>
      <c r="B99">
        <v>5</v>
      </c>
      <c r="C99" t="s">
        <v>7</v>
      </c>
      <c r="D99" t="s">
        <v>8</v>
      </c>
      <c r="E99" t="s">
        <v>32</v>
      </c>
      <c r="G99" t="s">
        <v>35</v>
      </c>
      <c r="I99" t="s">
        <v>36</v>
      </c>
      <c r="K99" t="s">
        <v>37</v>
      </c>
      <c r="O99">
        <v>0.5</v>
      </c>
      <c r="P99" s="14" t="s">
        <v>112</v>
      </c>
      <c r="Q99">
        <v>85.8</v>
      </c>
      <c r="R99">
        <v>1</v>
      </c>
      <c r="S99" s="8">
        <v>5</v>
      </c>
      <c r="T99" s="14">
        <v>0</v>
      </c>
      <c r="U99">
        <v>0</v>
      </c>
      <c r="V99">
        <v>0</v>
      </c>
      <c r="X99" s="26">
        <f t="shared" si="8"/>
        <v>1.1682515946634267E-4</v>
      </c>
      <c r="Y99" s="12">
        <f t="shared" si="9"/>
        <v>0.99808406738475142</v>
      </c>
      <c r="AA99" s="25" t="str">
        <f>IF(P99="*","-",IFERROR(VLOOKUP(P99,'AESS-W2'!$P$5:$S$107,4,FALSE),"-"))</f>
        <v>-</v>
      </c>
      <c r="AB99" s="25">
        <f>IF(P99="*","-",IFERROR(VLOOKUP(P99,'AESS-W3'!$P$5:$S$129,4,FALSE),"-"))</f>
        <v>931</v>
      </c>
      <c r="AC99" s="25">
        <f>IF(P99="*","-",IFERROR(VLOOKUP(P99,'All MECSM samples'!$P$4:$AD$454,15,FALSE),"-"))</f>
        <v>943</v>
      </c>
      <c r="AD99" s="25"/>
      <c r="AE99">
        <v>99</v>
      </c>
      <c r="AF99">
        <v>7</v>
      </c>
      <c r="AH99">
        <f t="shared" si="10"/>
        <v>0</v>
      </c>
      <c r="AI99">
        <f t="shared" si="11"/>
        <v>0</v>
      </c>
      <c r="AJ99">
        <f t="shared" si="12"/>
        <v>0</v>
      </c>
      <c r="AK99">
        <f t="shared" si="13"/>
        <v>1</v>
      </c>
      <c r="AL99" s="11">
        <f>SUM(AH$5:AH99)/SUM(AK$5:AK99)</f>
        <v>0.75</v>
      </c>
      <c r="AM99" s="11">
        <f>SUM(AI$5:AI99)/SUM(AK$5:AK99)</f>
        <v>0.34615384615384615</v>
      </c>
      <c r="AN99" s="11">
        <f>SUM(AJ$5:AJ99)/SUM(AL$5:AL99)</f>
        <v>0.31577971179930597</v>
      </c>
    </row>
    <row r="100" spans="1:40" x14ac:dyDescent="0.35">
      <c r="A100" s="9" t="s">
        <v>320</v>
      </c>
      <c r="B100">
        <v>5</v>
      </c>
      <c r="C100" t="s">
        <v>7</v>
      </c>
      <c r="D100" t="s">
        <v>8</v>
      </c>
      <c r="E100" t="s">
        <v>32</v>
      </c>
      <c r="O100">
        <v>1</v>
      </c>
      <c r="P100" s="14" t="s">
        <v>144</v>
      </c>
      <c r="Q100">
        <v>85.8</v>
      </c>
      <c r="R100">
        <v>1</v>
      </c>
      <c r="S100" s="8">
        <v>5</v>
      </c>
      <c r="T100" s="14">
        <v>0</v>
      </c>
      <c r="U100">
        <v>0</v>
      </c>
      <c r="V100">
        <v>0</v>
      </c>
      <c r="X100" s="26">
        <f t="shared" si="8"/>
        <v>1.1682515946634267E-4</v>
      </c>
      <c r="Y100" s="12">
        <f t="shared" si="9"/>
        <v>0.99820089254421773</v>
      </c>
      <c r="AA100" s="25">
        <f>IF(P100="*","-",IFERROR(VLOOKUP(P100,'AESS-W2'!$P$5:$S$107,4,FALSE),"-"))</f>
        <v>112</v>
      </c>
      <c r="AB100" s="25">
        <f>IF(P100="*","-",IFERROR(VLOOKUP(P100,'AESS-W3'!$P$5:$S$129,4,FALSE),"-"))</f>
        <v>119</v>
      </c>
      <c r="AC100" s="25">
        <f>IF(P100="*","-",IFERROR(VLOOKUP(P100,'All MECSM samples'!$P$4:$AD$454,15,FALSE),"-"))</f>
        <v>1118</v>
      </c>
      <c r="AD100" s="25"/>
      <c r="AE100">
        <v>0</v>
      </c>
      <c r="AF100">
        <v>0</v>
      </c>
      <c r="AH100">
        <f t="shared" si="10"/>
        <v>0</v>
      </c>
      <c r="AI100">
        <f t="shared" si="11"/>
        <v>0</v>
      </c>
      <c r="AJ100">
        <f t="shared" si="12"/>
        <v>0</v>
      </c>
      <c r="AK100">
        <f t="shared" si="13"/>
        <v>0</v>
      </c>
      <c r="AL100" s="11">
        <f>SUM(AH$5:AH100)/SUM(AK$5:AK100)</f>
        <v>0.75</v>
      </c>
      <c r="AM100" s="11">
        <f>SUM(AI$5:AI100)/SUM(AK$5:AK100)</f>
        <v>0.34615384615384615</v>
      </c>
      <c r="AN100" s="11">
        <f>SUM(AJ$5:AJ100)/SUM(AL$5:AL100)</f>
        <v>0.31303388540715904</v>
      </c>
    </row>
    <row r="101" spans="1:40" x14ac:dyDescent="0.35">
      <c r="A101" s="9" t="s">
        <v>350</v>
      </c>
      <c r="B101">
        <v>4</v>
      </c>
      <c r="C101" t="s">
        <v>7</v>
      </c>
      <c r="D101" t="s">
        <v>8</v>
      </c>
      <c r="E101" t="s">
        <v>46</v>
      </c>
      <c r="G101" t="s">
        <v>47</v>
      </c>
      <c r="I101" t="s">
        <v>61</v>
      </c>
      <c r="O101">
        <v>0.69</v>
      </c>
      <c r="P101" s="14" t="s">
        <v>127</v>
      </c>
      <c r="Q101">
        <v>92.9</v>
      </c>
      <c r="R101">
        <v>1</v>
      </c>
      <c r="S101" s="8">
        <v>4</v>
      </c>
      <c r="T101" s="14">
        <v>0</v>
      </c>
      <c r="U101">
        <v>0</v>
      </c>
      <c r="V101">
        <v>0</v>
      </c>
      <c r="X101" s="26">
        <f t="shared" ref="X101:X126" si="14">S101/S$1</f>
        <v>9.3460127573074137E-5</v>
      </c>
      <c r="Y101" s="12">
        <f t="shared" si="9"/>
        <v>0.99829435267179079</v>
      </c>
      <c r="AA101" s="25">
        <f>IF(P101="*","-",IFERROR(VLOOKUP(P101,'AESS-W2'!$P$5:$S$107,4,FALSE),"-"))</f>
        <v>129</v>
      </c>
      <c r="AB101" s="25" t="str">
        <f>IF(P101="*","-",IFERROR(VLOOKUP(P101,'AESS-W3'!$P$5:$S$129,4,FALSE),"-"))</f>
        <v>-</v>
      </c>
      <c r="AC101" s="25">
        <f>IF(P101="*","-",IFERROR(VLOOKUP(P101,'All MECSM samples'!$P$4:$AD$454,15,FALSE),"-"))</f>
        <v>128</v>
      </c>
      <c r="AD101" s="25"/>
      <c r="AE101">
        <v>44</v>
      </c>
      <c r="AF101">
        <v>2</v>
      </c>
      <c r="AH101">
        <f t="shared" si="10"/>
        <v>0</v>
      </c>
      <c r="AI101">
        <f t="shared" si="11"/>
        <v>0</v>
      </c>
      <c r="AJ101">
        <f t="shared" si="12"/>
        <v>0</v>
      </c>
      <c r="AK101">
        <f t="shared" si="13"/>
        <v>0</v>
      </c>
      <c r="AL101" s="11">
        <f>SUM(AH$5:AH101)/SUM(AK$5:AK101)</f>
        <v>0.75</v>
      </c>
      <c r="AM101" s="11">
        <f>SUM(AI$5:AI101)/SUM(AK$5:AK101)</f>
        <v>0.34615384615384615</v>
      </c>
      <c r="AN101" s="11">
        <f>SUM(AJ$5:AJ101)/SUM(AL$5:AL101)</f>
        <v>0.31033539941112992</v>
      </c>
    </row>
    <row r="102" spans="1:40" x14ac:dyDescent="0.35">
      <c r="A102" s="9" t="s">
        <v>344</v>
      </c>
      <c r="B102">
        <v>4</v>
      </c>
      <c r="C102" t="s">
        <v>7</v>
      </c>
      <c r="D102" t="s">
        <v>8</v>
      </c>
      <c r="O102">
        <v>0.99</v>
      </c>
      <c r="P102" s="14" t="s">
        <v>487</v>
      </c>
      <c r="Q102">
        <v>85.8</v>
      </c>
      <c r="R102">
        <v>2</v>
      </c>
      <c r="S102" s="8">
        <v>4</v>
      </c>
      <c r="T102" s="14">
        <v>0</v>
      </c>
      <c r="U102">
        <v>0</v>
      </c>
      <c r="V102">
        <v>0</v>
      </c>
      <c r="X102" s="26">
        <f t="shared" si="14"/>
        <v>9.3460127573074137E-5</v>
      </c>
      <c r="Y102" s="12">
        <f t="shared" ref="Y102:Y126" si="15">Y101+X102</f>
        <v>0.99838781279936384</v>
      </c>
      <c r="AA102" s="25">
        <f>IF(P102="*","-",IFERROR(VLOOKUP(P102,'AESS-W2'!$P$5:$S$107,4,FALSE),"-"))</f>
        <v>2</v>
      </c>
      <c r="AB102" s="25" t="str">
        <f>IF(P102="*","-",IFERROR(VLOOKUP(P102,'AESS-W3'!$P$5:$S$129,4,FALSE),"-"))</f>
        <v>-</v>
      </c>
      <c r="AC102" s="25">
        <f>IF(P102="*","-",IFERROR(VLOOKUP(P102,'All MECSM samples'!$P$4:$AD$454,15,FALSE),"-"))</f>
        <v>369</v>
      </c>
      <c r="AD102" s="25"/>
      <c r="AE102">
        <v>0</v>
      </c>
      <c r="AF102">
        <v>0</v>
      </c>
      <c r="AH102">
        <f t="shared" si="10"/>
        <v>0</v>
      </c>
      <c r="AI102">
        <f t="shared" si="11"/>
        <v>0</v>
      </c>
      <c r="AJ102">
        <f t="shared" si="12"/>
        <v>0</v>
      </c>
      <c r="AK102">
        <f t="shared" si="13"/>
        <v>0</v>
      </c>
      <c r="AL102" s="11">
        <f>SUM(AH$5:AH102)/SUM(AK$5:AK102)</f>
        <v>0.75</v>
      </c>
      <c r="AM102" s="11">
        <f>SUM(AI$5:AI102)/SUM(AK$5:AK102)</f>
        <v>0.34615384615384615</v>
      </c>
      <c r="AN102" s="11">
        <f>SUM(AJ$5:AJ102)/SUM(AL$5:AL102)</f>
        <v>0.30768303999146923</v>
      </c>
    </row>
    <row r="103" spans="1:40" x14ac:dyDescent="0.35">
      <c r="A103" s="9" t="s">
        <v>295</v>
      </c>
      <c r="B103">
        <v>4</v>
      </c>
      <c r="C103" t="s">
        <v>7</v>
      </c>
      <c r="D103" t="s">
        <v>8</v>
      </c>
      <c r="E103" t="s">
        <v>9</v>
      </c>
      <c r="G103" t="s">
        <v>172</v>
      </c>
      <c r="I103" t="s">
        <v>491</v>
      </c>
      <c r="K103" t="s">
        <v>492</v>
      </c>
      <c r="M103" t="s">
        <v>493</v>
      </c>
      <c r="O103">
        <v>0.59</v>
      </c>
      <c r="P103" s="14" t="s">
        <v>494</v>
      </c>
      <c r="Q103">
        <v>100</v>
      </c>
      <c r="R103">
        <v>4</v>
      </c>
      <c r="S103" s="8">
        <v>4</v>
      </c>
      <c r="T103" s="14">
        <v>0</v>
      </c>
      <c r="U103">
        <v>0</v>
      </c>
      <c r="V103">
        <v>0</v>
      </c>
      <c r="X103" s="26">
        <f t="shared" si="14"/>
        <v>9.3460127573074137E-5</v>
      </c>
      <c r="Y103" s="12">
        <f t="shared" si="15"/>
        <v>0.99848127292693689</v>
      </c>
      <c r="AA103" s="25" t="str">
        <f>IF(P103="*","-",IFERROR(VLOOKUP(P103,'AESS-W2'!$P$5:$S$107,4,FALSE),"-"))</f>
        <v>-</v>
      </c>
      <c r="AB103" s="25" t="str">
        <f>IF(P103="*","-",IFERROR(VLOOKUP(P103,'AESS-W3'!$P$5:$S$129,4,FALSE),"-"))</f>
        <v>-</v>
      </c>
      <c r="AC103" s="25">
        <f>IF(P103="*","-",IFERROR(VLOOKUP(P103,'All MECSM samples'!$P$4:$AD$454,15,FALSE),"-"))</f>
        <v>93</v>
      </c>
      <c r="AD103" s="25"/>
      <c r="AE103">
        <v>85</v>
      </c>
      <c r="AF103">
        <v>3</v>
      </c>
      <c r="AH103">
        <f t="shared" si="10"/>
        <v>0</v>
      </c>
      <c r="AI103">
        <f t="shared" si="11"/>
        <v>0</v>
      </c>
      <c r="AJ103">
        <f t="shared" si="12"/>
        <v>0</v>
      </c>
      <c r="AK103">
        <f t="shared" si="13"/>
        <v>0</v>
      </c>
      <c r="AL103" s="11">
        <f>SUM(AH$5:AH103)/SUM(AK$5:AK103)</f>
        <v>0.75</v>
      </c>
      <c r="AM103" s="11">
        <f>SUM(AI$5:AI103)/SUM(AK$5:AK103)</f>
        <v>0.34615384615384615</v>
      </c>
      <c r="AN103" s="11">
        <f>SUM(AJ$5:AJ103)/SUM(AL$5:AL103)</f>
        <v>0.30507563447363112</v>
      </c>
    </row>
    <row r="104" spans="1:40" x14ac:dyDescent="0.35">
      <c r="A104" s="9" t="s">
        <v>301</v>
      </c>
      <c r="B104">
        <v>4</v>
      </c>
      <c r="C104" t="s">
        <v>7</v>
      </c>
      <c r="D104" t="s">
        <v>8</v>
      </c>
      <c r="E104" t="s">
        <v>9</v>
      </c>
      <c r="G104" t="s">
        <v>10</v>
      </c>
      <c r="I104" t="s">
        <v>11</v>
      </c>
      <c r="K104" t="s">
        <v>249</v>
      </c>
      <c r="M104" t="s">
        <v>250</v>
      </c>
      <c r="O104">
        <v>0.94</v>
      </c>
      <c r="P104" s="14" t="s">
        <v>251</v>
      </c>
      <c r="Q104">
        <v>96.8</v>
      </c>
      <c r="R104">
        <v>1</v>
      </c>
      <c r="S104" s="8">
        <v>4</v>
      </c>
      <c r="T104" s="14">
        <v>0</v>
      </c>
      <c r="U104">
        <v>0</v>
      </c>
      <c r="V104">
        <v>0</v>
      </c>
      <c r="X104" s="26">
        <f t="shared" si="14"/>
        <v>9.3460127573074137E-5</v>
      </c>
      <c r="Y104" s="12">
        <f t="shared" si="15"/>
        <v>0.99857473305450994</v>
      </c>
      <c r="AA104" s="25" t="str">
        <f>IF(P104="*","-",IFERROR(VLOOKUP(P104,'AESS-W2'!$P$5:$S$107,4,FALSE),"-"))</f>
        <v>-</v>
      </c>
      <c r="AB104" s="25">
        <f>IF(P104="*","-",IFERROR(VLOOKUP(P104,'AESS-W3'!$P$5:$S$129,4,FALSE),"-"))</f>
        <v>61</v>
      </c>
      <c r="AC104" s="25">
        <f>IF(P104="*","-",IFERROR(VLOOKUP(P104,'All MECSM samples'!$P$4:$AD$454,15,FALSE),"-"))</f>
        <v>523</v>
      </c>
      <c r="AD104" s="25"/>
      <c r="AE104">
        <v>10</v>
      </c>
      <c r="AF104">
        <v>1</v>
      </c>
      <c r="AH104">
        <f t="shared" si="10"/>
        <v>0</v>
      </c>
      <c r="AI104">
        <f t="shared" si="11"/>
        <v>0</v>
      </c>
      <c r="AJ104">
        <f t="shared" si="12"/>
        <v>0</v>
      </c>
      <c r="AK104">
        <f t="shared" si="13"/>
        <v>0</v>
      </c>
      <c r="AL104" s="11">
        <f>SUM(AH$5:AH104)/SUM(AK$5:AK104)</f>
        <v>0.75</v>
      </c>
      <c r="AM104" s="11">
        <f>SUM(AI$5:AI104)/SUM(AK$5:AK104)</f>
        <v>0.34615384615384615</v>
      </c>
      <c r="AN104" s="11">
        <f>SUM(AJ$5:AJ104)/SUM(AL$5:AL104)</f>
        <v>0.30251204959953398</v>
      </c>
    </row>
    <row r="105" spans="1:40" x14ac:dyDescent="0.35">
      <c r="A105" s="9" t="s">
        <v>323</v>
      </c>
      <c r="B105">
        <v>4</v>
      </c>
      <c r="C105" t="s">
        <v>7</v>
      </c>
      <c r="D105" t="s">
        <v>8</v>
      </c>
      <c r="E105" t="s">
        <v>46</v>
      </c>
      <c r="G105" t="s">
        <v>47</v>
      </c>
      <c r="I105" t="s">
        <v>61</v>
      </c>
      <c r="K105" t="s">
        <v>190</v>
      </c>
      <c r="M105" t="s">
        <v>191</v>
      </c>
      <c r="O105">
        <v>1</v>
      </c>
      <c r="P105" s="14" t="s">
        <v>192</v>
      </c>
      <c r="Q105">
        <v>100</v>
      </c>
      <c r="R105">
        <v>1</v>
      </c>
      <c r="S105" s="8">
        <v>4</v>
      </c>
      <c r="T105" s="14">
        <v>0</v>
      </c>
      <c r="U105">
        <v>0</v>
      </c>
      <c r="V105">
        <v>0</v>
      </c>
      <c r="X105" s="26">
        <f t="shared" si="14"/>
        <v>9.3460127573074137E-5</v>
      </c>
      <c r="Y105" s="12">
        <f t="shared" si="15"/>
        <v>0.998668193182083</v>
      </c>
      <c r="AA105" s="25" t="str">
        <f>IF(P105="*","-",IFERROR(VLOOKUP(P105,'AESS-W2'!$P$5:$S$107,4,FALSE),"-"))</f>
        <v>-</v>
      </c>
      <c r="AB105" s="25">
        <f>IF(P105="*","-",IFERROR(VLOOKUP(P105,'AESS-W3'!$P$5:$S$129,4,FALSE),"-"))</f>
        <v>46</v>
      </c>
      <c r="AC105" s="25">
        <f>IF(P105="*","-",IFERROR(VLOOKUP(P105,'All MECSM samples'!$P$4:$AD$454,15,FALSE),"-"))</f>
        <v>245</v>
      </c>
      <c r="AD105" s="25"/>
      <c r="AE105">
        <v>91</v>
      </c>
      <c r="AF105">
        <v>19</v>
      </c>
      <c r="AH105">
        <f t="shared" si="10"/>
        <v>0</v>
      </c>
      <c r="AI105">
        <f t="shared" si="11"/>
        <v>0</v>
      </c>
      <c r="AJ105">
        <f t="shared" si="12"/>
        <v>0</v>
      </c>
      <c r="AK105">
        <f t="shared" si="13"/>
        <v>1</v>
      </c>
      <c r="AL105" s="11">
        <f>SUM(AH$5:AH105)/SUM(AK$5:AK105)</f>
        <v>0.73584905660377353</v>
      </c>
      <c r="AM105" s="11">
        <f>SUM(AI$5:AI105)/SUM(AK$5:AK105)</f>
        <v>0.33962264150943394</v>
      </c>
      <c r="AN105" s="11">
        <f>SUM(AJ$5:AJ105)/SUM(AL$5:AL105)</f>
        <v>0.30003836434329134</v>
      </c>
    </row>
    <row r="106" spans="1:40" x14ac:dyDescent="0.35">
      <c r="A106" s="9" t="s">
        <v>241</v>
      </c>
      <c r="B106">
        <v>4</v>
      </c>
      <c r="C106" t="s">
        <v>7</v>
      </c>
      <c r="D106" t="s">
        <v>8</v>
      </c>
      <c r="O106">
        <v>1</v>
      </c>
      <c r="P106" s="14" t="s">
        <v>536</v>
      </c>
      <c r="Q106">
        <v>89.3</v>
      </c>
      <c r="R106">
        <v>1</v>
      </c>
      <c r="S106" s="8">
        <v>4</v>
      </c>
      <c r="T106" s="14">
        <v>0</v>
      </c>
      <c r="U106">
        <v>0</v>
      </c>
      <c r="V106">
        <v>0</v>
      </c>
      <c r="X106" s="26">
        <f t="shared" si="14"/>
        <v>9.3460127573074137E-5</v>
      </c>
      <c r="Y106" s="12">
        <f t="shared" si="15"/>
        <v>0.99876165330965605</v>
      </c>
      <c r="AA106" s="25" t="str">
        <f>IF(P106="*","-",IFERROR(VLOOKUP(P106,'AESS-W2'!$P$5:$S$107,4,FALSE),"-"))</f>
        <v>-</v>
      </c>
      <c r="AB106" s="25" t="str">
        <f>IF(P106="*","-",IFERROR(VLOOKUP(P106,'AESS-W3'!$P$5:$S$129,4,FALSE),"-"))</f>
        <v>-</v>
      </c>
      <c r="AC106" s="25">
        <f>IF(P106="*","-",IFERROR(VLOOKUP(P106,'All MECSM samples'!$P$4:$AD$454,15,FALSE),"-"))</f>
        <v>114</v>
      </c>
      <c r="AD106" s="25"/>
      <c r="AE106">
        <v>64</v>
      </c>
      <c r="AF106">
        <v>1</v>
      </c>
      <c r="AH106">
        <f t="shared" si="10"/>
        <v>0</v>
      </c>
      <c r="AI106">
        <f t="shared" si="11"/>
        <v>0</v>
      </c>
      <c r="AJ106">
        <f t="shared" si="12"/>
        <v>0</v>
      </c>
      <c r="AK106">
        <f t="shared" si="13"/>
        <v>0</v>
      </c>
      <c r="AL106" s="11">
        <f>SUM(AH$5:AH106)/SUM(AK$5:AK106)</f>
        <v>0.73584905660377353</v>
      </c>
      <c r="AM106" s="11">
        <f>SUM(AI$5:AI106)/SUM(AK$5:AK106)</f>
        <v>0.33962264150943394</v>
      </c>
      <c r="AN106" s="11">
        <f>SUM(AJ$5:AJ106)/SUM(AL$5:AL106)</f>
        <v>0.29760480633267117</v>
      </c>
    </row>
    <row r="107" spans="1:40" x14ac:dyDescent="0.35">
      <c r="A107" s="9" t="s">
        <v>338</v>
      </c>
      <c r="B107">
        <v>4</v>
      </c>
      <c r="C107" t="s">
        <v>7</v>
      </c>
      <c r="D107" t="s">
        <v>8</v>
      </c>
      <c r="E107" t="s">
        <v>46</v>
      </c>
      <c r="G107" t="s">
        <v>47</v>
      </c>
      <c r="I107" t="s">
        <v>61</v>
      </c>
      <c r="K107" t="s">
        <v>157</v>
      </c>
      <c r="M107" t="s">
        <v>440</v>
      </c>
      <c r="O107">
        <v>0.61</v>
      </c>
      <c r="P107" s="14" t="s">
        <v>441</v>
      </c>
      <c r="Q107">
        <v>96.8</v>
      </c>
      <c r="R107">
        <v>1</v>
      </c>
      <c r="S107" s="8">
        <v>4</v>
      </c>
      <c r="T107" s="14">
        <v>0</v>
      </c>
      <c r="U107">
        <v>0</v>
      </c>
      <c r="V107">
        <v>0</v>
      </c>
      <c r="X107" s="26">
        <f t="shared" si="14"/>
        <v>9.3460127573074137E-5</v>
      </c>
      <c r="Y107" s="12">
        <f t="shared" si="15"/>
        <v>0.9988551134372291</v>
      </c>
      <c r="AA107" s="25">
        <f>IF(P107="*","-",IFERROR(VLOOKUP(P107,'AESS-W2'!$P$5:$S$107,4,FALSE),"-"))</f>
        <v>2</v>
      </c>
      <c r="AB107" s="25">
        <f>IF(P107="*","-",IFERROR(VLOOKUP(P107,'AESS-W3'!$P$5:$S$129,4,FALSE),"-"))</f>
        <v>4</v>
      </c>
      <c r="AC107" s="25">
        <f>IF(P107="*","-",IFERROR(VLOOKUP(P107,'All MECSM samples'!$P$4:$AD$454,15,FALSE),"-"))</f>
        <v>767</v>
      </c>
      <c r="AD107" s="25"/>
      <c r="AE107">
        <v>3</v>
      </c>
      <c r="AF107">
        <v>2</v>
      </c>
      <c r="AH107">
        <f t="shared" si="10"/>
        <v>0</v>
      </c>
      <c r="AI107">
        <f t="shared" si="11"/>
        <v>0</v>
      </c>
      <c r="AJ107">
        <f t="shared" si="12"/>
        <v>0</v>
      </c>
      <c r="AK107">
        <f t="shared" si="13"/>
        <v>0</v>
      </c>
      <c r="AL107" s="11">
        <f>SUM(AH$5:AH107)/SUM(AK$5:AK107)</f>
        <v>0.73584905660377353</v>
      </c>
      <c r="AM107" s="11">
        <f>SUM(AI$5:AI107)/SUM(AK$5:AK107)</f>
        <v>0.33962264150943394</v>
      </c>
      <c r="AN107" s="11">
        <f>SUM(AJ$5:AJ107)/SUM(AL$5:AL107)</f>
        <v>0.29521040702838619</v>
      </c>
    </row>
    <row r="108" spans="1:40" x14ac:dyDescent="0.35">
      <c r="A108" s="9" t="s">
        <v>333</v>
      </c>
      <c r="B108">
        <v>4</v>
      </c>
      <c r="C108" t="s">
        <v>7</v>
      </c>
      <c r="D108" t="s">
        <v>8</v>
      </c>
      <c r="E108" t="s">
        <v>46</v>
      </c>
      <c r="G108" t="s">
        <v>47</v>
      </c>
      <c r="I108" t="s">
        <v>61</v>
      </c>
      <c r="K108" t="s">
        <v>182</v>
      </c>
      <c r="M108" t="s">
        <v>183</v>
      </c>
      <c r="O108">
        <v>0.95</v>
      </c>
      <c r="P108" s="14" t="s">
        <v>184</v>
      </c>
      <c r="Q108">
        <v>99.2</v>
      </c>
      <c r="R108">
        <v>1</v>
      </c>
      <c r="S108" s="8">
        <v>4</v>
      </c>
      <c r="T108" s="14">
        <v>0</v>
      </c>
      <c r="U108">
        <v>0</v>
      </c>
      <c r="V108">
        <v>0</v>
      </c>
      <c r="X108" s="26">
        <f t="shared" si="14"/>
        <v>9.3460127573074137E-5</v>
      </c>
      <c r="Y108" s="12">
        <f t="shared" si="15"/>
        <v>0.99894857356480216</v>
      </c>
      <c r="AA108" s="25">
        <f>IF(P108="*","-",IFERROR(VLOOKUP(P108,'AESS-W2'!$P$5:$S$107,4,FALSE),"-"))</f>
        <v>188</v>
      </c>
      <c r="AB108" s="25" t="str">
        <f>IF(P108="*","-",IFERROR(VLOOKUP(P108,'AESS-W3'!$P$5:$S$129,4,FALSE),"-"))</f>
        <v>-</v>
      </c>
      <c r="AC108" s="25">
        <f>IF(P108="*","-",IFERROR(VLOOKUP(P108,'All MECSM samples'!$P$4:$AD$454,15,FALSE),"-"))</f>
        <v>1186</v>
      </c>
      <c r="AD108" s="25"/>
      <c r="AE108">
        <v>7</v>
      </c>
      <c r="AF108">
        <v>4</v>
      </c>
      <c r="AH108">
        <f t="shared" si="10"/>
        <v>0</v>
      </c>
      <c r="AI108">
        <f t="shared" si="11"/>
        <v>0</v>
      </c>
      <c r="AJ108">
        <f t="shared" si="12"/>
        <v>0</v>
      </c>
      <c r="AK108">
        <f t="shared" si="13"/>
        <v>0</v>
      </c>
      <c r="AL108" s="11">
        <f>SUM(AH$5:AH108)/SUM(AK$5:AK108)</f>
        <v>0.73584905660377353</v>
      </c>
      <c r="AM108" s="11">
        <f>SUM(AI$5:AI108)/SUM(AK$5:AK108)</f>
        <v>0.33962264150943394</v>
      </c>
      <c r="AN108" s="11">
        <f>SUM(AJ$5:AJ108)/SUM(AL$5:AL108)</f>
        <v>0.29285422881216172</v>
      </c>
    </row>
    <row r="109" spans="1:40" x14ac:dyDescent="0.35">
      <c r="A109" s="9" t="s">
        <v>386</v>
      </c>
      <c r="B109">
        <v>3</v>
      </c>
      <c r="C109" t="s">
        <v>7</v>
      </c>
      <c r="D109" t="s">
        <v>24</v>
      </c>
      <c r="E109" t="s">
        <v>25</v>
      </c>
      <c r="G109" t="s">
        <v>40</v>
      </c>
      <c r="I109" t="s">
        <v>56</v>
      </c>
      <c r="K109" t="s">
        <v>466</v>
      </c>
      <c r="M109" t="s">
        <v>550</v>
      </c>
      <c r="O109">
        <v>1</v>
      </c>
      <c r="P109" s="14" t="s">
        <v>551</v>
      </c>
      <c r="Q109">
        <v>99.6</v>
      </c>
      <c r="R109">
        <v>1</v>
      </c>
      <c r="S109" s="8">
        <v>3</v>
      </c>
      <c r="T109" s="14">
        <v>0</v>
      </c>
      <c r="U109">
        <v>0</v>
      </c>
      <c r="V109">
        <v>0</v>
      </c>
      <c r="X109" s="26">
        <f t="shared" si="14"/>
        <v>7.0095095679805603E-5</v>
      </c>
      <c r="Y109" s="12">
        <f t="shared" si="15"/>
        <v>0.99901866866048195</v>
      </c>
      <c r="AA109" s="25" t="str">
        <f>IF(P109="*","-",IFERROR(VLOOKUP(P109,'AESS-W2'!$P$5:$S$107,4,FALSE),"-"))</f>
        <v>-</v>
      </c>
      <c r="AB109" s="25" t="str">
        <f>IF(P109="*","-",IFERROR(VLOOKUP(P109,'AESS-W3'!$P$5:$S$129,4,FALSE),"-"))</f>
        <v>-</v>
      </c>
      <c r="AC109" s="25">
        <f>IF(P109="*","-",IFERROR(VLOOKUP(P109,'All MECSM samples'!$P$4:$AD$454,15,FALSE),"-"))</f>
        <v>3</v>
      </c>
      <c r="AD109" s="25"/>
      <c r="AE109">
        <v>96</v>
      </c>
      <c r="AF109">
        <v>3</v>
      </c>
      <c r="AH109">
        <f t="shared" si="10"/>
        <v>0</v>
      </c>
      <c r="AI109">
        <f t="shared" si="11"/>
        <v>0</v>
      </c>
      <c r="AJ109">
        <f t="shared" si="12"/>
        <v>0</v>
      </c>
      <c r="AK109">
        <f t="shared" si="13"/>
        <v>1</v>
      </c>
      <c r="AL109" s="11">
        <f>SUM(AH$5:AH109)/SUM(AK$5:AK109)</f>
        <v>0.72222222222222221</v>
      </c>
      <c r="AM109" s="11">
        <f>SUM(AI$5:AI109)/SUM(AK$5:AK109)</f>
        <v>0.33333333333333331</v>
      </c>
      <c r="AN109" s="11">
        <f>SUM(AJ$5:AJ109)/SUM(AL$5:AL109)</f>
        <v>0.29057797193469342</v>
      </c>
    </row>
    <row r="110" spans="1:40" x14ac:dyDescent="0.35">
      <c r="A110" s="9" t="s">
        <v>233</v>
      </c>
      <c r="B110">
        <v>3</v>
      </c>
      <c r="C110" t="s">
        <v>7</v>
      </c>
      <c r="D110" t="s">
        <v>8</v>
      </c>
      <c r="E110" t="s">
        <v>46</v>
      </c>
      <c r="O110">
        <v>0.59</v>
      </c>
      <c r="P110" s="14" t="s">
        <v>98</v>
      </c>
      <c r="Q110">
        <v>0</v>
      </c>
      <c r="R110">
        <v>1</v>
      </c>
      <c r="S110" s="8">
        <v>3</v>
      </c>
      <c r="T110" s="14">
        <v>0</v>
      </c>
      <c r="U110">
        <v>0</v>
      </c>
      <c r="V110">
        <v>0</v>
      </c>
      <c r="X110" s="26">
        <f t="shared" si="14"/>
        <v>7.0095095679805603E-5</v>
      </c>
      <c r="Y110" s="12">
        <f t="shared" si="15"/>
        <v>0.99908876375616174</v>
      </c>
      <c r="AA110" s="25" t="str">
        <f>IF(P110="*","-",IFERROR(VLOOKUP(P110,'AESS-W2'!$P$5:$S$107,4,FALSE),"-"))</f>
        <v>-</v>
      </c>
      <c r="AB110" s="25" t="str">
        <f>IF(P110="*","-",IFERROR(VLOOKUP(P110,'AESS-W3'!$P$5:$S$129,4,FALSE),"-"))</f>
        <v>-</v>
      </c>
      <c r="AC110" s="25" t="str">
        <f>IF(P110="*","-",IFERROR(VLOOKUP(P110,'All MECSM samples'!$P$4:$AD$454,15,FALSE),"-"))</f>
        <v>-</v>
      </c>
      <c r="AD110" s="25"/>
      <c r="AE110">
        <v>11</v>
      </c>
      <c r="AF110">
        <v>1</v>
      </c>
      <c r="AH110">
        <f t="shared" si="10"/>
        <v>0</v>
      </c>
      <c r="AI110">
        <f t="shared" si="11"/>
        <v>0</v>
      </c>
      <c r="AJ110">
        <f t="shared" si="12"/>
        <v>0</v>
      </c>
      <c r="AK110">
        <f t="shared" si="13"/>
        <v>0</v>
      </c>
      <c r="AL110" s="11">
        <f>SUM(AH$5:AH110)/SUM(AK$5:AK110)</f>
        <v>0.72222222222222221</v>
      </c>
      <c r="AM110" s="11">
        <f>SUM(AI$5:AI110)/SUM(AK$5:AK110)</f>
        <v>0.33333333333333331</v>
      </c>
      <c r="AN110" s="11">
        <f>SUM(AJ$5:AJ110)/SUM(AL$5:AL110)</f>
        <v>0.28833682729146359</v>
      </c>
    </row>
    <row r="111" spans="1:40" x14ac:dyDescent="0.35">
      <c r="A111" s="9" t="s">
        <v>300</v>
      </c>
      <c r="B111">
        <v>3</v>
      </c>
      <c r="C111" t="s">
        <v>7</v>
      </c>
      <c r="D111" t="s">
        <v>8</v>
      </c>
      <c r="E111" t="s">
        <v>18</v>
      </c>
      <c r="G111" t="s">
        <v>19</v>
      </c>
      <c r="I111" t="s">
        <v>20</v>
      </c>
      <c r="K111" t="s">
        <v>21</v>
      </c>
      <c r="M111" t="s">
        <v>235</v>
      </c>
      <c r="O111">
        <v>0.81</v>
      </c>
      <c r="P111" s="14" t="s">
        <v>608</v>
      </c>
      <c r="Q111">
        <v>89.7</v>
      </c>
      <c r="R111">
        <v>1</v>
      </c>
      <c r="S111" s="8">
        <v>3</v>
      </c>
      <c r="T111" s="14">
        <v>0</v>
      </c>
      <c r="U111">
        <v>0</v>
      </c>
      <c r="V111">
        <v>0</v>
      </c>
      <c r="X111" s="26">
        <f t="shared" si="14"/>
        <v>7.0095095679805603E-5</v>
      </c>
      <c r="Y111" s="12">
        <f t="shared" si="15"/>
        <v>0.99915885885184152</v>
      </c>
      <c r="AA111" s="25" t="str">
        <f>IF(P111="*","-",IFERROR(VLOOKUP(P111,'AESS-W2'!$P$5:$S$107,4,FALSE),"-"))</f>
        <v>-</v>
      </c>
      <c r="AB111" s="25" t="str">
        <f>IF(P111="*","-",IFERROR(VLOOKUP(P111,'AESS-W3'!$P$5:$S$129,4,FALSE),"-"))</f>
        <v>-</v>
      </c>
      <c r="AC111" s="25" t="str">
        <f>IF(P111="*","-",IFERROR(VLOOKUP(P111,'All MECSM samples'!$P$4:$AD$454,15,FALSE),"-"))</f>
        <v>-</v>
      </c>
      <c r="AD111" s="25"/>
      <c r="AE111">
        <v>21</v>
      </c>
      <c r="AF111">
        <v>2</v>
      </c>
      <c r="AH111">
        <f t="shared" si="10"/>
        <v>0</v>
      </c>
      <c r="AI111">
        <f t="shared" si="11"/>
        <v>0</v>
      </c>
      <c r="AJ111">
        <f t="shared" si="12"/>
        <v>0</v>
      </c>
      <c r="AK111">
        <f t="shared" si="13"/>
        <v>0</v>
      </c>
      <c r="AL111" s="11">
        <f>SUM(AH$5:AH111)/SUM(AK$5:AK111)</f>
        <v>0.72222222222222221</v>
      </c>
      <c r="AM111" s="11">
        <f>SUM(AI$5:AI111)/SUM(AK$5:AK111)</f>
        <v>0.33333333333333331</v>
      </c>
      <c r="AN111" s="11">
        <f>SUM(AJ$5:AJ111)/SUM(AL$5:AL111)</f>
        <v>0.28612998866875983</v>
      </c>
    </row>
    <row r="112" spans="1:40" x14ac:dyDescent="0.35">
      <c r="A112" s="9" t="s">
        <v>346</v>
      </c>
      <c r="B112">
        <v>3</v>
      </c>
      <c r="C112" t="s">
        <v>7</v>
      </c>
      <c r="D112" t="s">
        <v>8</v>
      </c>
      <c r="O112">
        <v>1</v>
      </c>
      <c r="P112" s="14" t="s">
        <v>50</v>
      </c>
      <c r="Q112">
        <v>89.7</v>
      </c>
      <c r="R112">
        <v>1</v>
      </c>
      <c r="S112" s="8">
        <v>3</v>
      </c>
      <c r="T112" s="14">
        <v>0</v>
      </c>
      <c r="U112">
        <v>0</v>
      </c>
      <c r="V112">
        <v>0</v>
      </c>
      <c r="X112" s="26">
        <f t="shared" si="14"/>
        <v>7.0095095679805603E-5</v>
      </c>
      <c r="Y112" s="12">
        <f t="shared" si="15"/>
        <v>0.99922895394752131</v>
      </c>
      <c r="AA112" s="25">
        <f>IF(P112="*","-",IFERROR(VLOOKUP(P112,'AESS-W2'!$P$5:$S$107,4,FALSE),"-"))</f>
        <v>4057</v>
      </c>
      <c r="AB112" s="25">
        <f>IF(P112="*","-",IFERROR(VLOOKUP(P112,'AESS-W3'!$P$5:$S$129,4,FALSE),"-"))</f>
        <v>6</v>
      </c>
      <c r="AC112" s="25">
        <f>IF(P112="*","-",IFERROR(VLOOKUP(P112,'All MECSM samples'!$P$4:$AD$454,15,FALSE),"-"))</f>
        <v>4081</v>
      </c>
      <c r="AD112" s="25"/>
      <c r="AE112">
        <v>6</v>
      </c>
      <c r="AF112">
        <v>1</v>
      </c>
      <c r="AH112">
        <f t="shared" si="10"/>
        <v>0</v>
      </c>
      <c r="AI112">
        <f t="shared" si="11"/>
        <v>0</v>
      </c>
      <c r="AJ112">
        <f t="shared" si="12"/>
        <v>0</v>
      </c>
      <c r="AK112">
        <f t="shared" si="13"/>
        <v>0</v>
      </c>
      <c r="AL112" s="11">
        <f>SUM(AH$5:AH112)/SUM(AK$5:AK112)</f>
        <v>0.72222222222222221</v>
      </c>
      <c r="AM112" s="11">
        <f>SUM(AI$5:AI112)/SUM(AK$5:AK112)</f>
        <v>0.33333333333333331</v>
      </c>
      <c r="AN112" s="11">
        <f>SUM(AJ$5:AJ112)/SUM(AL$5:AL112)</f>
        <v>0.28395667434741256</v>
      </c>
    </row>
    <row r="113" spans="1:40" x14ac:dyDescent="0.35">
      <c r="A113" s="9" t="s">
        <v>329</v>
      </c>
      <c r="B113">
        <v>3</v>
      </c>
      <c r="C113" t="s">
        <v>7</v>
      </c>
      <c r="D113" t="s">
        <v>8</v>
      </c>
      <c r="E113" t="s">
        <v>290</v>
      </c>
      <c r="G113" t="s">
        <v>556</v>
      </c>
      <c r="M113" t="s">
        <v>557</v>
      </c>
      <c r="O113">
        <v>0.65</v>
      </c>
      <c r="P113" s="14" t="s">
        <v>558</v>
      </c>
      <c r="Q113">
        <v>96</v>
      </c>
      <c r="R113">
        <v>1</v>
      </c>
      <c r="S113" s="8">
        <v>3</v>
      </c>
      <c r="T113" s="14">
        <v>0</v>
      </c>
      <c r="U113">
        <v>0</v>
      </c>
      <c r="V113">
        <v>0</v>
      </c>
      <c r="X113" s="26">
        <f t="shared" si="14"/>
        <v>7.0095095679805603E-5</v>
      </c>
      <c r="Y113" s="12">
        <f t="shared" si="15"/>
        <v>0.9992990490432011</v>
      </c>
      <c r="AA113" s="25" t="str">
        <f>IF(P113="*","-",IFERROR(VLOOKUP(P113,'AESS-W2'!$P$5:$S$107,4,FALSE),"-"))</f>
        <v>-</v>
      </c>
      <c r="AB113" s="25" t="str">
        <f>IF(P113="*","-",IFERROR(VLOOKUP(P113,'AESS-W3'!$P$5:$S$129,4,FALSE),"-"))</f>
        <v>-</v>
      </c>
      <c r="AC113" s="25">
        <f>IF(P113="*","-",IFERROR(VLOOKUP(P113,'All MECSM samples'!$P$4:$AD$454,15,FALSE),"-"))</f>
        <v>7</v>
      </c>
      <c r="AD113" s="25"/>
      <c r="AE113">
        <v>45</v>
      </c>
      <c r="AF113">
        <v>1</v>
      </c>
      <c r="AH113">
        <f t="shared" si="10"/>
        <v>0</v>
      </c>
      <c r="AI113">
        <f t="shared" si="11"/>
        <v>0</v>
      </c>
      <c r="AJ113">
        <f t="shared" si="12"/>
        <v>0</v>
      </c>
      <c r="AK113">
        <f t="shared" si="13"/>
        <v>0</v>
      </c>
      <c r="AL113" s="11">
        <f>SUM(AH$5:AH113)/SUM(AK$5:AK113)</f>
        <v>0.72222222222222221</v>
      </c>
      <c r="AM113" s="11">
        <f>SUM(AI$5:AI113)/SUM(AK$5:AK113)</f>
        <v>0.33333333333333331</v>
      </c>
      <c r="AN113" s="11">
        <f>SUM(AJ$5:AJ113)/SUM(AL$5:AL113)</f>
        <v>0.28181612617955981</v>
      </c>
    </row>
    <row r="114" spans="1:40" x14ac:dyDescent="0.35">
      <c r="A114" s="9" t="s">
        <v>322</v>
      </c>
      <c r="B114">
        <v>3</v>
      </c>
      <c r="C114" t="s">
        <v>7</v>
      </c>
      <c r="D114" t="s">
        <v>8</v>
      </c>
      <c r="E114" t="s">
        <v>120</v>
      </c>
      <c r="G114" t="s">
        <v>121</v>
      </c>
      <c r="I114" t="s">
        <v>122</v>
      </c>
      <c r="K114" t="s">
        <v>123</v>
      </c>
      <c r="O114">
        <v>0.8</v>
      </c>
      <c r="P114" s="14" t="s">
        <v>98</v>
      </c>
      <c r="Q114">
        <v>0</v>
      </c>
      <c r="R114">
        <v>1</v>
      </c>
      <c r="S114" s="8">
        <v>3</v>
      </c>
      <c r="T114" s="14">
        <v>0</v>
      </c>
      <c r="U114">
        <v>0</v>
      </c>
      <c r="V114">
        <v>0</v>
      </c>
      <c r="X114" s="26">
        <f t="shared" si="14"/>
        <v>7.0095095679805603E-5</v>
      </c>
      <c r="Y114" s="12">
        <f t="shared" si="15"/>
        <v>0.99936914413888089</v>
      </c>
      <c r="AA114" s="25" t="str">
        <f>IF(P114="*","-",IFERROR(VLOOKUP(P114,'AESS-W2'!$P$5:$S$107,4,FALSE),"-"))</f>
        <v>-</v>
      </c>
      <c r="AB114" s="25" t="str">
        <f>IF(P114="*","-",IFERROR(VLOOKUP(P114,'AESS-W3'!$P$5:$S$129,4,FALSE),"-"))</f>
        <v>-</v>
      </c>
      <c r="AC114" s="25" t="str">
        <f>IF(P114="*","-",IFERROR(VLOOKUP(P114,'All MECSM samples'!$P$4:$AD$454,15,FALSE),"-"))</f>
        <v>-</v>
      </c>
      <c r="AD114" s="25"/>
      <c r="AE114">
        <v>85</v>
      </c>
      <c r="AF114">
        <v>2</v>
      </c>
      <c r="AH114">
        <f t="shared" si="10"/>
        <v>0</v>
      </c>
      <c r="AI114">
        <f t="shared" si="11"/>
        <v>0</v>
      </c>
      <c r="AJ114">
        <f t="shared" si="12"/>
        <v>0</v>
      </c>
      <c r="AK114">
        <f t="shared" si="13"/>
        <v>0</v>
      </c>
      <c r="AL114" s="11">
        <f>SUM(AH$5:AH114)/SUM(AK$5:AK114)</f>
        <v>0.72222222222222221</v>
      </c>
      <c r="AM114" s="11">
        <f>SUM(AI$5:AI114)/SUM(AK$5:AK114)</f>
        <v>0.33333333333333331</v>
      </c>
      <c r="AN114" s="11">
        <f>SUM(AJ$5:AJ114)/SUM(AL$5:AL114)</f>
        <v>0.27970760870685751</v>
      </c>
    </row>
    <row r="115" spans="1:40" x14ac:dyDescent="0.35">
      <c r="A115" s="9" t="s">
        <v>353</v>
      </c>
      <c r="B115">
        <v>3</v>
      </c>
      <c r="C115" t="s">
        <v>7</v>
      </c>
      <c r="D115" t="s">
        <v>24</v>
      </c>
      <c r="E115" t="s">
        <v>25</v>
      </c>
      <c r="G115" t="s">
        <v>40</v>
      </c>
      <c r="I115" t="s">
        <v>56</v>
      </c>
      <c r="K115" t="s">
        <v>523</v>
      </c>
      <c r="M115" t="s">
        <v>524</v>
      </c>
      <c r="O115">
        <v>1</v>
      </c>
      <c r="P115" s="14" t="s">
        <v>525</v>
      </c>
      <c r="Q115">
        <v>99.6</v>
      </c>
      <c r="R115">
        <v>2</v>
      </c>
      <c r="S115" s="8">
        <v>3</v>
      </c>
      <c r="T115" s="14">
        <v>0</v>
      </c>
      <c r="U115">
        <v>0</v>
      </c>
      <c r="V115">
        <v>0</v>
      </c>
      <c r="X115" s="26">
        <f t="shared" si="14"/>
        <v>7.0095095679805603E-5</v>
      </c>
      <c r="Y115" s="12">
        <f t="shared" si="15"/>
        <v>0.99943923923456068</v>
      </c>
      <c r="AA115" s="25" t="str">
        <f>IF(P115="*","-",IFERROR(VLOOKUP(P115,'AESS-W2'!$P$5:$S$107,4,FALSE),"-"))</f>
        <v>-</v>
      </c>
      <c r="AB115" s="25" t="str">
        <f>IF(P115="*","-",IFERROR(VLOOKUP(P115,'AESS-W3'!$P$5:$S$129,4,FALSE),"-"))</f>
        <v>-</v>
      </c>
      <c r="AC115" s="25">
        <f>IF(P115="*","-",IFERROR(VLOOKUP(P115,'All MECSM samples'!$P$4:$AD$454,15,FALSE),"-"))</f>
        <v>316</v>
      </c>
      <c r="AD115" s="25"/>
      <c r="AE115">
        <v>0</v>
      </c>
      <c r="AF115">
        <v>0</v>
      </c>
      <c r="AH115">
        <f t="shared" si="10"/>
        <v>0</v>
      </c>
      <c r="AI115">
        <f t="shared" si="11"/>
        <v>0</v>
      </c>
      <c r="AJ115">
        <f t="shared" si="12"/>
        <v>0</v>
      </c>
      <c r="AK115">
        <f t="shared" si="13"/>
        <v>0</v>
      </c>
      <c r="AL115" s="11">
        <f>SUM(AH$5:AH115)/SUM(AK$5:AK115)</f>
        <v>0.72222222222222221</v>
      </c>
      <c r="AM115" s="11">
        <f>SUM(AI$5:AI115)/SUM(AK$5:AK115)</f>
        <v>0.33333333333333331</v>
      </c>
      <c r="AN115" s="11">
        <f>SUM(AJ$5:AJ115)/SUM(AL$5:AL115)</f>
        <v>0.27763040831798075</v>
      </c>
    </row>
    <row r="116" spans="1:40" x14ac:dyDescent="0.35">
      <c r="A116" s="9" t="s">
        <v>327</v>
      </c>
      <c r="B116">
        <v>3</v>
      </c>
      <c r="C116" t="s">
        <v>7</v>
      </c>
      <c r="D116" t="s">
        <v>8</v>
      </c>
      <c r="E116" t="s">
        <v>290</v>
      </c>
      <c r="G116" t="s">
        <v>556</v>
      </c>
      <c r="M116" t="s">
        <v>566</v>
      </c>
      <c r="O116">
        <v>0.56000000000000005</v>
      </c>
      <c r="P116" s="14" t="s">
        <v>558</v>
      </c>
      <c r="Q116">
        <v>94.5</v>
      </c>
      <c r="R116">
        <v>1</v>
      </c>
      <c r="S116" s="8">
        <v>3</v>
      </c>
      <c r="T116" s="14">
        <v>0</v>
      </c>
      <c r="U116">
        <v>0</v>
      </c>
      <c r="V116">
        <v>0</v>
      </c>
      <c r="X116" s="26">
        <f t="shared" si="14"/>
        <v>7.0095095679805603E-5</v>
      </c>
      <c r="Y116" s="12">
        <f t="shared" si="15"/>
        <v>0.99950933433024047</v>
      </c>
      <c r="AA116" s="25" t="str">
        <f>IF(P116="*","-",IFERROR(VLOOKUP(P116,'AESS-W2'!$P$5:$S$107,4,FALSE),"-"))</f>
        <v>-</v>
      </c>
      <c r="AB116" s="25" t="str">
        <f>IF(P116="*","-",IFERROR(VLOOKUP(P116,'AESS-W3'!$P$5:$S$129,4,FALSE),"-"))</f>
        <v>-</v>
      </c>
      <c r="AC116" s="25">
        <f>IF(P116="*","-",IFERROR(VLOOKUP(P116,'All MECSM samples'!$P$4:$AD$454,15,FALSE),"-"))</f>
        <v>7</v>
      </c>
      <c r="AD116" s="25"/>
      <c r="AE116">
        <v>61</v>
      </c>
      <c r="AF116">
        <v>1</v>
      </c>
      <c r="AH116">
        <f t="shared" si="10"/>
        <v>0</v>
      </c>
      <c r="AI116">
        <f t="shared" si="11"/>
        <v>0</v>
      </c>
      <c r="AJ116">
        <f t="shared" si="12"/>
        <v>0</v>
      </c>
      <c r="AK116">
        <f t="shared" si="13"/>
        <v>0</v>
      </c>
      <c r="AL116" s="11">
        <f>SUM(AH$5:AH116)/SUM(AK$5:AK116)</f>
        <v>0.72222222222222221</v>
      </c>
      <c r="AM116" s="11">
        <f>SUM(AI$5:AI116)/SUM(AK$5:AK116)</f>
        <v>0.33333333333333331</v>
      </c>
      <c r="AN116" s="11">
        <f>SUM(AJ$5:AJ116)/SUM(AL$5:AL116)</f>
        <v>0.27558383244338774</v>
      </c>
    </row>
    <row r="117" spans="1:40" x14ac:dyDescent="0.35">
      <c r="A117" s="9" t="s">
        <v>311</v>
      </c>
      <c r="B117">
        <v>3</v>
      </c>
      <c r="C117" t="s">
        <v>7</v>
      </c>
      <c r="D117" t="s">
        <v>8</v>
      </c>
      <c r="E117" t="s">
        <v>46</v>
      </c>
      <c r="O117">
        <v>0.51</v>
      </c>
      <c r="P117" s="14" t="s">
        <v>511</v>
      </c>
      <c r="Q117">
        <v>86.6</v>
      </c>
      <c r="R117">
        <v>2</v>
      </c>
      <c r="S117" s="8">
        <v>3</v>
      </c>
      <c r="T117" s="14">
        <v>0</v>
      </c>
      <c r="U117">
        <v>0</v>
      </c>
      <c r="V117">
        <v>0</v>
      </c>
      <c r="X117" s="26">
        <f t="shared" si="14"/>
        <v>7.0095095679805603E-5</v>
      </c>
      <c r="Y117" s="12">
        <f t="shared" si="15"/>
        <v>0.99957942942592026</v>
      </c>
      <c r="AA117" s="25" t="str">
        <f>IF(P117="*","-",IFERROR(VLOOKUP(P117,'AESS-W2'!$P$5:$S$107,4,FALSE),"-"))</f>
        <v>-</v>
      </c>
      <c r="AB117" s="25" t="str">
        <f>IF(P117="*","-",IFERROR(VLOOKUP(P117,'AESS-W3'!$P$5:$S$129,4,FALSE),"-"))</f>
        <v>-</v>
      </c>
      <c r="AC117" s="25">
        <f>IF(P117="*","-",IFERROR(VLOOKUP(P117,'All MECSM samples'!$P$4:$AD$454,15,FALSE),"-"))</f>
        <v>484</v>
      </c>
      <c r="AD117" s="25"/>
      <c r="AE117">
        <v>0</v>
      </c>
      <c r="AF117">
        <v>0</v>
      </c>
      <c r="AH117">
        <f t="shared" si="10"/>
        <v>0</v>
      </c>
      <c r="AI117">
        <f t="shared" si="11"/>
        <v>0</v>
      </c>
      <c r="AJ117">
        <f t="shared" si="12"/>
        <v>0</v>
      </c>
      <c r="AK117">
        <f t="shared" si="13"/>
        <v>0</v>
      </c>
      <c r="AL117" s="11">
        <f>SUM(AH$5:AH117)/SUM(AK$5:AK117)</f>
        <v>0.72222222222222221</v>
      </c>
      <c r="AM117" s="11">
        <f>SUM(AI$5:AI117)/SUM(AK$5:AK117)</f>
        <v>0.33333333333333331</v>
      </c>
      <c r="AN117" s="11">
        <f>SUM(AJ$5:AJ117)/SUM(AL$5:AL117)</f>
        <v>0.27356720878543894</v>
      </c>
    </row>
    <row r="118" spans="1:40" x14ac:dyDescent="0.35">
      <c r="A118" s="9" t="s">
        <v>315</v>
      </c>
      <c r="B118">
        <v>2</v>
      </c>
      <c r="C118" t="s">
        <v>7</v>
      </c>
      <c r="D118" t="s">
        <v>8</v>
      </c>
      <c r="E118" t="s">
        <v>46</v>
      </c>
      <c r="G118" t="s">
        <v>47</v>
      </c>
      <c r="I118" t="s">
        <v>61</v>
      </c>
      <c r="K118" t="s">
        <v>561</v>
      </c>
      <c r="O118">
        <v>0.98</v>
      </c>
      <c r="P118" s="14" t="s">
        <v>576</v>
      </c>
      <c r="Q118">
        <v>93.7</v>
      </c>
      <c r="R118">
        <v>2</v>
      </c>
      <c r="S118" s="8">
        <v>2</v>
      </c>
      <c r="T118" s="14">
        <v>0</v>
      </c>
      <c r="U118">
        <v>0</v>
      </c>
      <c r="V118">
        <v>0</v>
      </c>
      <c r="W118" s="14"/>
      <c r="X118" s="42">
        <f t="shared" si="14"/>
        <v>4.6730063786537069E-5</v>
      </c>
      <c r="Y118" s="20">
        <f t="shared" si="15"/>
        <v>0.99962615948970679</v>
      </c>
      <c r="Z118" s="14"/>
      <c r="AA118" s="25" t="str">
        <f>IF(P118="*","-",IFERROR(VLOOKUP(P118,'AESS-W2'!$P$5:$S$107,4,FALSE),"-"))</f>
        <v>-</v>
      </c>
      <c r="AB118" s="25" t="str">
        <f>IF(P118="*","-",IFERROR(VLOOKUP(P118,'AESS-W3'!$P$5:$S$129,4,FALSE),"-"))</f>
        <v>-</v>
      </c>
      <c r="AC118" s="25">
        <f>IF(P118="*","-",IFERROR(VLOOKUP(P118,'All MECSM samples'!$P$4:$AD$454,15,FALSE),"-"))</f>
        <v>2</v>
      </c>
      <c r="AD118" s="25"/>
      <c r="AE118">
        <v>21</v>
      </c>
      <c r="AF118">
        <v>40</v>
      </c>
      <c r="AH118">
        <f t="shared" si="10"/>
        <v>0</v>
      </c>
      <c r="AI118">
        <f t="shared" si="11"/>
        <v>0</v>
      </c>
      <c r="AJ118">
        <f t="shared" si="12"/>
        <v>0</v>
      </c>
      <c r="AK118">
        <f t="shared" si="13"/>
        <v>0</v>
      </c>
      <c r="AL118" s="11">
        <f>SUM(AH$5:AH118)/SUM(AK$5:AK118)</f>
        <v>0.72222222222222221</v>
      </c>
      <c r="AM118" s="11">
        <f>SUM(AI$5:AI118)/SUM(AK$5:AK118)</f>
        <v>0.33333333333333331</v>
      </c>
      <c r="AN118" s="11">
        <f>SUM(AJ$5:AJ118)/SUM(AL$5:AL118)</f>
        <v>0.27157988458207255</v>
      </c>
    </row>
    <row r="119" spans="1:40" x14ac:dyDescent="0.35">
      <c r="A119" s="9" t="s">
        <v>400</v>
      </c>
      <c r="B119">
        <v>2</v>
      </c>
      <c r="C119" t="s">
        <v>7</v>
      </c>
      <c r="D119" t="s">
        <v>8</v>
      </c>
      <c r="E119" t="s">
        <v>46</v>
      </c>
      <c r="G119" t="s">
        <v>47</v>
      </c>
      <c r="I119" t="s">
        <v>61</v>
      </c>
      <c r="K119" t="s">
        <v>190</v>
      </c>
      <c r="M119" t="s">
        <v>587</v>
      </c>
      <c r="O119">
        <v>0.93</v>
      </c>
      <c r="P119" s="14" t="s">
        <v>588</v>
      </c>
      <c r="Q119">
        <v>95.3</v>
      </c>
      <c r="R119">
        <v>1</v>
      </c>
      <c r="S119" s="8">
        <v>2</v>
      </c>
      <c r="T119" s="14">
        <v>0</v>
      </c>
      <c r="U119">
        <v>0</v>
      </c>
      <c r="V119">
        <v>0</v>
      </c>
      <c r="X119" s="26">
        <f t="shared" si="14"/>
        <v>4.6730063786537069E-5</v>
      </c>
      <c r="Y119" s="12">
        <f t="shared" si="15"/>
        <v>0.99967288955349332</v>
      </c>
      <c r="AA119" s="25" t="str">
        <f>IF(P119="*","-",IFERROR(VLOOKUP(P119,'AESS-W2'!$P$5:$S$107,4,FALSE),"-"))</f>
        <v>-</v>
      </c>
      <c r="AB119" s="25" t="str">
        <f>IF(P119="*","-",IFERROR(VLOOKUP(P119,'AESS-W3'!$P$5:$S$129,4,FALSE),"-"))</f>
        <v>-</v>
      </c>
      <c r="AC119" s="25">
        <f>IF(P119="*","-",IFERROR(VLOOKUP(P119,'All MECSM samples'!$P$4:$AD$454,15,FALSE),"-"))</f>
        <v>293</v>
      </c>
      <c r="AD119" s="25"/>
      <c r="AE119">
        <v>11</v>
      </c>
      <c r="AF119">
        <v>29</v>
      </c>
      <c r="AH119">
        <f t="shared" si="10"/>
        <v>0</v>
      </c>
      <c r="AI119">
        <f t="shared" si="11"/>
        <v>0</v>
      </c>
      <c r="AJ119">
        <f t="shared" si="12"/>
        <v>0</v>
      </c>
      <c r="AK119">
        <f t="shared" si="13"/>
        <v>0</v>
      </c>
      <c r="AL119" s="11">
        <f>SUM(AH$5:AH119)/SUM(AK$5:AK119)</f>
        <v>0.72222222222222221</v>
      </c>
      <c r="AM119" s="11">
        <f>SUM(AI$5:AI119)/SUM(AK$5:AK119)</f>
        <v>0.33333333333333331</v>
      </c>
      <c r="AN119" s="11">
        <f>SUM(AJ$5:AJ119)/SUM(AL$5:AL119)</f>
        <v>0.26962122590234278</v>
      </c>
    </row>
    <row r="120" spans="1:40" x14ac:dyDescent="0.35">
      <c r="A120" s="9" t="s">
        <v>465</v>
      </c>
      <c r="B120">
        <v>2</v>
      </c>
      <c r="C120" t="s">
        <v>7</v>
      </c>
      <c r="D120" t="s">
        <v>8</v>
      </c>
      <c r="E120" t="s">
        <v>120</v>
      </c>
      <c r="G120" t="s">
        <v>121</v>
      </c>
      <c r="I120" t="s">
        <v>122</v>
      </c>
      <c r="K120" t="s">
        <v>123</v>
      </c>
      <c r="O120">
        <v>0.95</v>
      </c>
      <c r="P120" s="14" t="s">
        <v>224</v>
      </c>
      <c r="Q120">
        <v>85.4</v>
      </c>
      <c r="R120">
        <v>1</v>
      </c>
      <c r="S120" s="8">
        <v>2</v>
      </c>
      <c r="T120" s="14">
        <v>0</v>
      </c>
      <c r="U120">
        <v>0</v>
      </c>
      <c r="V120">
        <v>0</v>
      </c>
      <c r="X120" s="26">
        <f t="shared" si="14"/>
        <v>4.6730063786537069E-5</v>
      </c>
      <c r="Y120" s="12">
        <f t="shared" si="15"/>
        <v>0.99971961961727984</v>
      </c>
      <c r="AA120" s="25">
        <f>IF(P120="*","-",IFERROR(VLOOKUP(P120,'AESS-W2'!$P$5:$S$107,4,FALSE),"-"))</f>
        <v>70</v>
      </c>
      <c r="AB120" s="25" t="str">
        <f>IF(P120="*","-",IFERROR(VLOOKUP(P120,'AESS-W3'!$P$5:$S$129,4,FALSE),"-"))</f>
        <v>-</v>
      </c>
      <c r="AC120" s="25">
        <f>IF(P120="*","-",IFERROR(VLOOKUP(P120,'All MECSM samples'!$P$4:$AD$454,15,FALSE),"-"))</f>
        <v>54</v>
      </c>
      <c r="AD120" s="25"/>
      <c r="AE120">
        <v>62</v>
      </c>
      <c r="AF120">
        <v>1</v>
      </c>
      <c r="AH120">
        <f t="shared" si="10"/>
        <v>0</v>
      </c>
      <c r="AI120">
        <f t="shared" si="11"/>
        <v>0</v>
      </c>
      <c r="AJ120">
        <f t="shared" si="12"/>
        <v>0</v>
      </c>
      <c r="AK120">
        <f t="shared" si="13"/>
        <v>0</v>
      </c>
      <c r="AL120" s="11">
        <f>SUM(AH$5:AH120)/SUM(AK$5:AK120)</f>
        <v>0.72222222222222221</v>
      </c>
      <c r="AM120" s="11">
        <f>SUM(AI$5:AI120)/SUM(AK$5:AK120)</f>
        <v>0.33333333333333331</v>
      </c>
      <c r="AN120" s="11">
        <f>SUM(AJ$5:AJ120)/SUM(AL$5:AL120)</f>
        <v>0.26769061697222368</v>
      </c>
    </row>
    <row r="121" spans="1:40" x14ac:dyDescent="0.35">
      <c r="A121" s="9" t="s">
        <v>369</v>
      </c>
      <c r="B121">
        <v>2</v>
      </c>
      <c r="C121" t="s">
        <v>7</v>
      </c>
      <c r="D121" t="s">
        <v>8</v>
      </c>
      <c r="E121" t="s">
        <v>9</v>
      </c>
      <c r="G121" t="s">
        <v>10</v>
      </c>
      <c r="I121" t="s">
        <v>131</v>
      </c>
      <c r="K121" t="s">
        <v>150</v>
      </c>
      <c r="M121" t="s">
        <v>151</v>
      </c>
      <c r="O121">
        <v>0.93</v>
      </c>
      <c r="P121" s="14" t="s">
        <v>152</v>
      </c>
      <c r="Q121">
        <v>92.9</v>
      </c>
      <c r="R121">
        <v>1</v>
      </c>
      <c r="S121" s="8">
        <v>2</v>
      </c>
      <c r="T121" s="14">
        <v>0</v>
      </c>
      <c r="U121" s="8">
        <v>0</v>
      </c>
      <c r="V121" s="8">
        <v>0</v>
      </c>
      <c r="W121" s="9"/>
      <c r="X121" s="42">
        <f t="shared" si="14"/>
        <v>4.6730063786537069E-5</v>
      </c>
      <c r="Y121" s="16">
        <f t="shared" si="15"/>
        <v>0.99976634968106637</v>
      </c>
      <c r="AA121" s="25">
        <f>IF(P121="*","-",IFERROR(VLOOKUP(P121,'AESS-W2'!$P$5:$S$107,4,FALSE),"-"))</f>
        <v>220</v>
      </c>
      <c r="AB121" s="25">
        <f>IF(P121="*","-",IFERROR(VLOOKUP(P121,'AESS-W3'!$P$5:$S$129,4,FALSE),"-"))</f>
        <v>108</v>
      </c>
      <c r="AC121" s="25">
        <f>IF(P121="*","-",IFERROR(VLOOKUP(P121,'All MECSM samples'!$P$4:$AD$454,15,FALSE),"-"))</f>
        <v>577</v>
      </c>
      <c r="AD121" s="25"/>
      <c r="AE121">
        <v>3</v>
      </c>
      <c r="AF121">
        <v>35</v>
      </c>
      <c r="AH121">
        <f t="shared" si="10"/>
        <v>0</v>
      </c>
      <c r="AI121">
        <f t="shared" si="11"/>
        <v>0</v>
      </c>
      <c r="AJ121">
        <f t="shared" si="12"/>
        <v>0</v>
      </c>
      <c r="AK121">
        <f t="shared" si="13"/>
        <v>0</v>
      </c>
      <c r="AL121" s="11">
        <f>SUM(AH$5:AH121)/SUM(AK$5:AK121)</f>
        <v>0.72222222222222221</v>
      </c>
      <c r="AM121" s="11">
        <f>SUM(AI$5:AI121)/SUM(AK$5:AK121)</f>
        <v>0.33333333333333331</v>
      </c>
      <c r="AN121" s="11">
        <f>SUM(AJ$5:AJ121)/SUM(AL$5:AL121)</f>
        <v>0.26578745952917227</v>
      </c>
    </row>
    <row r="122" spans="1:40" x14ac:dyDescent="0.35">
      <c r="A122" s="9" t="s">
        <v>336</v>
      </c>
      <c r="B122">
        <v>2</v>
      </c>
      <c r="C122" t="s">
        <v>7</v>
      </c>
      <c r="D122" t="s">
        <v>8</v>
      </c>
      <c r="E122" t="s">
        <v>583</v>
      </c>
      <c r="M122" t="s">
        <v>584</v>
      </c>
      <c r="O122">
        <v>0.99</v>
      </c>
      <c r="P122" s="14" t="s">
        <v>585</v>
      </c>
      <c r="Q122">
        <v>91.7</v>
      </c>
      <c r="R122">
        <v>1</v>
      </c>
      <c r="S122" s="8">
        <v>2</v>
      </c>
      <c r="T122" s="14">
        <v>0</v>
      </c>
      <c r="U122">
        <v>0</v>
      </c>
      <c r="V122">
        <v>0</v>
      </c>
      <c r="W122" s="9"/>
      <c r="X122" s="42">
        <f t="shared" si="14"/>
        <v>4.6730063786537069E-5</v>
      </c>
      <c r="Y122" s="16">
        <f t="shared" si="15"/>
        <v>0.9998130797448529</v>
      </c>
      <c r="AA122" s="25" t="str">
        <f>IF(P122="*","-",IFERROR(VLOOKUP(P122,'AESS-W2'!$P$5:$S$107,4,FALSE),"-"))</f>
        <v>-</v>
      </c>
      <c r="AB122" s="25" t="str">
        <f>IF(P122="*","-",IFERROR(VLOOKUP(P122,'AESS-W3'!$P$5:$S$129,4,FALSE),"-"))</f>
        <v>-</v>
      </c>
      <c r="AC122" s="25">
        <f>IF(P122="*","-",IFERROR(VLOOKUP(P122,'All MECSM samples'!$P$4:$AD$454,15,FALSE),"-"))</f>
        <v>609</v>
      </c>
      <c r="AD122" s="25"/>
      <c r="AE122">
        <v>0</v>
      </c>
      <c r="AF122">
        <v>0</v>
      </c>
      <c r="AH122">
        <f t="shared" si="10"/>
        <v>0</v>
      </c>
      <c r="AI122">
        <f t="shared" si="11"/>
        <v>0</v>
      </c>
      <c r="AJ122">
        <f t="shared" si="12"/>
        <v>0</v>
      </c>
      <c r="AK122">
        <f t="shared" si="13"/>
        <v>0</v>
      </c>
      <c r="AL122" s="11">
        <f>SUM(AH$5:AH122)/SUM(AK$5:AK122)</f>
        <v>0.72222222222222221</v>
      </c>
      <c r="AM122" s="11">
        <f>SUM(AI$5:AI122)/SUM(AK$5:AK122)</f>
        <v>0.33333333333333331</v>
      </c>
      <c r="AN122" s="11">
        <f>SUM(AJ$5:AJ122)/SUM(AL$5:AL122)</f>
        <v>0.26391117220402993</v>
      </c>
    </row>
    <row r="123" spans="1:40" x14ac:dyDescent="0.35">
      <c r="A123" s="9" t="s">
        <v>340</v>
      </c>
      <c r="B123">
        <v>2</v>
      </c>
      <c r="C123" t="s">
        <v>7</v>
      </c>
      <c r="D123" t="s">
        <v>8</v>
      </c>
      <c r="E123" t="s">
        <v>114</v>
      </c>
      <c r="G123" t="s">
        <v>115</v>
      </c>
      <c r="I123" t="s">
        <v>116</v>
      </c>
      <c r="K123" t="s">
        <v>117</v>
      </c>
      <c r="M123" t="s">
        <v>118</v>
      </c>
      <c r="O123">
        <v>1</v>
      </c>
      <c r="P123" s="14" t="s">
        <v>16</v>
      </c>
      <c r="Q123">
        <v>96.4</v>
      </c>
      <c r="R123">
        <v>1</v>
      </c>
      <c r="S123" s="8">
        <v>2</v>
      </c>
      <c r="T123" s="14">
        <v>0</v>
      </c>
      <c r="U123">
        <v>0</v>
      </c>
      <c r="V123">
        <v>0</v>
      </c>
      <c r="X123" s="26">
        <f t="shared" si="14"/>
        <v>4.6730063786537069E-5</v>
      </c>
      <c r="Y123" s="12">
        <f t="shared" si="15"/>
        <v>0.99985980980863942</v>
      </c>
      <c r="AA123" s="25">
        <f>IF(P123="*","-",IFERROR(VLOOKUP(P123,'AESS-W2'!$P$5:$S$107,4,FALSE),"-"))</f>
        <v>17120</v>
      </c>
      <c r="AB123" s="25">
        <f>IF(P123="*","-",IFERROR(VLOOKUP(P123,'AESS-W3'!$P$5:$S$129,4,FALSE),"-"))</f>
        <v>10</v>
      </c>
      <c r="AC123" s="25">
        <f>IF(P123="*","-",IFERROR(VLOOKUP(P123,'All MECSM samples'!$P$4:$AD$454,15,FALSE),"-"))</f>
        <v>17201</v>
      </c>
      <c r="AD123" s="25"/>
      <c r="AE123">
        <v>0</v>
      </c>
      <c r="AF123">
        <v>0</v>
      </c>
      <c r="AH123">
        <f t="shared" si="10"/>
        <v>0</v>
      </c>
      <c r="AI123">
        <f t="shared" si="11"/>
        <v>0</v>
      </c>
      <c r="AJ123">
        <f t="shared" si="12"/>
        <v>0</v>
      </c>
      <c r="AK123">
        <f t="shared" si="13"/>
        <v>0</v>
      </c>
      <c r="AL123" s="11">
        <f>SUM(AH$5:AH123)/SUM(AK$5:AK123)</f>
        <v>0.72222222222222221</v>
      </c>
      <c r="AM123" s="11">
        <f>SUM(AI$5:AI123)/SUM(AK$5:AK123)</f>
        <v>0.33333333333333331</v>
      </c>
      <c r="AN123" s="11">
        <f>SUM(AJ$5:AJ123)/SUM(AL$5:AL123)</f>
        <v>0.26206118992892041</v>
      </c>
    </row>
    <row r="124" spans="1:40" x14ac:dyDescent="0.35">
      <c r="A124" s="9" t="s">
        <v>427</v>
      </c>
      <c r="B124">
        <v>2</v>
      </c>
      <c r="C124" t="s">
        <v>7</v>
      </c>
      <c r="D124" t="s">
        <v>8</v>
      </c>
      <c r="E124" t="s">
        <v>46</v>
      </c>
      <c r="G124" t="s">
        <v>47</v>
      </c>
      <c r="I124" t="s">
        <v>61</v>
      </c>
      <c r="K124" t="s">
        <v>178</v>
      </c>
      <c r="O124">
        <v>0.94</v>
      </c>
      <c r="P124" s="14" t="s">
        <v>574</v>
      </c>
      <c r="Q124">
        <v>95.6</v>
      </c>
      <c r="R124">
        <v>1</v>
      </c>
      <c r="S124" s="8">
        <v>2</v>
      </c>
      <c r="T124" s="14">
        <v>0</v>
      </c>
      <c r="U124">
        <v>0</v>
      </c>
      <c r="V124">
        <v>0</v>
      </c>
      <c r="W124" s="9"/>
      <c r="X124" s="42">
        <f t="shared" si="14"/>
        <v>4.6730063786537069E-5</v>
      </c>
      <c r="Y124" s="16">
        <f t="shared" si="15"/>
        <v>0.99990653987242595</v>
      </c>
      <c r="AA124" s="25" t="str">
        <f>IF(P124="*","-",IFERROR(VLOOKUP(P124,'AESS-W2'!$P$5:$S$107,4,FALSE),"-"))</f>
        <v>-</v>
      </c>
      <c r="AB124" s="25" t="str">
        <f>IF(P124="*","-",IFERROR(VLOOKUP(P124,'AESS-W3'!$P$5:$S$129,4,FALSE),"-"))</f>
        <v>-</v>
      </c>
      <c r="AC124" s="25">
        <f>IF(P124="*","-",IFERROR(VLOOKUP(P124,'All MECSM samples'!$P$4:$AD$454,15,FALSE),"-"))</f>
        <v>23</v>
      </c>
      <c r="AD124" s="25"/>
      <c r="AE124">
        <v>65</v>
      </c>
      <c r="AF124">
        <v>20</v>
      </c>
      <c r="AH124">
        <f t="shared" si="10"/>
        <v>0</v>
      </c>
      <c r="AI124">
        <f t="shared" si="11"/>
        <v>0</v>
      </c>
      <c r="AJ124">
        <f t="shared" si="12"/>
        <v>0</v>
      </c>
      <c r="AK124">
        <f t="shared" si="13"/>
        <v>0</v>
      </c>
      <c r="AL124" s="11">
        <f>SUM(AH$5:AH124)/SUM(AK$5:AK124)</f>
        <v>0.72222222222222221</v>
      </c>
      <c r="AM124" s="11">
        <f>SUM(AI$5:AI124)/SUM(AK$5:AK124)</f>
        <v>0.33333333333333331</v>
      </c>
      <c r="AN124" s="11">
        <f>SUM(AJ$5:AJ124)/SUM(AL$5:AL124)</f>
        <v>0.26023696336987806</v>
      </c>
    </row>
    <row r="125" spans="1:40" x14ac:dyDescent="0.35">
      <c r="A125" s="9" t="s">
        <v>359</v>
      </c>
      <c r="B125">
        <v>2</v>
      </c>
      <c r="C125" t="s">
        <v>7</v>
      </c>
      <c r="D125" t="s">
        <v>8</v>
      </c>
      <c r="E125" t="s">
        <v>9</v>
      </c>
      <c r="G125" t="s">
        <v>138</v>
      </c>
      <c r="I125" t="s">
        <v>345</v>
      </c>
      <c r="K125" t="s">
        <v>547</v>
      </c>
      <c r="O125">
        <v>0.93</v>
      </c>
      <c r="P125" s="14" t="s">
        <v>548</v>
      </c>
      <c r="Q125">
        <v>99.6</v>
      </c>
      <c r="R125">
        <v>1</v>
      </c>
      <c r="S125" s="8">
        <v>2</v>
      </c>
      <c r="T125" s="14">
        <v>0</v>
      </c>
      <c r="U125">
        <v>0</v>
      </c>
      <c r="V125">
        <v>0</v>
      </c>
      <c r="W125" s="9"/>
      <c r="X125" s="42">
        <f t="shared" si="14"/>
        <v>4.6730063786537069E-5</v>
      </c>
      <c r="Y125" s="16">
        <f t="shared" si="15"/>
        <v>0.99995326993621247</v>
      </c>
      <c r="AA125" s="25">
        <f>IF(P125="*","-",IFERROR(VLOOKUP(P125,'AESS-W2'!$P$5:$S$107,4,FALSE),"-"))</f>
        <v>2</v>
      </c>
      <c r="AB125" s="25" t="str">
        <f>IF(P125="*","-",IFERROR(VLOOKUP(P125,'AESS-W3'!$P$5:$S$129,4,FALSE),"-"))</f>
        <v>-</v>
      </c>
      <c r="AC125" s="25">
        <f>IF(P125="*","-",IFERROR(VLOOKUP(P125,'All MECSM samples'!$P$4:$AD$454,15,FALSE),"-"))</f>
        <v>1137</v>
      </c>
      <c r="AD125" s="25"/>
      <c r="AE125">
        <v>23</v>
      </c>
      <c r="AF125">
        <v>1</v>
      </c>
      <c r="AH125">
        <f t="shared" si="10"/>
        <v>0</v>
      </c>
      <c r="AI125">
        <f t="shared" si="11"/>
        <v>0</v>
      </c>
      <c r="AJ125">
        <f t="shared" si="12"/>
        <v>0</v>
      </c>
      <c r="AK125">
        <f t="shared" si="13"/>
        <v>0</v>
      </c>
      <c r="AL125" s="11">
        <f>SUM(AH$5:AH125)/SUM(AK$5:AK125)</f>
        <v>0.72222222222222221</v>
      </c>
      <c r="AM125" s="11">
        <f>SUM(AI$5:AI125)/SUM(AK$5:AK125)</f>
        <v>0.33333333333333331</v>
      </c>
      <c r="AN125" s="11">
        <f>SUM(AJ$5:AJ125)/SUM(AL$5:AL125)</f>
        <v>0.25843795838300898</v>
      </c>
    </row>
    <row r="126" spans="1:40" x14ac:dyDescent="0.35">
      <c r="A126" s="9" t="s">
        <v>325</v>
      </c>
      <c r="B126">
        <v>2</v>
      </c>
      <c r="C126" t="s">
        <v>7</v>
      </c>
      <c r="D126" t="s">
        <v>8</v>
      </c>
      <c r="E126" t="s">
        <v>32</v>
      </c>
      <c r="G126" t="s">
        <v>35</v>
      </c>
      <c r="I126" t="s">
        <v>36</v>
      </c>
      <c r="K126" t="s">
        <v>37</v>
      </c>
      <c r="O126">
        <v>0.97</v>
      </c>
      <c r="P126" s="14" t="s">
        <v>401</v>
      </c>
      <c r="Q126">
        <v>91.7</v>
      </c>
      <c r="R126">
        <v>1</v>
      </c>
      <c r="S126" s="8">
        <v>2</v>
      </c>
      <c r="T126" s="14">
        <v>0</v>
      </c>
      <c r="U126">
        <v>0</v>
      </c>
      <c r="V126">
        <v>0</v>
      </c>
      <c r="X126" s="26">
        <f t="shared" si="14"/>
        <v>4.6730063786537069E-5</v>
      </c>
      <c r="Y126" s="12">
        <f t="shared" si="15"/>
        <v>0.999999999999999</v>
      </c>
      <c r="AA126" s="25">
        <f>IF(P126="*","-",IFERROR(VLOOKUP(P126,'AESS-W2'!$P$5:$S$107,4,FALSE),"-"))</f>
        <v>6</v>
      </c>
      <c r="AB126" s="25">
        <f>IF(P126="*","-",IFERROR(VLOOKUP(P126,'AESS-W3'!$P$5:$S$129,4,FALSE),"-"))</f>
        <v>5</v>
      </c>
      <c r="AC126" s="25">
        <f>IF(P126="*","-",IFERROR(VLOOKUP(P126,'All MECSM samples'!$P$4:$AD$454,15,FALSE),"-"))</f>
        <v>6</v>
      </c>
      <c r="AD126" s="25"/>
      <c r="AE126">
        <v>2</v>
      </c>
      <c r="AF126">
        <v>70</v>
      </c>
      <c r="AH126">
        <f t="shared" si="10"/>
        <v>0</v>
      </c>
      <c r="AI126">
        <f t="shared" si="11"/>
        <v>0</v>
      </c>
      <c r="AJ126">
        <f t="shared" si="12"/>
        <v>0</v>
      </c>
      <c r="AK126">
        <f t="shared" si="13"/>
        <v>0</v>
      </c>
      <c r="AL126" s="11">
        <f>SUM(AH$5:AH126)/SUM(AK$5:AK126)</f>
        <v>0.72222222222222221</v>
      </c>
      <c r="AM126" s="11">
        <f>SUM(AI$5:AI126)/SUM(AK$5:AK126)</f>
        <v>0.33333333333333331</v>
      </c>
      <c r="AN126" s="11">
        <f>SUM(AJ$5:AJ126)/SUM(AL$5:AL126)</f>
        <v>0.25666365549305487</v>
      </c>
    </row>
  </sheetData>
  <sortState ref="A5:V126">
    <sortCondition descending="1" ref="S5:S127"/>
  </sortState>
  <conditionalFormatting sqref="AE1:AE1048576">
    <cfRule type="cellIs" dxfId="34" priority="1" operator="equal">
      <formula>100</formula>
    </cfRule>
  </conditionalFormatting>
  <conditionalFormatting sqref="S5:S126">
    <cfRule type="expression" dxfId="33" priority="37" stopIfTrue="1">
      <formula>$S5=0</formula>
    </cfRule>
    <cfRule type="expression" dxfId="32" priority="38" stopIfTrue="1">
      <formula>$AE5=0</formula>
    </cfRule>
    <cfRule type="expression" dxfId="31" priority="39">
      <formula>$AE5&lt;90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N107"/>
  <sheetViews>
    <sheetView topLeftCell="P1" zoomScale="80" zoomScaleNormal="80" workbookViewId="0">
      <selection activeCell="K32" sqref="K32"/>
    </sheetView>
  </sheetViews>
  <sheetFormatPr defaultRowHeight="14.5" x14ac:dyDescent="0.35"/>
  <cols>
    <col min="16" max="16" width="28.54296875" customWidth="1"/>
    <col min="19" max="20" width="11.1796875" style="9" customWidth="1"/>
    <col min="21" max="22" width="11.1796875" customWidth="1"/>
    <col min="24" max="25" width="11.81640625" customWidth="1"/>
    <col min="27" max="29" width="10.81640625" customWidth="1"/>
    <col min="31" max="32" width="10.81640625" customWidth="1"/>
    <col min="33" max="36" width="8.81640625" customWidth="1"/>
  </cols>
  <sheetData>
    <row r="1" spans="1:40" x14ac:dyDescent="0.35">
      <c r="S1" s="9">
        <f>SUM(S5:S107)</f>
        <v>45930</v>
      </c>
      <c r="T1" s="9">
        <f>SUM(T5:T107)</f>
        <v>15848</v>
      </c>
      <c r="U1">
        <f>SUM(U5:U107)</f>
        <v>3482</v>
      </c>
      <c r="V1">
        <f>SUM(V5:V107)</f>
        <v>3502</v>
      </c>
    </row>
    <row r="2" spans="1:40" x14ac:dyDescent="0.35">
      <c r="R2" s="19">
        <v>0.98</v>
      </c>
      <c r="S2" s="14">
        <f>COUNTIF(S5:S28,"&gt;0")</f>
        <v>24</v>
      </c>
      <c r="T2" s="14">
        <f>COUNTIFS(S5:S28,"&gt;0",T5:T28,"&gt;0")</f>
        <v>24</v>
      </c>
      <c r="U2" s="8">
        <f>COUNTIFS(T5:T28,"&gt;0",U5:U28,"&gt;0")</f>
        <v>14</v>
      </c>
      <c r="V2" s="8">
        <f>COUNTIFS(U5:U28,"&gt;0",V5:V28,"&gt;0")</f>
        <v>12</v>
      </c>
    </row>
    <row r="3" spans="1:40" x14ac:dyDescent="0.35">
      <c r="R3" s="19">
        <v>0.99</v>
      </c>
      <c r="S3" s="14">
        <f>COUNTIF(S5:S38,"&gt;0")</f>
        <v>34</v>
      </c>
      <c r="T3" s="14">
        <f>COUNTIFS(S5:S38,"&gt;0",T5:T38,"&gt;0")</f>
        <v>30</v>
      </c>
      <c r="U3" s="8">
        <f>COUNTIFS(T5:T38,"&gt;0",U5:U38,"&gt;0")</f>
        <v>15</v>
      </c>
      <c r="V3" s="8">
        <f>COUNTIFS(U5:U38,"&gt;0",V5:V38,"&gt;0")</f>
        <v>12</v>
      </c>
      <c r="AA3" t="s">
        <v>626</v>
      </c>
    </row>
    <row r="4" spans="1:40" s="1" customFormat="1" ht="43.5" x14ac:dyDescent="0.35">
      <c r="A4" s="1" t="s">
        <v>0</v>
      </c>
      <c r="B4" s="1" t="s">
        <v>1</v>
      </c>
      <c r="C4" s="1" t="s">
        <v>2</v>
      </c>
      <c r="P4" s="1" t="s">
        <v>3</v>
      </c>
      <c r="Q4" s="1" t="s">
        <v>4</v>
      </c>
      <c r="R4" s="1" t="s">
        <v>5</v>
      </c>
      <c r="S4" s="10" t="s">
        <v>2089</v>
      </c>
      <c r="T4" s="10" t="s">
        <v>2090</v>
      </c>
      <c r="U4" s="1" t="s">
        <v>2131</v>
      </c>
      <c r="V4" s="1" t="s">
        <v>2132</v>
      </c>
      <c r="X4" s="1" t="s">
        <v>617</v>
      </c>
      <c r="Y4" s="1" t="s">
        <v>618</v>
      </c>
      <c r="AA4" s="1" t="s">
        <v>2087</v>
      </c>
      <c r="AB4" s="1" t="s">
        <v>2091</v>
      </c>
      <c r="AC4" s="1" t="s">
        <v>1970</v>
      </c>
      <c r="AE4" s="1" t="s">
        <v>2133</v>
      </c>
      <c r="AF4" s="1" t="s">
        <v>1082</v>
      </c>
      <c r="AH4" s="1" t="s">
        <v>1477</v>
      </c>
      <c r="AI4" s="1" t="s">
        <v>621</v>
      </c>
      <c r="AJ4" s="1" t="s">
        <v>622</v>
      </c>
      <c r="AK4" s="1" t="s">
        <v>1478</v>
      </c>
      <c r="AL4" s="1" t="str">
        <f>AH4</f>
        <v>Kelpie</v>
      </c>
      <c r="AM4" s="1" t="str">
        <f>AI4</f>
        <v>Spades</v>
      </c>
      <c r="AN4" s="1" t="str">
        <f>AJ4</f>
        <v>Spades 16S</v>
      </c>
    </row>
    <row r="5" spans="1:40" x14ac:dyDescent="0.35">
      <c r="A5" t="s">
        <v>6</v>
      </c>
      <c r="B5">
        <v>24936</v>
      </c>
      <c r="C5" t="s">
        <v>7</v>
      </c>
      <c r="D5" t="s">
        <v>8</v>
      </c>
      <c r="O5">
        <v>0.99</v>
      </c>
      <c r="P5" t="s">
        <v>16</v>
      </c>
      <c r="Q5">
        <v>87</v>
      </c>
      <c r="R5">
        <v>1</v>
      </c>
      <c r="S5" s="9">
        <v>17120</v>
      </c>
      <c r="T5" s="9">
        <v>7816</v>
      </c>
      <c r="U5">
        <v>0</v>
      </c>
      <c r="V5">
        <v>0</v>
      </c>
      <c r="X5" s="26">
        <f t="shared" ref="X5:X36" si="0">S5/S$1</f>
        <v>0.37274112780317875</v>
      </c>
      <c r="Y5" s="12">
        <f>X5</f>
        <v>0.37274112780317875</v>
      </c>
      <c r="AA5" s="25">
        <f>IF(P5="*","-",IFERROR(VLOOKUP(P5,'AESS-W1'!$P$5:$T$126,4,FALSE),"-"))</f>
        <v>24</v>
      </c>
      <c r="AB5" s="25">
        <f>IF(P5="*","-",IFERROR(VLOOKUP(P5,'AESS-W3'!$P$5:$T$129,4,FALSE),"-"))</f>
        <v>10</v>
      </c>
      <c r="AC5" s="25">
        <f>IF(P5="*","-",IFERROR(VLOOKUP(P5,'All MECSM samples'!$P$4:$AD$454,15,FALSE),"-"))</f>
        <v>17201</v>
      </c>
      <c r="AD5" s="25"/>
      <c r="AE5">
        <v>100</v>
      </c>
      <c r="AF5">
        <v>4891</v>
      </c>
      <c r="AH5">
        <f>IF(AND(S5&gt;0,AE5&gt;=90, T5&gt;0), 1, 0)</f>
        <v>1</v>
      </c>
      <c r="AI5">
        <f>IF(AND(S5&gt;0,AE5&gt;=90, U5&gt;0), 1, 0)</f>
        <v>0</v>
      </c>
      <c r="AJ5">
        <f>IF(AND(S5&gt;0,AE5&gt;=90, V5&gt;0), 1, 0)</f>
        <v>0</v>
      </c>
      <c r="AK5">
        <f>IF(AND(S5&gt;0,AE5&gt;=90),1,0)</f>
        <v>1</v>
      </c>
      <c r="AL5" s="11">
        <f>SUM(AH$5:AH5)/SUM(AK$5:AK5)</f>
        <v>1</v>
      </c>
      <c r="AM5" s="11">
        <f>SUM(AI$5:AI5)/SUM(AK$5:AK5)</f>
        <v>0</v>
      </c>
      <c r="AN5" s="11">
        <f>SUM(AJ$5:AJ5)/SUM(AL$5:AL5)</f>
        <v>0</v>
      </c>
    </row>
    <row r="6" spans="1:40" x14ac:dyDescent="0.35">
      <c r="A6" t="s">
        <v>15</v>
      </c>
      <c r="B6">
        <v>8373</v>
      </c>
      <c r="C6" t="s">
        <v>7</v>
      </c>
      <c r="D6" t="s">
        <v>8</v>
      </c>
      <c r="E6" t="s">
        <v>32</v>
      </c>
      <c r="O6">
        <v>0.99</v>
      </c>
      <c r="P6" t="s">
        <v>33</v>
      </c>
      <c r="Q6">
        <v>87.7</v>
      </c>
      <c r="R6">
        <v>1</v>
      </c>
      <c r="S6" s="9">
        <v>5845</v>
      </c>
      <c r="T6" s="9">
        <v>1220</v>
      </c>
      <c r="U6">
        <v>766</v>
      </c>
      <c r="V6">
        <v>542</v>
      </c>
      <c r="X6" s="26">
        <f t="shared" si="0"/>
        <v>0.12725887219682125</v>
      </c>
      <c r="Y6" s="12">
        <f t="shared" ref="Y6:Y37" si="1">Y5+X6</f>
        <v>0.5</v>
      </c>
      <c r="AA6" s="25">
        <f>IF(P6="*","-",IFERROR(VLOOKUP(P6,'AESS-W1'!$P$5:$T$126,4,FALSE),"-"))</f>
        <v>9</v>
      </c>
      <c r="AB6" s="25">
        <f>IF(P6="*","-",IFERROR(VLOOKUP(P6,'AESS-W3'!$P$5:$T$129,4,FALSE),"-"))</f>
        <v>7</v>
      </c>
      <c r="AC6" s="25">
        <f>IF(P6="*","-",IFERROR(VLOOKUP(P6,'All MECSM samples'!$P$4:$AD$454,15,FALSE),"-"))</f>
        <v>5880</v>
      </c>
      <c r="AD6" s="25"/>
      <c r="AE6">
        <v>100</v>
      </c>
      <c r="AF6">
        <v>794</v>
      </c>
      <c r="AH6">
        <f t="shared" ref="AH6:AH69" si="2">IF(AND(S6&gt;0,AE6&gt;=90, T6&gt;0), 1, 0)</f>
        <v>1</v>
      </c>
      <c r="AI6">
        <f t="shared" ref="AI6:AI69" si="3">IF(AND(S6&gt;0,AE6&gt;=90, U6&gt;0), 1, 0)</f>
        <v>1</v>
      </c>
      <c r="AJ6">
        <f t="shared" ref="AJ6:AJ69" si="4">IF(AND(S6&gt;0,AE6&gt;=90, V6&gt;0), 1, 0)</f>
        <v>1</v>
      </c>
      <c r="AK6">
        <f t="shared" ref="AK6:AK69" si="5">IF(AND(S6&gt;0,AE6&gt;=90),1,0)</f>
        <v>1</v>
      </c>
      <c r="AL6" s="11">
        <f>SUM(AH$5:AH6)/SUM(AK$5:AK6)</f>
        <v>1</v>
      </c>
      <c r="AM6" s="11">
        <f>SUM(AI$5:AI6)/SUM(AK$5:AK6)</f>
        <v>0.5</v>
      </c>
      <c r="AN6" s="11">
        <f>SUM(AJ$5:AJ6)/SUM(AL$5:AL6)</f>
        <v>0.5</v>
      </c>
    </row>
    <row r="7" spans="1:40" x14ac:dyDescent="0.35">
      <c r="A7" t="s">
        <v>17</v>
      </c>
      <c r="B7">
        <v>5610</v>
      </c>
      <c r="C7" t="s">
        <v>7</v>
      </c>
      <c r="D7" t="s">
        <v>8</v>
      </c>
      <c r="O7">
        <v>1</v>
      </c>
      <c r="P7" t="s">
        <v>50</v>
      </c>
      <c r="Q7">
        <v>89.7</v>
      </c>
      <c r="R7">
        <v>1</v>
      </c>
      <c r="S7" s="9">
        <v>4057</v>
      </c>
      <c r="T7" s="9">
        <v>771</v>
      </c>
      <c r="U7">
        <v>424</v>
      </c>
      <c r="V7">
        <v>358</v>
      </c>
      <c r="X7" s="26">
        <f t="shared" si="0"/>
        <v>8.8330067494012635E-2</v>
      </c>
      <c r="Y7" s="12">
        <f t="shared" si="1"/>
        <v>0.58833006749401262</v>
      </c>
      <c r="AA7" s="25">
        <f>IF(P7="*","-",IFERROR(VLOOKUP(P7,'AESS-W1'!$P$5:$T$126,4,FALSE),"-"))</f>
        <v>3</v>
      </c>
      <c r="AB7" s="25">
        <f>IF(P7="*","-",IFERROR(VLOOKUP(P7,'AESS-W3'!$P$5:$T$129,4,FALSE),"-"))</f>
        <v>6</v>
      </c>
      <c r="AC7" s="25">
        <f>IF(P7="*","-",IFERROR(VLOOKUP(P7,'All MECSM samples'!$P$4:$AD$454,15,FALSE),"-"))</f>
        <v>4081</v>
      </c>
      <c r="AD7" s="25"/>
      <c r="AE7">
        <v>100</v>
      </c>
      <c r="AF7">
        <v>515</v>
      </c>
      <c r="AH7">
        <f t="shared" si="2"/>
        <v>1</v>
      </c>
      <c r="AI7">
        <f t="shared" si="3"/>
        <v>1</v>
      </c>
      <c r="AJ7">
        <f t="shared" si="4"/>
        <v>1</v>
      </c>
      <c r="AK7">
        <f t="shared" si="5"/>
        <v>1</v>
      </c>
      <c r="AL7" s="11">
        <f>SUM(AH$5:AH7)/SUM(AK$5:AK7)</f>
        <v>1</v>
      </c>
      <c r="AM7" s="11">
        <f>SUM(AI$5:AI7)/SUM(AK$5:AK7)</f>
        <v>0.66666666666666663</v>
      </c>
      <c r="AN7" s="11">
        <f>SUM(AJ$5:AJ7)/SUM(AL$5:AL7)</f>
        <v>0.66666666666666663</v>
      </c>
    </row>
    <row r="8" spans="1:40" x14ac:dyDescent="0.35">
      <c r="A8" t="s">
        <v>23</v>
      </c>
      <c r="B8">
        <v>4210</v>
      </c>
      <c r="C8" t="s">
        <v>7</v>
      </c>
      <c r="D8" t="s">
        <v>8</v>
      </c>
      <c r="E8" t="s">
        <v>46</v>
      </c>
      <c r="G8" t="s">
        <v>47</v>
      </c>
      <c r="I8" t="s">
        <v>69</v>
      </c>
      <c r="K8" t="s">
        <v>70</v>
      </c>
      <c r="O8">
        <v>0.64</v>
      </c>
      <c r="P8" t="s">
        <v>71</v>
      </c>
      <c r="Q8">
        <v>90.5</v>
      </c>
      <c r="R8">
        <v>1</v>
      </c>
      <c r="S8" s="9">
        <v>2871</v>
      </c>
      <c r="T8" s="9">
        <v>506</v>
      </c>
      <c r="U8">
        <v>400</v>
      </c>
      <c r="V8">
        <v>433</v>
      </c>
      <c r="X8" s="26">
        <f t="shared" si="0"/>
        <v>6.250816459830176E-2</v>
      </c>
      <c r="Y8" s="12">
        <f t="shared" si="1"/>
        <v>0.65083823209231439</v>
      </c>
      <c r="AA8" s="25">
        <f>IF(P8="*","-",IFERROR(VLOOKUP(P8,'AESS-W1'!$P$5:$T$126,4,FALSE),"-"))</f>
        <v>6</v>
      </c>
      <c r="AB8" s="25">
        <f>IF(P8="*","-",IFERROR(VLOOKUP(P8,'AESS-W3'!$P$5:$T$129,4,FALSE),"-"))</f>
        <v>7</v>
      </c>
      <c r="AC8" s="25">
        <f>IF(P8="*","-",IFERROR(VLOOKUP(P8,'All MECSM samples'!$P$4:$AD$454,15,FALSE),"-"))</f>
        <v>2892</v>
      </c>
      <c r="AD8" s="25"/>
      <c r="AE8">
        <v>100</v>
      </c>
      <c r="AF8">
        <v>399</v>
      </c>
      <c r="AH8">
        <f t="shared" si="2"/>
        <v>1</v>
      </c>
      <c r="AI8">
        <f t="shared" si="3"/>
        <v>1</v>
      </c>
      <c r="AJ8">
        <f t="shared" si="4"/>
        <v>1</v>
      </c>
      <c r="AK8">
        <f t="shared" si="5"/>
        <v>1</v>
      </c>
      <c r="AL8" s="11">
        <f>SUM(AH$5:AH8)/SUM(AK$5:AK8)</f>
        <v>1</v>
      </c>
      <c r="AM8" s="11">
        <f>SUM(AI$5:AI8)/SUM(AK$5:AK8)</f>
        <v>0.75</v>
      </c>
      <c r="AN8" s="11">
        <f>SUM(AJ$5:AJ8)/SUM(AL$5:AL8)</f>
        <v>0.75</v>
      </c>
    </row>
    <row r="9" spans="1:40" x14ac:dyDescent="0.35">
      <c r="A9" t="s">
        <v>51</v>
      </c>
      <c r="B9">
        <v>3891</v>
      </c>
      <c r="C9" t="s">
        <v>7</v>
      </c>
      <c r="D9" t="s">
        <v>24</v>
      </c>
      <c r="E9" t="s">
        <v>25</v>
      </c>
      <c r="G9" t="s">
        <v>26</v>
      </c>
      <c r="I9" t="s">
        <v>27</v>
      </c>
      <c r="K9" t="s">
        <v>28</v>
      </c>
      <c r="M9" t="s">
        <v>29</v>
      </c>
      <c r="O9">
        <v>1</v>
      </c>
      <c r="P9" t="s">
        <v>73</v>
      </c>
      <c r="Q9">
        <v>99.6</v>
      </c>
      <c r="R9">
        <v>1</v>
      </c>
      <c r="S9" s="9">
        <v>3104</v>
      </c>
      <c r="T9" s="9">
        <v>271</v>
      </c>
      <c r="U9">
        <v>253</v>
      </c>
      <c r="V9">
        <v>263</v>
      </c>
      <c r="X9" s="26">
        <f t="shared" si="0"/>
        <v>6.7581101676464181E-2</v>
      </c>
      <c r="Y9" s="12">
        <f t="shared" si="1"/>
        <v>0.71841933376877853</v>
      </c>
      <c r="AA9" s="25" t="str">
        <f>IF(P9="*","-",IFERROR(VLOOKUP(P9,'AESS-W1'!$P$5:$T$126,4,FALSE),"-"))</f>
        <v>-</v>
      </c>
      <c r="AB9" s="25" t="str">
        <f>IF(P9="*","-",IFERROR(VLOOKUP(P9,'AESS-W3'!$P$5:$T$129,4,FALSE),"-"))</f>
        <v>-</v>
      </c>
      <c r="AC9" s="25">
        <f>IF(P9="*","-",IFERROR(VLOOKUP(P9,'All MECSM samples'!$P$4:$AD$454,15,FALSE),"-"))</f>
        <v>3131</v>
      </c>
      <c r="AD9" s="25"/>
      <c r="AE9">
        <v>100</v>
      </c>
      <c r="AF9">
        <v>201</v>
      </c>
      <c r="AH9">
        <f t="shared" si="2"/>
        <v>1</v>
      </c>
      <c r="AI9">
        <f t="shared" si="3"/>
        <v>1</v>
      </c>
      <c r="AJ9">
        <f t="shared" si="4"/>
        <v>1</v>
      </c>
      <c r="AK9">
        <f t="shared" si="5"/>
        <v>1</v>
      </c>
      <c r="AL9" s="11">
        <f>SUM(AH$5:AH9)/SUM(AK$5:AK9)</f>
        <v>1</v>
      </c>
      <c r="AM9" s="11">
        <f>SUM(AI$5:AI9)/SUM(AK$5:AK9)</f>
        <v>0.8</v>
      </c>
      <c r="AN9" s="11">
        <f>SUM(AJ$5:AJ9)/SUM(AL$5:AL9)</f>
        <v>0.8</v>
      </c>
    </row>
    <row r="10" spans="1:40" x14ac:dyDescent="0.35">
      <c r="A10" t="s">
        <v>34</v>
      </c>
      <c r="B10">
        <v>3640</v>
      </c>
      <c r="C10" t="s">
        <v>7</v>
      </c>
      <c r="D10" t="s">
        <v>8</v>
      </c>
      <c r="E10" t="s">
        <v>46</v>
      </c>
      <c r="G10" t="s">
        <v>47</v>
      </c>
      <c r="I10" t="s">
        <v>61</v>
      </c>
      <c r="O10">
        <v>0.89</v>
      </c>
      <c r="P10" t="s">
        <v>62</v>
      </c>
      <c r="Q10">
        <v>90.9</v>
      </c>
      <c r="R10">
        <v>1</v>
      </c>
      <c r="S10" s="9">
        <v>2463</v>
      </c>
      <c r="T10" s="9">
        <v>1177</v>
      </c>
      <c r="U10">
        <v>0</v>
      </c>
      <c r="V10">
        <v>0</v>
      </c>
      <c r="X10" s="26">
        <f t="shared" si="0"/>
        <v>5.3625081645983015E-2</v>
      </c>
      <c r="Y10" s="12">
        <f t="shared" si="1"/>
        <v>0.77204441541476154</v>
      </c>
      <c r="AA10" s="25" t="str">
        <f>IF(P10="*","-",IFERROR(VLOOKUP(P10,'AESS-W1'!$P$5:$T$126,4,FALSE),"-"))</f>
        <v>-</v>
      </c>
      <c r="AB10" s="25">
        <f>IF(P10="*","-",IFERROR(VLOOKUP(P10,'AESS-W3'!$P$5:$T$129,4,FALSE),"-"))</f>
        <v>6</v>
      </c>
      <c r="AC10" s="25">
        <f>IF(P10="*","-",IFERROR(VLOOKUP(P10,'All MECSM samples'!$P$4:$AD$454,15,FALSE),"-"))</f>
        <v>2474</v>
      </c>
      <c r="AD10" s="25"/>
      <c r="AE10">
        <v>100</v>
      </c>
      <c r="AF10">
        <v>762</v>
      </c>
      <c r="AH10">
        <f t="shared" si="2"/>
        <v>1</v>
      </c>
      <c r="AI10">
        <f t="shared" si="3"/>
        <v>0</v>
      </c>
      <c r="AJ10">
        <f t="shared" si="4"/>
        <v>0</v>
      </c>
      <c r="AK10">
        <f t="shared" si="5"/>
        <v>1</v>
      </c>
      <c r="AL10" s="11">
        <f>SUM(AH$5:AH10)/SUM(AK$5:AK10)</f>
        <v>1</v>
      </c>
      <c r="AM10" s="11">
        <f>SUM(AI$5:AI10)/SUM(AK$5:AK10)</f>
        <v>0.66666666666666663</v>
      </c>
      <c r="AN10" s="11">
        <f>SUM(AJ$5:AJ10)/SUM(AL$5:AL10)</f>
        <v>0.66666666666666663</v>
      </c>
    </row>
    <row r="11" spans="1:40" x14ac:dyDescent="0.35">
      <c r="A11" t="s">
        <v>31</v>
      </c>
      <c r="B11">
        <v>3011</v>
      </c>
      <c r="C11" t="s">
        <v>7</v>
      </c>
      <c r="D11" t="s">
        <v>24</v>
      </c>
      <c r="E11" t="s">
        <v>25</v>
      </c>
      <c r="G11" t="s">
        <v>26</v>
      </c>
      <c r="I11" t="s">
        <v>27</v>
      </c>
      <c r="K11" t="s">
        <v>28</v>
      </c>
      <c r="M11" t="s">
        <v>75</v>
      </c>
      <c r="O11">
        <v>1</v>
      </c>
      <c r="P11" t="s">
        <v>76</v>
      </c>
      <c r="Q11">
        <v>100</v>
      </c>
      <c r="R11">
        <v>7</v>
      </c>
      <c r="S11" s="9">
        <v>2685</v>
      </c>
      <c r="T11" s="9">
        <v>326</v>
      </c>
      <c r="U11">
        <v>0</v>
      </c>
      <c r="V11">
        <v>0</v>
      </c>
      <c r="X11" s="26">
        <f t="shared" si="0"/>
        <v>5.8458523840627039E-2</v>
      </c>
      <c r="Y11" s="12">
        <f t="shared" si="1"/>
        <v>0.83050293925538854</v>
      </c>
      <c r="AA11" s="25" t="str">
        <f>IF(P11="*","-",IFERROR(VLOOKUP(P11,'AESS-W1'!$P$5:$T$126,4,FALSE),"-"))</f>
        <v>-</v>
      </c>
      <c r="AB11" s="25" t="str">
        <f>IF(P11="*","-",IFERROR(VLOOKUP(P11,'AESS-W3'!$P$5:$T$129,4,FALSE),"-"))</f>
        <v>-</v>
      </c>
      <c r="AC11" s="25">
        <f>IF(P11="*","-",IFERROR(VLOOKUP(P11,'All MECSM samples'!$P$4:$AD$454,15,FALSE),"-"))</f>
        <v>2705</v>
      </c>
      <c r="AD11" s="25"/>
      <c r="AE11">
        <v>100</v>
      </c>
      <c r="AF11">
        <v>185</v>
      </c>
      <c r="AH11">
        <f t="shared" si="2"/>
        <v>1</v>
      </c>
      <c r="AI11">
        <f t="shared" si="3"/>
        <v>0</v>
      </c>
      <c r="AJ11">
        <f t="shared" si="4"/>
        <v>0</v>
      </c>
      <c r="AK11">
        <f t="shared" si="5"/>
        <v>1</v>
      </c>
      <c r="AL11" s="11">
        <f>SUM(AH$5:AH11)/SUM(AK$5:AK11)</f>
        <v>1</v>
      </c>
      <c r="AM11" s="11">
        <f>SUM(AI$5:AI11)/SUM(AK$5:AK11)</f>
        <v>0.5714285714285714</v>
      </c>
      <c r="AN11" s="11">
        <f>SUM(AJ$5:AJ11)/SUM(AL$5:AL11)</f>
        <v>0.5714285714285714</v>
      </c>
    </row>
    <row r="12" spans="1:40" x14ac:dyDescent="0.35">
      <c r="A12" t="s">
        <v>39</v>
      </c>
      <c r="B12">
        <v>2285</v>
      </c>
      <c r="C12" t="s">
        <v>7</v>
      </c>
      <c r="D12" t="s">
        <v>8</v>
      </c>
      <c r="O12">
        <v>0.95</v>
      </c>
      <c r="P12" t="s">
        <v>98</v>
      </c>
      <c r="Q12">
        <v>0</v>
      </c>
      <c r="R12">
        <v>1</v>
      </c>
      <c r="S12" s="9">
        <v>955</v>
      </c>
      <c r="T12" s="9">
        <v>556</v>
      </c>
      <c r="U12">
        <v>482</v>
      </c>
      <c r="V12">
        <v>292</v>
      </c>
      <c r="X12" s="26">
        <f t="shared" si="0"/>
        <v>2.0792510341824517E-2</v>
      </c>
      <c r="Y12" s="12">
        <f t="shared" si="1"/>
        <v>0.85129544959721304</v>
      </c>
      <c r="AA12" s="25" t="str">
        <f>IF(P12="*","-",IFERROR(VLOOKUP(P12,'AESS-W1'!$P$5:$T$126,4,FALSE),"-"))</f>
        <v>-</v>
      </c>
      <c r="AB12" s="25" t="str">
        <f>IF(P12="*","-",IFERROR(VLOOKUP(P12,'AESS-W3'!$P$5:$T$129,4,FALSE),"-"))</f>
        <v>-</v>
      </c>
      <c r="AC12" s="25" t="str">
        <f>IF(P12="*","-",IFERROR(VLOOKUP(P12,'All MECSM samples'!$P$4:$AD$454,15,FALSE),"-"))</f>
        <v>-</v>
      </c>
      <c r="AD12" s="25"/>
      <c r="AE12">
        <v>100</v>
      </c>
      <c r="AF12">
        <v>391</v>
      </c>
      <c r="AH12">
        <f t="shared" si="2"/>
        <v>1</v>
      </c>
      <c r="AI12">
        <f t="shared" si="3"/>
        <v>1</v>
      </c>
      <c r="AJ12">
        <f t="shared" si="4"/>
        <v>1</v>
      </c>
      <c r="AK12">
        <f t="shared" si="5"/>
        <v>1</v>
      </c>
      <c r="AL12" s="11">
        <f>SUM(AH$5:AH12)/SUM(AK$5:AK12)</f>
        <v>1</v>
      </c>
      <c r="AM12" s="11">
        <f>SUM(AI$5:AI12)/SUM(AK$5:AK12)</f>
        <v>0.625</v>
      </c>
      <c r="AN12" s="11">
        <f>SUM(AJ$5:AJ12)/SUM(AL$5:AL12)</f>
        <v>0.625</v>
      </c>
    </row>
    <row r="13" spans="1:40" x14ac:dyDescent="0.35">
      <c r="A13" t="s">
        <v>63</v>
      </c>
      <c r="B13">
        <v>1995</v>
      </c>
      <c r="C13" t="s">
        <v>7</v>
      </c>
      <c r="D13" t="s">
        <v>8</v>
      </c>
      <c r="E13" t="s">
        <v>100</v>
      </c>
      <c r="G13" t="s">
        <v>101</v>
      </c>
      <c r="I13" t="s">
        <v>102</v>
      </c>
      <c r="K13" t="s">
        <v>103</v>
      </c>
      <c r="M13" t="s">
        <v>104</v>
      </c>
      <c r="O13">
        <v>1</v>
      </c>
      <c r="P13" t="s">
        <v>105</v>
      </c>
      <c r="Q13">
        <v>99.6</v>
      </c>
      <c r="R13">
        <v>1</v>
      </c>
      <c r="S13" s="9">
        <v>1089</v>
      </c>
      <c r="T13" s="9">
        <v>408</v>
      </c>
      <c r="U13">
        <v>236</v>
      </c>
      <c r="V13">
        <v>262</v>
      </c>
      <c r="X13" s="26">
        <f t="shared" si="0"/>
        <v>2.370999346832136E-2</v>
      </c>
      <c r="Y13" s="12">
        <f t="shared" si="1"/>
        <v>0.87500544306553441</v>
      </c>
      <c r="AA13" s="25" t="str">
        <f>IF(P13="*","-",IFERROR(VLOOKUP(P13,'AESS-W1'!$P$5:$T$126,4,FALSE),"-"))</f>
        <v>-</v>
      </c>
      <c r="AB13" s="25">
        <f>IF(P13="*","-",IFERROR(VLOOKUP(P13,'AESS-W3'!$P$5:$T$129,4,FALSE),"-"))</f>
        <v>9</v>
      </c>
      <c r="AC13" s="25">
        <f>IF(P13="*","-",IFERROR(VLOOKUP(P13,'All MECSM samples'!$P$4:$AD$454,15,FALSE),"-"))</f>
        <v>3639</v>
      </c>
      <c r="AD13" s="25"/>
      <c r="AE13">
        <v>100</v>
      </c>
      <c r="AF13">
        <v>246</v>
      </c>
      <c r="AH13">
        <f t="shared" si="2"/>
        <v>1</v>
      </c>
      <c r="AI13">
        <f t="shared" si="3"/>
        <v>1</v>
      </c>
      <c r="AJ13">
        <f t="shared" si="4"/>
        <v>1</v>
      </c>
      <c r="AK13">
        <f t="shared" si="5"/>
        <v>1</v>
      </c>
      <c r="AL13" s="11">
        <f>SUM(AH$5:AH13)/SUM(AK$5:AK13)</f>
        <v>1</v>
      </c>
      <c r="AM13" s="11">
        <f>SUM(AI$5:AI13)/SUM(AK$5:AK13)</f>
        <v>0.66666666666666663</v>
      </c>
      <c r="AN13" s="11">
        <f>SUM(AJ$5:AJ13)/SUM(AL$5:AL13)</f>
        <v>0.66666666666666663</v>
      </c>
    </row>
    <row r="14" spans="1:40" x14ac:dyDescent="0.35">
      <c r="A14" t="s">
        <v>45</v>
      </c>
      <c r="B14">
        <v>1827</v>
      </c>
      <c r="C14" t="s">
        <v>7</v>
      </c>
      <c r="D14" t="s">
        <v>8</v>
      </c>
      <c r="E14" t="s">
        <v>18</v>
      </c>
      <c r="G14" t="s">
        <v>19</v>
      </c>
      <c r="I14" t="s">
        <v>20</v>
      </c>
      <c r="K14" t="s">
        <v>21</v>
      </c>
      <c r="O14">
        <v>0.56999999999999995</v>
      </c>
      <c r="P14" t="s">
        <v>22</v>
      </c>
      <c r="Q14">
        <v>85.8</v>
      </c>
      <c r="R14">
        <v>1</v>
      </c>
      <c r="S14" s="9">
        <v>1171</v>
      </c>
      <c r="T14" s="9">
        <v>305</v>
      </c>
      <c r="U14">
        <v>122</v>
      </c>
      <c r="V14">
        <v>229</v>
      </c>
      <c r="X14" s="26">
        <f t="shared" si="0"/>
        <v>2.5495318963640323E-2</v>
      </c>
      <c r="Y14" s="12">
        <f t="shared" si="1"/>
        <v>0.90050076202917473</v>
      </c>
      <c r="AA14" s="25">
        <f>IF(P14="*","-",IFERROR(VLOOKUP(P14,'AESS-W1'!$P$5:$T$126,4,FALSE),"-"))</f>
        <v>13</v>
      </c>
      <c r="AB14" s="25">
        <f>IF(P14="*","-",IFERROR(VLOOKUP(P14,'AESS-W3'!$P$5:$T$129,4,FALSE),"-"))</f>
        <v>5956</v>
      </c>
      <c r="AC14" s="25">
        <f>IF(P14="*","-",IFERROR(VLOOKUP(P14,'All MECSM samples'!$P$4:$AD$454,15,FALSE),"-"))</f>
        <v>5986</v>
      </c>
      <c r="AD14" s="25"/>
      <c r="AE14">
        <v>100</v>
      </c>
      <c r="AF14">
        <v>210</v>
      </c>
      <c r="AH14">
        <f t="shared" si="2"/>
        <v>1</v>
      </c>
      <c r="AI14">
        <f t="shared" si="3"/>
        <v>1</v>
      </c>
      <c r="AJ14">
        <f t="shared" si="4"/>
        <v>1</v>
      </c>
      <c r="AK14">
        <f t="shared" si="5"/>
        <v>1</v>
      </c>
      <c r="AL14" s="11">
        <f>SUM(AH$5:AH14)/SUM(AK$5:AK14)</f>
        <v>1</v>
      </c>
      <c r="AM14" s="11">
        <f>SUM(AI$5:AI14)/SUM(AK$5:AK14)</f>
        <v>0.7</v>
      </c>
      <c r="AN14" s="11">
        <f>SUM(AJ$5:AJ14)/SUM(AL$5:AL14)</f>
        <v>0.7</v>
      </c>
    </row>
    <row r="15" spans="1:40" x14ac:dyDescent="0.35">
      <c r="A15" t="s">
        <v>49</v>
      </c>
      <c r="B15">
        <v>1535</v>
      </c>
      <c r="C15" t="s">
        <v>7</v>
      </c>
      <c r="D15" t="s">
        <v>8</v>
      </c>
      <c r="E15" t="s">
        <v>46</v>
      </c>
      <c r="G15" t="s">
        <v>47</v>
      </c>
      <c r="O15">
        <v>0.84</v>
      </c>
      <c r="P15" t="s">
        <v>127</v>
      </c>
      <c r="Q15">
        <v>88.9</v>
      </c>
      <c r="R15">
        <v>2</v>
      </c>
      <c r="S15" s="9">
        <v>129</v>
      </c>
      <c r="T15" s="9">
        <v>847</v>
      </c>
      <c r="U15">
        <v>559</v>
      </c>
      <c r="V15">
        <v>0</v>
      </c>
      <c r="X15" s="26">
        <f t="shared" si="0"/>
        <v>2.8086218158066621E-3</v>
      </c>
      <c r="Y15" s="12">
        <f t="shared" si="1"/>
        <v>0.90330938384498138</v>
      </c>
      <c r="AA15" s="25">
        <f>IF(P15="*","-",IFERROR(VLOOKUP(P15,'AESS-W1'!$P$5:$T$126,4,FALSE),"-"))</f>
        <v>4</v>
      </c>
      <c r="AB15" s="25" t="str">
        <f>IF(P15="*","-",IFERROR(VLOOKUP(P15,'AESS-W3'!$P$5:$T$129,4,FALSE),"-"))</f>
        <v>-</v>
      </c>
      <c r="AC15" s="25">
        <f>IF(P15="*","-",IFERROR(VLOOKUP(P15,'All MECSM samples'!$P$4:$AD$454,15,FALSE),"-"))</f>
        <v>128</v>
      </c>
      <c r="AD15" s="25"/>
      <c r="AE15">
        <v>100</v>
      </c>
      <c r="AF15">
        <v>576</v>
      </c>
      <c r="AH15">
        <f t="shared" si="2"/>
        <v>1</v>
      </c>
      <c r="AI15">
        <f t="shared" si="3"/>
        <v>1</v>
      </c>
      <c r="AJ15">
        <f t="shared" si="4"/>
        <v>0</v>
      </c>
      <c r="AK15">
        <f t="shared" si="5"/>
        <v>1</v>
      </c>
      <c r="AL15" s="11">
        <f>SUM(AH$5:AH15)/SUM(AK$5:AK15)</f>
        <v>1</v>
      </c>
      <c r="AM15" s="11">
        <f>SUM(AI$5:AI15)/SUM(AK$5:AK15)</f>
        <v>0.72727272727272729</v>
      </c>
      <c r="AN15" s="11">
        <f>SUM(AJ$5:AJ15)/SUM(AL$5:AL15)</f>
        <v>0.63636363636363635</v>
      </c>
    </row>
    <row r="16" spans="1:40" x14ac:dyDescent="0.35">
      <c r="A16" t="s">
        <v>55</v>
      </c>
      <c r="B16">
        <v>1261</v>
      </c>
      <c r="C16" t="s">
        <v>7</v>
      </c>
      <c r="D16" t="s">
        <v>24</v>
      </c>
      <c r="E16" t="s">
        <v>25</v>
      </c>
      <c r="G16" t="s">
        <v>26</v>
      </c>
      <c r="I16" t="s">
        <v>27</v>
      </c>
      <c r="K16" t="s">
        <v>28</v>
      </c>
      <c r="M16" t="s">
        <v>29</v>
      </c>
      <c r="O16">
        <v>0.9</v>
      </c>
      <c r="P16" t="s">
        <v>88</v>
      </c>
      <c r="Q16">
        <v>100</v>
      </c>
      <c r="R16">
        <v>2</v>
      </c>
      <c r="S16" s="9">
        <v>1161</v>
      </c>
      <c r="T16" s="9">
        <v>100</v>
      </c>
      <c r="U16">
        <v>0</v>
      </c>
      <c r="V16">
        <v>0</v>
      </c>
      <c r="X16" s="26">
        <f t="shared" si="0"/>
        <v>2.5277596342259959E-2</v>
      </c>
      <c r="Y16" s="12">
        <f t="shared" si="1"/>
        <v>0.9285869801872414</v>
      </c>
      <c r="AA16" s="25" t="str">
        <f>IF(P16="*","-",IFERROR(VLOOKUP(P16,'AESS-W1'!$P$5:$T$126,4,FALSE),"-"))</f>
        <v>-</v>
      </c>
      <c r="AB16" s="25">
        <f>IF(P16="*","-",IFERROR(VLOOKUP(P16,'AESS-W3'!$P$5:$T$129,4,FALSE),"-"))</f>
        <v>586</v>
      </c>
      <c r="AC16" s="25">
        <f>IF(P16="*","-",IFERROR(VLOOKUP(P16,'All MECSM samples'!$P$4:$AD$454,15,FALSE),"-"))</f>
        <v>1168</v>
      </c>
      <c r="AD16" s="25"/>
      <c r="AE16">
        <v>100</v>
      </c>
      <c r="AF16">
        <v>107</v>
      </c>
      <c r="AH16">
        <f t="shared" si="2"/>
        <v>1</v>
      </c>
      <c r="AI16">
        <f t="shared" si="3"/>
        <v>0</v>
      </c>
      <c r="AJ16">
        <f t="shared" si="4"/>
        <v>0</v>
      </c>
      <c r="AK16">
        <f t="shared" si="5"/>
        <v>1</v>
      </c>
      <c r="AL16" s="11">
        <f>SUM(AH$5:AH16)/SUM(AK$5:AK16)</f>
        <v>1</v>
      </c>
      <c r="AM16" s="11">
        <f>SUM(AI$5:AI16)/SUM(AK$5:AK16)</f>
        <v>0.66666666666666663</v>
      </c>
      <c r="AN16" s="11">
        <f>SUM(AJ$5:AJ16)/SUM(AL$5:AL16)</f>
        <v>0.58333333333333337</v>
      </c>
    </row>
    <row r="17" spans="1:40" x14ac:dyDescent="0.35">
      <c r="A17" t="s">
        <v>77</v>
      </c>
      <c r="B17">
        <v>1221</v>
      </c>
      <c r="C17" t="s">
        <v>7</v>
      </c>
      <c r="D17" t="s">
        <v>8</v>
      </c>
      <c r="E17" t="s">
        <v>114</v>
      </c>
      <c r="G17" t="s">
        <v>115</v>
      </c>
      <c r="I17" t="s">
        <v>116</v>
      </c>
      <c r="K17" t="s">
        <v>117</v>
      </c>
      <c r="M17" t="s">
        <v>118</v>
      </c>
      <c r="O17">
        <v>1</v>
      </c>
      <c r="P17" t="s">
        <v>16</v>
      </c>
      <c r="Q17">
        <v>96.4</v>
      </c>
      <c r="R17">
        <v>1</v>
      </c>
      <c r="S17" s="9">
        <v>722</v>
      </c>
      <c r="T17" s="9">
        <v>440</v>
      </c>
      <c r="U17">
        <v>59</v>
      </c>
      <c r="V17">
        <v>0</v>
      </c>
      <c r="X17" s="26">
        <f t="shared" si="0"/>
        <v>1.5719573263662096E-2</v>
      </c>
      <c r="Y17" s="12">
        <f t="shared" si="1"/>
        <v>0.94430655345090353</v>
      </c>
      <c r="AA17" s="25">
        <f>IF(P17="*","-",IFERROR(VLOOKUP(P17,'AESS-W1'!$P$5:$T$126,4,FALSE),"-"))</f>
        <v>24</v>
      </c>
      <c r="AB17" s="25">
        <f>IF(P17="*","-",IFERROR(VLOOKUP(P17,'AESS-W3'!$P$5:$T$129,4,FALSE),"-"))</f>
        <v>10</v>
      </c>
      <c r="AC17" s="25">
        <f>IF(P17="*","-",IFERROR(VLOOKUP(P17,'All MECSM samples'!$P$4:$AD$454,15,FALSE),"-"))</f>
        <v>17201</v>
      </c>
      <c r="AD17" s="25"/>
      <c r="AE17">
        <v>100</v>
      </c>
      <c r="AF17">
        <v>272</v>
      </c>
      <c r="AH17">
        <f t="shared" si="2"/>
        <v>1</v>
      </c>
      <c r="AI17">
        <f t="shared" si="3"/>
        <v>1</v>
      </c>
      <c r="AJ17">
        <f t="shared" si="4"/>
        <v>0</v>
      </c>
      <c r="AK17">
        <f t="shared" si="5"/>
        <v>1</v>
      </c>
      <c r="AL17" s="11">
        <f>SUM(AH$5:AH17)/SUM(AK$5:AK17)</f>
        <v>1</v>
      </c>
      <c r="AM17" s="11">
        <f>SUM(AI$5:AI17)/SUM(AK$5:AK17)</f>
        <v>0.69230769230769229</v>
      </c>
      <c r="AN17" s="11">
        <f>SUM(AJ$5:AJ17)/SUM(AL$5:AL17)</f>
        <v>0.53846153846153844</v>
      </c>
    </row>
    <row r="18" spans="1:40" x14ac:dyDescent="0.35">
      <c r="A18" t="s">
        <v>68</v>
      </c>
      <c r="B18">
        <v>862</v>
      </c>
      <c r="C18" t="s">
        <v>7</v>
      </c>
      <c r="D18" t="s">
        <v>8</v>
      </c>
      <c r="E18" t="s">
        <v>46</v>
      </c>
      <c r="G18" t="s">
        <v>47</v>
      </c>
      <c r="I18" t="s">
        <v>61</v>
      </c>
      <c r="K18" t="s">
        <v>182</v>
      </c>
      <c r="M18" t="s">
        <v>183</v>
      </c>
      <c r="O18">
        <v>0.95</v>
      </c>
      <c r="P18" t="s">
        <v>184</v>
      </c>
      <c r="Q18">
        <v>99.2</v>
      </c>
      <c r="R18">
        <v>1</v>
      </c>
      <c r="S18" s="9">
        <v>188</v>
      </c>
      <c r="T18" s="9">
        <v>67</v>
      </c>
      <c r="U18">
        <v>43</v>
      </c>
      <c r="V18">
        <v>564</v>
      </c>
      <c r="X18" s="26">
        <f t="shared" si="0"/>
        <v>4.0931852819507944E-3</v>
      </c>
      <c r="Y18" s="12">
        <f t="shared" si="1"/>
        <v>0.94839973873285432</v>
      </c>
      <c r="AA18" s="25">
        <f>IF(P18="*","-",IFERROR(VLOOKUP(P18,'AESS-W1'!$P$5:$T$126,4,FALSE),"-"))</f>
        <v>4</v>
      </c>
      <c r="AB18" s="25" t="str">
        <f>IF(P18="*","-",IFERROR(VLOOKUP(P18,'AESS-W3'!$P$5:$T$129,4,FALSE),"-"))</f>
        <v>-</v>
      </c>
      <c r="AC18" s="25">
        <f>IF(P18="*","-",IFERROR(VLOOKUP(P18,'All MECSM samples'!$P$4:$AD$454,15,FALSE),"-"))</f>
        <v>1186</v>
      </c>
      <c r="AD18" s="25"/>
      <c r="AE18">
        <v>100</v>
      </c>
      <c r="AF18">
        <v>51</v>
      </c>
      <c r="AH18">
        <f t="shared" si="2"/>
        <v>1</v>
      </c>
      <c r="AI18">
        <f t="shared" si="3"/>
        <v>1</v>
      </c>
      <c r="AJ18">
        <f t="shared" si="4"/>
        <v>1</v>
      </c>
      <c r="AK18">
        <f t="shared" si="5"/>
        <v>1</v>
      </c>
      <c r="AL18" s="11">
        <f>SUM(AH$5:AH18)/SUM(AK$5:AK18)</f>
        <v>1</v>
      </c>
      <c r="AM18" s="11">
        <f>SUM(AI$5:AI18)/SUM(AK$5:AK18)</f>
        <v>0.7142857142857143</v>
      </c>
      <c r="AN18" s="11">
        <f>SUM(AJ$5:AJ18)/SUM(AL$5:AL18)</f>
        <v>0.5714285714285714</v>
      </c>
    </row>
    <row r="19" spans="1:40" x14ac:dyDescent="0.35">
      <c r="A19" t="s">
        <v>60</v>
      </c>
      <c r="B19">
        <v>470</v>
      </c>
      <c r="C19" t="s">
        <v>7</v>
      </c>
      <c r="D19" t="s">
        <v>8</v>
      </c>
      <c r="O19">
        <v>0.92</v>
      </c>
      <c r="P19" t="s">
        <v>98</v>
      </c>
      <c r="Q19">
        <v>0</v>
      </c>
      <c r="R19">
        <v>1</v>
      </c>
      <c r="S19" s="9">
        <v>259</v>
      </c>
      <c r="T19" s="9">
        <v>211</v>
      </c>
      <c r="U19">
        <v>0</v>
      </c>
      <c r="V19">
        <v>0</v>
      </c>
      <c r="X19" s="26">
        <f t="shared" si="0"/>
        <v>5.6390158937513609E-3</v>
      </c>
      <c r="Y19" s="12">
        <f t="shared" si="1"/>
        <v>0.9540387546266057</v>
      </c>
      <c r="AA19" s="25" t="str">
        <f>IF(P19="*","-",IFERROR(VLOOKUP(P19,'AESS-W1'!$P$5:$T$126,4,FALSE),"-"))</f>
        <v>-</v>
      </c>
      <c r="AB19" s="25" t="str">
        <f>IF(P19="*","-",IFERROR(VLOOKUP(P19,'AESS-W3'!$P$5:$T$129,4,FALSE),"-"))</f>
        <v>-</v>
      </c>
      <c r="AC19" s="25" t="str">
        <f>IF(P19="*","-",IFERROR(VLOOKUP(P19,'All MECSM samples'!$P$4:$AD$454,15,FALSE),"-"))</f>
        <v>-</v>
      </c>
      <c r="AD19" s="25"/>
      <c r="AE19">
        <v>100</v>
      </c>
      <c r="AF19">
        <v>189</v>
      </c>
      <c r="AH19">
        <f t="shared" si="2"/>
        <v>1</v>
      </c>
      <c r="AI19">
        <f t="shared" si="3"/>
        <v>0</v>
      </c>
      <c r="AJ19">
        <f t="shared" si="4"/>
        <v>0</v>
      </c>
      <c r="AK19">
        <f t="shared" si="5"/>
        <v>1</v>
      </c>
      <c r="AL19" s="11">
        <f>SUM(AH$5:AH19)/SUM(AK$5:AK19)</f>
        <v>1</v>
      </c>
      <c r="AM19" s="11">
        <f>SUM(AI$5:AI19)/SUM(AK$5:AK19)</f>
        <v>0.66666666666666663</v>
      </c>
      <c r="AN19" s="11">
        <f>SUM(AJ$5:AJ19)/SUM(AL$5:AL19)</f>
        <v>0.53333333333333333</v>
      </c>
    </row>
    <row r="20" spans="1:40" x14ac:dyDescent="0.35">
      <c r="A20" t="s">
        <v>72</v>
      </c>
      <c r="B20">
        <v>460</v>
      </c>
      <c r="C20" t="s">
        <v>7</v>
      </c>
      <c r="D20" t="s">
        <v>8</v>
      </c>
      <c r="E20" t="s">
        <v>32</v>
      </c>
      <c r="O20">
        <v>0.87</v>
      </c>
      <c r="P20" t="s">
        <v>98</v>
      </c>
      <c r="Q20">
        <v>0</v>
      </c>
      <c r="R20">
        <v>1</v>
      </c>
      <c r="S20" s="9">
        <v>269</v>
      </c>
      <c r="T20" s="9">
        <v>100</v>
      </c>
      <c r="U20">
        <v>26</v>
      </c>
      <c r="V20">
        <v>65</v>
      </c>
      <c r="X20" s="26">
        <f t="shared" si="0"/>
        <v>5.8567385151317222E-3</v>
      </c>
      <c r="Y20" s="12">
        <f t="shared" si="1"/>
        <v>0.95989549314173739</v>
      </c>
      <c r="AA20" s="25" t="str">
        <f>IF(P20="*","-",IFERROR(VLOOKUP(P20,'AESS-W1'!$P$5:$T$126,4,FALSE),"-"))</f>
        <v>-</v>
      </c>
      <c r="AB20" s="25" t="str">
        <f>IF(P20="*","-",IFERROR(VLOOKUP(P20,'AESS-W3'!$P$5:$T$129,4,FALSE),"-"))</f>
        <v>-</v>
      </c>
      <c r="AC20" s="25" t="str">
        <f>IF(P20="*","-",IFERROR(VLOOKUP(P20,'All MECSM samples'!$P$4:$AD$454,15,FALSE),"-"))</f>
        <v>-</v>
      </c>
      <c r="AD20" s="25"/>
      <c r="AE20">
        <v>100</v>
      </c>
      <c r="AF20">
        <v>78</v>
      </c>
      <c r="AH20">
        <f t="shared" si="2"/>
        <v>1</v>
      </c>
      <c r="AI20">
        <f t="shared" si="3"/>
        <v>1</v>
      </c>
      <c r="AJ20">
        <f t="shared" si="4"/>
        <v>1</v>
      </c>
      <c r="AK20">
        <f t="shared" si="5"/>
        <v>1</v>
      </c>
      <c r="AL20" s="11">
        <f>SUM(AH$5:AH20)/SUM(AK$5:AK20)</f>
        <v>1</v>
      </c>
      <c r="AM20" s="11">
        <f>SUM(AI$5:AI20)/SUM(AK$5:AK20)</f>
        <v>0.6875</v>
      </c>
      <c r="AN20" s="11">
        <f>SUM(AJ$5:AJ20)/SUM(AL$5:AL20)</f>
        <v>0.5625</v>
      </c>
    </row>
    <row r="21" spans="1:40" x14ac:dyDescent="0.35">
      <c r="A21" t="s">
        <v>99</v>
      </c>
      <c r="B21">
        <v>381</v>
      </c>
      <c r="C21" t="s">
        <v>7</v>
      </c>
      <c r="D21" t="s">
        <v>8</v>
      </c>
      <c r="E21" t="s">
        <v>46</v>
      </c>
      <c r="G21" t="s">
        <v>47</v>
      </c>
      <c r="I21" t="s">
        <v>160</v>
      </c>
      <c r="K21" t="s">
        <v>161</v>
      </c>
      <c r="M21" t="s">
        <v>162</v>
      </c>
      <c r="O21">
        <v>0.92</v>
      </c>
      <c r="P21" t="s">
        <v>163</v>
      </c>
      <c r="Q21">
        <v>96</v>
      </c>
      <c r="R21">
        <v>1</v>
      </c>
      <c r="S21" s="9">
        <v>102</v>
      </c>
      <c r="T21" s="9">
        <v>114</v>
      </c>
      <c r="U21">
        <v>18</v>
      </c>
      <c r="V21">
        <v>147</v>
      </c>
      <c r="X21" s="26">
        <f t="shared" si="0"/>
        <v>2.2207707380796863E-3</v>
      </c>
      <c r="Y21" s="12">
        <f t="shared" si="1"/>
        <v>0.96211626387981708</v>
      </c>
      <c r="AA21" s="25">
        <f>IF(P21="*","-",IFERROR(VLOOKUP(P21,'AESS-W1'!$P$5:$T$126,4,FALSE),"-"))</f>
        <v>15</v>
      </c>
      <c r="AB21" s="25">
        <f>IF(P21="*","-",IFERROR(VLOOKUP(P21,'AESS-W3'!$P$5:$T$129,4,FALSE),"-"))</f>
        <v>0</v>
      </c>
      <c r="AC21" s="25">
        <f>IF(P21="*","-",IFERROR(VLOOKUP(P21,'All MECSM samples'!$P$4:$AD$454,15,FALSE),"-"))</f>
        <v>3869</v>
      </c>
      <c r="AD21" s="25"/>
      <c r="AE21">
        <v>100</v>
      </c>
      <c r="AF21">
        <v>41</v>
      </c>
      <c r="AH21">
        <f t="shared" si="2"/>
        <v>1</v>
      </c>
      <c r="AI21">
        <f t="shared" si="3"/>
        <v>1</v>
      </c>
      <c r="AJ21">
        <f t="shared" si="4"/>
        <v>1</v>
      </c>
      <c r="AK21">
        <f t="shared" si="5"/>
        <v>1</v>
      </c>
      <c r="AL21" s="11">
        <f>SUM(AH$5:AH21)/SUM(AK$5:AK21)</f>
        <v>1</v>
      </c>
      <c r="AM21" s="11">
        <f>SUM(AI$5:AI21)/SUM(AK$5:AK21)</f>
        <v>0.70588235294117652</v>
      </c>
      <c r="AN21" s="11">
        <f>SUM(AJ$5:AJ21)/SUM(AL$5:AL21)</f>
        <v>0.58823529411764708</v>
      </c>
    </row>
    <row r="22" spans="1:40" x14ac:dyDescent="0.35">
      <c r="A22" t="s">
        <v>97</v>
      </c>
      <c r="B22">
        <v>316</v>
      </c>
      <c r="C22" t="s">
        <v>7</v>
      </c>
      <c r="D22" t="s">
        <v>8</v>
      </c>
      <c r="O22">
        <v>1</v>
      </c>
      <c r="P22" t="s">
        <v>256</v>
      </c>
      <c r="Q22">
        <v>90.1</v>
      </c>
      <c r="R22">
        <v>1</v>
      </c>
      <c r="S22" s="9">
        <v>44</v>
      </c>
      <c r="T22" s="9">
        <v>28</v>
      </c>
      <c r="U22">
        <v>23</v>
      </c>
      <c r="V22">
        <v>221</v>
      </c>
      <c r="W22" s="9"/>
      <c r="X22" s="42">
        <f t="shared" si="0"/>
        <v>9.5797953407359023E-4</v>
      </c>
      <c r="Y22" s="16">
        <f t="shared" si="1"/>
        <v>0.9630742434138907</v>
      </c>
      <c r="AA22" s="25" t="str">
        <f>IF(P22="*","-",IFERROR(VLOOKUP(P22,'AESS-W1'!$P$5:$T$126,4,FALSE),"-"))</f>
        <v>-</v>
      </c>
      <c r="AB22" s="25" t="str">
        <f>IF(P22="*","-",IFERROR(VLOOKUP(P22,'AESS-W3'!$P$5:$T$129,4,FALSE),"-"))</f>
        <v>-</v>
      </c>
      <c r="AC22" s="25">
        <f>IF(P22="*","-",IFERROR(VLOOKUP(P22,'All MECSM samples'!$P$4:$AD$454,15,FALSE),"-"))</f>
        <v>44</v>
      </c>
      <c r="AD22" s="25"/>
      <c r="AE22">
        <v>100</v>
      </c>
      <c r="AF22">
        <v>27</v>
      </c>
      <c r="AH22">
        <f t="shared" si="2"/>
        <v>1</v>
      </c>
      <c r="AI22">
        <f t="shared" si="3"/>
        <v>1</v>
      </c>
      <c r="AJ22">
        <f t="shared" si="4"/>
        <v>1</v>
      </c>
      <c r="AK22">
        <f t="shared" si="5"/>
        <v>1</v>
      </c>
      <c r="AL22" s="11">
        <f>SUM(AH$5:AH22)/SUM(AK$5:AK22)</f>
        <v>1</v>
      </c>
      <c r="AM22" s="11">
        <f>SUM(AI$5:AI22)/SUM(AK$5:AK22)</f>
        <v>0.72222222222222221</v>
      </c>
      <c r="AN22" s="11">
        <f>SUM(AJ$5:AJ22)/SUM(AL$5:AL22)</f>
        <v>0.61111111111111116</v>
      </c>
    </row>
    <row r="23" spans="1:40" x14ac:dyDescent="0.35">
      <c r="A23" t="s">
        <v>74</v>
      </c>
      <c r="B23">
        <v>309</v>
      </c>
      <c r="C23" t="s">
        <v>7</v>
      </c>
      <c r="D23" t="s">
        <v>8</v>
      </c>
      <c r="E23" t="s">
        <v>32</v>
      </c>
      <c r="G23" t="s">
        <v>35</v>
      </c>
      <c r="I23" t="s">
        <v>36</v>
      </c>
      <c r="K23" t="s">
        <v>143</v>
      </c>
      <c r="O23">
        <v>0.87</v>
      </c>
      <c r="P23" t="s">
        <v>144</v>
      </c>
      <c r="Q23">
        <v>91.7</v>
      </c>
      <c r="R23">
        <v>1</v>
      </c>
      <c r="S23" s="9">
        <v>112</v>
      </c>
      <c r="T23" s="9">
        <v>82</v>
      </c>
      <c r="U23">
        <v>53</v>
      </c>
      <c r="V23">
        <v>62</v>
      </c>
      <c r="X23" s="26">
        <f t="shared" si="0"/>
        <v>2.438493359460048E-3</v>
      </c>
      <c r="Y23" s="12">
        <f t="shared" si="1"/>
        <v>0.9655127367733507</v>
      </c>
      <c r="AA23" s="25">
        <f>IF(P23="*","-",IFERROR(VLOOKUP(P23,'AESS-W1'!$P$5:$T$126,4,FALSE),"-"))</f>
        <v>53</v>
      </c>
      <c r="AB23" s="25">
        <f>IF(P23="*","-",IFERROR(VLOOKUP(P23,'AESS-W3'!$P$5:$T$129,4,FALSE),"-"))</f>
        <v>119</v>
      </c>
      <c r="AC23" s="25">
        <f>IF(P23="*","-",IFERROR(VLOOKUP(P23,'All MECSM samples'!$P$4:$AD$454,15,FALSE),"-"))</f>
        <v>1118</v>
      </c>
      <c r="AD23" s="25"/>
      <c r="AE23">
        <v>100</v>
      </c>
      <c r="AF23">
        <v>54</v>
      </c>
      <c r="AH23">
        <f t="shared" si="2"/>
        <v>1</v>
      </c>
      <c r="AI23">
        <f t="shared" si="3"/>
        <v>1</v>
      </c>
      <c r="AJ23">
        <f t="shared" si="4"/>
        <v>1</v>
      </c>
      <c r="AK23">
        <f t="shared" si="5"/>
        <v>1</v>
      </c>
      <c r="AL23" s="11">
        <f>SUM(AH$5:AH23)/SUM(AK$5:AK23)</f>
        <v>1</v>
      </c>
      <c r="AM23" s="11">
        <f>SUM(AI$5:AI23)/SUM(AK$5:AK23)</f>
        <v>0.73684210526315785</v>
      </c>
      <c r="AN23" s="11">
        <f>SUM(AJ$5:AJ23)/SUM(AL$5:AL23)</f>
        <v>0.63157894736842102</v>
      </c>
    </row>
    <row r="24" spans="1:40" x14ac:dyDescent="0.35">
      <c r="A24" t="s">
        <v>135</v>
      </c>
      <c r="B24">
        <v>285</v>
      </c>
      <c r="C24" t="s">
        <v>7</v>
      </c>
      <c r="D24" t="s">
        <v>8</v>
      </c>
      <c r="E24" t="s">
        <v>9</v>
      </c>
      <c r="G24" t="s">
        <v>10</v>
      </c>
      <c r="I24" t="s">
        <v>131</v>
      </c>
      <c r="K24" t="s">
        <v>150</v>
      </c>
      <c r="M24" t="s">
        <v>151</v>
      </c>
      <c r="O24">
        <v>0.97</v>
      </c>
      <c r="P24" t="s">
        <v>152</v>
      </c>
      <c r="Q24">
        <v>98</v>
      </c>
      <c r="R24">
        <v>1</v>
      </c>
      <c r="S24" s="9">
        <v>220</v>
      </c>
      <c r="T24" s="9">
        <v>65</v>
      </c>
      <c r="U24">
        <v>0</v>
      </c>
      <c r="V24">
        <v>0</v>
      </c>
      <c r="X24" s="26">
        <f t="shared" si="0"/>
        <v>4.7898976703679508E-3</v>
      </c>
      <c r="Y24" s="12">
        <f t="shared" si="1"/>
        <v>0.97030263444371867</v>
      </c>
      <c r="AA24" s="25">
        <f>IF(P24="*","-",IFERROR(VLOOKUP(P24,'AESS-W1'!$P$5:$T$126,4,FALSE),"-"))</f>
        <v>77</v>
      </c>
      <c r="AB24" s="25">
        <f>IF(P24="*","-",IFERROR(VLOOKUP(P24,'AESS-W3'!$P$5:$T$129,4,FALSE),"-"))</f>
        <v>108</v>
      </c>
      <c r="AC24" s="25">
        <f>IF(P24="*","-",IFERROR(VLOOKUP(P24,'All MECSM samples'!$P$4:$AD$454,15,FALSE),"-"))</f>
        <v>577</v>
      </c>
      <c r="AD24" s="25"/>
      <c r="AE24">
        <v>100</v>
      </c>
      <c r="AF24">
        <v>35</v>
      </c>
      <c r="AH24">
        <f t="shared" si="2"/>
        <v>1</v>
      </c>
      <c r="AI24">
        <f t="shared" si="3"/>
        <v>0</v>
      </c>
      <c r="AJ24">
        <f t="shared" si="4"/>
        <v>0</v>
      </c>
      <c r="AK24">
        <f t="shared" si="5"/>
        <v>1</v>
      </c>
      <c r="AL24" s="11">
        <f>SUM(AH$5:AH24)/SUM(AK$5:AK24)</f>
        <v>1</v>
      </c>
      <c r="AM24" s="11">
        <f>SUM(AI$5:AI24)/SUM(AK$5:AK24)</f>
        <v>0.7</v>
      </c>
      <c r="AN24" s="11">
        <f>SUM(AJ$5:AJ24)/SUM(AL$5:AL24)</f>
        <v>0.6</v>
      </c>
    </row>
    <row r="25" spans="1:40" x14ac:dyDescent="0.35">
      <c r="A25" t="s">
        <v>83</v>
      </c>
      <c r="B25">
        <v>195</v>
      </c>
      <c r="C25" t="s">
        <v>7</v>
      </c>
      <c r="D25" t="s">
        <v>8</v>
      </c>
      <c r="E25" t="s">
        <v>46</v>
      </c>
      <c r="G25" t="s">
        <v>47</v>
      </c>
      <c r="I25" t="s">
        <v>61</v>
      </c>
      <c r="O25">
        <v>0.73</v>
      </c>
      <c r="P25" t="s">
        <v>609</v>
      </c>
      <c r="Q25">
        <v>92.5</v>
      </c>
      <c r="R25">
        <v>2</v>
      </c>
      <c r="S25" s="9">
        <v>135</v>
      </c>
      <c r="T25" s="9">
        <v>60</v>
      </c>
      <c r="U25">
        <v>0</v>
      </c>
      <c r="V25">
        <v>0</v>
      </c>
      <c r="W25" s="9"/>
      <c r="X25" s="42">
        <f t="shared" si="0"/>
        <v>2.939255388634879E-3</v>
      </c>
      <c r="Y25" s="16">
        <f t="shared" si="1"/>
        <v>0.9732418898323536</v>
      </c>
      <c r="AA25" s="25" t="str">
        <f>IF(P25="*","-",IFERROR(VLOOKUP(P25,'AESS-W1'!$P$5:$T$126,4,FALSE),"-"))</f>
        <v>-</v>
      </c>
      <c r="AB25" s="25" t="str">
        <f>IF(P25="*","-",IFERROR(VLOOKUP(P25,'AESS-W3'!$P$5:$T$129,4,FALSE),"-"))</f>
        <v>-</v>
      </c>
      <c r="AC25" s="25">
        <f>IF(P25="*","-",IFERROR(VLOOKUP(P25,'All MECSM samples'!$P$4:$AD$454,15,FALSE),"-"))</f>
        <v>33</v>
      </c>
      <c r="AD25" s="25"/>
      <c r="AE25">
        <v>100</v>
      </c>
      <c r="AF25">
        <v>87</v>
      </c>
      <c r="AH25">
        <f t="shared" si="2"/>
        <v>1</v>
      </c>
      <c r="AI25">
        <f t="shared" si="3"/>
        <v>0</v>
      </c>
      <c r="AJ25">
        <f t="shared" si="4"/>
        <v>0</v>
      </c>
      <c r="AK25">
        <f t="shared" si="5"/>
        <v>1</v>
      </c>
      <c r="AL25" s="11">
        <f>SUM(AH$5:AH25)/SUM(AK$5:AK25)</f>
        <v>1</v>
      </c>
      <c r="AM25" s="11">
        <f>SUM(AI$5:AI25)/SUM(AK$5:AK25)</f>
        <v>0.66666666666666663</v>
      </c>
      <c r="AN25" s="11">
        <f>SUM(AJ$5:AJ25)/SUM(AL$5:AL25)</f>
        <v>0.5714285714285714</v>
      </c>
    </row>
    <row r="26" spans="1:40" x14ac:dyDescent="0.35">
      <c r="A26" t="s">
        <v>106</v>
      </c>
      <c r="B26">
        <v>193</v>
      </c>
      <c r="C26" t="s">
        <v>7</v>
      </c>
      <c r="D26" t="s">
        <v>8</v>
      </c>
      <c r="E26" t="s">
        <v>120</v>
      </c>
      <c r="G26" t="s">
        <v>121</v>
      </c>
      <c r="I26" t="s">
        <v>122</v>
      </c>
      <c r="K26" t="s">
        <v>123</v>
      </c>
      <c r="O26">
        <v>0.69</v>
      </c>
      <c r="P26" t="s">
        <v>224</v>
      </c>
      <c r="Q26">
        <v>87.4</v>
      </c>
      <c r="R26">
        <v>2</v>
      </c>
      <c r="S26" s="9">
        <v>70</v>
      </c>
      <c r="T26" s="9">
        <v>79</v>
      </c>
      <c r="U26">
        <v>0</v>
      </c>
      <c r="V26">
        <v>44</v>
      </c>
      <c r="W26" s="9"/>
      <c r="X26" s="42">
        <f t="shared" si="0"/>
        <v>1.5240583496625298E-3</v>
      </c>
      <c r="Y26" s="16">
        <f t="shared" si="1"/>
        <v>0.97476594818201612</v>
      </c>
      <c r="AA26" s="25">
        <f>IF(P26="*","-",IFERROR(VLOOKUP(P26,'AESS-W1'!$P$5:$T$126,4,FALSE),"-"))</f>
        <v>2</v>
      </c>
      <c r="AB26" s="25" t="str">
        <f>IF(P26="*","-",IFERROR(VLOOKUP(P26,'AESS-W3'!$P$5:$T$129,4,FALSE),"-"))</f>
        <v>-</v>
      </c>
      <c r="AC26" s="25">
        <f>IF(P26="*","-",IFERROR(VLOOKUP(P26,'All MECSM samples'!$P$4:$AD$454,15,FALSE),"-"))</f>
        <v>54</v>
      </c>
      <c r="AD26" s="25"/>
      <c r="AE26">
        <v>100</v>
      </c>
      <c r="AF26">
        <v>48</v>
      </c>
      <c r="AH26">
        <f t="shared" si="2"/>
        <v>1</v>
      </c>
      <c r="AI26">
        <f t="shared" si="3"/>
        <v>0</v>
      </c>
      <c r="AJ26">
        <f t="shared" si="4"/>
        <v>1</v>
      </c>
      <c r="AK26">
        <f t="shared" si="5"/>
        <v>1</v>
      </c>
      <c r="AL26" s="11">
        <f>SUM(AH$5:AH26)/SUM(AK$5:AK26)</f>
        <v>1</v>
      </c>
      <c r="AM26" s="11">
        <f>SUM(AI$5:AI26)/SUM(AK$5:AK26)</f>
        <v>0.63636363636363635</v>
      </c>
      <c r="AN26" s="11">
        <f>SUM(AJ$5:AJ26)/SUM(AL$5:AL26)</f>
        <v>0.59090909090909094</v>
      </c>
    </row>
    <row r="27" spans="1:40" x14ac:dyDescent="0.35">
      <c r="A27" t="s">
        <v>91</v>
      </c>
      <c r="B27">
        <v>184</v>
      </c>
      <c r="C27" t="s">
        <v>7</v>
      </c>
      <c r="D27" t="s">
        <v>8</v>
      </c>
      <c r="E27" t="s">
        <v>114</v>
      </c>
      <c r="G27" t="s">
        <v>115</v>
      </c>
      <c r="I27" t="s">
        <v>116</v>
      </c>
      <c r="K27" t="s">
        <v>117</v>
      </c>
      <c r="M27" t="s">
        <v>118</v>
      </c>
      <c r="O27">
        <v>1</v>
      </c>
      <c r="P27" t="s">
        <v>215</v>
      </c>
      <c r="Q27">
        <v>100</v>
      </c>
      <c r="R27">
        <v>1</v>
      </c>
      <c r="S27" s="9">
        <v>107</v>
      </c>
      <c r="T27" s="9">
        <v>77</v>
      </c>
      <c r="U27">
        <v>0</v>
      </c>
      <c r="V27">
        <v>0</v>
      </c>
      <c r="W27" s="9"/>
      <c r="X27" s="42">
        <f t="shared" si="0"/>
        <v>2.3296320487698674E-3</v>
      </c>
      <c r="Y27" s="16">
        <f t="shared" si="1"/>
        <v>0.97709558023078602</v>
      </c>
      <c r="AA27" s="25" t="str">
        <f>IF(P27="*","-",IFERROR(VLOOKUP(P27,'AESS-W1'!$P$5:$T$126,4,FALSE),"-"))</f>
        <v>-</v>
      </c>
      <c r="AB27" s="25" t="str">
        <f>IF(P27="*","-",IFERROR(VLOOKUP(P27,'AESS-W3'!$P$5:$T$129,4,FALSE),"-"))</f>
        <v>-</v>
      </c>
      <c r="AC27" s="25">
        <f>IF(P27="*","-",IFERROR(VLOOKUP(P27,'All MECSM samples'!$P$4:$AD$454,15,FALSE),"-"))</f>
        <v>109</v>
      </c>
      <c r="AD27" s="25"/>
      <c r="AE27">
        <v>100</v>
      </c>
      <c r="AF27">
        <v>70</v>
      </c>
      <c r="AH27">
        <f t="shared" si="2"/>
        <v>1</v>
      </c>
      <c r="AI27">
        <f t="shared" si="3"/>
        <v>0</v>
      </c>
      <c r="AJ27">
        <f t="shared" si="4"/>
        <v>0</v>
      </c>
      <c r="AK27">
        <f t="shared" si="5"/>
        <v>1</v>
      </c>
      <c r="AL27" s="11">
        <f>SUM(AH$5:AH27)/SUM(AK$5:AK27)</f>
        <v>1</v>
      </c>
      <c r="AM27" s="11">
        <f>SUM(AI$5:AI27)/SUM(AK$5:AK27)</f>
        <v>0.60869565217391308</v>
      </c>
      <c r="AN27" s="11">
        <f>SUM(AJ$5:AJ27)/SUM(AL$5:AL27)</f>
        <v>0.56521739130434778</v>
      </c>
    </row>
    <row r="28" spans="1:40" x14ac:dyDescent="0.35">
      <c r="A28" t="s">
        <v>126</v>
      </c>
      <c r="B28">
        <v>161</v>
      </c>
      <c r="C28" t="s">
        <v>7</v>
      </c>
      <c r="D28" t="s">
        <v>8</v>
      </c>
      <c r="E28" t="s">
        <v>120</v>
      </c>
      <c r="G28" t="s">
        <v>121</v>
      </c>
      <c r="I28" t="s">
        <v>122</v>
      </c>
      <c r="K28" t="s">
        <v>123</v>
      </c>
      <c r="M28" t="s">
        <v>219</v>
      </c>
      <c r="O28">
        <v>1</v>
      </c>
      <c r="P28" t="s">
        <v>220</v>
      </c>
      <c r="Q28">
        <v>98.8</v>
      </c>
      <c r="R28">
        <v>1</v>
      </c>
      <c r="S28" s="9">
        <v>93</v>
      </c>
      <c r="T28" s="9">
        <v>48</v>
      </c>
      <c r="U28">
        <v>0</v>
      </c>
      <c r="V28">
        <v>20</v>
      </c>
      <c r="W28" s="9"/>
      <c r="X28" s="42">
        <f t="shared" si="0"/>
        <v>2.0248203788373613E-3</v>
      </c>
      <c r="Y28" s="16">
        <f t="shared" si="1"/>
        <v>0.97912040060962335</v>
      </c>
      <c r="AA28" s="25" t="str">
        <f>IF(P28="*","-",IFERROR(VLOOKUP(P28,'AESS-W1'!$P$5:$T$126,4,FALSE),"-"))</f>
        <v>-</v>
      </c>
      <c r="AB28" s="25">
        <f>IF(P28="*","-",IFERROR(VLOOKUP(P28,'AESS-W3'!$P$5:$T$129,4,FALSE),"-"))</f>
        <v>58</v>
      </c>
      <c r="AC28" s="25">
        <f>IF(P28="*","-",IFERROR(VLOOKUP(P28,'All MECSM samples'!$P$4:$AD$454,15,FALSE),"-"))</f>
        <v>81</v>
      </c>
      <c r="AD28" s="25"/>
      <c r="AE28">
        <v>100</v>
      </c>
      <c r="AF28">
        <v>24</v>
      </c>
      <c r="AH28">
        <f t="shared" si="2"/>
        <v>1</v>
      </c>
      <c r="AI28">
        <f t="shared" si="3"/>
        <v>0</v>
      </c>
      <c r="AJ28">
        <f t="shared" si="4"/>
        <v>1</v>
      </c>
      <c r="AK28">
        <f t="shared" si="5"/>
        <v>1</v>
      </c>
      <c r="AL28" s="11">
        <f>SUM(AH$5:AH28)/SUM(AK$5:AK28)</f>
        <v>1</v>
      </c>
      <c r="AM28" s="11">
        <f>SUM(AI$5:AI28)/SUM(AK$5:AK28)</f>
        <v>0.58333333333333337</v>
      </c>
      <c r="AN28" s="11">
        <f>SUM(AJ$5:AJ28)/SUM(AL$5:AL28)</f>
        <v>0.58333333333333337</v>
      </c>
    </row>
    <row r="29" spans="1:40" x14ac:dyDescent="0.35">
      <c r="A29" t="s">
        <v>145</v>
      </c>
      <c r="B29">
        <v>132</v>
      </c>
      <c r="C29" t="s">
        <v>7</v>
      </c>
      <c r="D29" t="s">
        <v>8</v>
      </c>
      <c r="E29" t="s">
        <v>9</v>
      </c>
      <c r="G29" t="s">
        <v>10</v>
      </c>
      <c r="I29" t="s">
        <v>11</v>
      </c>
      <c r="K29" t="s">
        <v>12</v>
      </c>
      <c r="M29" t="s">
        <v>13</v>
      </c>
      <c r="O29">
        <v>0.91</v>
      </c>
      <c r="P29" t="s">
        <v>14</v>
      </c>
      <c r="Q29">
        <v>96.8</v>
      </c>
      <c r="R29">
        <v>1</v>
      </c>
      <c r="S29" s="54">
        <v>132</v>
      </c>
      <c r="T29" s="9">
        <v>0</v>
      </c>
      <c r="U29">
        <v>0</v>
      </c>
      <c r="V29">
        <v>0</v>
      </c>
      <c r="W29" s="9"/>
      <c r="X29" s="42">
        <f t="shared" si="0"/>
        <v>2.8739386022207706E-3</v>
      </c>
      <c r="Y29" s="18">
        <f t="shared" si="1"/>
        <v>0.98199433921184409</v>
      </c>
      <c r="AA29" s="25">
        <f>IF(P29="*","-",IFERROR(VLOOKUP(P29,'AESS-W1'!$P$5:$T$126,4,FALSE),"-"))</f>
        <v>27333</v>
      </c>
      <c r="AB29" s="25">
        <f>IF(P29="*","-",IFERROR(VLOOKUP(P29,'AESS-W3'!$P$5:$T$129,4,FALSE),"-"))</f>
        <v>1554</v>
      </c>
      <c r="AC29" s="25">
        <f>IF(P29="*","-",IFERROR(VLOOKUP(P29,'All MECSM samples'!$P$4:$AD$454,15,FALSE),"-"))</f>
        <v>27497</v>
      </c>
      <c r="AD29" s="25"/>
      <c r="AE29">
        <v>77</v>
      </c>
      <c r="AF29">
        <v>1</v>
      </c>
      <c r="AH29">
        <f t="shared" si="2"/>
        <v>0</v>
      </c>
      <c r="AI29">
        <f t="shared" si="3"/>
        <v>0</v>
      </c>
      <c r="AJ29">
        <f t="shared" si="4"/>
        <v>0</v>
      </c>
      <c r="AK29">
        <f t="shared" si="5"/>
        <v>0</v>
      </c>
      <c r="AL29" s="11">
        <f>SUM(AH$5:AH29)/SUM(AK$5:AK29)</f>
        <v>1</v>
      </c>
      <c r="AM29" s="11">
        <f>SUM(AI$5:AI29)/SUM(AK$5:AK29)</f>
        <v>0.58333333333333337</v>
      </c>
      <c r="AN29" s="11">
        <f>SUM(AJ$5:AJ29)/SUM(AL$5:AL29)</f>
        <v>0.56000000000000005</v>
      </c>
    </row>
    <row r="30" spans="1:40" x14ac:dyDescent="0.35">
      <c r="A30" t="s">
        <v>93</v>
      </c>
      <c r="B30">
        <v>99</v>
      </c>
      <c r="C30" t="s">
        <v>7</v>
      </c>
      <c r="D30" t="s">
        <v>8</v>
      </c>
      <c r="E30" t="s">
        <v>46</v>
      </c>
      <c r="G30" t="s">
        <v>47</v>
      </c>
      <c r="O30">
        <v>0.65</v>
      </c>
      <c r="P30" t="s">
        <v>163</v>
      </c>
      <c r="Q30">
        <v>91.7</v>
      </c>
      <c r="R30">
        <v>1</v>
      </c>
      <c r="S30" s="9">
        <v>58</v>
      </c>
      <c r="T30" s="9">
        <v>41</v>
      </c>
      <c r="U30">
        <v>0</v>
      </c>
      <c r="V30">
        <v>0</v>
      </c>
      <c r="W30" s="9"/>
      <c r="X30" s="42">
        <f t="shared" si="0"/>
        <v>1.2627912040060962E-3</v>
      </c>
      <c r="Y30" s="16">
        <f t="shared" si="1"/>
        <v>0.98325713041585017</v>
      </c>
      <c r="AA30" s="25">
        <f>IF(P30="*","-",IFERROR(VLOOKUP(P30,'AESS-W1'!$P$5:$T$126,4,FALSE),"-"))</f>
        <v>15</v>
      </c>
      <c r="AB30" s="25">
        <f>IF(P30="*","-",IFERROR(VLOOKUP(P30,'AESS-W3'!$P$5:$T$129,4,FALSE),"-"))</f>
        <v>0</v>
      </c>
      <c r="AC30" s="25">
        <f>IF(P30="*","-",IFERROR(VLOOKUP(P30,'All MECSM samples'!$P$4:$AD$454,15,FALSE),"-"))</f>
        <v>3869</v>
      </c>
      <c r="AD30" s="25"/>
      <c r="AE30">
        <v>100</v>
      </c>
      <c r="AF30">
        <v>24</v>
      </c>
      <c r="AH30">
        <f t="shared" si="2"/>
        <v>1</v>
      </c>
      <c r="AI30">
        <f t="shared" si="3"/>
        <v>0</v>
      </c>
      <c r="AJ30">
        <f t="shared" si="4"/>
        <v>0</v>
      </c>
      <c r="AK30">
        <f t="shared" si="5"/>
        <v>1</v>
      </c>
      <c r="AL30" s="11">
        <f>SUM(AH$5:AH30)/SUM(AK$5:AK30)</f>
        <v>1</v>
      </c>
      <c r="AM30" s="11">
        <f>SUM(AI$5:AI30)/SUM(AK$5:AK30)</f>
        <v>0.56000000000000005</v>
      </c>
      <c r="AN30" s="11">
        <f>SUM(AJ$5:AJ30)/SUM(AL$5:AL30)</f>
        <v>0.53846153846153844</v>
      </c>
    </row>
    <row r="31" spans="1:40" x14ac:dyDescent="0.35">
      <c r="A31" t="s">
        <v>87</v>
      </c>
      <c r="B31">
        <v>85</v>
      </c>
      <c r="C31" t="s">
        <v>7</v>
      </c>
      <c r="D31" t="s">
        <v>8</v>
      </c>
      <c r="E31" t="s">
        <v>46</v>
      </c>
      <c r="G31" t="s">
        <v>47</v>
      </c>
      <c r="O31">
        <v>0.67</v>
      </c>
      <c r="P31" t="s">
        <v>254</v>
      </c>
      <c r="Q31">
        <v>89.7</v>
      </c>
      <c r="R31">
        <v>2</v>
      </c>
      <c r="S31" s="9">
        <v>50</v>
      </c>
      <c r="T31" s="9">
        <v>35</v>
      </c>
      <c r="U31">
        <v>0</v>
      </c>
      <c r="V31">
        <v>0</v>
      </c>
      <c r="W31" s="9"/>
      <c r="X31" s="42">
        <f t="shared" si="0"/>
        <v>1.0886131069018071E-3</v>
      </c>
      <c r="Y31" s="16">
        <f t="shared" si="1"/>
        <v>0.98434574352275195</v>
      </c>
      <c r="AA31" s="25" t="str">
        <f>IF(P31="*","-",IFERROR(VLOOKUP(P31,'AESS-W1'!$P$5:$T$126,4,FALSE),"-"))</f>
        <v>-</v>
      </c>
      <c r="AB31" s="25" t="str">
        <f>IF(P31="*","-",IFERROR(VLOOKUP(P31,'AESS-W3'!$P$5:$T$129,4,FALSE),"-"))</f>
        <v>-</v>
      </c>
      <c r="AC31" s="25">
        <f>IF(P31="*","-",IFERROR(VLOOKUP(P31,'All MECSM samples'!$P$4:$AD$454,15,FALSE),"-"))</f>
        <v>50</v>
      </c>
      <c r="AD31" s="25"/>
      <c r="AE31">
        <v>100</v>
      </c>
      <c r="AF31">
        <v>25</v>
      </c>
      <c r="AH31">
        <f t="shared" si="2"/>
        <v>1</v>
      </c>
      <c r="AI31">
        <f t="shared" si="3"/>
        <v>0</v>
      </c>
      <c r="AJ31">
        <f t="shared" si="4"/>
        <v>0</v>
      </c>
      <c r="AK31">
        <f t="shared" si="5"/>
        <v>1</v>
      </c>
      <c r="AL31" s="11">
        <f>SUM(AH$5:AH31)/SUM(AK$5:AK31)</f>
        <v>1</v>
      </c>
      <c r="AM31" s="11">
        <f>SUM(AI$5:AI31)/SUM(AK$5:AK31)</f>
        <v>0.53846153846153844</v>
      </c>
      <c r="AN31" s="11">
        <f>SUM(AJ$5:AJ31)/SUM(AL$5:AL31)</f>
        <v>0.51851851851851849</v>
      </c>
    </row>
    <row r="32" spans="1:40" x14ac:dyDescent="0.35">
      <c r="A32" t="s">
        <v>89</v>
      </c>
      <c r="B32">
        <v>84</v>
      </c>
      <c r="C32" t="s">
        <v>7</v>
      </c>
      <c r="D32" t="s">
        <v>8</v>
      </c>
      <c r="E32" t="s">
        <v>120</v>
      </c>
      <c r="G32" t="s">
        <v>121</v>
      </c>
      <c r="I32" t="s">
        <v>122</v>
      </c>
      <c r="K32" t="s">
        <v>123</v>
      </c>
      <c r="O32">
        <v>0.99</v>
      </c>
      <c r="P32" t="s">
        <v>276</v>
      </c>
      <c r="Q32">
        <v>93.7</v>
      </c>
      <c r="R32">
        <v>1</v>
      </c>
      <c r="S32" s="9">
        <v>29</v>
      </c>
      <c r="T32" s="9">
        <v>37</v>
      </c>
      <c r="U32">
        <v>18</v>
      </c>
      <c r="V32">
        <v>0</v>
      </c>
      <c r="W32" s="9"/>
      <c r="X32" s="42">
        <f t="shared" si="0"/>
        <v>6.3139560200304809E-4</v>
      </c>
      <c r="Y32" s="16">
        <f t="shared" si="1"/>
        <v>0.98497713912475504</v>
      </c>
      <c r="AA32" s="25" t="str">
        <f>IF(P32="*","-",IFERROR(VLOOKUP(P32,'AESS-W1'!$P$5:$T$126,4,FALSE),"-"))</f>
        <v>-</v>
      </c>
      <c r="AB32" s="25" t="str">
        <f>IF(P32="*","-",IFERROR(VLOOKUP(P32,'AESS-W3'!$P$5:$T$129,4,FALSE),"-"))</f>
        <v>-</v>
      </c>
      <c r="AC32" s="25">
        <f>IF(P32="*","-",IFERROR(VLOOKUP(P32,'All MECSM samples'!$P$4:$AD$454,15,FALSE),"-"))</f>
        <v>18</v>
      </c>
      <c r="AD32" s="25"/>
      <c r="AE32">
        <v>100</v>
      </c>
      <c r="AF32">
        <v>21</v>
      </c>
      <c r="AH32">
        <f t="shared" si="2"/>
        <v>1</v>
      </c>
      <c r="AI32">
        <f t="shared" si="3"/>
        <v>1</v>
      </c>
      <c r="AJ32">
        <f t="shared" si="4"/>
        <v>0</v>
      </c>
      <c r="AK32">
        <f t="shared" si="5"/>
        <v>1</v>
      </c>
      <c r="AL32" s="11">
        <f>SUM(AH$5:AH32)/SUM(AK$5:AK32)</f>
        <v>1</v>
      </c>
      <c r="AM32" s="11">
        <f>SUM(AI$5:AI32)/SUM(AK$5:AK32)</f>
        <v>0.55555555555555558</v>
      </c>
      <c r="AN32" s="11">
        <f>SUM(AJ$5:AJ32)/SUM(AL$5:AL32)</f>
        <v>0.5</v>
      </c>
    </row>
    <row r="33" spans="1:40" x14ac:dyDescent="0.35">
      <c r="A33" t="s">
        <v>153</v>
      </c>
      <c r="B33">
        <v>71</v>
      </c>
      <c r="C33" t="s">
        <v>7</v>
      </c>
      <c r="D33" t="s">
        <v>8</v>
      </c>
      <c r="E33" t="s">
        <v>9</v>
      </c>
      <c r="G33" t="s">
        <v>10</v>
      </c>
      <c r="K33" t="s">
        <v>227</v>
      </c>
      <c r="M33" t="s">
        <v>228</v>
      </c>
      <c r="O33">
        <v>1</v>
      </c>
      <c r="P33" t="s">
        <v>229</v>
      </c>
      <c r="Q33">
        <v>98.8</v>
      </c>
      <c r="R33">
        <v>1</v>
      </c>
      <c r="S33" s="9">
        <v>52</v>
      </c>
      <c r="T33" s="9">
        <v>19</v>
      </c>
      <c r="U33">
        <v>0</v>
      </c>
      <c r="V33">
        <v>0</v>
      </c>
      <c r="W33" s="9"/>
      <c r="X33" s="42">
        <f t="shared" si="0"/>
        <v>1.1321576311778794E-3</v>
      </c>
      <c r="Y33" s="16">
        <f t="shared" si="1"/>
        <v>0.98610929675593295</v>
      </c>
      <c r="AA33" s="25">
        <f>IF(P33="*","-",IFERROR(VLOOKUP(P33,'AESS-W1'!$P$5:$T$126,4,FALSE),"-"))</f>
        <v>25</v>
      </c>
      <c r="AB33" s="25">
        <f>IF(P33="*","-",IFERROR(VLOOKUP(P33,'AESS-W3'!$P$5:$T$129,4,FALSE),"-"))</f>
        <v>82</v>
      </c>
      <c r="AC33" s="25">
        <f>IF(P33="*","-",IFERROR(VLOOKUP(P33,'All MECSM samples'!$P$4:$AD$454,15,FALSE),"-"))</f>
        <v>1516</v>
      </c>
      <c r="AD33" s="25"/>
      <c r="AE33">
        <v>100</v>
      </c>
      <c r="AF33">
        <v>12</v>
      </c>
      <c r="AH33">
        <f t="shared" si="2"/>
        <v>1</v>
      </c>
      <c r="AI33">
        <f t="shared" si="3"/>
        <v>0</v>
      </c>
      <c r="AJ33">
        <f t="shared" si="4"/>
        <v>0</v>
      </c>
      <c r="AK33">
        <f t="shared" si="5"/>
        <v>1</v>
      </c>
      <c r="AL33" s="11">
        <f>SUM(AH$5:AH33)/SUM(AK$5:AK33)</f>
        <v>1</v>
      </c>
      <c r="AM33" s="11">
        <f>SUM(AI$5:AI33)/SUM(AK$5:AK33)</f>
        <v>0.5357142857142857</v>
      </c>
      <c r="AN33" s="11">
        <f>SUM(AJ$5:AJ33)/SUM(AL$5:AL33)</f>
        <v>0.48275862068965519</v>
      </c>
    </row>
    <row r="34" spans="1:40" x14ac:dyDescent="0.35">
      <c r="A34" t="s">
        <v>294</v>
      </c>
      <c r="B34">
        <v>52</v>
      </c>
      <c r="C34" t="s">
        <v>7</v>
      </c>
      <c r="D34" t="s">
        <v>8</v>
      </c>
      <c r="E34" t="s">
        <v>290</v>
      </c>
      <c r="G34" t="s">
        <v>291</v>
      </c>
      <c r="M34" t="s">
        <v>292</v>
      </c>
      <c r="O34">
        <v>0.69</v>
      </c>
      <c r="P34" t="s">
        <v>293</v>
      </c>
      <c r="Q34">
        <v>96</v>
      </c>
      <c r="R34">
        <v>1</v>
      </c>
      <c r="S34" s="9">
        <v>31</v>
      </c>
      <c r="T34" s="9">
        <v>21</v>
      </c>
      <c r="U34">
        <v>0</v>
      </c>
      <c r="V34">
        <v>0</v>
      </c>
      <c r="W34" s="9"/>
      <c r="X34" s="42">
        <f t="shared" si="0"/>
        <v>6.7494012627912037E-4</v>
      </c>
      <c r="Y34" s="16">
        <f t="shared" si="1"/>
        <v>0.98678423688221206</v>
      </c>
      <c r="AA34" s="25" t="str">
        <f>IF(P34="*","-",IFERROR(VLOOKUP(P34,'AESS-W1'!$P$5:$T$126,4,FALSE),"-"))</f>
        <v>-</v>
      </c>
      <c r="AB34" s="25" t="str">
        <f>IF(P34="*","-",IFERROR(VLOOKUP(P34,'AESS-W3'!$P$5:$T$129,4,FALSE),"-"))</f>
        <v>-</v>
      </c>
      <c r="AC34" s="25">
        <f>IF(P34="*","-",IFERROR(VLOOKUP(P34,'All MECSM samples'!$P$4:$AD$454,15,FALSE),"-"))</f>
        <v>31</v>
      </c>
      <c r="AD34" s="25"/>
      <c r="AE34">
        <v>100</v>
      </c>
      <c r="AF34">
        <v>14</v>
      </c>
      <c r="AH34">
        <f t="shared" si="2"/>
        <v>1</v>
      </c>
      <c r="AI34">
        <f t="shared" si="3"/>
        <v>0</v>
      </c>
      <c r="AJ34">
        <f t="shared" si="4"/>
        <v>0</v>
      </c>
      <c r="AK34">
        <f t="shared" si="5"/>
        <v>1</v>
      </c>
      <c r="AL34" s="11">
        <f>SUM(AH$5:AH34)/SUM(AK$5:AK34)</f>
        <v>1</v>
      </c>
      <c r="AM34" s="11">
        <f>SUM(AI$5:AI34)/SUM(AK$5:AK34)</f>
        <v>0.51724137931034486</v>
      </c>
      <c r="AN34" s="11">
        <f>SUM(AJ$5:AJ34)/SUM(AL$5:AL34)</f>
        <v>0.46666666666666667</v>
      </c>
    </row>
    <row r="35" spans="1:40" x14ac:dyDescent="0.35">
      <c r="A35" t="s">
        <v>602</v>
      </c>
      <c r="B35">
        <v>41</v>
      </c>
      <c r="C35" t="s">
        <v>7</v>
      </c>
      <c r="D35" t="s">
        <v>8</v>
      </c>
      <c r="E35" t="s">
        <v>9</v>
      </c>
      <c r="G35" t="s">
        <v>78</v>
      </c>
      <c r="I35" t="s">
        <v>79</v>
      </c>
      <c r="K35" t="s">
        <v>80</v>
      </c>
      <c r="M35" t="s">
        <v>81</v>
      </c>
      <c r="O35">
        <v>0.62</v>
      </c>
      <c r="P35" t="s">
        <v>82</v>
      </c>
      <c r="Q35">
        <v>97.2</v>
      </c>
      <c r="R35">
        <v>1</v>
      </c>
      <c r="S35" s="9">
        <v>41</v>
      </c>
      <c r="T35" s="9">
        <v>0</v>
      </c>
      <c r="U35">
        <v>0</v>
      </c>
      <c r="V35">
        <v>0</v>
      </c>
      <c r="W35" s="9"/>
      <c r="X35" s="42">
        <f t="shared" si="0"/>
        <v>8.9266274765948186E-4</v>
      </c>
      <c r="Y35" s="16">
        <f t="shared" si="1"/>
        <v>0.9876768996298716</v>
      </c>
      <c r="AA35" s="25">
        <f>IF(P35="*","-",IFERROR(VLOOKUP(P35,'AESS-W1'!$P$5:$T$126,4,FALSE),"-"))</f>
        <v>2340</v>
      </c>
      <c r="AB35" s="25">
        <f>IF(P35="*","-",IFERROR(VLOOKUP(P35,'AESS-W3'!$P$5:$T$129,4,FALSE),"-"))</f>
        <v>31</v>
      </c>
      <c r="AC35" s="25">
        <f>IF(P35="*","-",IFERROR(VLOOKUP(P35,'All MECSM samples'!$P$4:$AD$454,15,FALSE),"-"))</f>
        <v>14011</v>
      </c>
      <c r="AD35" s="25"/>
      <c r="AE35">
        <v>2</v>
      </c>
      <c r="AF35">
        <v>1</v>
      </c>
      <c r="AH35">
        <f t="shared" si="2"/>
        <v>0</v>
      </c>
      <c r="AI35">
        <f t="shared" si="3"/>
        <v>0</v>
      </c>
      <c r="AJ35">
        <f t="shared" si="4"/>
        <v>0</v>
      </c>
      <c r="AK35">
        <f t="shared" si="5"/>
        <v>0</v>
      </c>
      <c r="AL35" s="11">
        <f>SUM(AH$5:AH35)/SUM(AK$5:AK35)</f>
        <v>1</v>
      </c>
      <c r="AM35" s="11">
        <f>SUM(AI$5:AI35)/SUM(AK$5:AK35)</f>
        <v>0.51724137931034486</v>
      </c>
      <c r="AN35" s="11">
        <f>SUM(AJ$5:AJ35)/SUM(AL$5:AL35)</f>
        <v>0.45161290322580644</v>
      </c>
    </row>
    <row r="36" spans="1:40" x14ac:dyDescent="0.35">
      <c r="A36" t="s">
        <v>111</v>
      </c>
      <c r="B36">
        <v>41</v>
      </c>
      <c r="C36" t="s">
        <v>7</v>
      </c>
      <c r="D36" t="s">
        <v>8</v>
      </c>
      <c r="E36" t="s">
        <v>258</v>
      </c>
      <c r="G36" t="s">
        <v>258</v>
      </c>
      <c r="H36" t="s">
        <v>259</v>
      </c>
      <c r="I36" t="s">
        <v>260</v>
      </c>
      <c r="J36" t="s">
        <v>261</v>
      </c>
      <c r="K36" t="s">
        <v>262</v>
      </c>
      <c r="O36">
        <v>0.5</v>
      </c>
      <c r="P36" t="s">
        <v>328</v>
      </c>
      <c r="Q36">
        <v>89.7</v>
      </c>
      <c r="R36">
        <v>1</v>
      </c>
      <c r="S36" s="9">
        <v>20</v>
      </c>
      <c r="T36" s="9">
        <v>21</v>
      </c>
      <c r="U36">
        <v>0</v>
      </c>
      <c r="V36">
        <v>0</v>
      </c>
      <c r="W36" s="9"/>
      <c r="X36" s="42">
        <f t="shared" si="0"/>
        <v>4.3544524276072284E-4</v>
      </c>
      <c r="Y36" s="16">
        <f t="shared" si="1"/>
        <v>0.98811234487263233</v>
      </c>
      <c r="AA36" s="25">
        <f>IF(P36="*","-",IFERROR(VLOOKUP(P36,'AESS-W1'!$P$5:$T$126,4,FALSE),"-"))</f>
        <v>11</v>
      </c>
      <c r="AB36" s="25">
        <f>IF(P36="*","-",IFERROR(VLOOKUP(P36,'AESS-W3'!$P$5:$T$129,4,FALSE),"-"))</f>
        <v>5</v>
      </c>
      <c r="AC36" s="25">
        <f>IF(P36="*","-",IFERROR(VLOOKUP(P36,'All MECSM samples'!$P$4:$AD$454,15,FALSE),"-"))</f>
        <v>3418</v>
      </c>
      <c r="AD36" s="25"/>
      <c r="AE36">
        <v>100</v>
      </c>
      <c r="AF36">
        <v>11</v>
      </c>
      <c r="AH36">
        <f t="shared" si="2"/>
        <v>1</v>
      </c>
      <c r="AI36">
        <f t="shared" si="3"/>
        <v>0</v>
      </c>
      <c r="AJ36">
        <f t="shared" si="4"/>
        <v>0</v>
      </c>
      <c r="AK36">
        <f t="shared" si="5"/>
        <v>1</v>
      </c>
      <c r="AL36" s="11">
        <f>SUM(AH$5:AH36)/SUM(AK$5:AK36)</f>
        <v>1</v>
      </c>
      <c r="AM36" s="11">
        <f>SUM(AI$5:AI36)/SUM(AK$5:AK36)</f>
        <v>0.5</v>
      </c>
      <c r="AN36" s="11">
        <f>SUM(AJ$5:AJ36)/SUM(AL$5:AL36)</f>
        <v>0.4375</v>
      </c>
    </row>
    <row r="37" spans="1:40" x14ac:dyDescent="0.35">
      <c r="A37" t="s">
        <v>130</v>
      </c>
      <c r="B37">
        <v>30</v>
      </c>
      <c r="C37" t="s">
        <v>7</v>
      </c>
      <c r="D37" t="s">
        <v>24</v>
      </c>
      <c r="E37" t="s">
        <v>25</v>
      </c>
      <c r="G37" t="s">
        <v>40</v>
      </c>
      <c r="I37" t="s">
        <v>56</v>
      </c>
      <c r="K37" t="s">
        <v>57</v>
      </c>
      <c r="M37" t="s">
        <v>58</v>
      </c>
      <c r="O37">
        <v>1</v>
      </c>
      <c r="P37" t="s">
        <v>59</v>
      </c>
      <c r="Q37">
        <v>99.6</v>
      </c>
      <c r="R37">
        <v>1</v>
      </c>
      <c r="S37" s="9">
        <v>30</v>
      </c>
      <c r="T37" s="9">
        <v>0</v>
      </c>
      <c r="U37">
        <v>0</v>
      </c>
      <c r="V37">
        <v>0</v>
      </c>
      <c r="W37" s="9"/>
      <c r="X37" s="42">
        <f t="shared" ref="X37:X68" si="6">S37/S$1</f>
        <v>6.5316786414108428E-4</v>
      </c>
      <c r="Y37" s="16">
        <f t="shared" si="1"/>
        <v>0.98876551273677338</v>
      </c>
      <c r="AA37" s="25">
        <f>IF(P37="*","-",IFERROR(VLOOKUP(P37,'AESS-W1'!$P$5:$T$126,4,FALSE),"-"))</f>
        <v>3312</v>
      </c>
      <c r="AB37" s="25">
        <f>IF(P37="*","-",IFERROR(VLOOKUP(P37,'AESS-W3'!$P$5:$T$129,4,FALSE),"-"))</f>
        <v>29</v>
      </c>
      <c r="AC37" s="25">
        <f>IF(P37="*","-",IFERROR(VLOOKUP(P37,'All MECSM samples'!$P$4:$AD$454,15,FALSE),"-"))</f>
        <v>10512</v>
      </c>
      <c r="AD37" s="25"/>
      <c r="AE37">
        <v>25</v>
      </c>
      <c r="AF37">
        <v>1</v>
      </c>
      <c r="AH37">
        <f t="shared" si="2"/>
        <v>0</v>
      </c>
      <c r="AI37">
        <f t="shared" si="3"/>
        <v>0</v>
      </c>
      <c r="AJ37">
        <f t="shared" si="4"/>
        <v>0</v>
      </c>
      <c r="AK37">
        <f t="shared" si="5"/>
        <v>0</v>
      </c>
      <c r="AL37" s="11">
        <f>SUM(AH$5:AH37)/SUM(AK$5:AK37)</f>
        <v>1</v>
      </c>
      <c r="AM37" s="11">
        <f>SUM(AI$5:AI37)/SUM(AK$5:AK37)</f>
        <v>0.5</v>
      </c>
      <c r="AN37" s="11">
        <f>SUM(AJ$5:AJ37)/SUM(AL$5:AL37)</f>
        <v>0.42424242424242425</v>
      </c>
    </row>
    <row r="38" spans="1:40" x14ac:dyDescent="0.35">
      <c r="A38" t="s">
        <v>113</v>
      </c>
      <c r="B38">
        <v>29</v>
      </c>
      <c r="C38" t="s">
        <v>7</v>
      </c>
      <c r="D38" t="s">
        <v>24</v>
      </c>
      <c r="E38" t="s">
        <v>25</v>
      </c>
      <c r="G38" t="s">
        <v>26</v>
      </c>
      <c r="I38" t="s">
        <v>27</v>
      </c>
      <c r="K38" t="s">
        <v>28</v>
      </c>
      <c r="M38" t="s">
        <v>29</v>
      </c>
      <c r="O38">
        <v>1</v>
      </c>
      <c r="P38" t="s">
        <v>30</v>
      </c>
      <c r="Q38">
        <v>100</v>
      </c>
      <c r="R38">
        <v>1</v>
      </c>
      <c r="S38" s="9">
        <v>29</v>
      </c>
      <c r="T38" s="9">
        <v>0</v>
      </c>
      <c r="U38">
        <v>0</v>
      </c>
      <c r="V38">
        <v>0</v>
      </c>
      <c r="W38" s="9"/>
      <c r="X38" s="42">
        <f t="shared" si="6"/>
        <v>6.3139560200304809E-4</v>
      </c>
      <c r="Y38" s="16">
        <f t="shared" ref="Y38:Y69" si="7">Y37+X38</f>
        <v>0.98939690833877647</v>
      </c>
      <c r="AA38" s="25">
        <f>IF(P38="*","-",IFERROR(VLOOKUP(P38,'AESS-W1'!$P$5:$T$126,4,FALSE),"-"))</f>
        <v>6</v>
      </c>
      <c r="AB38" s="25">
        <f>IF(P38="*","-",IFERROR(VLOOKUP(P38,'AESS-W3'!$P$5:$T$129,4,FALSE),"-"))</f>
        <v>7736</v>
      </c>
      <c r="AC38" s="25">
        <f>IF(P38="*","-",IFERROR(VLOOKUP(P38,'All MECSM samples'!$P$4:$AD$454,15,FALSE),"-"))</f>
        <v>7783</v>
      </c>
      <c r="AD38" s="25"/>
      <c r="AE38">
        <v>32</v>
      </c>
      <c r="AF38">
        <v>35</v>
      </c>
      <c r="AH38">
        <f t="shared" si="2"/>
        <v>0</v>
      </c>
      <c r="AI38">
        <f t="shared" si="3"/>
        <v>0</v>
      </c>
      <c r="AJ38">
        <f t="shared" si="4"/>
        <v>0</v>
      </c>
      <c r="AK38">
        <f t="shared" si="5"/>
        <v>0</v>
      </c>
      <c r="AL38" s="11">
        <f>SUM(AH$5:AH38)/SUM(AK$5:AK38)</f>
        <v>1</v>
      </c>
      <c r="AM38" s="11">
        <f>SUM(AI$5:AI38)/SUM(AK$5:AK38)</f>
        <v>0.5</v>
      </c>
      <c r="AN38" s="11">
        <f>SUM(AJ$5:AJ38)/SUM(AL$5:AL38)</f>
        <v>0.41176470588235292</v>
      </c>
    </row>
    <row r="39" spans="1:40" x14ac:dyDescent="0.35">
      <c r="A39" t="s">
        <v>272</v>
      </c>
      <c r="B39">
        <v>29</v>
      </c>
      <c r="C39" t="s">
        <v>7</v>
      </c>
      <c r="D39" t="s">
        <v>8</v>
      </c>
      <c r="E39" t="s">
        <v>32</v>
      </c>
      <c r="G39" t="s">
        <v>35</v>
      </c>
      <c r="I39" t="s">
        <v>36</v>
      </c>
      <c r="O39">
        <v>0.61</v>
      </c>
      <c r="P39" t="s">
        <v>92</v>
      </c>
      <c r="Q39">
        <v>86.2</v>
      </c>
      <c r="R39">
        <v>2</v>
      </c>
      <c r="S39" s="9">
        <v>29</v>
      </c>
      <c r="T39" s="9">
        <v>0</v>
      </c>
      <c r="U39">
        <v>0</v>
      </c>
      <c r="V39">
        <v>0</v>
      </c>
      <c r="W39" s="9"/>
      <c r="X39" s="42">
        <f t="shared" si="6"/>
        <v>6.3139560200304809E-4</v>
      </c>
      <c r="Y39" s="18">
        <f t="shared" si="7"/>
        <v>0.99002830394077956</v>
      </c>
      <c r="AA39" s="25">
        <f>IF(P39="*","-",IFERROR(VLOOKUP(P39,'AESS-W1'!$P$5:$T$126,4,FALSE),"-"))</f>
        <v>1059</v>
      </c>
      <c r="AB39" s="25">
        <f>IF(P39="*","-",IFERROR(VLOOKUP(P39,'AESS-W3'!$P$5:$T$129,4,FALSE),"-"))</f>
        <v>389</v>
      </c>
      <c r="AC39" s="25">
        <f>IF(P39="*","-",IFERROR(VLOOKUP(P39,'All MECSM samples'!$P$4:$AD$454,15,FALSE),"-"))</f>
        <v>6717</v>
      </c>
      <c r="AD39" s="25"/>
      <c r="AE39">
        <v>2</v>
      </c>
      <c r="AF39">
        <v>732</v>
      </c>
      <c r="AH39">
        <f t="shared" si="2"/>
        <v>0</v>
      </c>
      <c r="AI39">
        <f t="shared" si="3"/>
        <v>0</v>
      </c>
      <c r="AJ39">
        <f t="shared" si="4"/>
        <v>0</v>
      </c>
      <c r="AK39">
        <f t="shared" si="5"/>
        <v>0</v>
      </c>
      <c r="AL39" s="11">
        <f>SUM(AH$5:AH39)/SUM(AK$5:AK39)</f>
        <v>1</v>
      </c>
      <c r="AM39" s="11">
        <f>SUM(AI$5:AI39)/SUM(AK$5:AK39)</f>
        <v>0.5</v>
      </c>
      <c r="AN39" s="11">
        <f>SUM(AJ$5:AJ39)/SUM(AL$5:AL39)</f>
        <v>0.4</v>
      </c>
    </row>
    <row r="40" spans="1:40" x14ac:dyDescent="0.35">
      <c r="A40" t="s">
        <v>137</v>
      </c>
      <c r="B40">
        <v>18</v>
      </c>
      <c r="C40" t="s">
        <v>7</v>
      </c>
      <c r="D40" t="s">
        <v>24</v>
      </c>
      <c r="E40" t="s">
        <v>25</v>
      </c>
      <c r="G40" t="s">
        <v>26</v>
      </c>
      <c r="I40" t="s">
        <v>27</v>
      </c>
      <c r="K40" t="s">
        <v>28</v>
      </c>
      <c r="M40" t="s">
        <v>29</v>
      </c>
      <c r="O40">
        <v>1</v>
      </c>
      <c r="P40" t="s">
        <v>283</v>
      </c>
      <c r="Q40">
        <v>99.6</v>
      </c>
      <c r="R40">
        <v>1</v>
      </c>
      <c r="S40" s="9">
        <v>18</v>
      </c>
      <c r="T40" s="9">
        <v>0</v>
      </c>
      <c r="U40">
        <v>0</v>
      </c>
      <c r="V40">
        <v>0</v>
      </c>
      <c r="W40" s="9"/>
      <c r="X40" s="42">
        <f t="shared" si="6"/>
        <v>3.9190071848465056E-4</v>
      </c>
      <c r="Y40" s="16">
        <f t="shared" si="7"/>
        <v>0.99042020465926417</v>
      </c>
      <c r="AA40" s="25">
        <f>IF(P40="*","-",IFERROR(VLOOKUP(P40,'AESS-W1'!$P$5:$T$126,4,FALSE),"-"))</f>
        <v>10</v>
      </c>
      <c r="AB40" s="25">
        <f>IF(P40="*","-",IFERROR(VLOOKUP(P40,'AESS-W3'!$P$5:$T$129,4,FALSE),"-"))</f>
        <v>33</v>
      </c>
      <c r="AC40" s="25">
        <f>IF(P40="*","-",IFERROR(VLOOKUP(P40,'All MECSM samples'!$P$4:$AD$454,15,FALSE),"-"))</f>
        <v>22906</v>
      </c>
      <c r="AD40" s="25"/>
      <c r="AE40">
        <v>14</v>
      </c>
      <c r="AF40">
        <v>174</v>
      </c>
      <c r="AH40">
        <f t="shared" si="2"/>
        <v>0</v>
      </c>
      <c r="AI40">
        <f t="shared" si="3"/>
        <v>0</v>
      </c>
      <c r="AJ40">
        <f t="shared" si="4"/>
        <v>0</v>
      </c>
      <c r="AK40">
        <f t="shared" si="5"/>
        <v>0</v>
      </c>
      <c r="AL40" s="11">
        <f>SUM(AH$5:AH40)/SUM(AK$5:AK40)</f>
        <v>1</v>
      </c>
      <c r="AM40" s="11">
        <f>SUM(AI$5:AI40)/SUM(AK$5:AK40)</f>
        <v>0.5</v>
      </c>
      <c r="AN40" s="11">
        <f>SUM(AJ$5:AJ40)/SUM(AL$5:AL40)</f>
        <v>0.3888888888888889</v>
      </c>
    </row>
    <row r="41" spans="1:40" x14ac:dyDescent="0.35">
      <c r="A41" t="s">
        <v>193</v>
      </c>
      <c r="B41">
        <v>18</v>
      </c>
      <c r="C41" t="s">
        <v>7</v>
      </c>
      <c r="D41" t="s">
        <v>8</v>
      </c>
      <c r="E41" t="s">
        <v>32</v>
      </c>
      <c r="O41">
        <v>0.99</v>
      </c>
      <c r="P41" t="s">
        <v>314</v>
      </c>
      <c r="Q41">
        <v>87</v>
      </c>
      <c r="R41">
        <v>1</v>
      </c>
      <c r="S41" s="9">
        <v>18</v>
      </c>
      <c r="T41" s="9">
        <v>0</v>
      </c>
      <c r="U41">
        <v>0</v>
      </c>
      <c r="V41">
        <v>0</v>
      </c>
      <c r="X41" s="42">
        <f t="shared" si="6"/>
        <v>3.9190071848465056E-4</v>
      </c>
      <c r="Y41" s="16">
        <f t="shared" si="7"/>
        <v>0.99081210537774878</v>
      </c>
      <c r="AA41" s="25">
        <f>IF(P41="*","-",IFERROR(VLOOKUP(P41,'AESS-W1'!$P$5:$T$126,4,FALSE),"-"))</f>
        <v>13</v>
      </c>
      <c r="AB41" s="25">
        <f>IF(P41="*","-",IFERROR(VLOOKUP(P41,'AESS-W3'!$P$5:$T$129,4,FALSE),"-"))</f>
        <v>4</v>
      </c>
      <c r="AC41" s="25">
        <f>IF(P41="*","-",IFERROR(VLOOKUP(P41,'All MECSM samples'!$P$4:$AD$454,15,FALSE),"-"))</f>
        <v>4137</v>
      </c>
      <c r="AD41" s="25"/>
      <c r="AE41">
        <v>39</v>
      </c>
      <c r="AF41">
        <v>727</v>
      </c>
      <c r="AH41">
        <f t="shared" si="2"/>
        <v>0</v>
      </c>
      <c r="AI41">
        <f t="shared" si="3"/>
        <v>0</v>
      </c>
      <c r="AJ41">
        <f t="shared" si="4"/>
        <v>0</v>
      </c>
      <c r="AK41">
        <f t="shared" si="5"/>
        <v>0</v>
      </c>
      <c r="AL41" s="11">
        <f>SUM(AH$5:AH41)/SUM(AK$5:AK41)</f>
        <v>1</v>
      </c>
      <c r="AM41" s="11">
        <f>SUM(AI$5:AI41)/SUM(AK$5:AK41)</f>
        <v>0.5</v>
      </c>
      <c r="AN41" s="11">
        <f>SUM(AJ$5:AJ41)/SUM(AL$5:AL41)</f>
        <v>0.3783783783783784</v>
      </c>
    </row>
    <row r="42" spans="1:40" x14ac:dyDescent="0.35">
      <c r="A42" t="s">
        <v>349</v>
      </c>
      <c r="B42">
        <v>17</v>
      </c>
      <c r="C42" t="s">
        <v>7</v>
      </c>
      <c r="D42" t="s">
        <v>8</v>
      </c>
      <c r="E42" t="s">
        <v>9</v>
      </c>
      <c r="G42" t="s">
        <v>10</v>
      </c>
      <c r="I42" t="s">
        <v>131</v>
      </c>
      <c r="K42" t="s">
        <v>132</v>
      </c>
      <c r="M42" t="s">
        <v>133</v>
      </c>
      <c r="O42">
        <v>1</v>
      </c>
      <c r="P42" t="s">
        <v>134</v>
      </c>
      <c r="Q42">
        <v>100</v>
      </c>
      <c r="R42">
        <v>1</v>
      </c>
      <c r="S42" s="9">
        <v>17</v>
      </c>
      <c r="T42" s="9">
        <v>0</v>
      </c>
      <c r="U42">
        <v>0</v>
      </c>
      <c r="V42">
        <v>0</v>
      </c>
      <c r="X42" s="26">
        <f t="shared" si="6"/>
        <v>3.7012845634661442E-4</v>
      </c>
      <c r="Y42" s="12">
        <f t="shared" si="7"/>
        <v>0.99118223383409543</v>
      </c>
      <c r="AA42" s="25">
        <f>IF(P42="*","-",IFERROR(VLOOKUP(P42,'AESS-W1'!$P$5:$T$126,4,FALSE),"-"))</f>
        <v>219</v>
      </c>
      <c r="AB42" s="25">
        <f>IF(P42="*","-",IFERROR(VLOOKUP(P42,'AESS-W3'!$P$5:$T$129,4,FALSE),"-"))</f>
        <v>254</v>
      </c>
      <c r="AC42" s="25">
        <f>IF(P42="*","-",IFERROR(VLOOKUP(P42,'All MECSM samples'!$P$4:$AD$454,15,FALSE),"-"))</f>
        <v>255</v>
      </c>
      <c r="AD42" s="25"/>
      <c r="AE42">
        <v>100</v>
      </c>
      <c r="AF42">
        <v>3</v>
      </c>
      <c r="AH42">
        <f t="shared" si="2"/>
        <v>0</v>
      </c>
      <c r="AI42">
        <f t="shared" si="3"/>
        <v>0</v>
      </c>
      <c r="AJ42">
        <f t="shared" si="4"/>
        <v>0</v>
      </c>
      <c r="AK42">
        <f t="shared" si="5"/>
        <v>1</v>
      </c>
      <c r="AL42" s="11">
        <f>SUM(AH$5:AH42)/SUM(AK$5:AK42)</f>
        <v>0.967741935483871</v>
      </c>
      <c r="AM42" s="11">
        <f>SUM(AI$5:AI42)/SUM(AK$5:AK42)</f>
        <v>0.4838709677419355</v>
      </c>
      <c r="AN42" s="11">
        <f>SUM(AJ$5:AJ42)/SUM(AL$5:AL42)</f>
        <v>0.36873406966864908</v>
      </c>
    </row>
    <row r="43" spans="1:40" x14ac:dyDescent="0.35">
      <c r="A43" t="s">
        <v>128</v>
      </c>
      <c r="B43">
        <v>16</v>
      </c>
      <c r="C43" t="s">
        <v>7</v>
      </c>
      <c r="D43" t="s">
        <v>8</v>
      </c>
      <c r="E43" t="s">
        <v>46</v>
      </c>
      <c r="G43" t="s">
        <v>47</v>
      </c>
      <c r="I43" t="s">
        <v>61</v>
      </c>
      <c r="K43" t="s">
        <v>94</v>
      </c>
      <c r="M43" t="s">
        <v>95</v>
      </c>
      <c r="O43">
        <v>1</v>
      </c>
      <c r="P43" t="s">
        <v>96</v>
      </c>
      <c r="Q43">
        <v>100</v>
      </c>
      <c r="R43">
        <v>3</v>
      </c>
      <c r="S43" s="9">
        <v>16</v>
      </c>
      <c r="T43" s="9">
        <v>0</v>
      </c>
      <c r="U43">
        <v>0</v>
      </c>
      <c r="V43">
        <v>0</v>
      </c>
      <c r="X43" s="26">
        <f t="shared" si="6"/>
        <v>3.4835619420857828E-4</v>
      </c>
      <c r="Y43" s="12">
        <f t="shared" si="7"/>
        <v>0.99153059002830402</v>
      </c>
      <c r="AA43" s="25">
        <f>IF(P43="*","-",IFERROR(VLOOKUP(P43,'AESS-W1'!$P$5:$T$126,4,FALSE),"-"))</f>
        <v>929</v>
      </c>
      <c r="AB43" s="25">
        <f>IF(P43="*","-",IFERROR(VLOOKUP(P43,'AESS-W3'!$P$5:$T$129,4,FALSE),"-"))</f>
        <v>153</v>
      </c>
      <c r="AC43" s="25">
        <f>IF(P43="*","-",IFERROR(VLOOKUP(P43,'All MECSM samples'!$P$4:$AD$454,15,FALSE),"-"))</f>
        <v>2442</v>
      </c>
      <c r="AD43" s="25"/>
      <c r="AE43">
        <v>1</v>
      </c>
      <c r="AF43">
        <v>505</v>
      </c>
      <c r="AH43">
        <f t="shared" si="2"/>
        <v>0</v>
      </c>
      <c r="AI43">
        <f t="shared" si="3"/>
        <v>0</v>
      </c>
      <c r="AJ43">
        <f t="shared" si="4"/>
        <v>0</v>
      </c>
      <c r="AK43">
        <f t="shared" si="5"/>
        <v>0</v>
      </c>
      <c r="AL43" s="11">
        <f>SUM(AH$5:AH43)/SUM(AK$5:AK43)</f>
        <v>0.967741935483871</v>
      </c>
      <c r="AM43" s="11">
        <f>SUM(AI$5:AI43)/SUM(AK$5:AK43)</f>
        <v>0.4838709677419355</v>
      </c>
      <c r="AN43" s="11">
        <f>SUM(AJ$5:AJ43)/SUM(AL$5:AL43)</f>
        <v>0.35956917978458985</v>
      </c>
    </row>
    <row r="44" spans="1:40" x14ac:dyDescent="0.35">
      <c r="A44" t="s">
        <v>119</v>
      </c>
      <c r="B44">
        <v>16</v>
      </c>
      <c r="C44" t="s">
        <v>7</v>
      </c>
      <c r="D44" t="s">
        <v>24</v>
      </c>
      <c r="E44" t="s">
        <v>25</v>
      </c>
      <c r="G44" t="s">
        <v>40</v>
      </c>
      <c r="I44" t="s">
        <v>41</v>
      </c>
      <c r="K44" t="s">
        <v>42</v>
      </c>
      <c r="M44" t="s">
        <v>43</v>
      </c>
      <c r="O44">
        <v>1</v>
      </c>
      <c r="P44" t="s">
        <v>44</v>
      </c>
      <c r="Q44">
        <v>97.2</v>
      </c>
      <c r="R44">
        <v>1</v>
      </c>
      <c r="S44" s="9">
        <v>16</v>
      </c>
      <c r="T44" s="9">
        <v>0</v>
      </c>
      <c r="U44">
        <v>0</v>
      </c>
      <c r="V44">
        <v>0</v>
      </c>
      <c r="X44" s="26">
        <f t="shared" si="6"/>
        <v>3.4835619420857828E-4</v>
      </c>
      <c r="Y44" s="12">
        <f t="shared" si="7"/>
        <v>0.9918789462225126</v>
      </c>
      <c r="AA44" s="25">
        <f>IF(P44="*","-",IFERROR(VLOOKUP(P44,'AESS-W1'!$P$5:$T$126,4,FALSE),"-"))</f>
        <v>1032</v>
      </c>
      <c r="AB44" s="25">
        <f>IF(P44="*","-",IFERROR(VLOOKUP(P44,'AESS-W3'!$P$5:$T$129,4,FALSE),"-"))</f>
        <v>3332</v>
      </c>
      <c r="AC44" s="25">
        <f>IF(P44="*","-",IFERROR(VLOOKUP(P44,'All MECSM samples'!$P$4:$AD$454,15,FALSE),"-"))</f>
        <v>11703</v>
      </c>
      <c r="AD44" s="25"/>
      <c r="AE44">
        <v>60</v>
      </c>
      <c r="AF44">
        <v>1</v>
      </c>
      <c r="AH44">
        <f t="shared" si="2"/>
        <v>0</v>
      </c>
      <c r="AI44">
        <f t="shared" si="3"/>
        <v>0</v>
      </c>
      <c r="AJ44">
        <f t="shared" si="4"/>
        <v>0</v>
      </c>
      <c r="AK44">
        <f t="shared" si="5"/>
        <v>0</v>
      </c>
      <c r="AL44" s="11">
        <f>SUM(AH$5:AH44)/SUM(AK$5:AK44)</f>
        <v>0.967741935483871</v>
      </c>
      <c r="AM44" s="11">
        <f>SUM(AI$5:AI44)/SUM(AK$5:AK44)</f>
        <v>0.4838709677419355</v>
      </c>
      <c r="AN44" s="11">
        <f>SUM(AJ$5:AJ44)/SUM(AL$5:AL44)</f>
        <v>0.35084882780921584</v>
      </c>
    </row>
    <row r="45" spans="1:40" x14ac:dyDescent="0.35">
      <c r="A45" t="s">
        <v>164</v>
      </c>
      <c r="B45">
        <v>14</v>
      </c>
      <c r="C45" t="s">
        <v>7</v>
      </c>
      <c r="D45" t="s">
        <v>8</v>
      </c>
      <c r="E45" t="s">
        <v>46</v>
      </c>
      <c r="G45" t="s">
        <v>47</v>
      </c>
      <c r="O45">
        <v>0.59</v>
      </c>
      <c r="P45" t="s">
        <v>48</v>
      </c>
      <c r="Q45">
        <v>87</v>
      </c>
      <c r="R45">
        <v>1</v>
      </c>
      <c r="S45" s="9">
        <v>14</v>
      </c>
      <c r="T45" s="9">
        <v>0</v>
      </c>
      <c r="U45">
        <v>0</v>
      </c>
      <c r="V45">
        <v>0</v>
      </c>
      <c r="X45" s="26">
        <f t="shared" si="6"/>
        <v>3.04811669932506E-4</v>
      </c>
      <c r="Y45" s="12">
        <f t="shared" si="7"/>
        <v>0.99218375789244506</v>
      </c>
      <c r="AA45" s="25">
        <f>IF(P45="*","-",IFERROR(VLOOKUP(P45,'AESS-W1'!$P$5:$T$126,4,FALSE),"-"))</f>
        <v>5</v>
      </c>
      <c r="AB45" s="25">
        <f>IF(P45="*","-",IFERROR(VLOOKUP(P45,'AESS-W3'!$P$5:$T$129,4,FALSE),"-"))</f>
        <v>3285</v>
      </c>
      <c r="AC45" s="25">
        <f>IF(P45="*","-",IFERROR(VLOOKUP(P45,'All MECSM samples'!$P$4:$AD$454,15,FALSE),"-"))</f>
        <v>3303</v>
      </c>
      <c r="AD45" s="25"/>
      <c r="AE45">
        <v>14</v>
      </c>
      <c r="AF45">
        <v>513</v>
      </c>
      <c r="AH45">
        <f t="shared" si="2"/>
        <v>0</v>
      </c>
      <c r="AI45">
        <f t="shared" si="3"/>
        <v>0</v>
      </c>
      <c r="AJ45">
        <f t="shared" si="4"/>
        <v>0</v>
      </c>
      <c r="AK45">
        <f t="shared" si="5"/>
        <v>0</v>
      </c>
      <c r="AL45" s="11">
        <f>SUM(AH$5:AH45)/SUM(AK$5:AK45)</f>
        <v>0.967741935483871</v>
      </c>
      <c r="AM45" s="11">
        <f>SUM(AI$5:AI45)/SUM(AK$5:AK45)</f>
        <v>0.4838709677419355</v>
      </c>
      <c r="AN45" s="11">
        <f>SUM(AJ$5:AJ45)/SUM(AL$5:AL45)</f>
        <v>0.34254143646408836</v>
      </c>
    </row>
    <row r="46" spans="1:40" x14ac:dyDescent="0.35">
      <c r="A46" t="s">
        <v>181</v>
      </c>
      <c r="B46">
        <v>14</v>
      </c>
      <c r="C46" t="s">
        <v>7</v>
      </c>
      <c r="D46" t="s">
        <v>8</v>
      </c>
      <c r="E46" t="s">
        <v>46</v>
      </c>
      <c r="G46" t="s">
        <v>47</v>
      </c>
      <c r="I46" t="s">
        <v>160</v>
      </c>
      <c r="K46" t="s">
        <v>161</v>
      </c>
      <c r="M46" t="s">
        <v>162</v>
      </c>
      <c r="O46">
        <v>0.57999999999999996</v>
      </c>
      <c r="P46" t="s">
        <v>163</v>
      </c>
      <c r="Q46">
        <v>89.7</v>
      </c>
      <c r="R46">
        <v>1</v>
      </c>
      <c r="S46" s="9">
        <v>14</v>
      </c>
      <c r="T46" s="9">
        <v>0</v>
      </c>
      <c r="U46">
        <v>0</v>
      </c>
      <c r="V46">
        <v>0</v>
      </c>
      <c r="X46" s="26">
        <f t="shared" si="6"/>
        <v>3.04811669932506E-4</v>
      </c>
      <c r="Y46" s="12">
        <f t="shared" si="7"/>
        <v>0.99248856956237752</v>
      </c>
      <c r="AA46" s="25">
        <f>IF(P46="*","-",IFERROR(VLOOKUP(P46,'AESS-W1'!$P$5:$T$126,4,FALSE),"-"))</f>
        <v>15</v>
      </c>
      <c r="AB46" s="25">
        <f>IF(P46="*","-",IFERROR(VLOOKUP(P46,'AESS-W3'!$P$5:$T$129,4,FALSE),"-"))</f>
        <v>0</v>
      </c>
      <c r="AC46" s="25">
        <f>IF(P46="*","-",IFERROR(VLOOKUP(P46,'All MECSM samples'!$P$4:$AD$454,15,FALSE),"-"))</f>
        <v>3869</v>
      </c>
      <c r="AD46" s="25"/>
      <c r="AE46">
        <v>4</v>
      </c>
      <c r="AF46">
        <v>65</v>
      </c>
      <c r="AH46">
        <f t="shared" si="2"/>
        <v>0</v>
      </c>
      <c r="AI46">
        <f t="shared" si="3"/>
        <v>0</v>
      </c>
      <c r="AJ46">
        <f t="shared" si="4"/>
        <v>0</v>
      </c>
      <c r="AK46">
        <f t="shared" si="5"/>
        <v>0</v>
      </c>
      <c r="AL46" s="11">
        <f>SUM(AH$5:AH46)/SUM(AK$5:AK46)</f>
        <v>0.967741935483871</v>
      </c>
      <c r="AM46" s="11">
        <f>SUM(AI$5:AI46)/SUM(AK$5:AK46)</f>
        <v>0.4838709677419355</v>
      </c>
      <c r="AN46" s="11">
        <f>SUM(AJ$5:AJ46)/SUM(AL$5:AL46)</f>
        <v>0.33461835003855045</v>
      </c>
    </row>
    <row r="47" spans="1:40" x14ac:dyDescent="0.35">
      <c r="A47" t="s">
        <v>142</v>
      </c>
      <c r="B47">
        <v>14</v>
      </c>
      <c r="C47" t="s">
        <v>7</v>
      </c>
      <c r="D47" t="s">
        <v>8</v>
      </c>
      <c r="E47" t="s">
        <v>258</v>
      </c>
      <c r="G47" t="s">
        <v>258</v>
      </c>
      <c r="H47" t="s">
        <v>259</v>
      </c>
      <c r="I47" t="s">
        <v>260</v>
      </c>
      <c r="J47" t="s">
        <v>261</v>
      </c>
      <c r="K47" t="s">
        <v>262</v>
      </c>
      <c r="O47">
        <v>0.59</v>
      </c>
      <c r="P47" t="s">
        <v>263</v>
      </c>
      <c r="Q47">
        <v>88.5</v>
      </c>
      <c r="R47">
        <v>1</v>
      </c>
      <c r="S47" s="9">
        <v>14</v>
      </c>
      <c r="T47" s="9">
        <v>0</v>
      </c>
      <c r="U47">
        <v>0</v>
      </c>
      <c r="V47">
        <v>0</v>
      </c>
      <c r="X47" s="26">
        <f t="shared" si="6"/>
        <v>3.04811669932506E-4</v>
      </c>
      <c r="Y47" s="12">
        <f t="shared" si="7"/>
        <v>0.99279338123230998</v>
      </c>
      <c r="AA47" s="25">
        <f>IF(P47="*","-",IFERROR(VLOOKUP(P47,'AESS-W1'!$P$5:$T$126,4,FALSE),"-"))</f>
        <v>51</v>
      </c>
      <c r="AB47" s="25">
        <f>IF(P47="*","-",IFERROR(VLOOKUP(P47,'AESS-W3'!$P$5:$T$129,4,FALSE),"-"))</f>
        <v>14</v>
      </c>
      <c r="AC47" s="25">
        <f>IF(P47="*","-",IFERROR(VLOOKUP(P47,'All MECSM samples'!$P$4:$AD$454,15,FALSE),"-"))</f>
        <v>9732</v>
      </c>
      <c r="AD47" s="25"/>
      <c r="AE47">
        <v>31</v>
      </c>
      <c r="AF47">
        <v>5</v>
      </c>
      <c r="AH47">
        <f t="shared" si="2"/>
        <v>0</v>
      </c>
      <c r="AI47">
        <f t="shared" si="3"/>
        <v>0</v>
      </c>
      <c r="AJ47">
        <f t="shared" si="4"/>
        <v>0</v>
      </c>
      <c r="AK47">
        <f t="shared" si="5"/>
        <v>0</v>
      </c>
      <c r="AL47" s="11">
        <f>SUM(AH$5:AH47)/SUM(AK$5:AK47)</f>
        <v>0.967741935483871</v>
      </c>
      <c r="AM47" s="11">
        <f>SUM(AI$5:AI47)/SUM(AK$5:AK47)</f>
        <v>0.4838709677419355</v>
      </c>
      <c r="AN47" s="11">
        <f>SUM(AJ$5:AJ47)/SUM(AL$5:AL47)</f>
        <v>0.3270535041446872</v>
      </c>
    </row>
    <row r="48" spans="1:40" x14ac:dyDescent="0.35">
      <c r="A48" t="s">
        <v>197</v>
      </c>
      <c r="B48">
        <v>13</v>
      </c>
      <c r="C48" t="s">
        <v>7</v>
      </c>
      <c r="D48" t="s">
        <v>8</v>
      </c>
      <c r="E48" t="s">
        <v>46</v>
      </c>
      <c r="G48" t="s">
        <v>364</v>
      </c>
      <c r="I48" t="s">
        <v>365</v>
      </c>
      <c r="K48" t="s">
        <v>366</v>
      </c>
      <c r="M48" t="s">
        <v>367</v>
      </c>
      <c r="O48">
        <v>1</v>
      </c>
      <c r="P48" t="s">
        <v>368</v>
      </c>
      <c r="Q48">
        <v>100</v>
      </c>
      <c r="R48">
        <v>4</v>
      </c>
      <c r="S48" s="9">
        <v>13</v>
      </c>
      <c r="T48" s="9">
        <v>0</v>
      </c>
      <c r="U48">
        <v>0</v>
      </c>
      <c r="V48">
        <v>0</v>
      </c>
      <c r="X48" s="26">
        <f t="shared" si="6"/>
        <v>2.8303940779446986E-4</v>
      </c>
      <c r="Y48" s="12">
        <f t="shared" si="7"/>
        <v>0.99307642064010448</v>
      </c>
      <c r="AA48" s="25" t="str">
        <f>IF(P48="*","-",IFERROR(VLOOKUP(P48,'AESS-W1'!$P$5:$T$126,4,FALSE),"-"))</f>
        <v>-</v>
      </c>
      <c r="AB48" s="25">
        <f>IF(P48="*","-",IFERROR(VLOOKUP(P48,'AESS-W3'!$P$5:$T$129,4,FALSE),"-"))</f>
        <v>7</v>
      </c>
      <c r="AC48" s="25">
        <f>IF(P48="*","-",IFERROR(VLOOKUP(P48,'All MECSM samples'!$P$4:$AD$454,15,FALSE),"-"))</f>
        <v>13</v>
      </c>
      <c r="AD48" s="25"/>
      <c r="AE48">
        <v>0</v>
      </c>
      <c r="AF48">
        <v>0</v>
      </c>
      <c r="AH48">
        <f t="shared" si="2"/>
        <v>0</v>
      </c>
      <c r="AI48">
        <f t="shared" si="3"/>
        <v>0</v>
      </c>
      <c r="AJ48">
        <f t="shared" si="4"/>
        <v>0</v>
      </c>
      <c r="AK48">
        <f t="shared" si="5"/>
        <v>0</v>
      </c>
      <c r="AL48" s="11">
        <f>SUM(AH$5:AH48)/SUM(AK$5:AK48)</f>
        <v>0.967741935483871</v>
      </c>
      <c r="AM48" s="11">
        <f>SUM(AI$5:AI48)/SUM(AK$5:AK48)</f>
        <v>0.4838709677419355</v>
      </c>
      <c r="AN48" s="11">
        <f>SUM(AJ$5:AJ48)/SUM(AL$5:AL48)</f>
        <v>0.31982313927781869</v>
      </c>
    </row>
    <row r="49" spans="1:40" x14ac:dyDescent="0.35">
      <c r="A49" t="s">
        <v>203</v>
      </c>
      <c r="B49">
        <v>11</v>
      </c>
      <c r="C49" t="s">
        <v>7</v>
      </c>
      <c r="D49" t="s">
        <v>24</v>
      </c>
      <c r="E49" t="s">
        <v>25</v>
      </c>
      <c r="G49" t="s">
        <v>40</v>
      </c>
      <c r="I49" t="s">
        <v>41</v>
      </c>
      <c r="K49" t="s">
        <v>52</v>
      </c>
      <c r="M49" t="s">
        <v>53</v>
      </c>
      <c r="O49">
        <v>1</v>
      </c>
      <c r="P49" t="s">
        <v>54</v>
      </c>
      <c r="Q49">
        <v>100</v>
      </c>
      <c r="R49">
        <v>7</v>
      </c>
      <c r="S49" s="9">
        <v>11</v>
      </c>
      <c r="T49" s="9">
        <v>0</v>
      </c>
      <c r="U49">
        <v>0</v>
      </c>
      <c r="V49">
        <v>0</v>
      </c>
      <c r="X49" s="26">
        <f t="shared" si="6"/>
        <v>2.3949488351839756E-4</v>
      </c>
      <c r="Y49" s="12">
        <f t="shared" si="7"/>
        <v>0.99331591552362286</v>
      </c>
      <c r="AA49" s="25">
        <f>IF(P49="*","-",IFERROR(VLOOKUP(P49,'AESS-W1'!$P$5:$T$126,4,FALSE),"-"))</f>
        <v>1238</v>
      </c>
      <c r="AB49" s="25">
        <f>IF(P49="*","-",IFERROR(VLOOKUP(P49,'AESS-W3'!$P$5:$T$129,4,FALSE),"-"))</f>
        <v>54</v>
      </c>
      <c r="AC49" s="25">
        <f>IF(P49="*","-",IFERROR(VLOOKUP(P49,'All MECSM samples'!$P$4:$AD$454,15,FALSE),"-"))</f>
        <v>2085</v>
      </c>
      <c r="AD49" s="25"/>
      <c r="AE49">
        <v>39</v>
      </c>
      <c r="AF49">
        <v>1</v>
      </c>
      <c r="AH49">
        <f t="shared" si="2"/>
        <v>0</v>
      </c>
      <c r="AI49">
        <f t="shared" si="3"/>
        <v>0</v>
      </c>
      <c r="AJ49">
        <f t="shared" si="4"/>
        <v>0</v>
      </c>
      <c r="AK49">
        <f t="shared" si="5"/>
        <v>0</v>
      </c>
      <c r="AL49" s="11">
        <f>SUM(AH$5:AH49)/SUM(AK$5:AK49)</f>
        <v>0.967741935483871</v>
      </c>
      <c r="AM49" s="11">
        <f>SUM(AI$5:AI49)/SUM(AK$5:AK49)</f>
        <v>0.4838709677419355</v>
      </c>
      <c r="AN49" s="11">
        <f>SUM(AJ$5:AJ49)/SUM(AL$5:AL49)</f>
        <v>0.31290555155010807</v>
      </c>
    </row>
    <row r="50" spans="1:40" x14ac:dyDescent="0.35">
      <c r="A50" t="s">
        <v>148</v>
      </c>
      <c r="B50">
        <v>10</v>
      </c>
      <c r="C50" t="s">
        <v>7</v>
      </c>
      <c r="D50" t="s">
        <v>8</v>
      </c>
      <c r="E50" t="s">
        <v>46</v>
      </c>
      <c r="G50" t="s">
        <v>47</v>
      </c>
      <c r="I50" t="s">
        <v>61</v>
      </c>
      <c r="K50" t="s">
        <v>190</v>
      </c>
      <c r="O50">
        <v>0.5</v>
      </c>
      <c r="P50" t="s">
        <v>319</v>
      </c>
      <c r="Q50">
        <v>89.3</v>
      </c>
      <c r="R50">
        <v>1</v>
      </c>
      <c r="S50" s="9">
        <v>10</v>
      </c>
      <c r="T50" s="9">
        <v>0</v>
      </c>
      <c r="U50">
        <v>0</v>
      </c>
      <c r="V50">
        <v>0</v>
      </c>
      <c r="X50" s="26">
        <f t="shared" si="6"/>
        <v>2.1772262138036142E-4</v>
      </c>
      <c r="Y50" s="12">
        <f t="shared" si="7"/>
        <v>0.99353363814500317</v>
      </c>
      <c r="AA50" s="25">
        <f>IF(P50="*","-",IFERROR(VLOOKUP(P50,'AESS-W1'!$P$5:$T$126,4,FALSE),"-"))</f>
        <v>9</v>
      </c>
      <c r="AB50" s="25">
        <f>IF(P50="*","-",IFERROR(VLOOKUP(P50,'AESS-W3'!$P$5:$T$129,4,FALSE),"-"))</f>
        <v>14</v>
      </c>
      <c r="AC50" s="25">
        <f>IF(P50="*","-",IFERROR(VLOOKUP(P50,'All MECSM samples'!$P$4:$AD$454,15,FALSE),"-"))</f>
        <v>5160</v>
      </c>
      <c r="AD50" s="25"/>
      <c r="AE50">
        <v>15</v>
      </c>
      <c r="AF50">
        <v>338</v>
      </c>
      <c r="AH50">
        <f t="shared" si="2"/>
        <v>0</v>
      </c>
      <c r="AI50">
        <f t="shared" si="3"/>
        <v>0</v>
      </c>
      <c r="AJ50">
        <f t="shared" si="4"/>
        <v>0</v>
      </c>
      <c r="AK50">
        <f t="shared" si="5"/>
        <v>0</v>
      </c>
      <c r="AL50" s="11">
        <f>SUM(AH$5:AH50)/SUM(AK$5:AK50)</f>
        <v>0.967741935483871</v>
      </c>
      <c r="AM50" s="11">
        <f>SUM(AI$5:AI50)/SUM(AK$5:AK50)</f>
        <v>0.4838709677419355</v>
      </c>
      <c r="AN50" s="11">
        <f>SUM(AJ$5:AJ50)/SUM(AL$5:AL50)</f>
        <v>0.3062808750882145</v>
      </c>
    </row>
    <row r="51" spans="1:40" x14ac:dyDescent="0.35">
      <c r="A51" t="s">
        <v>159</v>
      </c>
      <c r="B51">
        <v>10</v>
      </c>
      <c r="C51" t="s">
        <v>7</v>
      </c>
      <c r="D51" t="s">
        <v>8</v>
      </c>
      <c r="E51" t="s">
        <v>46</v>
      </c>
      <c r="O51">
        <v>0.96</v>
      </c>
      <c r="P51" t="s">
        <v>330</v>
      </c>
      <c r="Q51">
        <v>90.9</v>
      </c>
      <c r="R51">
        <v>1</v>
      </c>
      <c r="S51" s="9">
        <v>10</v>
      </c>
      <c r="T51" s="9">
        <v>0</v>
      </c>
      <c r="U51">
        <v>0</v>
      </c>
      <c r="V51">
        <v>0</v>
      </c>
      <c r="X51" s="26">
        <f t="shared" si="6"/>
        <v>2.1772262138036142E-4</v>
      </c>
      <c r="Y51" s="12">
        <f t="shared" si="7"/>
        <v>0.99375136076638348</v>
      </c>
      <c r="AA51" s="25">
        <f>IF(P51="*","-",IFERROR(VLOOKUP(P51,'AESS-W1'!$P$5:$T$126,4,FALSE),"-"))</f>
        <v>10</v>
      </c>
      <c r="AB51" s="25">
        <f>IF(P51="*","-",IFERROR(VLOOKUP(P51,'AESS-W3'!$P$5:$T$129,4,FALSE),"-"))</f>
        <v>7</v>
      </c>
      <c r="AC51" s="25">
        <f>IF(P51="*","-",IFERROR(VLOOKUP(P51,'All MECSM samples'!$P$4:$AD$454,15,FALSE),"-"))</f>
        <v>3140</v>
      </c>
      <c r="AD51" s="25"/>
      <c r="AE51">
        <v>12</v>
      </c>
      <c r="AF51">
        <v>522</v>
      </c>
      <c r="AH51">
        <f t="shared" si="2"/>
        <v>0</v>
      </c>
      <c r="AI51">
        <f t="shared" si="3"/>
        <v>0</v>
      </c>
      <c r="AJ51">
        <f t="shared" si="4"/>
        <v>0</v>
      </c>
      <c r="AK51">
        <f t="shared" si="5"/>
        <v>0</v>
      </c>
      <c r="AL51" s="11">
        <f>SUM(AH$5:AH51)/SUM(AK$5:AK51)</f>
        <v>0.967741935483871</v>
      </c>
      <c r="AM51" s="11">
        <f>SUM(AI$5:AI51)/SUM(AK$5:AK51)</f>
        <v>0.4838709677419355</v>
      </c>
      <c r="AN51" s="11">
        <f>SUM(AJ$5:AJ51)/SUM(AL$5:AL51)</f>
        <v>0.29993089149965441</v>
      </c>
    </row>
    <row r="52" spans="1:40" x14ac:dyDescent="0.35">
      <c r="A52" t="s">
        <v>275</v>
      </c>
      <c r="B52">
        <v>10</v>
      </c>
      <c r="C52" t="s">
        <v>7</v>
      </c>
      <c r="D52" t="s">
        <v>8</v>
      </c>
      <c r="E52" t="s">
        <v>9</v>
      </c>
      <c r="G52" t="s">
        <v>243</v>
      </c>
      <c r="I52" t="s">
        <v>244</v>
      </c>
      <c r="K52" t="s">
        <v>245</v>
      </c>
      <c r="M52" t="s">
        <v>246</v>
      </c>
      <c r="O52">
        <v>0.98</v>
      </c>
      <c r="P52" t="s">
        <v>247</v>
      </c>
      <c r="Q52">
        <v>99.2</v>
      </c>
      <c r="R52">
        <v>1</v>
      </c>
      <c r="S52" s="9">
        <v>10</v>
      </c>
      <c r="T52" s="9">
        <v>0</v>
      </c>
      <c r="U52">
        <v>0</v>
      </c>
      <c r="V52">
        <v>0</v>
      </c>
      <c r="X52" s="26">
        <f t="shared" si="6"/>
        <v>2.1772262138036142E-4</v>
      </c>
      <c r="Y52" s="12">
        <f t="shared" si="7"/>
        <v>0.9939690833877638</v>
      </c>
      <c r="AA52" s="25">
        <f>IF(P52="*","-",IFERROR(VLOOKUP(P52,'AESS-W1'!$P$5:$T$126,4,FALSE),"-"))</f>
        <v>71</v>
      </c>
      <c r="AB52" s="25">
        <f>IF(P52="*","-",IFERROR(VLOOKUP(P52,'AESS-W3'!$P$5:$T$129,4,FALSE),"-"))</f>
        <v>13</v>
      </c>
      <c r="AC52" s="25">
        <f>IF(P52="*","-",IFERROR(VLOOKUP(P52,'All MECSM samples'!$P$4:$AD$454,15,FALSE),"-"))</f>
        <v>7416</v>
      </c>
      <c r="AD52" s="25"/>
      <c r="AE52">
        <v>0</v>
      </c>
      <c r="AF52">
        <v>0</v>
      </c>
      <c r="AH52">
        <f t="shared" si="2"/>
        <v>0</v>
      </c>
      <c r="AI52">
        <f t="shared" si="3"/>
        <v>0</v>
      </c>
      <c r="AJ52">
        <f t="shared" si="4"/>
        <v>0</v>
      </c>
      <c r="AK52">
        <f t="shared" si="5"/>
        <v>0</v>
      </c>
      <c r="AL52" s="11">
        <f>SUM(AH$5:AH52)/SUM(AK$5:AK52)</f>
        <v>0.967741935483871</v>
      </c>
      <c r="AM52" s="11">
        <f>SUM(AI$5:AI52)/SUM(AK$5:AK52)</f>
        <v>0.4838709677419355</v>
      </c>
      <c r="AN52" s="11">
        <f>SUM(AJ$5:AJ52)/SUM(AL$5:AL52)</f>
        <v>0.29383886255924163</v>
      </c>
    </row>
    <row r="53" spans="1:40" x14ac:dyDescent="0.35">
      <c r="A53" t="s">
        <v>209</v>
      </c>
      <c r="B53">
        <v>9</v>
      </c>
      <c r="C53" t="s">
        <v>7</v>
      </c>
      <c r="D53" t="s">
        <v>8</v>
      </c>
      <c r="E53" t="s">
        <v>46</v>
      </c>
      <c r="G53" t="s">
        <v>47</v>
      </c>
      <c r="I53" t="s">
        <v>61</v>
      </c>
      <c r="K53" t="s">
        <v>94</v>
      </c>
      <c r="M53" t="s">
        <v>316</v>
      </c>
      <c r="O53">
        <v>1</v>
      </c>
      <c r="P53" t="s">
        <v>317</v>
      </c>
      <c r="Q53">
        <v>100</v>
      </c>
      <c r="R53">
        <v>1</v>
      </c>
      <c r="S53" s="9">
        <v>9</v>
      </c>
      <c r="T53" s="9">
        <v>0</v>
      </c>
      <c r="U53">
        <v>0</v>
      </c>
      <c r="V53">
        <v>0</v>
      </c>
      <c r="X53" s="26">
        <f t="shared" si="6"/>
        <v>1.9595035924232528E-4</v>
      </c>
      <c r="Y53" s="12">
        <f t="shared" si="7"/>
        <v>0.99416503374700615</v>
      </c>
      <c r="AA53" s="25">
        <f>IF(P53="*","-",IFERROR(VLOOKUP(P53,'AESS-W1'!$P$5:$T$126,4,FALSE),"-"))</f>
        <v>18</v>
      </c>
      <c r="AB53" s="25">
        <f>IF(P53="*","-",IFERROR(VLOOKUP(P53,'AESS-W3'!$P$5:$T$129,4,FALSE),"-"))</f>
        <v>6</v>
      </c>
      <c r="AC53" s="25">
        <f>IF(P53="*","-",IFERROR(VLOOKUP(P53,'All MECSM samples'!$P$4:$AD$454,15,FALSE),"-"))</f>
        <v>2300</v>
      </c>
      <c r="AD53" s="25"/>
      <c r="AE53">
        <v>9</v>
      </c>
      <c r="AF53">
        <v>559</v>
      </c>
      <c r="AH53">
        <f t="shared" si="2"/>
        <v>0</v>
      </c>
      <c r="AI53">
        <f t="shared" si="3"/>
        <v>0</v>
      </c>
      <c r="AJ53">
        <f t="shared" si="4"/>
        <v>0</v>
      </c>
      <c r="AK53">
        <f t="shared" si="5"/>
        <v>0</v>
      </c>
      <c r="AL53" s="11">
        <f>SUM(AH$5:AH53)/SUM(AK$5:AK53)</f>
        <v>0.967741935483871</v>
      </c>
      <c r="AM53" s="11">
        <f>SUM(AI$5:AI53)/SUM(AK$5:AK53)</f>
        <v>0.4838709677419355</v>
      </c>
      <c r="AN53" s="11">
        <f>SUM(AJ$5:AJ53)/SUM(AL$5:AL53)</f>
        <v>0.28798938287989378</v>
      </c>
    </row>
    <row r="54" spans="1:40" x14ac:dyDescent="0.35">
      <c r="A54" t="s">
        <v>266</v>
      </c>
      <c r="B54">
        <v>9</v>
      </c>
      <c r="C54" t="s">
        <v>7</v>
      </c>
      <c r="D54" t="s">
        <v>8</v>
      </c>
      <c r="E54" t="s">
        <v>46</v>
      </c>
      <c r="G54" t="s">
        <v>47</v>
      </c>
      <c r="O54">
        <v>0.64</v>
      </c>
      <c r="P54" t="s">
        <v>438</v>
      </c>
      <c r="Q54">
        <v>89.7</v>
      </c>
      <c r="R54">
        <v>1</v>
      </c>
      <c r="S54" s="9">
        <v>9</v>
      </c>
      <c r="T54" s="9">
        <v>0</v>
      </c>
      <c r="U54">
        <v>0</v>
      </c>
      <c r="V54">
        <v>0</v>
      </c>
      <c r="X54" s="26">
        <f t="shared" si="6"/>
        <v>1.9595035924232528E-4</v>
      </c>
      <c r="Y54" s="12">
        <f t="shared" si="7"/>
        <v>0.99436098410624851</v>
      </c>
      <c r="AA54" s="25" t="str">
        <f>IF(P54="*","-",IFERROR(VLOOKUP(P54,'AESS-W1'!$P$5:$T$126,4,FALSE),"-"))</f>
        <v>-</v>
      </c>
      <c r="AB54" s="25" t="str">
        <f>IF(P54="*","-",IFERROR(VLOOKUP(P54,'AESS-W3'!$P$5:$T$129,4,FALSE),"-"))</f>
        <v>-</v>
      </c>
      <c r="AC54" s="25">
        <f>IF(P54="*","-",IFERROR(VLOOKUP(P54,'All MECSM samples'!$P$4:$AD$454,15,FALSE),"-"))</f>
        <v>60</v>
      </c>
      <c r="AD54" s="25"/>
      <c r="AE54">
        <v>100</v>
      </c>
      <c r="AF54">
        <v>96</v>
      </c>
      <c r="AH54">
        <f t="shared" si="2"/>
        <v>0</v>
      </c>
      <c r="AI54">
        <f t="shared" si="3"/>
        <v>0</v>
      </c>
      <c r="AJ54">
        <f t="shared" si="4"/>
        <v>0</v>
      </c>
      <c r="AK54">
        <f t="shared" si="5"/>
        <v>1</v>
      </c>
      <c r="AL54" s="11">
        <f>SUM(AH$5:AH54)/SUM(AK$5:AK54)</f>
        <v>0.9375</v>
      </c>
      <c r="AM54" s="11">
        <f>SUM(AI$5:AI54)/SUM(AK$5:AK54)</f>
        <v>0.46875</v>
      </c>
      <c r="AN54" s="11">
        <f>SUM(AJ$5:AJ54)/SUM(AL$5:AL54)</f>
        <v>0.28254058672742804</v>
      </c>
    </row>
    <row r="55" spans="1:40" x14ac:dyDescent="0.35">
      <c r="A55" t="s">
        <v>216</v>
      </c>
      <c r="B55">
        <v>9</v>
      </c>
      <c r="C55" t="s">
        <v>7</v>
      </c>
      <c r="D55" t="s">
        <v>8</v>
      </c>
      <c r="E55" t="s">
        <v>46</v>
      </c>
      <c r="G55" t="s">
        <v>47</v>
      </c>
      <c r="I55" t="s">
        <v>61</v>
      </c>
      <c r="K55" t="s">
        <v>210</v>
      </c>
      <c r="M55" t="s">
        <v>211</v>
      </c>
      <c r="O55">
        <v>0.98</v>
      </c>
      <c r="P55" t="s">
        <v>360</v>
      </c>
      <c r="Q55">
        <v>95.3</v>
      </c>
      <c r="R55">
        <v>1</v>
      </c>
      <c r="S55" s="9">
        <v>9</v>
      </c>
      <c r="T55" s="9">
        <v>0</v>
      </c>
      <c r="U55">
        <v>0</v>
      </c>
      <c r="V55">
        <v>0</v>
      </c>
      <c r="X55" s="26">
        <f t="shared" si="6"/>
        <v>1.9595035924232528E-4</v>
      </c>
      <c r="Y55" s="12">
        <f t="shared" si="7"/>
        <v>0.99455693446549087</v>
      </c>
      <c r="AA55" s="25">
        <f>IF(P55="*","-",IFERROR(VLOOKUP(P55,'AESS-W1'!$P$5:$T$126,4,FALSE),"-"))</f>
        <v>11</v>
      </c>
      <c r="AB55" s="25">
        <f>IF(P55="*","-",IFERROR(VLOOKUP(P55,'AESS-W3'!$P$5:$T$129,4,FALSE),"-"))</f>
        <v>2</v>
      </c>
      <c r="AC55" s="25">
        <f>IF(P55="*","-",IFERROR(VLOOKUP(P55,'All MECSM samples'!$P$4:$AD$454,15,FALSE),"-"))</f>
        <v>1108</v>
      </c>
      <c r="AD55" s="25"/>
      <c r="AE55">
        <v>25</v>
      </c>
      <c r="AF55">
        <v>1</v>
      </c>
      <c r="AH55">
        <f t="shared" si="2"/>
        <v>0</v>
      </c>
      <c r="AI55">
        <f t="shared" si="3"/>
        <v>0</v>
      </c>
      <c r="AJ55">
        <f t="shared" si="4"/>
        <v>0</v>
      </c>
      <c r="AK55">
        <f t="shared" si="5"/>
        <v>0</v>
      </c>
      <c r="AL55" s="11">
        <f>SUM(AH$5:AH55)/SUM(AK$5:AK55)</f>
        <v>0.9375</v>
      </c>
      <c r="AM55" s="11">
        <f>SUM(AI$5:AI55)/SUM(AK$5:AK55)</f>
        <v>0.46875</v>
      </c>
      <c r="AN55" s="11">
        <f>SUM(AJ$5:AJ55)/SUM(AL$5:AL55)</f>
        <v>0.27729414583499712</v>
      </c>
    </row>
    <row r="56" spans="1:40" x14ac:dyDescent="0.35">
      <c r="A56" t="s">
        <v>188</v>
      </c>
      <c r="B56">
        <v>9</v>
      </c>
      <c r="C56" t="s">
        <v>7</v>
      </c>
      <c r="D56" t="s">
        <v>8</v>
      </c>
      <c r="O56">
        <v>1</v>
      </c>
      <c r="P56" t="s">
        <v>457</v>
      </c>
      <c r="Q56">
        <v>87</v>
      </c>
      <c r="R56">
        <v>1</v>
      </c>
      <c r="S56" s="9">
        <v>9</v>
      </c>
      <c r="T56" s="9">
        <v>0</v>
      </c>
      <c r="U56">
        <v>0</v>
      </c>
      <c r="V56">
        <v>0</v>
      </c>
      <c r="X56" s="26">
        <f t="shared" si="6"/>
        <v>1.9595035924232528E-4</v>
      </c>
      <c r="Y56" s="12">
        <f t="shared" si="7"/>
        <v>0.99475288482473323</v>
      </c>
      <c r="AA56" s="25" t="str">
        <f>IF(P56="*","-",IFERROR(VLOOKUP(P56,'AESS-W1'!$P$5:$T$126,4,FALSE),"-"))</f>
        <v>-</v>
      </c>
      <c r="AB56" s="25" t="str">
        <f>IF(P56="*","-",IFERROR(VLOOKUP(P56,'AESS-W3'!$P$5:$T$129,4,FALSE),"-"))</f>
        <v>-</v>
      </c>
      <c r="AC56" s="25">
        <f>IF(P56="*","-",IFERROR(VLOOKUP(P56,'All MECSM samples'!$P$4:$AD$454,15,FALSE),"-"))</f>
        <v>9</v>
      </c>
      <c r="AD56" s="25"/>
      <c r="AE56">
        <v>74</v>
      </c>
      <c r="AF56">
        <v>99</v>
      </c>
      <c r="AH56">
        <f t="shared" si="2"/>
        <v>0</v>
      </c>
      <c r="AI56">
        <f t="shared" si="3"/>
        <v>0</v>
      </c>
      <c r="AJ56">
        <f t="shared" si="4"/>
        <v>0</v>
      </c>
      <c r="AK56">
        <f t="shared" si="5"/>
        <v>0</v>
      </c>
      <c r="AL56" s="11">
        <f>SUM(AH$5:AH56)/SUM(AK$5:AK56)</f>
        <v>0.9375</v>
      </c>
      <c r="AM56" s="11">
        <f>SUM(AI$5:AI56)/SUM(AK$5:AK56)</f>
        <v>0.46875</v>
      </c>
      <c r="AN56" s="11">
        <f>SUM(AJ$5:AJ56)/SUM(AL$5:AL56)</f>
        <v>0.27223899321754808</v>
      </c>
    </row>
    <row r="57" spans="1:40" x14ac:dyDescent="0.35">
      <c r="A57" t="s">
        <v>255</v>
      </c>
      <c r="B57">
        <v>9</v>
      </c>
      <c r="C57" t="s">
        <v>7</v>
      </c>
      <c r="D57" t="s">
        <v>8</v>
      </c>
      <c r="O57">
        <v>1</v>
      </c>
      <c r="P57" t="s">
        <v>343</v>
      </c>
      <c r="Q57">
        <v>87</v>
      </c>
      <c r="R57">
        <v>2</v>
      </c>
      <c r="S57" s="9">
        <v>9</v>
      </c>
      <c r="T57" s="9">
        <v>0</v>
      </c>
      <c r="U57">
        <v>0</v>
      </c>
      <c r="V57">
        <v>0</v>
      </c>
      <c r="X57" s="26">
        <f t="shared" si="6"/>
        <v>1.9595035924232528E-4</v>
      </c>
      <c r="Y57" s="12">
        <f t="shared" si="7"/>
        <v>0.99494883518397559</v>
      </c>
      <c r="AA57" s="25">
        <f>IF(P57="*","-",IFERROR(VLOOKUP(P57,'AESS-W1'!$P$5:$T$126,4,FALSE),"-"))</f>
        <v>11</v>
      </c>
      <c r="AB57" s="25" t="str">
        <f>IF(P57="*","-",IFERROR(VLOOKUP(P57,'AESS-W3'!$P$5:$T$129,4,FALSE),"-"))</f>
        <v>-</v>
      </c>
      <c r="AC57" s="25">
        <f>IF(P57="*","-",IFERROR(VLOOKUP(P57,'All MECSM samples'!$P$4:$AD$454,15,FALSE),"-"))</f>
        <v>1254</v>
      </c>
      <c r="AD57" s="25"/>
      <c r="AE57">
        <v>0</v>
      </c>
      <c r="AF57">
        <v>0</v>
      </c>
      <c r="AH57">
        <f t="shared" si="2"/>
        <v>0</v>
      </c>
      <c r="AI57">
        <f t="shared" si="3"/>
        <v>0</v>
      </c>
      <c r="AJ57">
        <f t="shared" si="4"/>
        <v>0</v>
      </c>
      <c r="AK57">
        <f t="shared" si="5"/>
        <v>0</v>
      </c>
      <c r="AL57" s="11">
        <f>SUM(AH$5:AH57)/SUM(AK$5:AK57)</f>
        <v>0.9375</v>
      </c>
      <c r="AM57" s="11">
        <f>SUM(AI$5:AI57)/SUM(AK$5:AK57)</f>
        <v>0.46875</v>
      </c>
      <c r="AN57" s="11">
        <f>SUM(AJ$5:AJ57)/SUM(AL$5:AL57)</f>
        <v>0.26736485445864772</v>
      </c>
    </row>
    <row r="58" spans="1:40" x14ac:dyDescent="0.35">
      <c r="A58" t="s">
        <v>149</v>
      </c>
      <c r="B58">
        <v>9</v>
      </c>
      <c r="C58" t="s">
        <v>7</v>
      </c>
      <c r="D58" t="s">
        <v>8</v>
      </c>
      <c r="E58" t="s">
        <v>32</v>
      </c>
      <c r="G58" t="s">
        <v>35</v>
      </c>
      <c r="I58" t="s">
        <v>36</v>
      </c>
      <c r="K58" t="s">
        <v>37</v>
      </c>
      <c r="O58">
        <v>0.67</v>
      </c>
      <c r="P58" t="s">
        <v>38</v>
      </c>
      <c r="Q58">
        <v>85.8</v>
      </c>
      <c r="R58">
        <v>1</v>
      </c>
      <c r="S58" s="9">
        <v>9</v>
      </c>
      <c r="T58" s="9">
        <v>0</v>
      </c>
      <c r="U58">
        <v>0</v>
      </c>
      <c r="V58">
        <v>0</v>
      </c>
      <c r="X58" s="26">
        <f t="shared" si="6"/>
        <v>1.9595035924232528E-4</v>
      </c>
      <c r="Y58" s="12">
        <f t="shared" si="7"/>
        <v>0.99514478554321795</v>
      </c>
      <c r="AA58" s="25">
        <f>IF(P58="*","-",IFERROR(VLOOKUP(P58,'AESS-W1'!$P$5:$T$126,4,FALSE),"-"))</f>
        <v>1270</v>
      </c>
      <c r="AB58" s="25">
        <f>IF(P58="*","-",IFERROR(VLOOKUP(P58,'AESS-W3'!$P$5:$T$129,4,FALSE),"-"))</f>
        <v>3116</v>
      </c>
      <c r="AC58" s="25">
        <f>IF(P58="*","-",IFERROR(VLOOKUP(P58,'All MECSM samples'!$P$4:$AD$454,15,FALSE),"-"))</f>
        <v>3129</v>
      </c>
      <c r="AD58" s="25"/>
      <c r="AE58">
        <v>0</v>
      </c>
      <c r="AF58">
        <v>0</v>
      </c>
      <c r="AH58">
        <f t="shared" si="2"/>
        <v>0</v>
      </c>
      <c r="AI58">
        <f t="shared" si="3"/>
        <v>0</v>
      </c>
      <c r="AJ58">
        <f t="shared" si="4"/>
        <v>0</v>
      </c>
      <c r="AK58">
        <f t="shared" si="5"/>
        <v>0</v>
      </c>
      <c r="AL58" s="11">
        <f>SUM(AH$5:AH58)/SUM(AK$5:AK58)</f>
        <v>0.9375</v>
      </c>
      <c r="AM58" s="11">
        <f>SUM(AI$5:AI58)/SUM(AK$5:AK58)</f>
        <v>0.46875</v>
      </c>
      <c r="AN58" s="11">
        <f>SUM(AJ$5:AJ58)/SUM(AL$5:AL58)</f>
        <v>0.26266217800809466</v>
      </c>
    </row>
    <row r="59" spans="1:40" x14ac:dyDescent="0.35">
      <c r="A59" t="s">
        <v>171</v>
      </c>
      <c r="B59">
        <v>9</v>
      </c>
      <c r="C59" t="s">
        <v>7</v>
      </c>
      <c r="D59" t="s">
        <v>8</v>
      </c>
      <c r="E59" t="s">
        <v>32</v>
      </c>
      <c r="G59" t="s">
        <v>35</v>
      </c>
      <c r="I59" t="s">
        <v>36</v>
      </c>
      <c r="K59" t="s">
        <v>37</v>
      </c>
      <c r="M59" t="s">
        <v>425</v>
      </c>
      <c r="O59">
        <v>0.99</v>
      </c>
      <c r="P59" t="s">
        <v>426</v>
      </c>
      <c r="Q59">
        <v>93.3</v>
      </c>
      <c r="R59">
        <v>1</v>
      </c>
      <c r="S59" s="9">
        <v>9</v>
      </c>
      <c r="T59" s="9">
        <v>0</v>
      </c>
      <c r="U59">
        <v>0</v>
      </c>
      <c r="V59">
        <v>0</v>
      </c>
      <c r="X59" s="26">
        <f t="shared" si="6"/>
        <v>1.9595035924232528E-4</v>
      </c>
      <c r="Y59" s="12">
        <f t="shared" si="7"/>
        <v>0.99534073590246031</v>
      </c>
      <c r="AA59" s="25" t="str">
        <f>IF(P59="*","-",IFERROR(VLOOKUP(P59,'AESS-W1'!$P$5:$T$126,4,FALSE),"-"))</f>
        <v>-</v>
      </c>
      <c r="AB59" s="25">
        <f>IF(P59="*","-",IFERROR(VLOOKUP(P59,'AESS-W3'!$P$5:$T$129,4,FALSE),"-"))</f>
        <v>2</v>
      </c>
      <c r="AC59" s="25">
        <f>IF(P59="*","-",IFERROR(VLOOKUP(P59,'All MECSM samples'!$P$4:$AD$454,15,FALSE),"-"))</f>
        <v>9</v>
      </c>
      <c r="AD59" s="25"/>
      <c r="AE59">
        <v>1</v>
      </c>
      <c r="AF59">
        <v>728</v>
      </c>
      <c r="AH59">
        <f t="shared" si="2"/>
        <v>0</v>
      </c>
      <c r="AI59">
        <f t="shared" si="3"/>
        <v>0</v>
      </c>
      <c r="AJ59">
        <f t="shared" si="4"/>
        <v>0</v>
      </c>
      <c r="AK59">
        <f t="shared" si="5"/>
        <v>0</v>
      </c>
      <c r="AL59" s="11">
        <f>SUM(AH$5:AH59)/SUM(AK$5:AK59)</f>
        <v>0.9375</v>
      </c>
      <c r="AM59" s="11">
        <f>SUM(AI$5:AI59)/SUM(AK$5:AK59)</f>
        <v>0.46875</v>
      </c>
      <c r="AN59" s="11">
        <f>SUM(AJ$5:AJ59)/SUM(AL$5:AL59)</f>
        <v>0.25812207270834875</v>
      </c>
    </row>
    <row r="60" spans="1:40" x14ac:dyDescent="0.35">
      <c r="A60" t="s">
        <v>214</v>
      </c>
      <c r="B60">
        <v>8</v>
      </c>
      <c r="C60" t="s">
        <v>7</v>
      </c>
      <c r="D60" t="s">
        <v>24</v>
      </c>
      <c r="E60" t="s">
        <v>25</v>
      </c>
      <c r="G60" t="s">
        <v>26</v>
      </c>
      <c r="I60" t="s">
        <v>27</v>
      </c>
      <c r="K60" t="s">
        <v>28</v>
      </c>
      <c r="M60" t="s">
        <v>29</v>
      </c>
      <c r="O60">
        <v>1</v>
      </c>
      <c r="P60" t="s">
        <v>408</v>
      </c>
      <c r="Q60">
        <v>99.6</v>
      </c>
      <c r="R60">
        <v>1</v>
      </c>
      <c r="S60" s="9">
        <v>8</v>
      </c>
      <c r="T60" s="9">
        <v>0</v>
      </c>
      <c r="U60">
        <v>0</v>
      </c>
      <c r="V60">
        <v>0</v>
      </c>
      <c r="X60" s="26">
        <f t="shared" si="6"/>
        <v>1.7417809710428914E-4</v>
      </c>
      <c r="Y60" s="12">
        <f t="shared" si="7"/>
        <v>0.9955149139995646</v>
      </c>
      <c r="AA60" s="25" t="str">
        <f>IF(P60="*","-",IFERROR(VLOOKUP(P60,'AESS-W1'!$P$5:$T$126,4,FALSE),"-"))</f>
        <v>-</v>
      </c>
      <c r="AB60" s="25" t="str">
        <f>IF(P60="*","-",IFERROR(VLOOKUP(P60,'AESS-W3'!$P$5:$T$129,4,FALSE),"-"))</f>
        <v>-</v>
      </c>
      <c r="AC60" s="25" t="str">
        <f>IF(P60="*","-",IFERROR(VLOOKUP(P60,'All MECSM samples'!$P$4:$AD$454,15,FALSE),"-"))</f>
        <v>-</v>
      </c>
      <c r="AD60" s="25"/>
      <c r="AE60">
        <v>5</v>
      </c>
      <c r="AF60">
        <v>1</v>
      </c>
      <c r="AH60">
        <f t="shared" si="2"/>
        <v>0</v>
      </c>
      <c r="AI60">
        <f t="shared" si="3"/>
        <v>0</v>
      </c>
      <c r="AJ60">
        <f t="shared" si="4"/>
        <v>0</v>
      </c>
      <c r="AK60">
        <f t="shared" si="5"/>
        <v>0</v>
      </c>
      <c r="AL60" s="11">
        <f>SUM(AH$5:AH60)/SUM(AK$5:AK60)</f>
        <v>0.9375</v>
      </c>
      <c r="AM60" s="11">
        <f>SUM(AI$5:AI60)/SUM(AK$5:AK60)</f>
        <v>0.46875</v>
      </c>
      <c r="AN60" s="11">
        <f>SUM(AJ$5:AJ60)/SUM(AL$5:AL60)</f>
        <v>0.25373625168999153</v>
      </c>
    </row>
    <row r="61" spans="1:40" x14ac:dyDescent="0.35">
      <c r="A61" t="s">
        <v>189</v>
      </c>
      <c r="B61">
        <v>8</v>
      </c>
      <c r="C61" t="s">
        <v>7</v>
      </c>
      <c r="D61" t="s">
        <v>8</v>
      </c>
      <c r="E61" t="s">
        <v>32</v>
      </c>
      <c r="O61">
        <v>1</v>
      </c>
      <c r="P61" t="s">
        <v>217</v>
      </c>
      <c r="Q61">
        <v>87</v>
      </c>
      <c r="R61">
        <v>3</v>
      </c>
      <c r="S61" s="9">
        <v>8</v>
      </c>
      <c r="T61" s="9">
        <v>0</v>
      </c>
      <c r="U61">
        <v>0</v>
      </c>
      <c r="V61">
        <v>0</v>
      </c>
      <c r="X61" s="26">
        <f t="shared" si="6"/>
        <v>1.7417809710428914E-4</v>
      </c>
      <c r="Y61" s="12">
        <f t="shared" si="7"/>
        <v>0.99568909209666889</v>
      </c>
      <c r="AA61" s="25">
        <f>IF(P61="*","-",IFERROR(VLOOKUP(P61,'AESS-W1'!$P$5:$T$126,4,FALSE),"-"))</f>
        <v>125</v>
      </c>
      <c r="AB61" s="25" t="str">
        <f>IF(P61="*","-",IFERROR(VLOOKUP(P61,'AESS-W3'!$P$5:$T$129,4,FALSE),"-"))</f>
        <v>-</v>
      </c>
      <c r="AC61" s="25">
        <f>IF(P61="*","-",IFERROR(VLOOKUP(P61,'All MECSM samples'!$P$4:$AD$454,15,FALSE),"-"))</f>
        <v>257</v>
      </c>
      <c r="AD61" s="25"/>
      <c r="AE61">
        <v>2</v>
      </c>
      <c r="AF61">
        <v>732</v>
      </c>
      <c r="AH61">
        <f t="shared" si="2"/>
        <v>0</v>
      </c>
      <c r="AI61">
        <f t="shared" si="3"/>
        <v>0</v>
      </c>
      <c r="AJ61">
        <f t="shared" si="4"/>
        <v>0</v>
      </c>
      <c r="AK61">
        <f t="shared" si="5"/>
        <v>0</v>
      </c>
      <c r="AL61" s="11">
        <f>SUM(AH$5:AH61)/SUM(AK$5:AK61)</f>
        <v>0.9375</v>
      </c>
      <c r="AM61" s="11">
        <f>SUM(AI$5:AI61)/SUM(AK$5:AK61)</f>
        <v>0.46875</v>
      </c>
      <c r="AN61" s="11">
        <f>SUM(AJ$5:AJ61)/SUM(AL$5:AL61)</f>
        <v>0.24949698189134803</v>
      </c>
    </row>
    <row r="62" spans="1:40" x14ac:dyDescent="0.35">
      <c r="A62" t="s">
        <v>223</v>
      </c>
      <c r="B62">
        <v>7</v>
      </c>
      <c r="C62" t="s">
        <v>7</v>
      </c>
      <c r="D62" t="s">
        <v>8</v>
      </c>
      <c r="E62" t="s">
        <v>9</v>
      </c>
      <c r="G62" t="s">
        <v>138</v>
      </c>
      <c r="I62" t="s">
        <v>345</v>
      </c>
      <c r="K62" t="s">
        <v>377</v>
      </c>
      <c r="M62" t="s">
        <v>378</v>
      </c>
      <c r="O62">
        <v>1</v>
      </c>
      <c r="P62" t="s">
        <v>379</v>
      </c>
      <c r="Q62">
        <v>100</v>
      </c>
      <c r="R62">
        <v>1</v>
      </c>
      <c r="S62" s="9">
        <v>7</v>
      </c>
      <c r="T62" s="9">
        <v>0</v>
      </c>
      <c r="U62">
        <v>0</v>
      </c>
      <c r="V62">
        <v>0</v>
      </c>
      <c r="X62" s="26">
        <f t="shared" si="6"/>
        <v>1.52405834966253E-4</v>
      </c>
      <c r="Y62" s="12">
        <f t="shared" si="7"/>
        <v>0.99584149793163512</v>
      </c>
      <c r="AA62" s="25">
        <f>IF(P62="*","-",IFERROR(VLOOKUP(P62,'AESS-W1'!$P$5:$T$126,4,FALSE),"-"))</f>
        <v>5</v>
      </c>
      <c r="AB62" s="25" t="str">
        <f>IF(P62="*","-",IFERROR(VLOOKUP(P62,'AESS-W3'!$P$5:$T$129,4,FALSE),"-"))</f>
        <v>-</v>
      </c>
      <c r="AC62" s="25">
        <f>IF(P62="*","-",IFERROR(VLOOKUP(P62,'All MECSM samples'!$P$4:$AD$454,15,FALSE),"-"))</f>
        <v>3448</v>
      </c>
      <c r="AD62" s="25"/>
      <c r="AE62">
        <v>0</v>
      </c>
      <c r="AF62">
        <v>0</v>
      </c>
      <c r="AH62">
        <f t="shared" si="2"/>
        <v>0</v>
      </c>
      <c r="AI62">
        <f t="shared" si="3"/>
        <v>0</v>
      </c>
      <c r="AJ62">
        <f t="shared" si="4"/>
        <v>0</v>
      </c>
      <c r="AK62">
        <f t="shared" si="5"/>
        <v>0</v>
      </c>
      <c r="AL62" s="11">
        <f>SUM(AH$5:AH62)/SUM(AK$5:AK62)</f>
        <v>0.9375</v>
      </c>
      <c r="AM62" s="11">
        <f>SUM(AI$5:AI62)/SUM(AK$5:AK62)</f>
        <v>0.46875</v>
      </c>
      <c r="AN62" s="11">
        <f>SUM(AJ$5:AJ62)/SUM(AL$5:AL62)</f>
        <v>0.24539703855532383</v>
      </c>
    </row>
    <row r="63" spans="1:40" x14ac:dyDescent="0.35">
      <c r="A63" t="s">
        <v>234</v>
      </c>
      <c r="B63">
        <v>7</v>
      </c>
      <c r="C63" t="s">
        <v>7</v>
      </c>
      <c r="D63" t="s">
        <v>8</v>
      </c>
      <c r="E63" t="s">
        <v>46</v>
      </c>
      <c r="G63" t="s">
        <v>364</v>
      </c>
      <c r="I63" t="s">
        <v>365</v>
      </c>
      <c r="K63" t="s">
        <v>366</v>
      </c>
      <c r="M63" t="s">
        <v>367</v>
      </c>
      <c r="O63">
        <v>0.97</v>
      </c>
      <c r="P63" t="s">
        <v>414</v>
      </c>
      <c r="Q63">
        <v>100</v>
      </c>
      <c r="R63">
        <v>4</v>
      </c>
      <c r="S63" s="9">
        <v>7</v>
      </c>
      <c r="T63" s="9">
        <v>0</v>
      </c>
      <c r="U63">
        <v>0</v>
      </c>
      <c r="V63">
        <v>0</v>
      </c>
      <c r="X63" s="26">
        <f t="shared" si="6"/>
        <v>1.52405834966253E-4</v>
      </c>
      <c r="Y63" s="12">
        <f t="shared" si="7"/>
        <v>0.99599390376660135</v>
      </c>
      <c r="AA63" s="25" t="str">
        <f>IF(P63="*","-",IFERROR(VLOOKUP(P63,'AESS-W1'!$P$5:$T$126,4,FALSE),"-"))</f>
        <v>-</v>
      </c>
      <c r="AB63" s="25">
        <f>IF(P63="*","-",IFERROR(VLOOKUP(P63,'AESS-W3'!$P$5:$T$129,4,FALSE),"-"))</f>
        <v>5</v>
      </c>
      <c r="AC63" s="25">
        <f>IF(P63="*","-",IFERROR(VLOOKUP(P63,'All MECSM samples'!$P$4:$AD$454,15,FALSE),"-"))</f>
        <v>30</v>
      </c>
      <c r="AD63" s="25"/>
      <c r="AE63">
        <v>0</v>
      </c>
      <c r="AF63">
        <v>0</v>
      </c>
      <c r="AH63">
        <f t="shared" si="2"/>
        <v>0</v>
      </c>
      <c r="AI63">
        <f t="shared" si="3"/>
        <v>0</v>
      </c>
      <c r="AJ63">
        <f t="shared" si="4"/>
        <v>0</v>
      </c>
      <c r="AK63">
        <f t="shared" si="5"/>
        <v>0</v>
      </c>
      <c r="AL63" s="11">
        <f>SUM(AH$5:AH63)/SUM(AK$5:AK63)</f>
        <v>0.9375</v>
      </c>
      <c r="AM63" s="11">
        <f>SUM(AI$5:AI63)/SUM(AK$5:AK63)</f>
        <v>0.46875</v>
      </c>
      <c r="AN63" s="11">
        <f>SUM(AJ$5:AJ63)/SUM(AL$5:AL63)</f>
        <v>0.24142966414018491</v>
      </c>
    </row>
    <row r="64" spans="1:40" x14ac:dyDescent="0.35">
      <c r="A64" t="s">
        <v>237</v>
      </c>
      <c r="B64">
        <v>7</v>
      </c>
      <c r="C64" t="s">
        <v>7</v>
      </c>
      <c r="D64" t="s">
        <v>8</v>
      </c>
      <c r="E64" t="s">
        <v>46</v>
      </c>
      <c r="G64" t="s">
        <v>64</v>
      </c>
      <c r="I64" t="s">
        <v>65</v>
      </c>
      <c r="K64" t="s">
        <v>66</v>
      </c>
      <c r="O64">
        <v>0.53</v>
      </c>
      <c r="P64" t="s">
        <v>67</v>
      </c>
      <c r="Q64">
        <v>88.5</v>
      </c>
      <c r="R64">
        <v>2</v>
      </c>
      <c r="S64" s="9">
        <v>7</v>
      </c>
      <c r="T64" s="9">
        <v>0</v>
      </c>
      <c r="U64">
        <v>0</v>
      </c>
      <c r="V64">
        <v>0</v>
      </c>
      <c r="X64" s="26">
        <f t="shared" si="6"/>
        <v>1.52405834966253E-4</v>
      </c>
      <c r="Y64" s="12">
        <f t="shared" si="7"/>
        <v>0.99614630960156758</v>
      </c>
      <c r="AA64" s="25" t="str">
        <f>IF(P64="*","-",IFERROR(VLOOKUP(P64,'AESS-W1'!$P$5:$T$126,4,FALSE),"-"))</f>
        <v>-</v>
      </c>
      <c r="AB64" s="25">
        <f>IF(P64="*","-",IFERROR(VLOOKUP(P64,'AESS-W3'!$P$5:$T$129,4,FALSE),"-"))</f>
        <v>533</v>
      </c>
      <c r="AC64" s="25">
        <f>IF(P64="*","-",IFERROR(VLOOKUP(P64,'All MECSM samples'!$P$4:$AD$454,15,FALSE),"-"))</f>
        <v>945</v>
      </c>
      <c r="AD64" s="25"/>
      <c r="AE64">
        <v>31</v>
      </c>
      <c r="AF64">
        <v>1</v>
      </c>
      <c r="AH64">
        <f t="shared" si="2"/>
        <v>0</v>
      </c>
      <c r="AI64">
        <f t="shared" si="3"/>
        <v>0</v>
      </c>
      <c r="AJ64">
        <f t="shared" si="4"/>
        <v>0</v>
      </c>
      <c r="AK64">
        <f t="shared" si="5"/>
        <v>0</v>
      </c>
      <c r="AL64" s="11">
        <f>SUM(AH$5:AH64)/SUM(AK$5:AK64)</f>
        <v>0.9375</v>
      </c>
      <c r="AM64" s="11">
        <f>SUM(AI$5:AI64)/SUM(AK$5:AK64)</f>
        <v>0.46875</v>
      </c>
      <c r="AN64" s="11">
        <f>SUM(AJ$5:AJ64)/SUM(AL$5:AL64)</f>
        <v>0.23758853115270123</v>
      </c>
    </row>
    <row r="65" spans="1:40" x14ac:dyDescent="0.35">
      <c r="A65" t="s">
        <v>253</v>
      </c>
      <c r="B65">
        <v>7</v>
      </c>
      <c r="C65" t="s">
        <v>7</v>
      </c>
      <c r="D65" t="s">
        <v>8</v>
      </c>
      <c r="E65" t="s">
        <v>165</v>
      </c>
      <c r="G65" t="s">
        <v>166</v>
      </c>
      <c r="I65" t="s">
        <v>167</v>
      </c>
      <c r="K65" t="s">
        <v>168</v>
      </c>
      <c r="M65" t="s">
        <v>405</v>
      </c>
      <c r="O65">
        <v>0.88</v>
      </c>
      <c r="P65" t="s">
        <v>406</v>
      </c>
      <c r="Q65">
        <v>91.7</v>
      </c>
      <c r="R65">
        <v>1</v>
      </c>
      <c r="S65" s="9">
        <v>7</v>
      </c>
      <c r="T65" s="9">
        <v>0</v>
      </c>
      <c r="U65">
        <v>0</v>
      </c>
      <c r="V65">
        <v>0</v>
      </c>
      <c r="X65" s="26">
        <f t="shared" si="6"/>
        <v>1.52405834966253E-4</v>
      </c>
      <c r="Y65" s="12">
        <f t="shared" si="7"/>
        <v>0.99629871543653381</v>
      </c>
      <c r="AA65" s="25" t="str">
        <f>IF(P65="*","-",IFERROR(VLOOKUP(P65,'AESS-W1'!$P$5:$T$126,4,FALSE),"-"))</f>
        <v>-</v>
      </c>
      <c r="AB65" s="25" t="str">
        <f>IF(P65="*","-",IFERROR(VLOOKUP(P65,'AESS-W3'!$P$5:$T$129,4,FALSE),"-"))</f>
        <v>-</v>
      </c>
      <c r="AC65" s="25">
        <f>IF(P65="*","-",IFERROR(VLOOKUP(P65,'All MECSM samples'!$P$4:$AD$454,15,FALSE),"-"))</f>
        <v>774</v>
      </c>
      <c r="AD65" s="25"/>
      <c r="AE65">
        <v>8</v>
      </c>
      <c r="AF65">
        <v>29</v>
      </c>
      <c r="AH65">
        <f t="shared" si="2"/>
        <v>0</v>
      </c>
      <c r="AI65">
        <f t="shared" si="3"/>
        <v>0</v>
      </c>
      <c r="AJ65">
        <f t="shared" si="4"/>
        <v>0</v>
      </c>
      <c r="AK65">
        <f t="shared" si="5"/>
        <v>0</v>
      </c>
      <c r="AL65" s="11">
        <f>SUM(AH$5:AH65)/SUM(AK$5:AK65)</f>
        <v>0.9375</v>
      </c>
      <c r="AM65" s="11">
        <f>SUM(AI$5:AI65)/SUM(AK$5:AK65)</f>
        <v>0.46875</v>
      </c>
      <c r="AN65" s="11">
        <f>SUM(AJ$5:AJ65)/SUM(AL$5:AL65)</f>
        <v>0.23386770847366289</v>
      </c>
    </row>
    <row r="66" spans="1:40" x14ac:dyDescent="0.35">
      <c r="A66" t="s">
        <v>267</v>
      </c>
      <c r="B66">
        <v>6</v>
      </c>
      <c r="C66" t="s">
        <v>7</v>
      </c>
      <c r="D66" t="s">
        <v>8</v>
      </c>
      <c r="E66" t="s">
        <v>46</v>
      </c>
      <c r="G66" t="s">
        <v>47</v>
      </c>
      <c r="I66" t="s">
        <v>69</v>
      </c>
      <c r="K66" t="s">
        <v>70</v>
      </c>
      <c r="O66">
        <v>0.55000000000000004</v>
      </c>
      <c r="P66" t="s">
        <v>610</v>
      </c>
      <c r="Q66">
        <v>89.7</v>
      </c>
      <c r="R66">
        <v>2</v>
      </c>
      <c r="S66" s="9">
        <v>6</v>
      </c>
      <c r="T66" s="9">
        <v>0</v>
      </c>
      <c r="U66">
        <v>0</v>
      </c>
      <c r="V66">
        <v>0</v>
      </c>
      <c r="X66" s="26">
        <f t="shared" si="6"/>
        <v>1.3063357282821686E-4</v>
      </c>
      <c r="Y66" s="12">
        <f t="shared" si="7"/>
        <v>0.99642934900936198</v>
      </c>
      <c r="AA66" s="25" t="str">
        <f>IF(P66="*","-",IFERROR(VLOOKUP(P66,'AESS-W1'!$P$5:$T$126,4,FALSE),"-"))</f>
        <v>-</v>
      </c>
      <c r="AB66" s="25">
        <f>IF(P66="*","-",IFERROR(VLOOKUP(P66,'AESS-W3'!$P$5:$T$129,4,FALSE),"-"))</f>
        <v>32</v>
      </c>
      <c r="AC66" s="25">
        <f>IF(P66="*","-",IFERROR(VLOOKUP(P66,'All MECSM samples'!$P$4:$AD$454,15,FALSE),"-"))</f>
        <v>33</v>
      </c>
      <c r="AD66" s="25"/>
      <c r="AE66">
        <v>100</v>
      </c>
      <c r="AF66">
        <v>84</v>
      </c>
      <c r="AH66">
        <f t="shared" si="2"/>
        <v>0</v>
      </c>
      <c r="AI66">
        <f t="shared" si="3"/>
        <v>0</v>
      </c>
      <c r="AJ66">
        <f t="shared" si="4"/>
        <v>0</v>
      </c>
      <c r="AK66">
        <f t="shared" si="5"/>
        <v>1</v>
      </c>
      <c r="AL66" s="11">
        <f>SUM(AH$5:AH66)/SUM(AK$5:AK66)</f>
        <v>0.90909090909090906</v>
      </c>
      <c r="AM66" s="11">
        <f>SUM(AI$5:AI66)/SUM(AK$5:AK66)</f>
        <v>0.45454545454545453</v>
      </c>
      <c r="AN66" s="11">
        <f>SUM(AJ$5:AJ66)/SUM(AL$5:AL66)</f>
        <v>0.23036927122917492</v>
      </c>
    </row>
    <row r="67" spans="1:40" x14ac:dyDescent="0.35">
      <c r="A67" t="s">
        <v>218</v>
      </c>
      <c r="B67">
        <v>6</v>
      </c>
      <c r="C67" t="s">
        <v>7</v>
      </c>
      <c r="D67" t="s">
        <v>8</v>
      </c>
      <c r="E67" t="s">
        <v>32</v>
      </c>
      <c r="O67">
        <v>0.99</v>
      </c>
      <c r="P67" t="s">
        <v>375</v>
      </c>
      <c r="Q67">
        <v>86.6</v>
      </c>
      <c r="R67">
        <v>2</v>
      </c>
      <c r="S67" s="9">
        <v>6</v>
      </c>
      <c r="T67" s="9">
        <v>0</v>
      </c>
      <c r="U67">
        <v>0</v>
      </c>
      <c r="V67">
        <v>0</v>
      </c>
      <c r="X67" s="26">
        <f t="shared" si="6"/>
        <v>1.3063357282821686E-4</v>
      </c>
      <c r="Y67" s="12">
        <f t="shared" si="7"/>
        <v>0.99655998258219014</v>
      </c>
      <c r="AA67" s="25" t="str">
        <f>IF(P67="*","-",IFERROR(VLOOKUP(P67,'AESS-W1'!$P$5:$T$126,4,FALSE),"-"))</f>
        <v>-</v>
      </c>
      <c r="AB67" s="25">
        <f>IF(P67="*","-",IFERROR(VLOOKUP(P67,'AESS-W3'!$P$5:$T$129,4,FALSE),"-"))</f>
        <v>6</v>
      </c>
      <c r="AC67" s="25">
        <f>IF(P67="*","-",IFERROR(VLOOKUP(P67,'All MECSM samples'!$P$4:$AD$454,15,FALSE),"-"))</f>
        <v>2087</v>
      </c>
      <c r="AD67" s="25"/>
      <c r="AE67">
        <v>0</v>
      </c>
      <c r="AF67">
        <v>0</v>
      </c>
      <c r="AH67">
        <f t="shared" si="2"/>
        <v>0</v>
      </c>
      <c r="AI67">
        <f t="shared" si="3"/>
        <v>0</v>
      </c>
      <c r="AJ67">
        <f t="shared" si="4"/>
        <v>0</v>
      </c>
      <c r="AK67">
        <f t="shared" si="5"/>
        <v>0</v>
      </c>
      <c r="AL67" s="11">
        <f>SUM(AH$5:AH67)/SUM(AK$5:AK67)</f>
        <v>0.90909090909090906</v>
      </c>
      <c r="AM67" s="11">
        <f>SUM(AI$5:AI67)/SUM(AK$5:AK67)</f>
        <v>0.45454545454545453</v>
      </c>
      <c r="AN67" s="11">
        <f>SUM(AJ$5:AJ67)/SUM(AL$5:AL67)</f>
        <v>0.22697395789999167</v>
      </c>
    </row>
    <row r="68" spans="1:40" x14ac:dyDescent="0.35">
      <c r="A68" t="s">
        <v>289</v>
      </c>
      <c r="B68">
        <v>6</v>
      </c>
      <c r="C68" t="s">
        <v>7</v>
      </c>
      <c r="D68" t="s">
        <v>8</v>
      </c>
      <c r="E68" t="s">
        <v>46</v>
      </c>
      <c r="G68" t="s">
        <v>47</v>
      </c>
      <c r="I68" t="s">
        <v>61</v>
      </c>
      <c r="O68">
        <v>1</v>
      </c>
      <c r="P68" t="s">
        <v>381</v>
      </c>
      <c r="Q68">
        <v>94.9</v>
      </c>
      <c r="R68">
        <v>1</v>
      </c>
      <c r="S68" s="9">
        <v>6</v>
      </c>
      <c r="T68" s="9">
        <v>0</v>
      </c>
      <c r="U68">
        <v>0</v>
      </c>
      <c r="V68">
        <v>0</v>
      </c>
      <c r="X68" s="26">
        <f t="shared" si="6"/>
        <v>1.3063357282821686E-4</v>
      </c>
      <c r="Y68" s="12">
        <f t="shared" si="7"/>
        <v>0.99669061615501831</v>
      </c>
      <c r="AA68" s="25">
        <f>IF(P68="*","-",IFERROR(VLOOKUP(P68,'AESS-W1'!$P$5:$T$126,4,FALSE),"-"))</f>
        <v>5</v>
      </c>
      <c r="AB68" s="25">
        <f>IF(P68="*","-",IFERROR(VLOOKUP(P68,'AESS-W3'!$P$5:$T$129,4,FALSE),"-"))</f>
        <v>5</v>
      </c>
      <c r="AC68" s="25">
        <f>IF(P68="*","-",IFERROR(VLOOKUP(P68,'All MECSM samples'!$P$4:$AD$454,15,FALSE),"-"))</f>
        <v>932</v>
      </c>
      <c r="AD68" s="25"/>
      <c r="AE68">
        <v>22</v>
      </c>
      <c r="AF68">
        <v>273</v>
      </c>
      <c r="AH68">
        <f t="shared" si="2"/>
        <v>0</v>
      </c>
      <c r="AI68">
        <f t="shared" si="3"/>
        <v>0</v>
      </c>
      <c r="AJ68">
        <f t="shared" si="4"/>
        <v>0</v>
      </c>
      <c r="AK68">
        <f t="shared" si="5"/>
        <v>0</v>
      </c>
      <c r="AL68" s="11">
        <f>SUM(AH$5:AH68)/SUM(AK$5:AK68)</f>
        <v>0.90909090909090906</v>
      </c>
      <c r="AM68" s="11">
        <f>SUM(AI$5:AI68)/SUM(AK$5:AK68)</f>
        <v>0.45454545454545453</v>
      </c>
      <c r="AN68" s="11">
        <f>SUM(AJ$5:AJ68)/SUM(AL$5:AL68)</f>
        <v>0.22367727501669143</v>
      </c>
    </row>
    <row r="69" spans="1:40" x14ac:dyDescent="0.35">
      <c r="A69" t="s">
        <v>603</v>
      </c>
      <c r="B69">
        <v>6</v>
      </c>
      <c r="C69" t="s">
        <v>7</v>
      </c>
      <c r="D69" t="s">
        <v>8</v>
      </c>
      <c r="E69" t="s">
        <v>32</v>
      </c>
      <c r="O69">
        <v>1</v>
      </c>
      <c r="P69" t="s">
        <v>144</v>
      </c>
      <c r="Q69">
        <v>85.8</v>
      </c>
      <c r="R69">
        <v>1</v>
      </c>
      <c r="S69" s="9">
        <v>6</v>
      </c>
      <c r="T69" s="9">
        <v>0</v>
      </c>
      <c r="U69">
        <v>0</v>
      </c>
      <c r="V69">
        <v>0</v>
      </c>
      <c r="X69" s="26">
        <f t="shared" ref="X69:X100" si="8">S69/S$1</f>
        <v>1.3063357282821686E-4</v>
      </c>
      <c r="Y69" s="12">
        <f t="shared" si="7"/>
        <v>0.99682124972784647</v>
      </c>
      <c r="AA69" s="25">
        <f>IF(P69="*","-",IFERROR(VLOOKUP(P69,'AESS-W1'!$P$5:$T$126,4,FALSE),"-"))</f>
        <v>53</v>
      </c>
      <c r="AB69" s="25">
        <f>IF(P69="*","-",IFERROR(VLOOKUP(P69,'AESS-W3'!$P$5:$T$129,4,FALSE),"-"))</f>
        <v>119</v>
      </c>
      <c r="AC69" s="25">
        <f>IF(P69="*","-",IFERROR(VLOOKUP(P69,'All MECSM samples'!$P$4:$AD$454,15,FALSE),"-"))</f>
        <v>1118</v>
      </c>
      <c r="AD69" s="25"/>
      <c r="AE69">
        <v>0</v>
      </c>
      <c r="AF69">
        <v>0</v>
      </c>
      <c r="AH69">
        <f t="shared" si="2"/>
        <v>0</v>
      </c>
      <c r="AI69">
        <f t="shared" si="3"/>
        <v>0</v>
      </c>
      <c r="AJ69">
        <f t="shared" si="4"/>
        <v>0</v>
      </c>
      <c r="AK69">
        <f t="shared" si="5"/>
        <v>0</v>
      </c>
      <c r="AL69" s="11">
        <f>SUM(AH$5:AH69)/SUM(AK$5:AK69)</f>
        <v>0.90909090909090906</v>
      </c>
      <c r="AM69" s="11">
        <f>SUM(AI$5:AI69)/SUM(AK$5:AK69)</f>
        <v>0.45454545454545453</v>
      </c>
      <c r="AN69" s="11">
        <f>SUM(AJ$5:AJ69)/SUM(AL$5:AL69)</f>
        <v>0.22047498643390714</v>
      </c>
    </row>
    <row r="70" spans="1:40" x14ac:dyDescent="0.35">
      <c r="A70" t="s">
        <v>156</v>
      </c>
      <c r="B70">
        <v>6</v>
      </c>
      <c r="C70" t="s">
        <v>7</v>
      </c>
      <c r="D70" t="s">
        <v>8</v>
      </c>
      <c r="E70" t="s">
        <v>32</v>
      </c>
      <c r="G70" t="s">
        <v>35</v>
      </c>
      <c r="I70" t="s">
        <v>36</v>
      </c>
      <c r="K70" t="s">
        <v>37</v>
      </c>
      <c r="O70">
        <v>0.97</v>
      </c>
      <c r="P70" t="s">
        <v>401</v>
      </c>
      <c r="Q70">
        <v>93.7</v>
      </c>
      <c r="R70">
        <v>1</v>
      </c>
      <c r="S70" s="9">
        <v>6</v>
      </c>
      <c r="T70" s="9">
        <v>0</v>
      </c>
      <c r="U70">
        <v>0</v>
      </c>
      <c r="V70">
        <v>0</v>
      </c>
      <c r="X70" s="26">
        <f t="shared" si="8"/>
        <v>1.3063357282821686E-4</v>
      </c>
      <c r="Y70" s="12">
        <f t="shared" ref="Y70:Y101" si="9">Y69+X70</f>
        <v>0.99695188330067464</v>
      </c>
      <c r="AA70" s="25">
        <f>IF(P70="*","-",IFERROR(VLOOKUP(P70,'AESS-W1'!$P$5:$T$126,4,FALSE),"-"))</f>
        <v>5</v>
      </c>
      <c r="AB70" s="25">
        <f>IF(P70="*","-",IFERROR(VLOOKUP(P70,'AESS-W3'!$P$5:$T$129,4,FALSE),"-"))</f>
        <v>5</v>
      </c>
      <c r="AC70" s="25">
        <f>IF(P70="*","-",IFERROR(VLOOKUP(P70,'All MECSM samples'!$P$4:$AD$454,15,FALSE),"-"))</f>
        <v>6</v>
      </c>
      <c r="AD70" s="25"/>
      <c r="AE70">
        <v>1</v>
      </c>
      <c r="AF70">
        <v>728</v>
      </c>
      <c r="AH70">
        <f t="shared" ref="AH70:AH107" si="10">IF(AND(S70&gt;0,AE70&gt;=90, T70&gt;0), 1, 0)</f>
        <v>0</v>
      </c>
      <c r="AI70">
        <f t="shared" ref="AI70:AI107" si="11">IF(AND(S70&gt;0,AE70&gt;=90, U70&gt;0), 1, 0)</f>
        <v>0</v>
      </c>
      <c r="AJ70">
        <f t="shared" ref="AJ70:AJ107" si="12">IF(AND(S70&gt;0,AE70&gt;=90, V70&gt;0), 1, 0)</f>
        <v>0</v>
      </c>
      <c r="AK70">
        <f t="shared" ref="AK70:AK107" si="13">IF(AND(S70&gt;0,AE70&gt;=90),1,0)</f>
        <v>0</v>
      </c>
      <c r="AL70" s="11">
        <f>SUM(AH$5:AH70)/SUM(AK$5:AK70)</f>
        <v>0.90909090909090906</v>
      </c>
      <c r="AM70" s="11">
        <f>SUM(AI$5:AI70)/SUM(AK$5:AK70)</f>
        <v>0.45454545454545453</v>
      </c>
      <c r="AN70" s="11">
        <f>SUM(AJ$5:AJ70)/SUM(AL$5:AL70)</f>
        <v>0.21736309517034136</v>
      </c>
    </row>
    <row r="71" spans="1:40" x14ac:dyDescent="0.35">
      <c r="A71" t="s">
        <v>327</v>
      </c>
      <c r="B71">
        <v>5</v>
      </c>
      <c r="C71" t="s">
        <v>7</v>
      </c>
      <c r="D71" t="s">
        <v>8</v>
      </c>
      <c r="E71" t="s">
        <v>9</v>
      </c>
      <c r="G71" t="s">
        <v>172</v>
      </c>
      <c r="I71" t="s">
        <v>347</v>
      </c>
      <c r="O71">
        <v>0.56000000000000005</v>
      </c>
      <c r="P71" t="s">
        <v>348</v>
      </c>
      <c r="Q71">
        <v>92.9</v>
      </c>
      <c r="R71">
        <v>2</v>
      </c>
      <c r="S71" s="9">
        <v>5</v>
      </c>
      <c r="T71" s="9">
        <v>0</v>
      </c>
      <c r="U71">
        <v>0</v>
      </c>
      <c r="V71">
        <v>0</v>
      </c>
      <c r="X71" s="26">
        <f t="shared" si="8"/>
        <v>1.0886131069018071E-4</v>
      </c>
      <c r="Y71" s="12">
        <f t="shared" si="9"/>
        <v>0.99706074461136485</v>
      </c>
      <c r="AA71" s="25">
        <f>IF(P71="*","-",IFERROR(VLOOKUP(P71,'AESS-W1'!$P$5:$T$126,4,FALSE),"-"))</f>
        <v>14</v>
      </c>
      <c r="AB71" s="25">
        <f>IF(P71="*","-",IFERROR(VLOOKUP(P71,'AESS-W3'!$P$5:$T$129,4,FALSE),"-"))</f>
        <v>4</v>
      </c>
      <c r="AC71" s="25">
        <f>IF(P71="*","-",IFERROR(VLOOKUP(P71,'All MECSM samples'!$P$4:$AD$454,15,FALSE),"-"))</f>
        <v>5401</v>
      </c>
      <c r="AD71" s="25"/>
      <c r="AE71">
        <v>0</v>
      </c>
      <c r="AF71">
        <v>0</v>
      </c>
      <c r="AH71">
        <f t="shared" si="10"/>
        <v>0</v>
      </c>
      <c r="AI71">
        <f t="shared" si="11"/>
        <v>0</v>
      </c>
      <c r="AJ71">
        <f t="shared" si="12"/>
        <v>0</v>
      </c>
      <c r="AK71">
        <f t="shared" si="13"/>
        <v>0</v>
      </c>
      <c r="AL71" s="11">
        <f>SUM(AH$5:AH71)/SUM(AK$5:AK71)</f>
        <v>0.90909090909090906</v>
      </c>
      <c r="AM71" s="11">
        <f>SUM(AI$5:AI71)/SUM(AK$5:AK71)</f>
        <v>0.45454545454545453</v>
      </c>
      <c r="AN71" s="11">
        <f>SUM(AJ$5:AJ71)/SUM(AL$5:AL71)</f>
        <v>0.21433782676529023</v>
      </c>
    </row>
    <row r="72" spans="1:40" x14ac:dyDescent="0.35">
      <c r="A72" t="s">
        <v>213</v>
      </c>
      <c r="B72">
        <v>5</v>
      </c>
      <c r="C72" t="s">
        <v>7</v>
      </c>
      <c r="D72" t="s">
        <v>8</v>
      </c>
      <c r="E72" t="s">
        <v>46</v>
      </c>
      <c r="G72" t="s">
        <v>47</v>
      </c>
      <c r="I72" t="s">
        <v>61</v>
      </c>
      <c r="O72">
        <v>0.85</v>
      </c>
      <c r="P72" t="s">
        <v>90</v>
      </c>
      <c r="Q72">
        <v>91.3</v>
      </c>
      <c r="R72">
        <v>1</v>
      </c>
      <c r="S72" s="9">
        <v>5</v>
      </c>
      <c r="T72" s="9">
        <v>0</v>
      </c>
      <c r="U72">
        <v>0</v>
      </c>
      <c r="V72">
        <v>0</v>
      </c>
      <c r="X72" s="26">
        <f t="shared" si="8"/>
        <v>1.0886131069018071E-4</v>
      </c>
      <c r="Y72" s="12">
        <f t="shared" si="9"/>
        <v>0.99716960592205506</v>
      </c>
      <c r="AA72" s="25">
        <f>IF(P72="*","-",IFERROR(VLOOKUP(P72,'AESS-W1'!$P$5:$T$126,4,FALSE),"-"))</f>
        <v>32</v>
      </c>
      <c r="AB72" s="25">
        <f>IF(P72="*","-",IFERROR(VLOOKUP(P72,'AESS-W3'!$P$5:$T$129,4,FALSE),"-"))</f>
        <v>1124</v>
      </c>
      <c r="AC72" s="25">
        <f>IF(P72="*","-",IFERROR(VLOOKUP(P72,'All MECSM samples'!$P$4:$AD$454,15,FALSE),"-"))</f>
        <v>1132</v>
      </c>
      <c r="AD72" s="25"/>
      <c r="AE72">
        <v>9</v>
      </c>
      <c r="AF72">
        <v>720</v>
      </c>
      <c r="AH72">
        <f t="shared" si="10"/>
        <v>0</v>
      </c>
      <c r="AI72">
        <f t="shared" si="11"/>
        <v>0</v>
      </c>
      <c r="AJ72">
        <f t="shared" si="12"/>
        <v>0</v>
      </c>
      <c r="AK72">
        <f t="shared" si="13"/>
        <v>0</v>
      </c>
      <c r="AL72" s="11">
        <f>SUM(AH$5:AH72)/SUM(AK$5:AK72)</f>
        <v>0.90909090909090906</v>
      </c>
      <c r="AM72" s="11">
        <f>SUM(AI$5:AI72)/SUM(AK$5:AK72)</f>
        <v>0.45454545454545453</v>
      </c>
      <c r="AN72" s="11">
        <f>SUM(AJ$5:AJ72)/SUM(AL$5:AL72)</f>
        <v>0.21139561400595577</v>
      </c>
    </row>
    <row r="73" spans="1:40" x14ac:dyDescent="0.35">
      <c r="A73" t="s">
        <v>300</v>
      </c>
      <c r="B73">
        <v>5</v>
      </c>
      <c r="C73" t="s">
        <v>7</v>
      </c>
      <c r="D73" t="s">
        <v>8</v>
      </c>
      <c r="E73" t="s">
        <v>32</v>
      </c>
      <c r="O73">
        <v>0.98</v>
      </c>
      <c r="P73" t="s">
        <v>341</v>
      </c>
      <c r="Q73">
        <v>86.6</v>
      </c>
      <c r="R73">
        <v>1</v>
      </c>
      <c r="S73" s="9">
        <v>5</v>
      </c>
      <c r="T73" s="9">
        <v>0</v>
      </c>
      <c r="U73">
        <v>0</v>
      </c>
      <c r="V73">
        <v>0</v>
      </c>
      <c r="X73" s="26">
        <f t="shared" si="8"/>
        <v>1.0886131069018071E-4</v>
      </c>
      <c r="Y73" s="12">
        <f t="shared" si="9"/>
        <v>0.99727846723274527</v>
      </c>
      <c r="AA73" s="25">
        <f>IF(P73="*","-",IFERROR(VLOOKUP(P73,'AESS-W1'!$P$5:$T$126,4,FALSE),"-"))</f>
        <v>15</v>
      </c>
      <c r="AB73" s="25">
        <f>IF(P73="*","-",IFERROR(VLOOKUP(P73,'AESS-W3'!$P$5:$T$129,4,FALSE),"-"))</f>
        <v>5</v>
      </c>
      <c r="AC73" s="25">
        <f>IF(P73="*","-",IFERROR(VLOOKUP(P73,'All MECSM samples'!$P$4:$AD$454,15,FALSE),"-"))</f>
        <v>1251</v>
      </c>
      <c r="AD73" s="25"/>
      <c r="AE73">
        <v>1</v>
      </c>
      <c r="AF73">
        <v>728</v>
      </c>
      <c r="AH73">
        <f t="shared" si="10"/>
        <v>0</v>
      </c>
      <c r="AI73">
        <f t="shared" si="11"/>
        <v>0</v>
      </c>
      <c r="AJ73">
        <f t="shared" si="12"/>
        <v>0</v>
      </c>
      <c r="AK73">
        <f t="shared" si="13"/>
        <v>0</v>
      </c>
      <c r="AL73" s="11">
        <f>SUM(AH$5:AH73)/SUM(AK$5:AK73)</f>
        <v>0.90909090909090906</v>
      </c>
      <c r="AM73" s="11">
        <f>SUM(AI$5:AI73)/SUM(AK$5:AK73)</f>
        <v>0.45454545454545453</v>
      </c>
      <c r="AN73" s="11">
        <f>SUM(AJ$5:AJ73)/SUM(AL$5:AL73)</f>
        <v>0.20853308289561337</v>
      </c>
    </row>
    <row r="74" spans="1:40" x14ac:dyDescent="0.35">
      <c r="A74" t="s">
        <v>286</v>
      </c>
      <c r="B74">
        <v>5</v>
      </c>
      <c r="C74" t="s">
        <v>7</v>
      </c>
      <c r="D74" t="s">
        <v>8</v>
      </c>
      <c r="E74" t="s">
        <v>9</v>
      </c>
      <c r="O74">
        <v>0.53</v>
      </c>
      <c r="P74" t="s">
        <v>98</v>
      </c>
      <c r="Q74">
        <v>0</v>
      </c>
      <c r="R74">
        <v>1</v>
      </c>
      <c r="S74" s="9">
        <v>5</v>
      </c>
      <c r="T74" s="9">
        <v>0</v>
      </c>
      <c r="U74">
        <v>0</v>
      </c>
      <c r="V74">
        <v>0</v>
      </c>
      <c r="X74" s="26">
        <f t="shared" si="8"/>
        <v>1.0886131069018071E-4</v>
      </c>
      <c r="Y74" s="12">
        <f t="shared" si="9"/>
        <v>0.99738732854343548</v>
      </c>
      <c r="AA74" s="25" t="str">
        <f>IF(P74="*","-",IFERROR(VLOOKUP(P74,'AESS-W1'!$P$5:$T$126,4,FALSE),"-"))</f>
        <v>-</v>
      </c>
      <c r="AB74" s="25" t="str">
        <f>IF(P74="*","-",IFERROR(VLOOKUP(P74,'AESS-W3'!$P$5:$T$129,4,FALSE),"-"))</f>
        <v>-</v>
      </c>
      <c r="AC74" s="25" t="str">
        <f>IF(P74="*","-",IFERROR(VLOOKUP(P74,'All MECSM samples'!$P$4:$AD$454,15,FALSE),"-"))</f>
        <v>-</v>
      </c>
      <c r="AD74" s="25"/>
      <c r="AE74">
        <v>0</v>
      </c>
      <c r="AF74">
        <v>0</v>
      </c>
      <c r="AH74">
        <f t="shared" si="10"/>
        <v>0</v>
      </c>
      <c r="AI74">
        <f t="shared" si="11"/>
        <v>0</v>
      </c>
      <c r="AJ74">
        <f t="shared" si="12"/>
        <v>0</v>
      </c>
      <c r="AK74">
        <f t="shared" si="13"/>
        <v>0</v>
      </c>
      <c r="AL74" s="11">
        <f>SUM(AH$5:AH74)/SUM(AK$5:AK74)</f>
        <v>0.90909090909090906</v>
      </c>
      <c r="AM74" s="11">
        <f>SUM(AI$5:AI74)/SUM(AK$5:AK74)</f>
        <v>0.45454545454545453</v>
      </c>
      <c r="AN74" s="11">
        <f>SUM(AJ$5:AJ74)/SUM(AL$5:AL74)</f>
        <v>0.20574703974658726</v>
      </c>
    </row>
    <row r="75" spans="1:40" x14ac:dyDescent="0.35">
      <c r="A75" t="s">
        <v>230</v>
      </c>
      <c r="B75">
        <v>5</v>
      </c>
      <c r="C75" t="s">
        <v>7</v>
      </c>
      <c r="D75" t="s">
        <v>8</v>
      </c>
      <c r="E75" t="s">
        <v>451</v>
      </c>
      <c r="G75" t="s">
        <v>451</v>
      </c>
      <c r="I75" t="s">
        <v>452</v>
      </c>
      <c r="K75" t="s">
        <v>453</v>
      </c>
      <c r="M75" t="s">
        <v>454</v>
      </c>
      <c r="O75">
        <v>1</v>
      </c>
      <c r="P75" t="s">
        <v>455</v>
      </c>
      <c r="Q75">
        <v>99.2</v>
      </c>
      <c r="R75">
        <v>1</v>
      </c>
      <c r="S75" s="9">
        <v>5</v>
      </c>
      <c r="T75" s="9">
        <v>0</v>
      </c>
      <c r="U75">
        <v>0</v>
      </c>
      <c r="V75">
        <v>0</v>
      </c>
      <c r="X75" s="26">
        <f t="shared" si="8"/>
        <v>1.0886131069018071E-4</v>
      </c>
      <c r="Y75" s="12">
        <f t="shared" si="9"/>
        <v>0.99749618985412569</v>
      </c>
      <c r="AA75" s="25" t="str">
        <f>IF(P75="*","-",IFERROR(VLOOKUP(P75,'AESS-W1'!$P$5:$T$126,4,FALSE),"-"))</f>
        <v>-</v>
      </c>
      <c r="AB75" s="25" t="str">
        <f>IF(P75="*","-",IFERROR(VLOOKUP(P75,'AESS-W3'!$P$5:$T$129,4,FALSE),"-"))</f>
        <v>-</v>
      </c>
      <c r="AC75" s="25">
        <f>IF(P75="*","-",IFERROR(VLOOKUP(P75,'All MECSM samples'!$P$4:$AD$454,15,FALSE),"-"))</f>
        <v>562</v>
      </c>
      <c r="AD75" s="25"/>
      <c r="AE75">
        <v>0</v>
      </c>
      <c r="AF75">
        <v>0</v>
      </c>
      <c r="AH75">
        <f t="shared" si="10"/>
        <v>0</v>
      </c>
      <c r="AI75">
        <f t="shared" si="11"/>
        <v>0</v>
      </c>
      <c r="AJ75">
        <f t="shared" si="12"/>
        <v>0</v>
      </c>
      <c r="AK75">
        <f t="shared" si="13"/>
        <v>0</v>
      </c>
      <c r="AL75" s="11">
        <f>SUM(AH$5:AH75)/SUM(AK$5:AK75)</f>
        <v>0.90909090909090906</v>
      </c>
      <c r="AM75" s="11">
        <f>SUM(AI$5:AI75)/SUM(AK$5:AK75)</f>
        <v>0.45454545454545453</v>
      </c>
      <c r="AN75" s="11">
        <f>SUM(AJ$5:AJ75)/SUM(AL$5:AL75)</f>
        <v>0.20303445929422775</v>
      </c>
    </row>
    <row r="76" spans="1:40" x14ac:dyDescent="0.35">
      <c r="A76" t="s">
        <v>221</v>
      </c>
      <c r="B76">
        <v>5</v>
      </c>
      <c r="C76" t="s">
        <v>7</v>
      </c>
      <c r="D76" t="s">
        <v>8</v>
      </c>
      <c r="E76" t="s">
        <v>32</v>
      </c>
      <c r="G76" t="s">
        <v>35</v>
      </c>
      <c r="I76" t="s">
        <v>36</v>
      </c>
      <c r="K76" t="s">
        <v>37</v>
      </c>
      <c r="M76" t="s">
        <v>480</v>
      </c>
      <c r="O76">
        <v>0.51</v>
      </c>
      <c r="P76" t="s">
        <v>401</v>
      </c>
      <c r="Q76">
        <v>94.8</v>
      </c>
      <c r="R76">
        <v>1</v>
      </c>
      <c r="S76" s="9">
        <v>5</v>
      </c>
      <c r="T76" s="9">
        <v>0</v>
      </c>
      <c r="U76">
        <v>0</v>
      </c>
      <c r="V76">
        <v>0</v>
      </c>
      <c r="X76" s="26">
        <f t="shared" si="8"/>
        <v>1.0886131069018071E-4</v>
      </c>
      <c r="Y76" s="12">
        <f t="shared" si="9"/>
        <v>0.9976050511648159</v>
      </c>
      <c r="AA76" s="25">
        <f>IF(P76="*","-",IFERROR(VLOOKUP(P76,'AESS-W1'!$P$5:$T$126,4,FALSE),"-"))</f>
        <v>5</v>
      </c>
      <c r="AB76" s="25">
        <f>IF(P76="*","-",IFERROR(VLOOKUP(P76,'AESS-W3'!$P$5:$T$129,4,FALSE),"-"))</f>
        <v>5</v>
      </c>
      <c r="AC76" s="25">
        <f>IF(P76="*","-",IFERROR(VLOOKUP(P76,'All MECSM samples'!$P$4:$AD$454,15,FALSE),"-"))</f>
        <v>6</v>
      </c>
      <c r="AD76" s="25"/>
      <c r="AE76">
        <v>1</v>
      </c>
      <c r="AF76">
        <v>728</v>
      </c>
      <c r="AH76">
        <f t="shared" si="10"/>
        <v>0</v>
      </c>
      <c r="AI76">
        <f t="shared" si="11"/>
        <v>0</v>
      </c>
      <c r="AJ76">
        <f t="shared" si="12"/>
        <v>0</v>
      </c>
      <c r="AK76">
        <f t="shared" si="13"/>
        <v>0</v>
      </c>
      <c r="AL76" s="11">
        <f>SUM(AH$5:AH76)/SUM(AK$5:AK76)</f>
        <v>0.90909090909090906</v>
      </c>
      <c r="AM76" s="11">
        <f>SUM(AI$5:AI76)/SUM(AK$5:AK76)</f>
        <v>0.45454545454545453</v>
      </c>
      <c r="AN76" s="11">
        <f>SUM(AJ$5:AJ76)/SUM(AL$5:AL76)</f>
        <v>0.20039247373888958</v>
      </c>
    </row>
    <row r="77" spans="1:40" x14ac:dyDescent="0.35">
      <c r="A77" t="s">
        <v>287</v>
      </c>
      <c r="B77">
        <v>5</v>
      </c>
      <c r="C77" t="s">
        <v>7</v>
      </c>
      <c r="D77" t="s">
        <v>8</v>
      </c>
      <c r="E77" t="s">
        <v>32</v>
      </c>
      <c r="G77" t="s">
        <v>445</v>
      </c>
      <c r="I77" t="s">
        <v>446</v>
      </c>
      <c r="O77">
        <v>0.5</v>
      </c>
      <c r="P77" t="s">
        <v>33</v>
      </c>
      <c r="Q77">
        <v>88.9</v>
      </c>
      <c r="R77">
        <v>1</v>
      </c>
      <c r="S77" s="9">
        <v>5</v>
      </c>
      <c r="T77" s="9">
        <v>0</v>
      </c>
      <c r="U77">
        <v>0</v>
      </c>
      <c r="V77">
        <v>0</v>
      </c>
      <c r="X77" s="26">
        <f t="shared" si="8"/>
        <v>1.0886131069018071E-4</v>
      </c>
      <c r="Y77" s="12">
        <f t="shared" si="9"/>
        <v>0.99771391247550612</v>
      </c>
      <c r="AA77" s="25">
        <f>IF(P77="*","-",IFERROR(VLOOKUP(P77,'AESS-W1'!$P$5:$T$126,4,FALSE),"-"))</f>
        <v>9</v>
      </c>
      <c r="AB77" s="25">
        <f>IF(P77="*","-",IFERROR(VLOOKUP(P77,'AESS-W3'!$P$5:$T$129,4,FALSE),"-"))</f>
        <v>7</v>
      </c>
      <c r="AC77" s="25">
        <f>IF(P77="*","-",IFERROR(VLOOKUP(P77,'All MECSM samples'!$P$4:$AD$454,15,FALSE),"-"))</f>
        <v>5880</v>
      </c>
      <c r="AD77" s="25"/>
      <c r="AE77">
        <v>0</v>
      </c>
      <c r="AF77">
        <v>0</v>
      </c>
      <c r="AH77">
        <f t="shared" si="10"/>
        <v>0</v>
      </c>
      <c r="AI77">
        <f t="shared" si="11"/>
        <v>0</v>
      </c>
      <c r="AJ77">
        <f t="shared" si="12"/>
        <v>0</v>
      </c>
      <c r="AK77">
        <f t="shared" si="13"/>
        <v>0</v>
      </c>
      <c r="AL77" s="11">
        <f>SUM(AH$5:AH77)/SUM(AK$5:AK77)</f>
        <v>0.90909090909090906</v>
      </c>
      <c r="AM77" s="11">
        <f>SUM(AI$5:AI77)/SUM(AK$5:AK77)</f>
        <v>0.45454545454545453</v>
      </c>
      <c r="AN77" s="11">
        <f>SUM(AJ$5:AJ77)/SUM(AL$5:AL77)</f>
        <v>0.19781836263246771</v>
      </c>
    </row>
    <row r="78" spans="1:40" x14ac:dyDescent="0.35">
      <c r="A78" t="s">
        <v>315</v>
      </c>
      <c r="B78">
        <v>5</v>
      </c>
      <c r="C78" t="s">
        <v>7</v>
      </c>
      <c r="D78" t="s">
        <v>8</v>
      </c>
      <c r="E78" t="s">
        <v>46</v>
      </c>
      <c r="G78" t="s">
        <v>47</v>
      </c>
      <c r="I78" t="s">
        <v>61</v>
      </c>
      <c r="K78" t="s">
        <v>611</v>
      </c>
      <c r="M78" t="s">
        <v>612</v>
      </c>
      <c r="O78">
        <v>0.97</v>
      </c>
      <c r="P78" t="s">
        <v>613</v>
      </c>
      <c r="Q78">
        <v>100</v>
      </c>
      <c r="R78">
        <v>2</v>
      </c>
      <c r="S78" s="9">
        <v>5</v>
      </c>
      <c r="T78" s="9">
        <v>0</v>
      </c>
      <c r="U78">
        <v>0</v>
      </c>
      <c r="V78">
        <v>0</v>
      </c>
      <c r="X78" s="26">
        <f t="shared" si="8"/>
        <v>1.0886131069018071E-4</v>
      </c>
      <c r="Y78" s="12">
        <f t="shared" si="9"/>
        <v>0.99782277378619633</v>
      </c>
      <c r="AA78" s="25" t="str">
        <f>IF(P78="*","-",IFERROR(VLOOKUP(P78,'AESS-W1'!$P$5:$T$126,4,FALSE),"-"))</f>
        <v>-</v>
      </c>
      <c r="AB78" s="25" t="str">
        <f>IF(P78="*","-",IFERROR(VLOOKUP(P78,'AESS-W3'!$P$5:$T$129,4,FALSE),"-"))</f>
        <v>-</v>
      </c>
      <c r="AC78" s="25">
        <f>IF(P78="*","-",IFERROR(VLOOKUP(P78,'All MECSM samples'!$P$4:$AD$454,15,FALSE),"-"))</f>
        <v>945</v>
      </c>
      <c r="AD78" s="25"/>
      <c r="AE78">
        <v>9</v>
      </c>
      <c r="AF78">
        <v>559</v>
      </c>
      <c r="AH78">
        <f t="shared" si="10"/>
        <v>0</v>
      </c>
      <c r="AI78">
        <f t="shared" si="11"/>
        <v>0</v>
      </c>
      <c r="AJ78">
        <f t="shared" si="12"/>
        <v>0</v>
      </c>
      <c r="AK78">
        <f t="shared" si="13"/>
        <v>0</v>
      </c>
      <c r="AL78" s="11">
        <f>SUM(AH$5:AH78)/SUM(AK$5:AK78)</f>
        <v>0.90909090909090906</v>
      </c>
      <c r="AM78" s="11">
        <f>SUM(AI$5:AI78)/SUM(AK$5:AK78)</f>
        <v>0.45454545454545453</v>
      </c>
      <c r="AN78" s="11">
        <f>SUM(AJ$5:AJ78)/SUM(AL$5:AL78)</f>
        <v>0.19530954353451369</v>
      </c>
    </row>
    <row r="79" spans="1:40" x14ac:dyDescent="0.35">
      <c r="A79" t="s">
        <v>301</v>
      </c>
      <c r="B79">
        <v>5</v>
      </c>
      <c r="C79" t="s">
        <v>7</v>
      </c>
      <c r="D79" t="s">
        <v>8</v>
      </c>
      <c r="E79" t="s">
        <v>100</v>
      </c>
      <c r="G79" t="s">
        <v>101</v>
      </c>
      <c r="I79" t="s">
        <v>102</v>
      </c>
      <c r="K79" t="s">
        <v>103</v>
      </c>
      <c r="M79" t="s">
        <v>383</v>
      </c>
      <c r="O79">
        <v>0.81</v>
      </c>
      <c r="P79" t="s">
        <v>384</v>
      </c>
      <c r="Q79">
        <v>95.7</v>
      </c>
      <c r="R79">
        <v>1</v>
      </c>
      <c r="S79" s="9">
        <v>5</v>
      </c>
      <c r="T79" s="9">
        <v>0</v>
      </c>
      <c r="U79">
        <v>0</v>
      </c>
      <c r="V79">
        <v>0</v>
      </c>
      <c r="X79" s="26">
        <f t="shared" si="8"/>
        <v>1.0886131069018071E-4</v>
      </c>
      <c r="Y79" s="12">
        <f t="shared" si="9"/>
        <v>0.99793163509688654</v>
      </c>
      <c r="AA79" s="25">
        <f>IF(P79="*","-",IFERROR(VLOOKUP(P79,'AESS-W1'!$P$5:$T$126,4,FALSE),"-"))</f>
        <v>6</v>
      </c>
      <c r="AB79" s="25">
        <f>IF(P79="*","-",IFERROR(VLOOKUP(P79,'AESS-W3'!$P$5:$T$129,4,FALSE),"-"))</f>
        <v>4</v>
      </c>
      <c r="AC79" s="25">
        <f>IF(P79="*","-",IFERROR(VLOOKUP(P79,'All MECSM samples'!$P$4:$AD$454,15,FALSE),"-"))</f>
        <v>1015</v>
      </c>
      <c r="AD79" s="25"/>
      <c r="AE79">
        <v>0</v>
      </c>
      <c r="AF79">
        <v>0</v>
      </c>
      <c r="AH79">
        <f t="shared" si="10"/>
        <v>0</v>
      </c>
      <c r="AI79">
        <f t="shared" si="11"/>
        <v>0</v>
      </c>
      <c r="AJ79">
        <f t="shared" si="12"/>
        <v>0</v>
      </c>
      <c r="AK79">
        <f t="shared" si="13"/>
        <v>0</v>
      </c>
      <c r="AL79" s="11">
        <f>SUM(AH$5:AH79)/SUM(AK$5:AK79)</f>
        <v>0.90909090909090906</v>
      </c>
      <c r="AM79" s="11">
        <f>SUM(AI$5:AI79)/SUM(AK$5:AK79)</f>
        <v>0.45454545454545453</v>
      </c>
      <c r="AN79" s="11">
        <f>SUM(AJ$5:AJ79)/SUM(AL$5:AL79)</f>
        <v>0.19286356337046656</v>
      </c>
    </row>
    <row r="80" spans="1:40" x14ac:dyDescent="0.35">
      <c r="A80" t="s">
        <v>284</v>
      </c>
      <c r="B80">
        <v>5</v>
      </c>
      <c r="C80" t="s">
        <v>7</v>
      </c>
      <c r="D80" t="s">
        <v>8</v>
      </c>
      <c r="E80" t="s">
        <v>9</v>
      </c>
      <c r="G80" t="s">
        <v>138</v>
      </c>
      <c r="I80" t="s">
        <v>139</v>
      </c>
      <c r="K80" t="s">
        <v>140</v>
      </c>
      <c r="O80">
        <v>0.67</v>
      </c>
      <c r="P80" t="s">
        <v>141</v>
      </c>
      <c r="Q80">
        <v>90.1</v>
      </c>
      <c r="R80">
        <v>1</v>
      </c>
      <c r="S80" s="9">
        <v>5</v>
      </c>
      <c r="T80" s="9">
        <v>0</v>
      </c>
      <c r="U80">
        <v>0</v>
      </c>
      <c r="V80">
        <v>0</v>
      </c>
      <c r="X80" s="26">
        <f t="shared" si="8"/>
        <v>1.0886131069018071E-4</v>
      </c>
      <c r="Y80" s="12">
        <f t="shared" si="9"/>
        <v>0.99804049640757675</v>
      </c>
      <c r="AA80" s="25">
        <f>IF(P80="*","-",IFERROR(VLOOKUP(P80,'AESS-W1'!$P$5:$T$126,4,FALSE),"-"))</f>
        <v>6</v>
      </c>
      <c r="AB80" s="25">
        <f>IF(P80="*","-",IFERROR(VLOOKUP(P80,'AESS-W3'!$P$5:$T$129,4,FALSE),"-"))</f>
        <v>290</v>
      </c>
      <c r="AC80" s="25">
        <f>IF(P80="*","-",IFERROR(VLOOKUP(P80,'All MECSM samples'!$P$4:$AD$454,15,FALSE),"-"))</f>
        <v>469</v>
      </c>
      <c r="AD80" s="25"/>
      <c r="AE80">
        <v>0</v>
      </c>
      <c r="AF80">
        <v>0</v>
      </c>
      <c r="AH80">
        <f t="shared" si="10"/>
        <v>0</v>
      </c>
      <c r="AI80">
        <f t="shared" si="11"/>
        <v>0</v>
      </c>
      <c r="AJ80">
        <f t="shared" si="12"/>
        <v>0</v>
      </c>
      <c r="AK80">
        <f t="shared" si="13"/>
        <v>0</v>
      </c>
      <c r="AL80" s="11">
        <f>SUM(AH$5:AH80)/SUM(AK$5:AK80)</f>
        <v>0.90909090909090906</v>
      </c>
      <c r="AM80" s="11">
        <f>SUM(AI$5:AI80)/SUM(AK$5:AK80)</f>
        <v>0.45454545454545453</v>
      </c>
      <c r="AN80" s="11">
        <f>SUM(AJ$5:AJ80)/SUM(AL$5:AL80)</f>
        <v>0.19047809043120911</v>
      </c>
    </row>
    <row r="81" spans="1:40" x14ac:dyDescent="0.35">
      <c r="A81" t="s">
        <v>311</v>
      </c>
      <c r="B81">
        <v>5</v>
      </c>
      <c r="C81" t="s">
        <v>7</v>
      </c>
      <c r="D81" t="s">
        <v>8</v>
      </c>
      <c r="O81">
        <v>1</v>
      </c>
      <c r="P81" t="s">
        <v>521</v>
      </c>
      <c r="Q81">
        <v>86.6</v>
      </c>
      <c r="R81">
        <v>12</v>
      </c>
      <c r="S81" s="9">
        <v>5</v>
      </c>
      <c r="T81" s="9">
        <v>0</v>
      </c>
      <c r="U81">
        <v>0</v>
      </c>
      <c r="V81">
        <v>0</v>
      </c>
      <c r="X81" s="26">
        <f t="shared" si="8"/>
        <v>1.0886131069018071E-4</v>
      </c>
      <c r="Y81" s="12">
        <f t="shared" si="9"/>
        <v>0.99814935771826696</v>
      </c>
      <c r="AA81" s="25" t="str">
        <f>IF(P81="*","-",IFERROR(VLOOKUP(P81,'AESS-W1'!$P$5:$T$126,4,FALSE),"-"))</f>
        <v>-</v>
      </c>
      <c r="AB81" s="25" t="str">
        <f>IF(P81="*","-",IFERROR(VLOOKUP(P81,'AESS-W3'!$P$5:$T$129,4,FALSE),"-"))</f>
        <v>-</v>
      </c>
      <c r="AC81" s="25">
        <f>IF(P81="*","-",IFERROR(VLOOKUP(P81,'All MECSM samples'!$P$4:$AD$454,15,FALSE),"-"))</f>
        <v>5</v>
      </c>
      <c r="AD81" s="25"/>
      <c r="AE81">
        <v>98</v>
      </c>
      <c r="AF81">
        <v>1</v>
      </c>
      <c r="AH81">
        <f t="shared" si="10"/>
        <v>0</v>
      </c>
      <c r="AI81">
        <f t="shared" si="11"/>
        <v>0</v>
      </c>
      <c r="AJ81">
        <f t="shared" si="12"/>
        <v>0</v>
      </c>
      <c r="AK81">
        <f t="shared" si="13"/>
        <v>1</v>
      </c>
      <c r="AL81" s="11">
        <f>SUM(AH$5:AH81)/SUM(AK$5:AK81)</f>
        <v>0.88235294117647056</v>
      </c>
      <c r="AM81" s="11">
        <f>SUM(AI$5:AI81)/SUM(AK$5:AK81)</f>
        <v>0.44117647058823528</v>
      </c>
      <c r="AN81" s="11">
        <f>SUM(AJ$5:AJ81)/SUM(AL$5:AL81)</f>
        <v>0.18821854158344267</v>
      </c>
    </row>
    <row r="82" spans="1:40" x14ac:dyDescent="0.35">
      <c r="A82" t="s">
        <v>307</v>
      </c>
      <c r="B82">
        <v>4</v>
      </c>
      <c r="C82" t="s">
        <v>7</v>
      </c>
      <c r="D82" t="s">
        <v>8</v>
      </c>
      <c r="E82" t="s">
        <v>46</v>
      </c>
      <c r="G82" t="s">
        <v>47</v>
      </c>
      <c r="I82" t="s">
        <v>61</v>
      </c>
      <c r="K82" t="s">
        <v>210</v>
      </c>
      <c r="M82" t="s">
        <v>211</v>
      </c>
      <c r="O82">
        <v>1</v>
      </c>
      <c r="P82" t="s">
        <v>212</v>
      </c>
      <c r="Q82">
        <v>96.8</v>
      </c>
      <c r="R82">
        <v>1</v>
      </c>
      <c r="S82" s="9">
        <v>4</v>
      </c>
      <c r="T82" s="9">
        <v>0</v>
      </c>
      <c r="U82">
        <v>0</v>
      </c>
      <c r="V82">
        <v>0</v>
      </c>
      <c r="X82" s="26">
        <f t="shared" si="8"/>
        <v>8.708904855214457E-5</v>
      </c>
      <c r="Y82" s="12">
        <f t="shared" si="9"/>
        <v>0.99823644676681911</v>
      </c>
      <c r="AA82" s="25">
        <f>IF(P82="*","-",IFERROR(VLOOKUP(P82,'AESS-W1'!$P$5:$T$126,4,FALSE),"-"))</f>
        <v>53</v>
      </c>
      <c r="AB82" s="25">
        <f>IF(P82="*","-",IFERROR(VLOOKUP(P82,'AESS-W3'!$P$5:$T$129,4,FALSE),"-"))</f>
        <v>61</v>
      </c>
      <c r="AC82" s="25">
        <f>IF(P82="*","-",IFERROR(VLOOKUP(P82,'All MECSM samples'!$P$4:$AD$454,15,FALSE),"-"))</f>
        <v>439</v>
      </c>
      <c r="AD82" s="25"/>
      <c r="AE82">
        <v>0</v>
      </c>
      <c r="AF82">
        <v>1</v>
      </c>
      <c r="AH82">
        <f t="shared" si="10"/>
        <v>0</v>
      </c>
      <c r="AI82">
        <f t="shared" si="11"/>
        <v>0</v>
      </c>
      <c r="AJ82">
        <f t="shared" si="12"/>
        <v>0</v>
      </c>
      <c r="AK82">
        <f t="shared" si="13"/>
        <v>0</v>
      </c>
      <c r="AL82" s="11">
        <f>SUM(AH$5:AH82)/SUM(AK$5:AK82)</f>
        <v>0.88235294117647056</v>
      </c>
      <c r="AM82" s="11">
        <f>SUM(AI$5:AI82)/SUM(AK$5:AK82)</f>
        <v>0.44117647058823528</v>
      </c>
      <c r="AN82" s="11">
        <f>SUM(AJ$5:AJ82)/SUM(AL$5:AL82)</f>
        <v>0.18601197212272841</v>
      </c>
    </row>
    <row r="83" spans="1:40" x14ac:dyDescent="0.35">
      <c r="A83" t="s">
        <v>264</v>
      </c>
      <c r="B83">
        <v>4</v>
      </c>
      <c r="C83" t="s">
        <v>7</v>
      </c>
      <c r="D83" t="s">
        <v>8</v>
      </c>
      <c r="E83" t="s">
        <v>120</v>
      </c>
      <c r="G83" t="s">
        <v>121</v>
      </c>
      <c r="I83" t="s">
        <v>122</v>
      </c>
      <c r="K83" t="s">
        <v>123</v>
      </c>
      <c r="O83">
        <v>0.65</v>
      </c>
      <c r="P83" t="s">
        <v>220</v>
      </c>
      <c r="Q83">
        <v>87.7</v>
      </c>
      <c r="R83">
        <v>1</v>
      </c>
      <c r="S83" s="9">
        <v>4</v>
      </c>
      <c r="T83" s="9">
        <v>0</v>
      </c>
      <c r="U83">
        <v>0</v>
      </c>
      <c r="V83">
        <v>0</v>
      </c>
      <c r="X83" s="26">
        <f t="shared" si="8"/>
        <v>8.708904855214457E-5</v>
      </c>
      <c r="Y83" s="12">
        <f t="shared" si="9"/>
        <v>0.99832353581537125</v>
      </c>
      <c r="AA83" s="25" t="str">
        <f>IF(P83="*","-",IFERROR(VLOOKUP(P83,'AESS-W1'!$P$5:$T$126,4,FALSE),"-"))</f>
        <v>-</v>
      </c>
      <c r="AB83" s="25">
        <f>IF(P83="*","-",IFERROR(VLOOKUP(P83,'AESS-W3'!$P$5:$T$129,4,FALSE),"-"))</f>
        <v>58</v>
      </c>
      <c r="AC83" s="25">
        <f>IF(P83="*","-",IFERROR(VLOOKUP(P83,'All MECSM samples'!$P$4:$AD$454,15,FALSE),"-"))</f>
        <v>81</v>
      </c>
      <c r="AD83" s="25"/>
      <c r="AE83">
        <v>87</v>
      </c>
      <c r="AF83">
        <v>1</v>
      </c>
      <c r="AH83">
        <f t="shared" si="10"/>
        <v>0</v>
      </c>
      <c r="AI83">
        <f t="shared" si="11"/>
        <v>0</v>
      </c>
      <c r="AJ83">
        <f t="shared" si="12"/>
        <v>0</v>
      </c>
      <c r="AK83">
        <f t="shared" si="13"/>
        <v>0</v>
      </c>
      <c r="AL83" s="11">
        <f>SUM(AH$5:AH83)/SUM(AK$5:AK83)</f>
        <v>0.88235294117647056</v>
      </c>
      <c r="AM83" s="11">
        <f>SUM(AI$5:AI83)/SUM(AK$5:AK83)</f>
        <v>0.44117647058823528</v>
      </c>
      <c r="AN83" s="11">
        <f>SUM(AJ$5:AJ83)/SUM(AL$5:AL83)</f>
        <v>0.18385654033769419</v>
      </c>
    </row>
    <row r="84" spans="1:40" x14ac:dyDescent="0.35">
      <c r="A84" t="s">
        <v>248</v>
      </c>
      <c r="B84">
        <v>4</v>
      </c>
      <c r="C84" t="s">
        <v>7</v>
      </c>
      <c r="D84" t="s">
        <v>8</v>
      </c>
      <c r="E84" t="s">
        <v>46</v>
      </c>
      <c r="O84">
        <v>0.72</v>
      </c>
      <c r="P84" t="s">
        <v>354</v>
      </c>
      <c r="Q84">
        <v>87.4</v>
      </c>
      <c r="R84">
        <v>1</v>
      </c>
      <c r="S84" s="9">
        <v>4</v>
      </c>
      <c r="T84" s="9">
        <v>0</v>
      </c>
      <c r="U84">
        <v>0</v>
      </c>
      <c r="V84">
        <v>0</v>
      </c>
      <c r="X84" s="26">
        <f t="shared" si="8"/>
        <v>8.708904855214457E-5</v>
      </c>
      <c r="Y84" s="12">
        <f t="shared" si="9"/>
        <v>0.9984106248639234</v>
      </c>
      <c r="AA84" s="25">
        <f>IF(P84="*","-",IFERROR(VLOOKUP(P84,'AESS-W1'!$P$5:$T$126,4,FALSE),"-"))</f>
        <v>8</v>
      </c>
      <c r="AB84" s="25">
        <f>IF(P84="*","-",IFERROR(VLOOKUP(P84,'AESS-W3'!$P$5:$T$129,4,FALSE),"-"))</f>
        <v>10</v>
      </c>
      <c r="AC84" s="25">
        <f>IF(P84="*","-",IFERROR(VLOOKUP(P84,'All MECSM samples'!$P$4:$AD$454,15,FALSE),"-"))</f>
        <v>905</v>
      </c>
      <c r="AD84" s="25"/>
      <c r="AE84">
        <v>15</v>
      </c>
      <c r="AF84">
        <v>742</v>
      </c>
      <c r="AH84">
        <f t="shared" si="10"/>
        <v>0</v>
      </c>
      <c r="AI84">
        <f t="shared" si="11"/>
        <v>0</v>
      </c>
      <c r="AJ84">
        <f t="shared" si="12"/>
        <v>0</v>
      </c>
      <c r="AK84">
        <f t="shared" si="13"/>
        <v>0</v>
      </c>
      <c r="AL84" s="11">
        <f>SUM(AH$5:AH84)/SUM(AK$5:AK84)</f>
        <v>0.88235294117647056</v>
      </c>
      <c r="AM84" s="11">
        <f>SUM(AI$5:AI84)/SUM(AK$5:AK84)</f>
        <v>0.44117647058823528</v>
      </c>
      <c r="AN84" s="11">
        <f>SUM(AJ$5:AJ84)/SUM(AL$5:AL84)</f>
        <v>0.18175048890317183</v>
      </c>
    </row>
    <row r="85" spans="1:40" x14ac:dyDescent="0.35">
      <c r="A85" t="s">
        <v>177</v>
      </c>
      <c r="B85">
        <v>4</v>
      </c>
      <c r="C85" t="s">
        <v>7</v>
      </c>
      <c r="D85" t="s">
        <v>8</v>
      </c>
      <c r="E85" t="s">
        <v>9</v>
      </c>
      <c r="G85" t="s">
        <v>10</v>
      </c>
      <c r="I85" t="s">
        <v>107</v>
      </c>
      <c r="K85" t="s">
        <v>108</v>
      </c>
      <c r="M85" t="s">
        <v>109</v>
      </c>
      <c r="O85">
        <v>1</v>
      </c>
      <c r="P85" t="s">
        <v>129</v>
      </c>
      <c r="Q85">
        <v>99.2</v>
      </c>
      <c r="R85">
        <v>1</v>
      </c>
      <c r="S85" s="9">
        <v>4</v>
      </c>
      <c r="T85" s="9">
        <v>0</v>
      </c>
      <c r="U85">
        <v>0</v>
      </c>
      <c r="V85">
        <v>0</v>
      </c>
      <c r="X85" s="26">
        <f t="shared" si="8"/>
        <v>8.708904855214457E-5</v>
      </c>
      <c r="Y85" s="12">
        <f t="shared" si="9"/>
        <v>0.99849771391247555</v>
      </c>
      <c r="AA85" s="25">
        <f>IF(P85="*","-",IFERROR(VLOOKUP(P85,'AESS-W1'!$P$5:$T$126,4,FALSE),"-"))</f>
        <v>108</v>
      </c>
      <c r="AB85" s="25">
        <f>IF(P85="*","-",IFERROR(VLOOKUP(P85,'AESS-W3'!$P$5:$T$129,4,FALSE),"-"))</f>
        <v>429</v>
      </c>
      <c r="AC85" s="25">
        <f>IF(P85="*","-",IFERROR(VLOOKUP(P85,'All MECSM samples'!$P$4:$AD$454,15,FALSE),"-"))</f>
        <v>762</v>
      </c>
      <c r="AD85" s="25"/>
      <c r="AE85">
        <v>0</v>
      </c>
      <c r="AF85">
        <v>0</v>
      </c>
      <c r="AH85">
        <f t="shared" si="10"/>
        <v>0</v>
      </c>
      <c r="AI85">
        <f t="shared" si="11"/>
        <v>0</v>
      </c>
      <c r="AJ85">
        <f t="shared" si="12"/>
        <v>0</v>
      </c>
      <c r="AK85">
        <f t="shared" si="13"/>
        <v>0</v>
      </c>
      <c r="AL85" s="11">
        <f>SUM(AH$5:AH85)/SUM(AK$5:AK85)</f>
        <v>0.88235294117647056</v>
      </c>
      <c r="AM85" s="11">
        <f>SUM(AI$5:AI85)/SUM(AK$5:AK85)</f>
        <v>0.44117647058823528</v>
      </c>
      <c r="AN85" s="11">
        <f>SUM(AJ$5:AJ85)/SUM(AL$5:AL85)</f>
        <v>0.17969214010177137</v>
      </c>
    </row>
    <row r="86" spans="1:40" x14ac:dyDescent="0.35">
      <c r="A86" t="s">
        <v>185</v>
      </c>
      <c r="B86">
        <v>4</v>
      </c>
      <c r="C86" t="s">
        <v>7</v>
      </c>
      <c r="D86" t="s">
        <v>8</v>
      </c>
      <c r="E86" t="s">
        <v>32</v>
      </c>
      <c r="G86" t="s">
        <v>35</v>
      </c>
      <c r="I86" t="s">
        <v>36</v>
      </c>
      <c r="K86" t="s">
        <v>37</v>
      </c>
      <c r="O86">
        <v>0.85</v>
      </c>
      <c r="P86" t="s">
        <v>401</v>
      </c>
      <c r="Q86">
        <v>89.7</v>
      </c>
      <c r="R86">
        <v>1</v>
      </c>
      <c r="S86" s="9">
        <v>4</v>
      </c>
      <c r="T86" s="9">
        <v>0</v>
      </c>
      <c r="U86">
        <v>0</v>
      </c>
      <c r="V86">
        <v>0</v>
      </c>
      <c r="X86" s="26">
        <f t="shared" si="8"/>
        <v>8.708904855214457E-5</v>
      </c>
      <c r="Y86" s="12">
        <f t="shared" si="9"/>
        <v>0.9985848029610277</v>
      </c>
      <c r="AA86" s="25">
        <f>IF(P86="*","-",IFERROR(VLOOKUP(P86,'AESS-W1'!$P$5:$T$126,4,FALSE),"-"))</f>
        <v>5</v>
      </c>
      <c r="AB86" s="25">
        <f>IF(P86="*","-",IFERROR(VLOOKUP(P86,'AESS-W3'!$P$5:$T$129,4,FALSE),"-"))</f>
        <v>5</v>
      </c>
      <c r="AC86" s="25">
        <f>IF(P86="*","-",IFERROR(VLOOKUP(P86,'All MECSM samples'!$P$4:$AD$454,15,FALSE),"-"))</f>
        <v>6</v>
      </c>
      <c r="AD86" s="25"/>
      <c r="AE86">
        <v>0</v>
      </c>
      <c r="AF86">
        <v>0</v>
      </c>
      <c r="AH86">
        <f t="shared" si="10"/>
        <v>0</v>
      </c>
      <c r="AI86">
        <f t="shared" si="11"/>
        <v>0</v>
      </c>
      <c r="AJ86">
        <f t="shared" si="12"/>
        <v>0</v>
      </c>
      <c r="AK86">
        <f t="shared" si="13"/>
        <v>0</v>
      </c>
      <c r="AL86" s="11">
        <f>SUM(AH$5:AH86)/SUM(AK$5:AK86)</f>
        <v>0.88235294117647056</v>
      </c>
      <c r="AM86" s="11">
        <f>SUM(AI$5:AI86)/SUM(AK$5:AK86)</f>
        <v>0.44117647058823528</v>
      </c>
      <c r="AN86" s="11">
        <f>SUM(AJ$5:AJ86)/SUM(AL$5:AL86)</f>
        <v>0.17767989136651721</v>
      </c>
    </row>
    <row r="87" spans="1:40" x14ac:dyDescent="0.35">
      <c r="A87" t="s">
        <v>320</v>
      </c>
      <c r="B87">
        <v>4</v>
      </c>
      <c r="C87" t="s">
        <v>7</v>
      </c>
      <c r="D87" t="s">
        <v>8</v>
      </c>
      <c r="E87" t="s">
        <v>46</v>
      </c>
      <c r="G87" t="s">
        <v>47</v>
      </c>
      <c r="I87" t="s">
        <v>61</v>
      </c>
      <c r="O87">
        <v>0.68</v>
      </c>
      <c r="P87" t="s">
        <v>354</v>
      </c>
      <c r="Q87">
        <v>89.7</v>
      </c>
      <c r="R87">
        <v>1</v>
      </c>
      <c r="S87" s="9">
        <v>4</v>
      </c>
      <c r="T87" s="9">
        <v>0</v>
      </c>
      <c r="U87">
        <v>0</v>
      </c>
      <c r="V87">
        <v>0</v>
      </c>
      <c r="X87" s="26">
        <f t="shared" si="8"/>
        <v>8.708904855214457E-5</v>
      </c>
      <c r="Y87" s="12">
        <f t="shared" si="9"/>
        <v>0.99867189200957984</v>
      </c>
      <c r="AA87" s="25">
        <f>IF(P87="*","-",IFERROR(VLOOKUP(P87,'AESS-W1'!$P$5:$T$126,4,FALSE),"-"))</f>
        <v>8</v>
      </c>
      <c r="AB87" s="25">
        <f>IF(P87="*","-",IFERROR(VLOOKUP(P87,'AESS-W3'!$P$5:$T$129,4,FALSE),"-"))</f>
        <v>10</v>
      </c>
      <c r="AC87" s="25">
        <f>IF(P87="*","-",IFERROR(VLOOKUP(P87,'All MECSM samples'!$P$4:$AD$454,15,FALSE),"-"))</f>
        <v>905</v>
      </c>
      <c r="AD87" s="25"/>
      <c r="AE87">
        <v>83</v>
      </c>
      <c r="AF87">
        <v>80</v>
      </c>
      <c r="AH87">
        <f t="shared" si="10"/>
        <v>0</v>
      </c>
      <c r="AI87">
        <f t="shared" si="11"/>
        <v>0</v>
      </c>
      <c r="AJ87">
        <f t="shared" si="12"/>
        <v>0</v>
      </c>
      <c r="AK87">
        <f t="shared" si="13"/>
        <v>0</v>
      </c>
      <c r="AL87" s="11">
        <f>SUM(AH$5:AH87)/SUM(AK$5:AK87)</f>
        <v>0.88235294117647056</v>
      </c>
      <c r="AM87" s="11">
        <f>SUM(AI$5:AI87)/SUM(AK$5:AK87)</f>
        <v>0.44117647058823528</v>
      </c>
      <c r="AN87" s="11">
        <f>SUM(AJ$5:AJ87)/SUM(AL$5:AL87)</f>
        <v>0.17571221111965726</v>
      </c>
    </row>
    <row r="88" spans="1:40" x14ac:dyDescent="0.35">
      <c r="A88" t="s">
        <v>200</v>
      </c>
      <c r="B88">
        <v>4</v>
      </c>
      <c r="C88" t="s">
        <v>7</v>
      </c>
      <c r="D88" t="s">
        <v>8</v>
      </c>
      <c r="O88">
        <v>1</v>
      </c>
      <c r="P88" t="s">
        <v>98</v>
      </c>
      <c r="Q88">
        <v>0</v>
      </c>
      <c r="R88">
        <v>1</v>
      </c>
      <c r="S88" s="9">
        <v>4</v>
      </c>
      <c r="T88" s="9">
        <v>0</v>
      </c>
      <c r="U88">
        <v>0</v>
      </c>
      <c r="V88">
        <v>0</v>
      </c>
      <c r="X88" s="26">
        <f t="shared" si="8"/>
        <v>8.708904855214457E-5</v>
      </c>
      <c r="Y88" s="12">
        <f t="shared" si="9"/>
        <v>0.99875898105813199</v>
      </c>
      <c r="AA88" s="25" t="str">
        <f>IF(P88="*","-",IFERROR(VLOOKUP(P88,'AESS-W1'!$P$5:$T$126,4,FALSE),"-"))</f>
        <v>-</v>
      </c>
      <c r="AB88" s="25" t="str">
        <f>IF(P88="*","-",IFERROR(VLOOKUP(P88,'AESS-W3'!$P$5:$T$129,4,FALSE),"-"))</f>
        <v>-</v>
      </c>
      <c r="AC88" s="25" t="str">
        <f>IF(P88="*","-",IFERROR(VLOOKUP(P88,'All MECSM samples'!$P$4:$AD$454,15,FALSE),"-"))</f>
        <v>-</v>
      </c>
      <c r="AD88" s="25"/>
      <c r="AE88">
        <v>12</v>
      </c>
      <c r="AF88">
        <v>225</v>
      </c>
      <c r="AH88">
        <f t="shared" si="10"/>
        <v>0</v>
      </c>
      <c r="AI88">
        <f t="shared" si="11"/>
        <v>0</v>
      </c>
      <c r="AJ88">
        <f t="shared" si="12"/>
        <v>0</v>
      </c>
      <c r="AK88">
        <f t="shared" si="13"/>
        <v>0</v>
      </c>
      <c r="AL88" s="11">
        <f>SUM(AH$5:AH88)/SUM(AK$5:AK88)</f>
        <v>0.88235294117647056</v>
      </c>
      <c r="AM88" s="11">
        <f>SUM(AI$5:AI88)/SUM(AK$5:AK88)</f>
        <v>0.44117647058823528</v>
      </c>
      <c r="AN88" s="11">
        <f>SUM(AJ$5:AJ88)/SUM(AL$5:AL88)</f>
        <v>0.17378763488493745</v>
      </c>
    </row>
    <row r="89" spans="1:40" x14ac:dyDescent="0.35">
      <c r="A89" t="s">
        <v>465</v>
      </c>
      <c r="B89">
        <v>4</v>
      </c>
      <c r="C89" t="s">
        <v>7</v>
      </c>
      <c r="D89" t="s">
        <v>8</v>
      </c>
      <c r="E89" t="s">
        <v>9</v>
      </c>
      <c r="G89" t="s">
        <v>172</v>
      </c>
      <c r="I89" t="s">
        <v>173</v>
      </c>
      <c r="K89" t="s">
        <v>174</v>
      </c>
      <c r="M89" t="s">
        <v>175</v>
      </c>
      <c r="O89">
        <v>0.88</v>
      </c>
      <c r="P89" t="s">
        <v>332</v>
      </c>
      <c r="Q89">
        <v>98.4</v>
      </c>
      <c r="R89">
        <v>1</v>
      </c>
      <c r="S89" s="9">
        <v>4</v>
      </c>
      <c r="T89" s="9">
        <v>0</v>
      </c>
      <c r="U89">
        <v>0</v>
      </c>
      <c r="V89">
        <v>0</v>
      </c>
      <c r="X89" s="26">
        <f t="shared" si="8"/>
        <v>8.708904855214457E-5</v>
      </c>
      <c r="Y89" s="12">
        <f t="shared" si="9"/>
        <v>0.99884607010668414</v>
      </c>
      <c r="AA89" s="25">
        <f>IF(P89="*","-",IFERROR(VLOOKUP(P89,'AESS-W1'!$P$5:$T$126,4,FALSE),"-"))</f>
        <v>18</v>
      </c>
      <c r="AB89" s="25" t="str">
        <f>IF(P89="*","-",IFERROR(VLOOKUP(P89,'AESS-W3'!$P$5:$T$129,4,FALSE),"-"))</f>
        <v>-</v>
      </c>
      <c r="AC89" s="25">
        <f>IF(P89="*","-",IFERROR(VLOOKUP(P89,'All MECSM samples'!$P$4:$AD$454,15,FALSE),"-"))</f>
        <v>4692</v>
      </c>
      <c r="AD89" s="25"/>
      <c r="AE89">
        <v>0</v>
      </c>
      <c r="AF89">
        <v>0</v>
      </c>
      <c r="AH89">
        <f t="shared" si="10"/>
        <v>0</v>
      </c>
      <c r="AI89">
        <f t="shared" si="11"/>
        <v>0</v>
      </c>
      <c r="AJ89">
        <f t="shared" si="12"/>
        <v>0</v>
      </c>
      <c r="AK89">
        <f t="shared" si="13"/>
        <v>0</v>
      </c>
      <c r="AL89" s="11">
        <f>SUM(AH$5:AH89)/SUM(AK$5:AK89)</f>
        <v>0.88235294117647056</v>
      </c>
      <c r="AM89" s="11">
        <f>SUM(AI$5:AI89)/SUM(AK$5:AK89)</f>
        <v>0.44117647058823528</v>
      </c>
      <c r="AN89" s="11">
        <f>SUM(AJ$5:AJ89)/SUM(AL$5:AL89)</f>
        <v>0.17190476165260146</v>
      </c>
    </row>
    <row r="90" spans="1:40" x14ac:dyDescent="0.35">
      <c r="A90" t="s">
        <v>233</v>
      </c>
      <c r="B90">
        <v>4</v>
      </c>
      <c r="C90" t="s">
        <v>7</v>
      </c>
      <c r="D90" t="s">
        <v>8</v>
      </c>
      <c r="E90" t="s">
        <v>120</v>
      </c>
      <c r="G90" t="s">
        <v>121</v>
      </c>
      <c r="I90" t="s">
        <v>122</v>
      </c>
      <c r="K90" t="s">
        <v>123</v>
      </c>
      <c r="O90">
        <v>0.95</v>
      </c>
      <c r="P90" t="s">
        <v>224</v>
      </c>
      <c r="Q90">
        <v>85.4</v>
      </c>
      <c r="R90">
        <v>1</v>
      </c>
      <c r="S90" s="9">
        <v>4</v>
      </c>
      <c r="T90" s="9">
        <v>0</v>
      </c>
      <c r="U90">
        <v>0</v>
      </c>
      <c r="V90">
        <v>0</v>
      </c>
      <c r="X90" s="26">
        <f t="shared" si="8"/>
        <v>8.708904855214457E-5</v>
      </c>
      <c r="Y90" s="12">
        <f t="shared" si="9"/>
        <v>0.99893315915523628</v>
      </c>
      <c r="AA90" s="25">
        <f>IF(P90="*","-",IFERROR(VLOOKUP(P90,'AESS-W1'!$P$5:$T$126,4,FALSE),"-"))</f>
        <v>2</v>
      </c>
      <c r="AB90" s="25" t="str">
        <f>IF(P90="*","-",IFERROR(VLOOKUP(P90,'AESS-W3'!$P$5:$T$129,4,FALSE),"-"))</f>
        <v>-</v>
      </c>
      <c r="AC90" s="25">
        <f>IF(P90="*","-",IFERROR(VLOOKUP(P90,'All MECSM samples'!$P$4:$AD$454,15,FALSE),"-"))</f>
        <v>54</v>
      </c>
      <c r="AD90" s="25"/>
      <c r="AE90">
        <v>83</v>
      </c>
      <c r="AF90">
        <v>2</v>
      </c>
      <c r="AH90">
        <f t="shared" si="10"/>
        <v>0</v>
      </c>
      <c r="AI90">
        <f t="shared" si="11"/>
        <v>0</v>
      </c>
      <c r="AJ90">
        <f t="shared" si="12"/>
        <v>0</v>
      </c>
      <c r="AK90">
        <f t="shared" si="13"/>
        <v>0</v>
      </c>
      <c r="AL90" s="11">
        <f>SUM(AH$5:AH90)/SUM(AK$5:AK90)</f>
        <v>0.88235294117647056</v>
      </c>
      <c r="AM90" s="11">
        <f>SUM(AI$5:AI90)/SUM(AK$5:AK90)</f>
        <v>0.44117647058823528</v>
      </c>
      <c r="AN90" s="11">
        <f>SUM(AJ$5:AJ90)/SUM(AL$5:AL90)</f>
        <v>0.1700622504781549</v>
      </c>
    </row>
    <row r="91" spans="1:40" x14ac:dyDescent="0.35">
      <c r="A91" t="s">
        <v>242</v>
      </c>
      <c r="B91">
        <v>4</v>
      </c>
      <c r="C91" t="s">
        <v>7</v>
      </c>
      <c r="D91" t="s">
        <v>8</v>
      </c>
      <c r="E91" t="s">
        <v>9</v>
      </c>
      <c r="G91" t="s">
        <v>138</v>
      </c>
      <c r="I91" t="s">
        <v>410</v>
      </c>
      <c r="K91" t="s">
        <v>411</v>
      </c>
      <c r="O91">
        <v>1</v>
      </c>
      <c r="P91" t="s">
        <v>412</v>
      </c>
      <c r="Q91">
        <v>99.2</v>
      </c>
      <c r="R91">
        <v>7</v>
      </c>
      <c r="S91" s="9">
        <v>4</v>
      </c>
      <c r="T91" s="9">
        <v>0</v>
      </c>
      <c r="U91">
        <v>0</v>
      </c>
      <c r="V91">
        <v>0</v>
      </c>
      <c r="X91" s="26">
        <f t="shared" si="8"/>
        <v>8.708904855214457E-5</v>
      </c>
      <c r="Y91" s="12">
        <f t="shared" si="9"/>
        <v>0.99902024820378843</v>
      </c>
      <c r="AA91" s="25">
        <f>IF(P91="*","-",IFERROR(VLOOKUP(P91,'AESS-W1'!$P$5:$T$126,4,FALSE),"-"))</f>
        <v>5</v>
      </c>
      <c r="AB91" s="25">
        <f>IF(P91="*","-",IFERROR(VLOOKUP(P91,'AESS-W3'!$P$5:$T$129,4,FALSE),"-"))</f>
        <v>3</v>
      </c>
      <c r="AC91" s="25">
        <f>IF(P91="*","-",IFERROR(VLOOKUP(P91,'All MECSM samples'!$P$4:$AD$454,15,FALSE),"-"))</f>
        <v>1524</v>
      </c>
      <c r="AD91" s="25"/>
      <c r="AE91">
        <v>0</v>
      </c>
      <c r="AF91">
        <v>0</v>
      </c>
      <c r="AH91">
        <f t="shared" si="10"/>
        <v>0</v>
      </c>
      <c r="AI91">
        <f t="shared" si="11"/>
        <v>0</v>
      </c>
      <c r="AJ91">
        <f t="shared" si="12"/>
        <v>0</v>
      </c>
      <c r="AK91">
        <f t="shared" si="13"/>
        <v>0</v>
      </c>
      <c r="AL91" s="11">
        <f>SUM(AH$5:AH91)/SUM(AK$5:AK91)</f>
        <v>0.88235294117647056</v>
      </c>
      <c r="AM91" s="11">
        <f>SUM(AI$5:AI91)/SUM(AK$5:AK91)</f>
        <v>0.44117647058823528</v>
      </c>
      <c r="AN91" s="11">
        <f>SUM(AJ$5:AJ91)/SUM(AL$5:AL91)</f>
        <v>0.16825881729754069</v>
      </c>
    </row>
    <row r="92" spans="1:40" x14ac:dyDescent="0.35">
      <c r="A92" t="s">
        <v>277</v>
      </c>
      <c r="B92">
        <v>4</v>
      </c>
      <c r="C92" t="s">
        <v>7</v>
      </c>
      <c r="D92" t="s">
        <v>8</v>
      </c>
      <c r="E92" t="s">
        <v>120</v>
      </c>
      <c r="G92" t="s">
        <v>121</v>
      </c>
      <c r="I92" t="s">
        <v>122</v>
      </c>
      <c r="K92" t="s">
        <v>123</v>
      </c>
      <c r="M92" t="s">
        <v>124</v>
      </c>
      <c r="O92">
        <v>0.95</v>
      </c>
      <c r="P92" t="s">
        <v>125</v>
      </c>
      <c r="Q92">
        <v>90.1</v>
      </c>
      <c r="R92">
        <v>1</v>
      </c>
      <c r="S92" s="9">
        <v>4</v>
      </c>
      <c r="T92" s="9">
        <v>0</v>
      </c>
      <c r="U92">
        <v>0</v>
      </c>
      <c r="V92">
        <v>0</v>
      </c>
      <c r="X92" s="26">
        <f t="shared" si="8"/>
        <v>8.708904855214457E-5</v>
      </c>
      <c r="Y92" s="12">
        <f t="shared" si="9"/>
        <v>0.99910733725234058</v>
      </c>
      <c r="AA92" s="25">
        <f>IF(P92="*","-",IFERROR(VLOOKUP(P92,'AESS-W1'!$P$5:$T$126,4,FALSE),"-"))</f>
        <v>796</v>
      </c>
      <c r="AB92" s="25">
        <f>IF(P92="*","-",IFERROR(VLOOKUP(P92,'AESS-W3'!$P$5:$T$129,4,FALSE),"-"))</f>
        <v>8</v>
      </c>
      <c r="AC92" s="25">
        <f>IF(P92="*","-",IFERROR(VLOOKUP(P92,'All MECSM samples'!$P$4:$AD$454,15,FALSE),"-"))</f>
        <v>799</v>
      </c>
      <c r="AD92" s="25"/>
      <c r="AE92">
        <v>8</v>
      </c>
      <c r="AF92">
        <v>13</v>
      </c>
      <c r="AH92">
        <f t="shared" si="10"/>
        <v>0</v>
      </c>
      <c r="AI92">
        <f t="shared" si="11"/>
        <v>0</v>
      </c>
      <c r="AJ92">
        <f t="shared" si="12"/>
        <v>0</v>
      </c>
      <c r="AK92">
        <f t="shared" si="13"/>
        <v>0</v>
      </c>
      <c r="AL92" s="11">
        <f>SUM(AH$5:AH92)/SUM(AK$5:AK92)</f>
        <v>0.88235294117647056</v>
      </c>
      <c r="AM92" s="11">
        <f>SUM(AI$5:AI92)/SUM(AK$5:AK92)</f>
        <v>0.44117647058823528</v>
      </c>
      <c r="AN92" s="11">
        <f>SUM(AJ$5:AJ92)/SUM(AL$5:AL92)</f>
        <v>0.16649323194282983</v>
      </c>
    </row>
    <row r="93" spans="1:40" x14ac:dyDescent="0.35">
      <c r="A93" t="s">
        <v>336</v>
      </c>
      <c r="B93">
        <v>4</v>
      </c>
      <c r="C93" t="s">
        <v>7</v>
      </c>
      <c r="D93" t="s">
        <v>8</v>
      </c>
      <c r="E93" t="s">
        <v>46</v>
      </c>
      <c r="G93" t="s">
        <v>47</v>
      </c>
      <c r="I93" t="s">
        <v>61</v>
      </c>
      <c r="O93">
        <v>0.94</v>
      </c>
      <c r="P93" t="s">
        <v>302</v>
      </c>
      <c r="Q93">
        <v>92.1</v>
      </c>
      <c r="R93">
        <v>1</v>
      </c>
      <c r="S93" s="9">
        <v>4</v>
      </c>
      <c r="T93" s="9">
        <v>0</v>
      </c>
      <c r="U93">
        <v>0</v>
      </c>
      <c r="V93">
        <v>0</v>
      </c>
      <c r="X93" s="26">
        <f t="shared" si="8"/>
        <v>8.708904855214457E-5</v>
      </c>
      <c r="Y93" s="12">
        <f t="shared" si="9"/>
        <v>0.99919442630089272</v>
      </c>
      <c r="AA93" s="25">
        <f>IF(P93="*","-",IFERROR(VLOOKUP(P93,'AESS-W1'!$P$5:$T$126,4,FALSE),"-"))</f>
        <v>23</v>
      </c>
      <c r="AB93" s="25" t="str">
        <f>IF(P93="*","-",IFERROR(VLOOKUP(P93,'AESS-W3'!$P$5:$T$129,4,FALSE),"-"))</f>
        <v>-</v>
      </c>
      <c r="AC93" s="25">
        <f>IF(P93="*","-",IFERROR(VLOOKUP(P93,'All MECSM samples'!$P$4:$AD$454,15,FALSE),"-"))</f>
        <v>469</v>
      </c>
      <c r="AD93" s="25"/>
      <c r="AE93">
        <v>18</v>
      </c>
      <c r="AF93">
        <v>285</v>
      </c>
      <c r="AH93">
        <f t="shared" si="10"/>
        <v>0</v>
      </c>
      <c r="AI93">
        <f t="shared" si="11"/>
        <v>0</v>
      </c>
      <c r="AJ93">
        <f t="shared" si="12"/>
        <v>0</v>
      </c>
      <c r="AK93">
        <f t="shared" si="13"/>
        <v>0</v>
      </c>
      <c r="AL93" s="11">
        <f>SUM(AH$5:AH93)/SUM(AK$5:AK93)</f>
        <v>0.88235294117647056</v>
      </c>
      <c r="AM93" s="11">
        <f>SUM(AI$5:AI93)/SUM(AK$5:AK93)</f>
        <v>0.44117647058823528</v>
      </c>
      <c r="AN93" s="11">
        <f>SUM(AJ$5:AJ93)/SUM(AL$5:AL93)</f>
        <v>0.16476431534385219</v>
      </c>
    </row>
    <row r="94" spans="1:40" x14ac:dyDescent="0.35">
      <c r="A94" t="s">
        <v>313</v>
      </c>
      <c r="B94">
        <v>4</v>
      </c>
      <c r="C94" t="s">
        <v>7</v>
      </c>
      <c r="D94" t="s">
        <v>8</v>
      </c>
      <c r="E94" t="s">
        <v>32</v>
      </c>
      <c r="G94" t="s">
        <v>35</v>
      </c>
      <c r="I94" t="s">
        <v>36</v>
      </c>
      <c r="K94" t="s">
        <v>37</v>
      </c>
      <c r="M94" t="s">
        <v>304</v>
      </c>
      <c r="O94">
        <v>0.87</v>
      </c>
      <c r="P94" t="s">
        <v>305</v>
      </c>
      <c r="Q94">
        <v>97.6</v>
      </c>
      <c r="R94">
        <v>1</v>
      </c>
      <c r="S94" s="9">
        <v>4</v>
      </c>
      <c r="T94" s="9">
        <v>0</v>
      </c>
      <c r="U94">
        <v>0</v>
      </c>
      <c r="V94">
        <v>0</v>
      </c>
      <c r="X94" s="26">
        <f t="shared" si="8"/>
        <v>8.708904855214457E-5</v>
      </c>
      <c r="Y94" s="12">
        <f t="shared" si="9"/>
        <v>0.99928151534944487</v>
      </c>
      <c r="AA94" s="25">
        <f>IF(P94="*","-",IFERROR(VLOOKUP(P94,'AESS-W1'!$P$5:$T$126,4,FALSE),"-"))</f>
        <v>27</v>
      </c>
      <c r="AB94" s="25">
        <f>IF(P94="*","-",IFERROR(VLOOKUP(P94,'AESS-W3'!$P$5:$T$129,4,FALSE),"-"))</f>
        <v>7</v>
      </c>
      <c r="AC94" s="25">
        <f>IF(P94="*","-",IFERROR(VLOOKUP(P94,'All MECSM samples'!$P$4:$AD$454,15,FALSE),"-"))</f>
        <v>2600</v>
      </c>
      <c r="AD94" s="25"/>
      <c r="AE94">
        <v>0</v>
      </c>
      <c r="AF94">
        <v>0</v>
      </c>
      <c r="AH94">
        <f t="shared" si="10"/>
        <v>0</v>
      </c>
      <c r="AI94">
        <f t="shared" si="11"/>
        <v>0</v>
      </c>
      <c r="AJ94">
        <f t="shared" si="12"/>
        <v>0</v>
      </c>
      <c r="AK94">
        <f t="shared" si="13"/>
        <v>0</v>
      </c>
      <c r="AL94" s="11">
        <f>SUM(AH$5:AH94)/SUM(AK$5:AK94)</f>
        <v>0.88235294117647056</v>
      </c>
      <c r="AM94" s="11">
        <f>SUM(AI$5:AI94)/SUM(AK$5:AK94)</f>
        <v>0.44117647058823528</v>
      </c>
      <c r="AN94" s="11">
        <f>SUM(AJ$5:AJ94)/SUM(AL$5:AL94)</f>
        <v>0.16307093690238986</v>
      </c>
    </row>
    <row r="95" spans="1:40" x14ac:dyDescent="0.35">
      <c r="A95" t="s">
        <v>356</v>
      </c>
      <c r="B95">
        <v>3</v>
      </c>
      <c r="C95" t="s">
        <v>7</v>
      </c>
      <c r="D95" t="s">
        <v>8</v>
      </c>
      <c r="E95" t="s">
        <v>394</v>
      </c>
      <c r="G95" t="s">
        <v>395</v>
      </c>
      <c r="I95" t="s">
        <v>396</v>
      </c>
      <c r="K95" t="s">
        <v>397</v>
      </c>
      <c r="M95" t="s">
        <v>398</v>
      </c>
      <c r="O95">
        <v>0.99</v>
      </c>
      <c r="P95" t="s">
        <v>399</v>
      </c>
      <c r="Q95">
        <v>94.8</v>
      </c>
      <c r="R95">
        <v>1</v>
      </c>
      <c r="S95" s="9">
        <v>3</v>
      </c>
      <c r="T95" s="9">
        <v>0</v>
      </c>
      <c r="U95">
        <v>0</v>
      </c>
      <c r="V95">
        <v>0</v>
      </c>
      <c r="X95" s="26">
        <f t="shared" si="8"/>
        <v>6.5316786414108431E-5</v>
      </c>
      <c r="Y95" s="12">
        <f t="shared" si="9"/>
        <v>0.99934683213585895</v>
      </c>
      <c r="AA95" s="25" t="str">
        <f>IF(P95="*","-",IFERROR(VLOOKUP(P95,'AESS-W1'!$P$5:$T$126,4,FALSE),"-"))</f>
        <v>-</v>
      </c>
      <c r="AB95" s="25">
        <f>IF(P95="*","-",IFERROR(VLOOKUP(P95,'AESS-W3'!$P$5:$T$129,4,FALSE),"-"))</f>
        <v>7</v>
      </c>
      <c r="AC95" s="25">
        <f>IF(P95="*","-",IFERROR(VLOOKUP(P95,'All MECSM samples'!$P$4:$AD$454,15,FALSE),"-"))</f>
        <v>2033</v>
      </c>
      <c r="AD95" s="25"/>
      <c r="AE95">
        <v>0</v>
      </c>
      <c r="AF95">
        <v>0</v>
      </c>
      <c r="AH95">
        <f t="shared" si="10"/>
        <v>0</v>
      </c>
      <c r="AI95">
        <f t="shared" si="11"/>
        <v>0</v>
      </c>
      <c r="AJ95">
        <f t="shared" si="12"/>
        <v>0</v>
      </c>
      <c r="AK95">
        <f t="shared" si="13"/>
        <v>0</v>
      </c>
      <c r="AL95" s="11">
        <f>SUM(AH$5:AH95)/SUM(AK$5:AK95)</f>
        <v>0.88235294117647056</v>
      </c>
      <c r="AM95" s="11">
        <f>SUM(AI$5:AI95)/SUM(AK$5:AK95)</f>
        <v>0.44117647058823528</v>
      </c>
      <c r="AN95" s="11">
        <f>SUM(AJ$5:AJ95)/SUM(AL$5:AL95)</f>
        <v>0.16141201202664501</v>
      </c>
    </row>
    <row r="96" spans="1:40" x14ac:dyDescent="0.35">
      <c r="A96" t="s">
        <v>295</v>
      </c>
      <c r="B96">
        <v>3</v>
      </c>
      <c r="C96" t="s">
        <v>7</v>
      </c>
      <c r="D96" t="s">
        <v>8</v>
      </c>
      <c r="E96" t="s">
        <v>46</v>
      </c>
      <c r="O96">
        <v>0.59</v>
      </c>
      <c r="P96" t="s">
        <v>98</v>
      </c>
      <c r="Q96">
        <v>0</v>
      </c>
      <c r="R96">
        <v>1</v>
      </c>
      <c r="S96" s="9">
        <v>3</v>
      </c>
      <c r="T96" s="9">
        <v>0</v>
      </c>
      <c r="U96">
        <v>0</v>
      </c>
      <c r="V96">
        <v>0</v>
      </c>
      <c r="X96" s="26">
        <f t="shared" si="8"/>
        <v>6.5316786414108431E-5</v>
      </c>
      <c r="Y96" s="12">
        <f t="shared" si="9"/>
        <v>0.99941214892227304</v>
      </c>
      <c r="AA96" s="25" t="str">
        <f>IF(P96="*","-",IFERROR(VLOOKUP(P96,'AESS-W1'!$P$5:$T$126,4,FALSE),"-"))</f>
        <v>-</v>
      </c>
      <c r="AB96" s="25" t="str">
        <f>IF(P96="*","-",IFERROR(VLOOKUP(P96,'AESS-W3'!$P$5:$T$129,4,FALSE),"-"))</f>
        <v>-</v>
      </c>
      <c r="AC96" s="25" t="str">
        <f>IF(P96="*","-",IFERROR(VLOOKUP(P96,'All MECSM samples'!$P$4:$AD$454,15,FALSE),"-"))</f>
        <v>-</v>
      </c>
      <c r="AD96" s="25"/>
      <c r="AE96">
        <v>1</v>
      </c>
      <c r="AF96">
        <v>242</v>
      </c>
      <c r="AH96">
        <f t="shared" si="10"/>
        <v>0</v>
      </c>
      <c r="AI96">
        <f t="shared" si="11"/>
        <v>0</v>
      </c>
      <c r="AJ96">
        <f t="shared" si="12"/>
        <v>0</v>
      </c>
      <c r="AK96">
        <f t="shared" si="13"/>
        <v>0</v>
      </c>
      <c r="AL96" s="11">
        <f>SUM(AH$5:AH96)/SUM(AK$5:AK96)</f>
        <v>0.88235294117647056</v>
      </c>
      <c r="AM96" s="11">
        <f>SUM(AI$5:AI96)/SUM(AK$5:AK96)</f>
        <v>0.44117647058823528</v>
      </c>
      <c r="AN96" s="11">
        <f>SUM(AJ$5:AJ96)/SUM(AL$5:AL96)</f>
        <v>0.1597864998146839</v>
      </c>
    </row>
    <row r="97" spans="1:40" x14ac:dyDescent="0.35">
      <c r="A97" t="s">
        <v>280</v>
      </c>
      <c r="B97">
        <v>3</v>
      </c>
      <c r="C97" t="s">
        <v>7</v>
      </c>
      <c r="D97" t="s">
        <v>8</v>
      </c>
      <c r="E97" t="s">
        <v>32</v>
      </c>
      <c r="G97" t="s">
        <v>35</v>
      </c>
      <c r="I97" t="s">
        <v>36</v>
      </c>
      <c r="K97" t="s">
        <v>37</v>
      </c>
      <c r="O97">
        <v>0.97</v>
      </c>
      <c r="P97" t="s">
        <v>401</v>
      </c>
      <c r="Q97">
        <v>93.7</v>
      </c>
      <c r="R97">
        <v>1</v>
      </c>
      <c r="S97" s="9">
        <v>3</v>
      </c>
      <c r="T97" s="9">
        <v>0</v>
      </c>
      <c r="U97">
        <v>0</v>
      </c>
      <c r="V97">
        <v>0</v>
      </c>
      <c r="X97" s="26">
        <f t="shared" si="8"/>
        <v>6.5316786414108431E-5</v>
      </c>
      <c r="Y97" s="12">
        <f t="shared" si="9"/>
        <v>0.99947746570868712</v>
      </c>
      <c r="AA97" s="25">
        <f>IF(P97="*","-",IFERROR(VLOOKUP(P97,'AESS-W1'!$P$5:$T$126,4,FALSE),"-"))</f>
        <v>5</v>
      </c>
      <c r="AB97" s="25">
        <f>IF(P97="*","-",IFERROR(VLOOKUP(P97,'AESS-W3'!$P$5:$T$129,4,FALSE),"-"))</f>
        <v>5</v>
      </c>
      <c r="AC97" s="25">
        <f>IF(P97="*","-",IFERROR(VLOOKUP(P97,'All MECSM samples'!$P$4:$AD$454,15,FALSE),"-"))</f>
        <v>6</v>
      </c>
      <c r="AD97" s="25"/>
      <c r="AE97">
        <v>0</v>
      </c>
      <c r="AF97">
        <v>0</v>
      </c>
      <c r="AH97">
        <f t="shared" si="10"/>
        <v>0</v>
      </c>
      <c r="AI97">
        <f t="shared" si="11"/>
        <v>0</v>
      </c>
      <c r="AJ97">
        <f t="shared" si="12"/>
        <v>0</v>
      </c>
      <c r="AK97">
        <f t="shared" si="13"/>
        <v>0</v>
      </c>
      <c r="AL97" s="11">
        <f>SUM(AH$5:AH97)/SUM(AK$5:AK97)</f>
        <v>0.88235294117647056</v>
      </c>
      <c r="AM97" s="11">
        <f>SUM(AI$5:AI97)/SUM(AK$5:AK97)</f>
        <v>0.44117647058823528</v>
      </c>
      <c r="AN97" s="11">
        <f>SUM(AJ$5:AJ97)/SUM(AL$5:AL97)</f>
        <v>0.15819340087645931</v>
      </c>
    </row>
    <row r="98" spans="1:40" x14ac:dyDescent="0.35">
      <c r="A98" t="s">
        <v>226</v>
      </c>
      <c r="B98">
        <v>3</v>
      </c>
      <c r="C98" t="s">
        <v>7</v>
      </c>
      <c r="D98" t="s">
        <v>8</v>
      </c>
      <c r="E98" t="s">
        <v>9</v>
      </c>
      <c r="G98" t="s">
        <v>138</v>
      </c>
      <c r="I98" t="s">
        <v>345</v>
      </c>
      <c r="K98" t="s">
        <v>538</v>
      </c>
      <c r="M98" t="s">
        <v>539</v>
      </c>
      <c r="O98">
        <v>0.99</v>
      </c>
      <c r="P98" t="s">
        <v>540</v>
      </c>
      <c r="Q98">
        <v>100</v>
      </c>
      <c r="R98">
        <v>2</v>
      </c>
      <c r="S98" s="9">
        <v>3</v>
      </c>
      <c r="T98" s="9">
        <v>0</v>
      </c>
      <c r="U98">
        <v>0</v>
      </c>
      <c r="V98">
        <v>0</v>
      </c>
      <c r="X98" s="26">
        <f t="shared" si="8"/>
        <v>6.5316786414108431E-5</v>
      </c>
      <c r="Y98" s="12">
        <f t="shared" si="9"/>
        <v>0.9995427824951012</v>
      </c>
      <c r="AA98" s="25" t="str">
        <f>IF(P98="*","-",IFERROR(VLOOKUP(P98,'AESS-W1'!$P$5:$T$126,4,FALSE),"-"))</f>
        <v>-</v>
      </c>
      <c r="AB98" s="25" t="str">
        <f>IF(P98="*","-",IFERROR(VLOOKUP(P98,'AESS-W3'!$P$5:$T$129,4,FALSE),"-"))</f>
        <v>-</v>
      </c>
      <c r="AC98" s="25">
        <f>IF(P98="*","-",IFERROR(VLOOKUP(P98,'All MECSM samples'!$P$4:$AD$454,15,FALSE),"-"))</f>
        <v>748</v>
      </c>
      <c r="AD98" s="25"/>
      <c r="AE98">
        <v>0</v>
      </c>
      <c r="AF98">
        <v>0</v>
      </c>
      <c r="AH98">
        <f t="shared" si="10"/>
        <v>0</v>
      </c>
      <c r="AI98">
        <f t="shared" si="11"/>
        <v>0</v>
      </c>
      <c r="AJ98">
        <f t="shared" si="12"/>
        <v>0</v>
      </c>
      <c r="AK98">
        <f t="shared" si="13"/>
        <v>0</v>
      </c>
      <c r="AL98" s="11">
        <f>SUM(AH$5:AH98)/SUM(AK$5:AK98)</f>
        <v>0.88235294117647056</v>
      </c>
      <c r="AM98" s="11">
        <f>SUM(AI$5:AI98)/SUM(AK$5:AK98)</f>
        <v>0.44117647058823528</v>
      </c>
      <c r="AN98" s="11">
        <f>SUM(AJ$5:AJ98)/SUM(AL$5:AL98)</f>
        <v>0.15663175528483594</v>
      </c>
    </row>
    <row r="99" spans="1:40" x14ac:dyDescent="0.35">
      <c r="A99" t="s">
        <v>271</v>
      </c>
      <c r="B99">
        <v>3</v>
      </c>
      <c r="C99" t="s">
        <v>7</v>
      </c>
      <c r="D99" t="s">
        <v>8</v>
      </c>
      <c r="E99" t="s">
        <v>46</v>
      </c>
      <c r="G99" t="s">
        <v>47</v>
      </c>
      <c r="I99" t="s">
        <v>61</v>
      </c>
      <c r="K99" t="s">
        <v>527</v>
      </c>
      <c r="M99" t="s">
        <v>528</v>
      </c>
      <c r="O99">
        <v>1</v>
      </c>
      <c r="P99" t="s">
        <v>529</v>
      </c>
      <c r="Q99">
        <v>100</v>
      </c>
      <c r="R99">
        <v>1</v>
      </c>
      <c r="S99" s="9">
        <v>3</v>
      </c>
      <c r="T99" s="9">
        <v>0</v>
      </c>
      <c r="U99">
        <v>0</v>
      </c>
      <c r="V99">
        <v>0</v>
      </c>
      <c r="X99" s="26">
        <f t="shared" si="8"/>
        <v>6.5316786414108431E-5</v>
      </c>
      <c r="Y99" s="12">
        <f t="shared" si="9"/>
        <v>0.99960809928151528</v>
      </c>
      <c r="AA99" s="25" t="str">
        <f>IF(P99="*","-",IFERROR(VLOOKUP(P99,'AESS-W1'!$P$5:$T$126,4,FALSE),"-"))</f>
        <v>-</v>
      </c>
      <c r="AB99" s="25" t="str">
        <f>IF(P99="*","-",IFERROR(VLOOKUP(P99,'AESS-W3'!$P$5:$T$129,4,FALSE),"-"))</f>
        <v>-</v>
      </c>
      <c r="AC99" s="25">
        <f>IF(P99="*","-",IFERROR(VLOOKUP(P99,'All MECSM samples'!$P$4:$AD$454,15,FALSE),"-"))</f>
        <v>289</v>
      </c>
      <c r="AD99" s="25"/>
      <c r="AE99">
        <v>1</v>
      </c>
      <c r="AF99">
        <v>505</v>
      </c>
      <c r="AH99">
        <f t="shared" si="10"/>
        <v>0</v>
      </c>
      <c r="AI99">
        <f t="shared" si="11"/>
        <v>0</v>
      </c>
      <c r="AJ99">
        <f t="shared" si="12"/>
        <v>0</v>
      </c>
      <c r="AK99">
        <f t="shared" si="13"/>
        <v>0</v>
      </c>
      <c r="AL99" s="11">
        <f>SUM(AH$5:AH99)/SUM(AK$5:AK99)</f>
        <v>0.88235294117647056</v>
      </c>
      <c r="AM99" s="11">
        <f>SUM(AI$5:AI99)/SUM(AK$5:AK99)</f>
        <v>0.44117647058823528</v>
      </c>
      <c r="AN99" s="11">
        <f>SUM(AJ$5:AJ99)/SUM(AL$5:AL99)</f>
        <v>0.15510064064679122</v>
      </c>
    </row>
    <row r="100" spans="1:40" x14ac:dyDescent="0.35">
      <c r="A100" t="s">
        <v>225</v>
      </c>
      <c r="B100">
        <v>3</v>
      </c>
      <c r="C100" t="s">
        <v>7</v>
      </c>
      <c r="D100" t="s">
        <v>8</v>
      </c>
      <c r="E100" t="s">
        <v>46</v>
      </c>
      <c r="G100" t="s">
        <v>47</v>
      </c>
      <c r="I100" t="s">
        <v>69</v>
      </c>
      <c r="K100" t="s">
        <v>70</v>
      </c>
      <c r="M100" t="s">
        <v>459</v>
      </c>
      <c r="O100">
        <v>0.98</v>
      </c>
      <c r="P100" t="s">
        <v>460</v>
      </c>
      <c r="Q100">
        <v>95.7</v>
      </c>
      <c r="R100">
        <v>3</v>
      </c>
      <c r="S100" s="9">
        <v>3</v>
      </c>
      <c r="T100" s="9">
        <v>0</v>
      </c>
      <c r="U100">
        <v>0</v>
      </c>
      <c r="V100">
        <v>0</v>
      </c>
      <c r="X100" s="26">
        <f t="shared" si="8"/>
        <v>6.5316786414108431E-5</v>
      </c>
      <c r="Y100" s="12">
        <f t="shared" si="9"/>
        <v>0.99967341606792937</v>
      </c>
      <c r="AA100" s="25" t="str">
        <f>IF(P100="*","-",IFERROR(VLOOKUP(P100,'AESS-W1'!$P$5:$T$126,4,FALSE),"-"))</f>
        <v>-</v>
      </c>
      <c r="AB100" s="25">
        <f>IF(P100="*","-",IFERROR(VLOOKUP(P100,'AESS-W3'!$P$5:$T$129,4,FALSE),"-"))</f>
        <v>6</v>
      </c>
      <c r="AC100" s="25">
        <f>IF(P100="*","-",IFERROR(VLOOKUP(P100,'All MECSM samples'!$P$4:$AD$454,15,FALSE),"-"))</f>
        <v>6</v>
      </c>
      <c r="AD100" s="25"/>
      <c r="AE100">
        <v>73</v>
      </c>
      <c r="AF100">
        <v>88</v>
      </c>
      <c r="AH100">
        <f t="shared" si="10"/>
        <v>0</v>
      </c>
      <c r="AI100">
        <f t="shared" si="11"/>
        <v>0</v>
      </c>
      <c r="AJ100">
        <f t="shared" si="12"/>
        <v>0</v>
      </c>
      <c r="AK100">
        <f t="shared" si="13"/>
        <v>0</v>
      </c>
      <c r="AL100" s="11">
        <f>SUM(AH$5:AH100)/SUM(AK$5:AK100)</f>
        <v>0.88235294117647056</v>
      </c>
      <c r="AM100" s="11">
        <f>SUM(AI$5:AI100)/SUM(AK$5:AK100)</f>
        <v>0.44117647058823528</v>
      </c>
      <c r="AN100" s="11">
        <f>SUM(AJ$5:AJ100)/SUM(AL$5:AL100)</f>
        <v>0.15359917028664788</v>
      </c>
    </row>
    <row r="101" spans="1:40" x14ac:dyDescent="0.35">
      <c r="A101" t="s">
        <v>282</v>
      </c>
      <c r="B101">
        <v>3</v>
      </c>
      <c r="C101" t="s">
        <v>7</v>
      </c>
      <c r="D101" t="s">
        <v>8</v>
      </c>
      <c r="E101" t="s">
        <v>46</v>
      </c>
      <c r="G101" t="s">
        <v>47</v>
      </c>
      <c r="I101" t="s">
        <v>160</v>
      </c>
      <c r="K101" t="s">
        <v>161</v>
      </c>
      <c r="M101" t="s">
        <v>162</v>
      </c>
      <c r="O101">
        <v>0.96</v>
      </c>
      <c r="P101" t="s">
        <v>163</v>
      </c>
      <c r="Q101">
        <v>96</v>
      </c>
      <c r="R101">
        <v>1</v>
      </c>
      <c r="S101" s="9">
        <v>3</v>
      </c>
      <c r="T101" s="9">
        <v>0</v>
      </c>
      <c r="U101">
        <v>0</v>
      </c>
      <c r="V101">
        <v>0</v>
      </c>
      <c r="X101" s="26">
        <f t="shared" ref="X101:X107" si="14">S101/S$1</f>
        <v>6.5316786414108431E-5</v>
      </c>
      <c r="Y101" s="12">
        <f t="shared" si="9"/>
        <v>0.99973873285434345</v>
      </c>
      <c r="AA101" s="25">
        <f>IF(P101="*","-",IFERROR(VLOOKUP(P101,'AESS-W1'!$P$5:$T$126,4,FALSE),"-"))</f>
        <v>15</v>
      </c>
      <c r="AB101" s="25">
        <f>IF(P101="*","-",IFERROR(VLOOKUP(P101,'AESS-W3'!$P$5:$T$129,4,FALSE),"-"))</f>
        <v>0</v>
      </c>
      <c r="AC101" s="25">
        <f>IF(P101="*","-",IFERROR(VLOOKUP(P101,'All MECSM samples'!$P$4:$AD$454,15,FALSE),"-"))</f>
        <v>3869</v>
      </c>
      <c r="AD101" s="25"/>
      <c r="AE101">
        <v>23</v>
      </c>
      <c r="AF101">
        <v>57</v>
      </c>
      <c r="AH101">
        <f t="shared" si="10"/>
        <v>0</v>
      </c>
      <c r="AI101">
        <f t="shared" si="11"/>
        <v>0</v>
      </c>
      <c r="AJ101">
        <f t="shared" si="12"/>
        <v>0</v>
      </c>
      <c r="AK101">
        <f t="shared" si="13"/>
        <v>0</v>
      </c>
      <c r="AL101" s="11">
        <f>SUM(AH$5:AH101)/SUM(AK$5:AK101)</f>
        <v>0.88235294117647056</v>
      </c>
      <c r="AM101" s="11">
        <f>SUM(AI$5:AI101)/SUM(AK$5:AK101)</f>
        <v>0.44117647058823528</v>
      </c>
      <c r="AN101" s="11">
        <f>SUM(AJ$5:AJ101)/SUM(AL$5:AL101)</f>
        <v>0.15212649153381932</v>
      </c>
    </row>
    <row r="102" spans="1:40" x14ac:dyDescent="0.35">
      <c r="A102" t="s">
        <v>306</v>
      </c>
      <c r="B102">
        <v>2</v>
      </c>
      <c r="C102" t="s">
        <v>7</v>
      </c>
      <c r="D102" t="s">
        <v>8</v>
      </c>
      <c r="O102">
        <v>0.99</v>
      </c>
      <c r="P102" t="s">
        <v>487</v>
      </c>
      <c r="Q102">
        <v>85.8</v>
      </c>
      <c r="R102">
        <v>2</v>
      </c>
      <c r="S102" s="9">
        <v>2</v>
      </c>
      <c r="T102" s="9">
        <v>0</v>
      </c>
      <c r="U102">
        <v>0</v>
      </c>
      <c r="V102">
        <v>0</v>
      </c>
      <c r="X102" s="26">
        <f t="shared" si="14"/>
        <v>4.3544524276072285E-5</v>
      </c>
      <c r="Y102" s="12">
        <f t="shared" ref="Y102:Y107" si="15">Y101+X102</f>
        <v>0.99978227737861947</v>
      </c>
      <c r="AA102" s="25">
        <f>IF(P102="*","-",IFERROR(VLOOKUP(P102,'AESS-W1'!$P$5:$T$126,4,FALSE),"-"))</f>
        <v>4</v>
      </c>
      <c r="AB102" s="25" t="str">
        <f>IF(P102="*","-",IFERROR(VLOOKUP(P102,'AESS-W3'!$P$5:$T$129,4,FALSE),"-"))</f>
        <v>-</v>
      </c>
      <c r="AC102" s="25">
        <f>IF(P102="*","-",IFERROR(VLOOKUP(P102,'All MECSM samples'!$P$4:$AD$454,15,FALSE),"-"))</f>
        <v>369</v>
      </c>
      <c r="AD102" s="25"/>
      <c r="AE102">
        <v>7</v>
      </c>
      <c r="AF102">
        <v>31</v>
      </c>
      <c r="AH102">
        <f t="shared" si="10"/>
        <v>0</v>
      </c>
      <c r="AI102">
        <f t="shared" si="11"/>
        <v>0</v>
      </c>
      <c r="AJ102">
        <f t="shared" si="12"/>
        <v>0</v>
      </c>
      <c r="AK102">
        <f t="shared" si="13"/>
        <v>0</v>
      </c>
      <c r="AL102" s="11">
        <f>SUM(AH$5:AH102)/SUM(AK$5:AK102)</f>
        <v>0.88235294117647056</v>
      </c>
      <c r="AM102" s="11">
        <f>SUM(AI$5:AI102)/SUM(AK$5:AK102)</f>
        <v>0.44117647058823528</v>
      </c>
      <c r="AN102" s="11">
        <f>SUM(AJ$5:AJ102)/SUM(AL$5:AL102)</f>
        <v>0.15068178410812028</v>
      </c>
    </row>
    <row r="103" spans="1:40" x14ac:dyDescent="0.35">
      <c r="A103" t="s">
        <v>318</v>
      </c>
      <c r="B103">
        <v>2</v>
      </c>
      <c r="C103" t="s">
        <v>7</v>
      </c>
      <c r="D103" t="s">
        <v>8</v>
      </c>
      <c r="E103" t="s">
        <v>46</v>
      </c>
      <c r="G103" t="s">
        <v>47</v>
      </c>
      <c r="O103">
        <v>0.88</v>
      </c>
      <c r="P103" t="s">
        <v>578</v>
      </c>
      <c r="Q103">
        <v>90.9</v>
      </c>
      <c r="R103">
        <v>1</v>
      </c>
      <c r="S103" s="9">
        <v>2</v>
      </c>
      <c r="T103" s="9">
        <v>0</v>
      </c>
      <c r="U103">
        <v>0</v>
      </c>
      <c r="V103">
        <v>0</v>
      </c>
      <c r="X103" s="26">
        <f t="shared" si="14"/>
        <v>4.3544524276072285E-5</v>
      </c>
      <c r="Y103" s="12">
        <f t="shared" si="15"/>
        <v>0.99982582190289548</v>
      </c>
      <c r="AA103" s="25" t="str">
        <f>IF(P103="*","-",IFERROR(VLOOKUP(P103,'AESS-W1'!$P$5:$T$126,4,FALSE),"-"))</f>
        <v>-</v>
      </c>
      <c r="AB103" s="25" t="str">
        <f>IF(P103="*","-",IFERROR(VLOOKUP(P103,'AESS-W3'!$P$5:$T$129,4,FALSE),"-"))</f>
        <v>-</v>
      </c>
      <c r="AC103" s="25">
        <f>IF(P103="*","-",IFERROR(VLOOKUP(P103,'All MECSM samples'!$P$4:$AD$454,15,FALSE),"-"))</f>
        <v>7</v>
      </c>
      <c r="AD103" s="25"/>
      <c r="AE103">
        <v>63</v>
      </c>
      <c r="AF103">
        <v>14</v>
      </c>
      <c r="AH103">
        <f t="shared" si="10"/>
        <v>0</v>
      </c>
      <c r="AI103">
        <f t="shared" si="11"/>
        <v>0</v>
      </c>
      <c r="AJ103">
        <f t="shared" si="12"/>
        <v>0</v>
      </c>
      <c r="AK103">
        <f t="shared" si="13"/>
        <v>0</v>
      </c>
      <c r="AL103" s="11">
        <f>SUM(AH$5:AH103)/SUM(AK$5:AK103)</f>
        <v>0.88235294117647056</v>
      </c>
      <c r="AM103" s="11">
        <f>SUM(AI$5:AI103)/SUM(AK$5:AK103)</f>
        <v>0.44117647058823528</v>
      </c>
      <c r="AN103" s="11">
        <f>SUM(AJ$5:AJ103)/SUM(AL$5:AL103)</f>
        <v>0.14926425859621772</v>
      </c>
    </row>
    <row r="104" spans="1:40" x14ac:dyDescent="0.35">
      <c r="A104" t="s">
        <v>265</v>
      </c>
      <c r="B104">
        <v>2</v>
      </c>
      <c r="C104" t="s">
        <v>7</v>
      </c>
      <c r="D104" t="s">
        <v>8</v>
      </c>
      <c r="E104" t="s">
        <v>46</v>
      </c>
      <c r="G104" t="s">
        <v>47</v>
      </c>
      <c r="I104" t="s">
        <v>61</v>
      </c>
      <c r="K104" t="s">
        <v>157</v>
      </c>
      <c r="M104" t="s">
        <v>440</v>
      </c>
      <c r="O104">
        <v>0.61</v>
      </c>
      <c r="P104" t="s">
        <v>441</v>
      </c>
      <c r="Q104">
        <v>96.8</v>
      </c>
      <c r="R104">
        <v>1</v>
      </c>
      <c r="S104" s="9">
        <v>2</v>
      </c>
      <c r="T104" s="9">
        <v>0</v>
      </c>
      <c r="U104">
        <v>0</v>
      </c>
      <c r="V104">
        <v>0</v>
      </c>
      <c r="X104" s="26">
        <f t="shared" si="14"/>
        <v>4.3544524276072285E-5</v>
      </c>
      <c r="Y104" s="12">
        <f t="shared" si="15"/>
        <v>0.9998693664271715</v>
      </c>
      <c r="AA104" s="25">
        <f>IF(P104="*","-",IFERROR(VLOOKUP(P104,'AESS-W1'!$P$5:$T$126,4,FALSE),"-"))</f>
        <v>4</v>
      </c>
      <c r="AB104" s="25">
        <f>IF(P104="*","-",IFERROR(VLOOKUP(P104,'AESS-W3'!$P$5:$T$129,4,FALSE),"-"))</f>
        <v>4</v>
      </c>
      <c r="AC104" s="25">
        <f>IF(P104="*","-",IFERROR(VLOOKUP(P104,'All MECSM samples'!$P$4:$AD$454,15,FALSE),"-"))</f>
        <v>767</v>
      </c>
      <c r="AD104" s="25"/>
      <c r="AE104">
        <v>0</v>
      </c>
      <c r="AF104">
        <v>0</v>
      </c>
      <c r="AH104">
        <f t="shared" si="10"/>
        <v>0</v>
      </c>
      <c r="AI104">
        <f t="shared" si="11"/>
        <v>0</v>
      </c>
      <c r="AJ104">
        <f t="shared" si="12"/>
        <v>0</v>
      </c>
      <c r="AK104">
        <f t="shared" si="13"/>
        <v>0</v>
      </c>
      <c r="AL104" s="11">
        <f>SUM(AH$5:AH104)/SUM(AK$5:AK104)</f>
        <v>0.88235294117647056</v>
      </c>
      <c r="AM104" s="11">
        <f>SUM(AI$5:AI104)/SUM(AK$5:AK104)</f>
        <v>0.44117647058823528</v>
      </c>
      <c r="AN104" s="11">
        <f>SUM(AJ$5:AJ104)/SUM(AL$5:AL104)</f>
        <v>0.14787315501327614</v>
      </c>
    </row>
    <row r="105" spans="1:40" x14ac:dyDescent="0.35">
      <c r="A105" t="s">
        <v>329</v>
      </c>
      <c r="B105">
        <v>2</v>
      </c>
      <c r="C105" t="s">
        <v>7</v>
      </c>
      <c r="D105" t="s">
        <v>8</v>
      </c>
      <c r="E105" t="s">
        <v>46</v>
      </c>
      <c r="G105" t="s">
        <v>47</v>
      </c>
      <c r="I105" t="s">
        <v>69</v>
      </c>
      <c r="K105" t="s">
        <v>70</v>
      </c>
      <c r="O105">
        <v>0.51</v>
      </c>
      <c r="P105" t="s">
        <v>580</v>
      </c>
      <c r="Q105">
        <v>86.2</v>
      </c>
      <c r="R105">
        <v>2</v>
      </c>
      <c r="S105" s="9">
        <v>2</v>
      </c>
      <c r="T105" s="9">
        <v>0</v>
      </c>
      <c r="U105">
        <v>0</v>
      </c>
      <c r="V105">
        <v>0</v>
      </c>
      <c r="X105" s="26">
        <f t="shared" si="14"/>
        <v>4.3544524276072285E-5</v>
      </c>
      <c r="Y105" s="12">
        <f t="shared" si="15"/>
        <v>0.99991291095144752</v>
      </c>
      <c r="AA105" s="25" t="str">
        <f>IF(P105="*","-",IFERROR(VLOOKUP(P105,'AESS-W1'!$P$5:$T$126,4,FALSE),"-"))</f>
        <v>-</v>
      </c>
      <c r="AB105" s="25" t="str">
        <f>IF(P105="*","-",IFERROR(VLOOKUP(P105,'AESS-W3'!$P$5:$T$129,4,FALSE),"-"))</f>
        <v>-</v>
      </c>
      <c r="AC105" s="25">
        <f>IF(P105="*","-",IFERROR(VLOOKUP(P105,'All MECSM samples'!$P$4:$AD$454,15,FALSE),"-"))</f>
        <v>42</v>
      </c>
      <c r="AD105" s="25"/>
      <c r="AE105">
        <v>40</v>
      </c>
      <c r="AF105">
        <v>278</v>
      </c>
      <c r="AH105">
        <f t="shared" si="10"/>
        <v>0</v>
      </c>
      <c r="AI105">
        <f t="shared" si="11"/>
        <v>0</v>
      </c>
      <c r="AJ105">
        <f t="shared" si="12"/>
        <v>0</v>
      </c>
      <c r="AK105">
        <f t="shared" si="13"/>
        <v>0</v>
      </c>
      <c r="AL105" s="11">
        <f>SUM(AH$5:AH105)/SUM(AK$5:AK105)</f>
        <v>0.88235294117647056</v>
      </c>
      <c r="AM105" s="11">
        <f>SUM(AI$5:AI105)/SUM(AK$5:AK105)</f>
        <v>0.44117647058823528</v>
      </c>
      <c r="AN105" s="11">
        <f>SUM(AJ$5:AJ105)/SUM(AL$5:AL105)</f>
        <v>0.14650774144429066</v>
      </c>
    </row>
    <row r="106" spans="1:40" x14ac:dyDescent="0.35">
      <c r="A106" t="s">
        <v>323</v>
      </c>
      <c r="B106">
        <v>2</v>
      </c>
      <c r="C106" t="s">
        <v>7</v>
      </c>
      <c r="D106" t="s">
        <v>8</v>
      </c>
      <c r="E106" t="s">
        <v>9</v>
      </c>
      <c r="G106" t="s">
        <v>10</v>
      </c>
      <c r="I106" t="s">
        <v>131</v>
      </c>
      <c r="K106" t="s">
        <v>150</v>
      </c>
      <c r="M106" t="s">
        <v>151</v>
      </c>
      <c r="O106">
        <v>0.7</v>
      </c>
      <c r="P106" t="s">
        <v>152</v>
      </c>
      <c r="Q106">
        <v>93.3</v>
      </c>
      <c r="R106">
        <v>1</v>
      </c>
      <c r="S106" s="9">
        <v>2</v>
      </c>
      <c r="T106" s="9">
        <v>0</v>
      </c>
      <c r="U106">
        <v>0</v>
      </c>
      <c r="V106">
        <v>0</v>
      </c>
      <c r="X106" s="26">
        <f t="shared" si="14"/>
        <v>4.3544524276072285E-5</v>
      </c>
      <c r="Y106" s="12">
        <f t="shared" si="15"/>
        <v>0.99995645547572354</v>
      </c>
      <c r="AA106" s="25">
        <f>IF(P106="*","-",IFERROR(VLOOKUP(P106,'AESS-W1'!$P$5:$T$126,4,FALSE),"-"))</f>
        <v>77</v>
      </c>
      <c r="AB106" s="25">
        <f>IF(P106="*","-",IFERROR(VLOOKUP(P106,'AESS-W3'!$P$5:$T$129,4,FALSE),"-"))</f>
        <v>108</v>
      </c>
      <c r="AC106" s="25">
        <f>IF(P106="*","-",IFERROR(VLOOKUP(P106,'All MECSM samples'!$P$4:$AD$454,15,FALSE),"-"))</f>
        <v>577</v>
      </c>
      <c r="AD106" s="25"/>
      <c r="AE106">
        <v>0</v>
      </c>
      <c r="AF106">
        <v>0</v>
      </c>
      <c r="AH106">
        <f t="shared" si="10"/>
        <v>0</v>
      </c>
      <c r="AI106">
        <f t="shared" si="11"/>
        <v>0</v>
      </c>
      <c r="AJ106">
        <f t="shared" si="12"/>
        <v>0</v>
      </c>
      <c r="AK106">
        <f t="shared" si="13"/>
        <v>0</v>
      </c>
      <c r="AL106" s="11">
        <f>SUM(AH$5:AH106)/SUM(AK$5:AK106)</f>
        <v>0.88235294117647056</v>
      </c>
      <c r="AM106" s="11">
        <f>SUM(AI$5:AI106)/SUM(AK$5:AK106)</f>
        <v>0.44117647058823528</v>
      </c>
      <c r="AN106" s="11">
        <f>SUM(AJ$5:AJ106)/SUM(AL$5:AL106)</f>
        <v>0.14516731276000461</v>
      </c>
    </row>
    <row r="107" spans="1:40" x14ac:dyDescent="0.35">
      <c r="A107" t="s">
        <v>257</v>
      </c>
      <c r="B107">
        <v>2</v>
      </c>
      <c r="C107" t="s">
        <v>7</v>
      </c>
      <c r="D107" t="s">
        <v>8</v>
      </c>
      <c r="E107" t="s">
        <v>9</v>
      </c>
      <c r="G107" t="s">
        <v>138</v>
      </c>
      <c r="I107" t="s">
        <v>345</v>
      </c>
      <c r="K107" t="s">
        <v>547</v>
      </c>
      <c r="O107">
        <v>0.93</v>
      </c>
      <c r="P107" t="s">
        <v>548</v>
      </c>
      <c r="Q107">
        <v>99.6</v>
      </c>
      <c r="R107">
        <v>1</v>
      </c>
      <c r="S107" s="9">
        <v>2</v>
      </c>
      <c r="T107" s="9">
        <v>0</v>
      </c>
      <c r="U107">
        <v>0</v>
      </c>
      <c r="V107">
        <v>0</v>
      </c>
      <c r="X107" s="26">
        <f t="shared" si="14"/>
        <v>4.3544524276072285E-5</v>
      </c>
      <c r="Y107" s="12">
        <f t="shared" si="15"/>
        <v>0.99999999999999956</v>
      </c>
      <c r="AA107" s="25">
        <f>IF(P107="*","-",IFERROR(VLOOKUP(P107,'AESS-W1'!$P$5:$T$126,4,FALSE),"-"))</f>
        <v>2</v>
      </c>
      <c r="AB107" s="25" t="str">
        <f>IF(P107="*","-",IFERROR(VLOOKUP(P107,'AESS-W3'!$P$5:$T$129,4,FALSE),"-"))</f>
        <v>-</v>
      </c>
      <c r="AC107" s="25">
        <f>IF(P107="*","-",IFERROR(VLOOKUP(P107,'All MECSM samples'!$P$4:$AD$454,15,FALSE),"-"))</f>
        <v>1137</v>
      </c>
      <c r="AD107" s="25"/>
      <c r="AE107">
        <v>0</v>
      </c>
      <c r="AF107">
        <v>0</v>
      </c>
      <c r="AH107">
        <f t="shared" si="10"/>
        <v>0</v>
      </c>
      <c r="AI107">
        <f t="shared" si="11"/>
        <v>0</v>
      </c>
      <c r="AJ107">
        <f t="shared" si="12"/>
        <v>0</v>
      </c>
      <c r="AK107">
        <f t="shared" si="13"/>
        <v>0</v>
      </c>
      <c r="AL107" s="11">
        <f>SUM(AH$5:AH107)/SUM(AK$5:AK107)</f>
        <v>0.88235294117647056</v>
      </c>
      <c r="AM107" s="11">
        <f>SUM(AI$5:AI107)/SUM(AK$5:AK107)</f>
        <v>0.44117647058823528</v>
      </c>
      <c r="AN107" s="11">
        <f>SUM(AJ$5:AJ107)/SUM(AL$5:AL107)</f>
        <v>0.14385118940267791</v>
      </c>
    </row>
  </sheetData>
  <sortState ref="A5:V107">
    <sortCondition descending="1" ref="S5:S107"/>
  </sortState>
  <conditionalFormatting sqref="AE5:AE107">
    <cfRule type="cellIs" dxfId="30" priority="1" operator="equal">
      <formula>100</formula>
    </cfRule>
  </conditionalFormatting>
  <conditionalFormatting sqref="S5:S107">
    <cfRule type="expression" dxfId="29" priority="40" stopIfTrue="1">
      <formula>$S5=0</formula>
    </cfRule>
    <cfRule type="expression" dxfId="28" priority="41" stopIfTrue="1">
      <formula>$AE5=0</formula>
    </cfRule>
    <cfRule type="expression" dxfId="27" priority="42">
      <formula>$AE5&lt;90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R130"/>
  <sheetViews>
    <sheetView topLeftCell="S1" zoomScale="80" zoomScaleNormal="80" workbookViewId="0">
      <selection activeCell="K32" sqref="K32"/>
    </sheetView>
  </sheetViews>
  <sheetFormatPr defaultRowHeight="14.5" x14ac:dyDescent="0.35"/>
  <cols>
    <col min="15" max="15" width="7.1796875" customWidth="1"/>
    <col min="16" max="16" width="28.54296875" style="14" customWidth="1"/>
    <col min="19" max="19" width="10.81640625" customWidth="1"/>
    <col min="20" max="20" width="10.81640625" style="9" customWidth="1"/>
    <col min="21" max="22" width="10.81640625" customWidth="1"/>
    <col min="23" max="23" width="6.453125" style="9" customWidth="1"/>
    <col min="24" max="25" width="11.81640625" style="9" customWidth="1"/>
    <col min="26" max="26" width="5.54296875" customWidth="1"/>
    <col min="27" max="29" width="10.81640625" customWidth="1"/>
    <col min="31" max="32" width="10.81640625" customWidth="1"/>
    <col min="33" max="35" width="8.81640625" customWidth="1"/>
    <col min="36" max="36" width="9.1796875" customWidth="1"/>
  </cols>
  <sheetData>
    <row r="1" spans="1:44" x14ac:dyDescent="0.35">
      <c r="S1">
        <f>SUM(S5:S129)</f>
        <v>34812</v>
      </c>
      <c r="T1" s="9">
        <f>SUM(T5:T129)</f>
        <v>23063</v>
      </c>
      <c r="U1">
        <f>SUM(U5:U129)</f>
        <v>10874</v>
      </c>
      <c r="V1">
        <f>SUM(V5:V129)</f>
        <v>11432</v>
      </c>
    </row>
    <row r="2" spans="1:44" x14ac:dyDescent="0.35">
      <c r="R2" s="19">
        <v>0.98</v>
      </c>
      <c r="S2" s="8">
        <f>COUNTIF(S5:S45,"&gt;0")</f>
        <v>39</v>
      </c>
      <c r="T2" s="14">
        <f>COUNTIFS(S5:S45,"&gt;0",T5:T45,"&gt;0")</f>
        <v>39</v>
      </c>
      <c r="U2" s="8">
        <f>COUNTIFS(S5:S45,"&gt;0",U5:U45,"&gt;0")</f>
        <v>24</v>
      </c>
      <c r="V2" s="8">
        <f>COUNTIFS(S5:S45,"&gt;0",V5:V45,"&gt;0")</f>
        <v>24</v>
      </c>
    </row>
    <row r="3" spans="1:44" x14ac:dyDescent="0.35">
      <c r="R3" s="19">
        <v>0.99</v>
      </c>
      <c r="S3" s="8">
        <f>COUNTIF(S5:S59,"&gt;0")</f>
        <v>52</v>
      </c>
      <c r="T3" s="14">
        <f>COUNTIFS(S5:S59,"&gt;0",T5:T59,"&gt;0")</f>
        <v>49</v>
      </c>
      <c r="U3" s="8">
        <f>COUNTIFS(S5:S59,"&gt;0",U5:U59,"&gt;0")</f>
        <v>26</v>
      </c>
      <c r="V3" s="8">
        <f>COUNTIFS(S5:S59,"&gt;0",V5:V59,"&gt;0")</f>
        <v>24</v>
      </c>
      <c r="AA3" t="s">
        <v>626</v>
      </c>
    </row>
    <row r="4" spans="1:44" s="1" customFormat="1" ht="43.5" x14ac:dyDescent="0.35">
      <c r="A4" s="1" t="s">
        <v>0</v>
      </c>
      <c r="B4" s="1" t="s">
        <v>1</v>
      </c>
      <c r="C4" s="1" t="s">
        <v>2</v>
      </c>
      <c r="P4" s="35" t="s">
        <v>3</v>
      </c>
      <c r="Q4" s="1" t="s">
        <v>4</v>
      </c>
      <c r="R4" s="1" t="s">
        <v>5</v>
      </c>
      <c r="S4" s="1" t="s">
        <v>2091</v>
      </c>
      <c r="T4" s="10" t="s">
        <v>2092</v>
      </c>
      <c r="U4" s="1" t="s">
        <v>2141</v>
      </c>
      <c r="V4" s="1" t="s">
        <v>2142</v>
      </c>
      <c r="W4" s="10"/>
      <c r="X4" s="10" t="s">
        <v>617</v>
      </c>
      <c r="Y4" s="10" t="s">
        <v>618</v>
      </c>
      <c r="AA4" s="1" t="s">
        <v>2087</v>
      </c>
      <c r="AB4" s="1" t="s">
        <v>2089</v>
      </c>
      <c r="AC4" s="1" t="s">
        <v>1970</v>
      </c>
      <c r="AE4" s="1" t="s">
        <v>2143</v>
      </c>
      <c r="AF4" s="1" t="s">
        <v>1082</v>
      </c>
      <c r="AH4" s="1" t="s">
        <v>1477</v>
      </c>
      <c r="AI4" s="1" t="s">
        <v>621</v>
      </c>
      <c r="AJ4" s="1" t="s">
        <v>622</v>
      </c>
      <c r="AK4" s="1" t="s">
        <v>1478</v>
      </c>
      <c r="AL4" s="1" t="str">
        <f>AH4</f>
        <v>Kelpie</v>
      </c>
      <c r="AM4" s="1" t="str">
        <f>AI4</f>
        <v>Spades</v>
      </c>
      <c r="AN4" s="1" t="str">
        <f>AJ4</f>
        <v>Spades 16S</v>
      </c>
      <c r="AP4" s="1" t="s">
        <v>0</v>
      </c>
      <c r="AQ4" s="1" t="s">
        <v>1080</v>
      </c>
      <c r="AR4" s="1" t="s">
        <v>1081</v>
      </c>
    </row>
    <row r="5" spans="1:44" x14ac:dyDescent="0.35">
      <c r="A5" t="s">
        <v>15</v>
      </c>
      <c r="B5">
        <v>12534</v>
      </c>
      <c r="C5" t="s">
        <v>7</v>
      </c>
      <c r="D5" t="s">
        <v>24</v>
      </c>
      <c r="E5" t="s">
        <v>25</v>
      </c>
      <c r="G5" t="s">
        <v>26</v>
      </c>
      <c r="I5" t="s">
        <v>27</v>
      </c>
      <c r="K5" t="s">
        <v>28</v>
      </c>
      <c r="M5" t="s">
        <v>29</v>
      </c>
      <c r="O5">
        <v>1</v>
      </c>
      <c r="P5" s="14" t="s">
        <v>30</v>
      </c>
      <c r="Q5">
        <v>100</v>
      </c>
      <c r="R5">
        <v>1</v>
      </c>
      <c r="S5">
        <v>7736</v>
      </c>
      <c r="T5" s="9">
        <v>2393</v>
      </c>
      <c r="U5">
        <v>1396</v>
      </c>
      <c r="V5">
        <v>1009</v>
      </c>
      <c r="X5" s="42">
        <f t="shared" ref="X5:X36" si="0">S5/S$1</f>
        <v>0.22222222222222221</v>
      </c>
      <c r="Y5" s="16">
        <f>X5</f>
        <v>0.22222222222222221</v>
      </c>
      <c r="AA5" s="25">
        <f>IF(P5="*","-",IFERROR(VLOOKUP(P5,'AESS-W1'!$P$5:$S$126,4,FALSE),"-"))</f>
        <v>6</v>
      </c>
      <c r="AB5" s="25">
        <f>IF(P5="*","-",IFERROR(VLOOKUP(P5,'AESS-W2'!$P$5:$S$107,4,FALSE),"-"))</f>
        <v>29</v>
      </c>
      <c r="AC5" s="25">
        <f>IF(P5="*","-",IFERROR(VLOOKUP(P5,'All MECSM samples'!$P$4:$AD$454,15,FALSE),"-"))</f>
        <v>7783</v>
      </c>
      <c r="AD5" s="25"/>
      <c r="AE5">
        <v>100</v>
      </c>
      <c r="AF5">
        <v>1465</v>
      </c>
      <c r="AH5">
        <f t="shared" ref="AH5:AH36" si="1">IF(AND(S5&gt;0,AE5&gt;=90, T5&gt;0), 1, 0)</f>
        <v>1</v>
      </c>
      <c r="AI5">
        <f t="shared" ref="AI5:AI36" si="2">IF(AND(S5&gt;0,AE5&gt;=90, U5&gt;0), 1, 0)</f>
        <v>1</v>
      </c>
      <c r="AJ5">
        <f t="shared" ref="AJ5:AJ36" si="3">IF(AND(S5&gt;0,AE5&gt;=90, V5&gt;0), 1, 0)</f>
        <v>1</v>
      </c>
      <c r="AK5">
        <f t="shared" ref="AK5:AK36" si="4">IF(AND(S5&gt;0,AE5&gt;=90),1,0)</f>
        <v>1</v>
      </c>
      <c r="AL5" s="11">
        <f>SUM(AH$5:AH5)/SUM(AK$5:AK5)</f>
        <v>1</v>
      </c>
      <c r="AM5" s="11">
        <f>SUM(AI$5:AI5)/SUM(AK$5:AK5)</f>
        <v>1</v>
      </c>
      <c r="AN5" s="11">
        <f>SUM(AJ$5:AJ5)/SUM(AL$5:AL5)</f>
        <v>1</v>
      </c>
      <c r="AP5" t="s">
        <v>1974</v>
      </c>
      <c r="AQ5">
        <v>100</v>
      </c>
      <c r="AR5">
        <v>1465</v>
      </c>
    </row>
    <row r="6" spans="1:44" x14ac:dyDescent="0.35">
      <c r="A6" t="s">
        <v>6</v>
      </c>
      <c r="B6">
        <v>12396</v>
      </c>
      <c r="C6" t="s">
        <v>7</v>
      </c>
      <c r="D6" t="s">
        <v>8</v>
      </c>
      <c r="E6" t="s">
        <v>18</v>
      </c>
      <c r="G6" t="s">
        <v>19</v>
      </c>
      <c r="I6" t="s">
        <v>20</v>
      </c>
      <c r="K6" t="s">
        <v>21</v>
      </c>
      <c r="O6">
        <v>0.56999999999999995</v>
      </c>
      <c r="P6" s="14" t="s">
        <v>22</v>
      </c>
      <c r="Q6">
        <v>85.8</v>
      </c>
      <c r="R6">
        <v>1</v>
      </c>
      <c r="S6">
        <v>5956</v>
      </c>
      <c r="T6" s="9">
        <v>3069</v>
      </c>
      <c r="U6">
        <v>1889</v>
      </c>
      <c r="V6">
        <v>1482</v>
      </c>
      <c r="X6" s="42">
        <f t="shared" si="0"/>
        <v>0.17109042858784326</v>
      </c>
      <c r="Y6" s="16">
        <f t="shared" ref="Y6:Y37" si="5">Y5+X6</f>
        <v>0.3933126508100655</v>
      </c>
      <c r="AA6" s="25">
        <f>IF(P6="*","-",IFERROR(VLOOKUP(P6,'AESS-W1'!$P$5:$S$126,4,FALSE),"-"))</f>
        <v>13</v>
      </c>
      <c r="AB6" s="25">
        <f>IF(P6="*","-",IFERROR(VLOOKUP(P6,'AESS-W2'!$P$5:$S$107,4,FALSE),"-"))</f>
        <v>1171</v>
      </c>
      <c r="AC6" s="25">
        <f>IF(P6="*","-",IFERROR(VLOOKUP(P6,'All MECSM samples'!$P$4:$AD$454,15,FALSE),"-"))</f>
        <v>5986</v>
      </c>
      <c r="AD6" s="25"/>
      <c r="AE6">
        <v>100</v>
      </c>
      <c r="AF6">
        <v>2033</v>
      </c>
      <c r="AH6">
        <f t="shared" si="1"/>
        <v>1</v>
      </c>
      <c r="AI6">
        <f t="shared" si="2"/>
        <v>1</v>
      </c>
      <c r="AJ6">
        <f t="shared" si="3"/>
        <v>1</v>
      </c>
      <c r="AK6">
        <f t="shared" si="4"/>
        <v>1</v>
      </c>
      <c r="AL6" s="11">
        <f>SUM(AH$5:AH6)/SUM(AK$5:AK6)</f>
        <v>1</v>
      </c>
      <c r="AM6" s="11">
        <f>SUM(AI$5:AI6)/SUM(AK$5:AK6)</f>
        <v>1</v>
      </c>
      <c r="AN6" s="11">
        <f>SUM(AJ$5:AJ6)/SUM(AL$5:AL6)</f>
        <v>1</v>
      </c>
      <c r="AP6" t="s">
        <v>1975</v>
      </c>
      <c r="AQ6">
        <v>100</v>
      </c>
      <c r="AR6">
        <v>2033</v>
      </c>
    </row>
    <row r="7" spans="1:44" x14ac:dyDescent="0.35">
      <c r="A7" t="s">
        <v>17</v>
      </c>
      <c r="B7">
        <v>7230</v>
      </c>
      <c r="C7" t="s">
        <v>7</v>
      </c>
      <c r="D7" t="s">
        <v>24</v>
      </c>
      <c r="E7" t="s">
        <v>25</v>
      </c>
      <c r="G7" t="s">
        <v>40</v>
      </c>
      <c r="I7" t="s">
        <v>41</v>
      </c>
      <c r="K7" t="s">
        <v>42</v>
      </c>
      <c r="M7" t="s">
        <v>43</v>
      </c>
      <c r="O7">
        <v>1</v>
      </c>
      <c r="P7" s="14" t="s">
        <v>44</v>
      </c>
      <c r="Q7">
        <v>97.2</v>
      </c>
      <c r="R7">
        <v>1</v>
      </c>
      <c r="S7">
        <v>3332</v>
      </c>
      <c r="T7" s="9">
        <v>1942</v>
      </c>
      <c r="U7">
        <v>1044</v>
      </c>
      <c r="V7">
        <v>912</v>
      </c>
      <c r="X7" s="42">
        <f t="shared" si="0"/>
        <v>9.5714121567275656E-2</v>
      </c>
      <c r="Y7" s="16">
        <f t="shared" si="5"/>
        <v>0.48902677237734116</v>
      </c>
      <c r="AA7" s="25">
        <f>IF(P7="*","-",IFERROR(VLOOKUP(P7,'AESS-W1'!$P$5:$S$126,4,FALSE),"-"))</f>
        <v>1032</v>
      </c>
      <c r="AB7" s="25">
        <f>IF(P7="*","-",IFERROR(VLOOKUP(P7,'AESS-W2'!$P$5:$S$107,4,FALSE),"-"))</f>
        <v>16</v>
      </c>
      <c r="AC7" s="25">
        <f>IF(P7="*","-",IFERROR(VLOOKUP(P7,'All MECSM samples'!$P$4:$AD$454,15,FALSE),"-"))</f>
        <v>11703</v>
      </c>
      <c r="AD7" s="25"/>
      <c r="AE7">
        <v>100</v>
      </c>
      <c r="AF7">
        <v>1198</v>
      </c>
      <c r="AH7">
        <f t="shared" si="1"/>
        <v>1</v>
      </c>
      <c r="AI7">
        <f t="shared" si="2"/>
        <v>1</v>
      </c>
      <c r="AJ7">
        <f t="shared" si="3"/>
        <v>1</v>
      </c>
      <c r="AK7">
        <f t="shared" si="4"/>
        <v>1</v>
      </c>
      <c r="AL7" s="11">
        <f>SUM(AH$5:AH7)/SUM(AK$5:AK7)</f>
        <v>1</v>
      </c>
      <c r="AM7" s="11">
        <f>SUM(AI$5:AI7)/SUM(AK$5:AK7)</f>
        <v>1</v>
      </c>
      <c r="AN7" s="11">
        <f>SUM(AJ$5:AJ7)/SUM(AL$5:AL7)</f>
        <v>1</v>
      </c>
      <c r="AP7" t="s">
        <v>1976</v>
      </c>
      <c r="AQ7">
        <v>100</v>
      </c>
      <c r="AR7">
        <v>1198</v>
      </c>
    </row>
    <row r="8" spans="1:44" x14ac:dyDescent="0.35">
      <c r="A8" t="s">
        <v>23</v>
      </c>
      <c r="B8">
        <v>6989</v>
      </c>
      <c r="C8" t="s">
        <v>7</v>
      </c>
      <c r="D8" t="s">
        <v>8</v>
      </c>
      <c r="E8" t="s">
        <v>32</v>
      </c>
      <c r="G8" t="s">
        <v>35</v>
      </c>
      <c r="I8" t="s">
        <v>36</v>
      </c>
      <c r="K8" t="s">
        <v>37</v>
      </c>
      <c r="O8">
        <v>0.66</v>
      </c>
      <c r="P8" s="14" t="s">
        <v>38</v>
      </c>
      <c r="Q8">
        <v>85.8</v>
      </c>
      <c r="R8">
        <v>1</v>
      </c>
      <c r="S8">
        <v>3116</v>
      </c>
      <c r="T8" s="9">
        <v>1598</v>
      </c>
      <c r="U8">
        <v>1207</v>
      </c>
      <c r="V8">
        <v>1068</v>
      </c>
      <c r="X8" s="42">
        <f t="shared" si="0"/>
        <v>8.9509364586924045E-2</v>
      </c>
      <c r="Y8" s="16">
        <f t="shared" si="5"/>
        <v>0.5785361369642652</v>
      </c>
      <c r="AA8" s="25">
        <f>IF(P8="*","-",IFERROR(VLOOKUP(P8,'AESS-W1'!$P$5:$S$126,4,FALSE),"-"))</f>
        <v>1270</v>
      </c>
      <c r="AB8" s="25">
        <f>IF(P8="*","-",IFERROR(VLOOKUP(P8,'AESS-W2'!$P$5:$S$107,4,FALSE),"-"))</f>
        <v>9</v>
      </c>
      <c r="AC8" s="25">
        <f>IF(P8="*","-",IFERROR(VLOOKUP(P8,'All MECSM samples'!$P$4:$AD$454,15,FALSE),"-"))</f>
        <v>3129</v>
      </c>
      <c r="AD8" s="25"/>
      <c r="AE8">
        <v>100</v>
      </c>
      <c r="AF8">
        <v>977</v>
      </c>
      <c r="AH8">
        <f t="shared" si="1"/>
        <v>1</v>
      </c>
      <c r="AI8">
        <f t="shared" si="2"/>
        <v>1</v>
      </c>
      <c r="AJ8">
        <f t="shared" si="3"/>
        <v>1</v>
      </c>
      <c r="AK8">
        <f t="shared" si="4"/>
        <v>1</v>
      </c>
      <c r="AL8" s="11">
        <f>SUM(AH$5:AH8)/SUM(AK$5:AK8)</f>
        <v>1</v>
      </c>
      <c r="AM8" s="11">
        <f>SUM(AI$5:AI8)/SUM(AK$5:AK8)</f>
        <v>1</v>
      </c>
      <c r="AN8" s="11">
        <f>SUM(AJ$5:AJ8)/SUM(AL$5:AL8)</f>
        <v>1</v>
      </c>
      <c r="AP8" t="s">
        <v>1977</v>
      </c>
      <c r="AQ8">
        <v>100</v>
      </c>
      <c r="AR8">
        <v>977</v>
      </c>
    </row>
    <row r="9" spans="1:44" x14ac:dyDescent="0.35">
      <c r="A9" t="s">
        <v>51</v>
      </c>
      <c r="B9">
        <v>5988</v>
      </c>
      <c r="C9" t="s">
        <v>7</v>
      </c>
      <c r="D9" t="s">
        <v>8</v>
      </c>
      <c r="E9" t="s">
        <v>46</v>
      </c>
      <c r="G9" t="s">
        <v>64</v>
      </c>
      <c r="I9" t="s">
        <v>65</v>
      </c>
      <c r="K9" t="s">
        <v>66</v>
      </c>
      <c r="O9">
        <v>0.53</v>
      </c>
      <c r="P9" s="14" t="s">
        <v>67</v>
      </c>
      <c r="Q9">
        <v>88.5</v>
      </c>
      <c r="R9">
        <v>2</v>
      </c>
      <c r="S9">
        <v>533</v>
      </c>
      <c r="T9" s="9">
        <v>4068</v>
      </c>
      <c r="U9">
        <v>0</v>
      </c>
      <c r="V9">
        <v>1387</v>
      </c>
      <c r="X9" s="42">
        <f t="shared" si="0"/>
        <v>1.5310812363552797E-2</v>
      </c>
      <c r="Y9" s="16">
        <f t="shared" si="5"/>
        <v>0.59384694932781801</v>
      </c>
      <c r="AA9" s="25" t="str">
        <f>IF(P9="*","-",IFERROR(VLOOKUP(P9,'AESS-W1'!$P$5:$S$126,4,FALSE),"-"))</f>
        <v>-</v>
      </c>
      <c r="AB9" s="25">
        <f>IF(P9="*","-",IFERROR(VLOOKUP(P9,'AESS-W2'!$P$5:$S$107,4,FALSE),"-"))</f>
        <v>7</v>
      </c>
      <c r="AC9" s="25">
        <f>IF(P9="*","-",IFERROR(VLOOKUP(P9,'All MECSM samples'!$P$4:$AD$454,15,FALSE),"-"))</f>
        <v>945</v>
      </c>
      <c r="AD9" s="25"/>
      <c r="AE9">
        <v>100</v>
      </c>
      <c r="AF9">
        <v>2139</v>
      </c>
      <c r="AH9">
        <f t="shared" si="1"/>
        <v>1</v>
      </c>
      <c r="AI9">
        <f t="shared" si="2"/>
        <v>0</v>
      </c>
      <c r="AJ9">
        <f t="shared" si="3"/>
        <v>1</v>
      </c>
      <c r="AK9">
        <f t="shared" si="4"/>
        <v>1</v>
      </c>
      <c r="AL9" s="11">
        <f>SUM(AH$5:AH9)/SUM(AK$5:AK9)</f>
        <v>1</v>
      </c>
      <c r="AM9" s="11">
        <f>SUM(AI$5:AI9)/SUM(AK$5:AK9)</f>
        <v>0.8</v>
      </c>
      <c r="AN9" s="11">
        <f>SUM(AJ$5:AJ9)/SUM(AL$5:AL9)</f>
        <v>1</v>
      </c>
      <c r="AP9" t="s">
        <v>1978</v>
      </c>
      <c r="AQ9">
        <v>100</v>
      </c>
      <c r="AR9">
        <v>2139</v>
      </c>
    </row>
    <row r="10" spans="1:44" x14ac:dyDescent="0.35">
      <c r="A10" t="s">
        <v>34</v>
      </c>
      <c r="B10">
        <v>5501</v>
      </c>
      <c r="C10" t="s">
        <v>7</v>
      </c>
      <c r="D10" t="s">
        <v>8</v>
      </c>
      <c r="E10" t="s">
        <v>46</v>
      </c>
      <c r="G10" t="s">
        <v>47</v>
      </c>
      <c r="O10">
        <v>0.57999999999999996</v>
      </c>
      <c r="P10" s="14" t="s">
        <v>48</v>
      </c>
      <c r="Q10">
        <v>87</v>
      </c>
      <c r="R10">
        <v>1</v>
      </c>
      <c r="S10">
        <v>3285</v>
      </c>
      <c r="T10" s="9">
        <v>2216</v>
      </c>
      <c r="U10">
        <v>0</v>
      </c>
      <c r="V10">
        <v>0</v>
      </c>
      <c r="X10" s="42">
        <f t="shared" si="0"/>
        <v>9.4364012409513962E-2</v>
      </c>
      <c r="Y10" s="16">
        <f t="shared" si="5"/>
        <v>0.68821096173733198</v>
      </c>
      <c r="AA10" s="25">
        <f>IF(P10="*","-",IFERROR(VLOOKUP(P10,'AESS-W1'!$P$5:$S$126,4,FALSE),"-"))</f>
        <v>5</v>
      </c>
      <c r="AB10" s="25">
        <f>IF(P10="*","-",IFERROR(VLOOKUP(P10,'AESS-W2'!$P$5:$S$107,4,FALSE),"-"))</f>
        <v>14</v>
      </c>
      <c r="AC10" s="25">
        <f>IF(P10="*","-",IFERROR(VLOOKUP(P10,'All MECSM samples'!$P$4:$AD$454,15,FALSE),"-"))</f>
        <v>3303</v>
      </c>
      <c r="AD10" s="25"/>
      <c r="AE10">
        <v>100</v>
      </c>
      <c r="AF10">
        <v>1275</v>
      </c>
      <c r="AH10">
        <f t="shared" si="1"/>
        <v>1</v>
      </c>
      <c r="AI10">
        <f t="shared" si="2"/>
        <v>0</v>
      </c>
      <c r="AJ10">
        <f t="shared" si="3"/>
        <v>0</v>
      </c>
      <c r="AK10">
        <f t="shared" si="4"/>
        <v>1</v>
      </c>
      <c r="AL10" s="11">
        <f>SUM(AH$5:AH10)/SUM(AK$5:AK10)</f>
        <v>1</v>
      </c>
      <c r="AM10" s="11">
        <f>SUM(AI$5:AI10)/SUM(AK$5:AK10)</f>
        <v>0.66666666666666663</v>
      </c>
      <c r="AN10" s="11">
        <f>SUM(AJ$5:AJ10)/SUM(AL$5:AL10)</f>
        <v>0.83333333333333337</v>
      </c>
      <c r="AP10" t="s">
        <v>1979</v>
      </c>
      <c r="AQ10">
        <v>100</v>
      </c>
      <c r="AR10">
        <v>1275</v>
      </c>
    </row>
    <row r="11" spans="1:44" x14ac:dyDescent="0.35">
      <c r="A11" t="s">
        <v>39</v>
      </c>
      <c r="B11">
        <v>3309</v>
      </c>
      <c r="C11" t="s">
        <v>7</v>
      </c>
      <c r="D11" t="s">
        <v>8</v>
      </c>
      <c r="E11" t="s">
        <v>9</v>
      </c>
      <c r="G11" t="s">
        <v>10</v>
      </c>
      <c r="I11" t="s">
        <v>11</v>
      </c>
      <c r="K11" t="s">
        <v>12</v>
      </c>
      <c r="M11" t="s">
        <v>13</v>
      </c>
      <c r="O11">
        <v>0.91</v>
      </c>
      <c r="P11" s="14" t="s">
        <v>14</v>
      </c>
      <c r="Q11">
        <v>96.8</v>
      </c>
      <c r="R11">
        <v>1</v>
      </c>
      <c r="S11">
        <v>1554</v>
      </c>
      <c r="T11" s="9">
        <v>1010</v>
      </c>
      <c r="U11">
        <v>195</v>
      </c>
      <c r="V11">
        <v>550</v>
      </c>
      <c r="X11" s="42">
        <f t="shared" si="0"/>
        <v>4.4639779386418478E-2</v>
      </c>
      <c r="Y11" s="16">
        <f t="shared" si="5"/>
        <v>0.73285074112375048</v>
      </c>
      <c r="AA11" s="25">
        <f>IF(P11="*","-",IFERROR(VLOOKUP(P11,'AESS-W1'!$P$5:$S$126,4,FALSE),"-"))</f>
        <v>27333</v>
      </c>
      <c r="AB11" s="25">
        <f>IF(P11="*","-",IFERROR(VLOOKUP(P11,'AESS-W2'!$P$5:$S$107,4,FALSE),"-"))</f>
        <v>132</v>
      </c>
      <c r="AC11" s="25">
        <f>IF(P11="*","-",IFERROR(VLOOKUP(P11,'All MECSM samples'!$P$4:$AD$454,15,FALSE),"-"))</f>
        <v>27497</v>
      </c>
      <c r="AD11" s="25"/>
      <c r="AE11">
        <v>100</v>
      </c>
      <c r="AF11">
        <v>581</v>
      </c>
      <c r="AH11">
        <f t="shared" si="1"/>
        <v>1</v>
      </c>
      <c r="AI11">
        <f t="shared" si="2"/>
        <v>1</v>
      </c>
      <c r="AJ11">
        <f t="shared" si="3"/>
        <v>1</v>
      </c>
      <c r="AK11">
        <f t="shared" si="4"/>
        <v>1</v>
      </c>
      <c r="AL11" s="11">
        <f>SUM(AH$5:AH11)/SUM(AK$5:AK11)</f>
        <v>1</v>
      </c>
      <c r="AM11" s="11">
        <f>SUM(AI$5:AI11)/SUM(AK$5:AK11)</f>
        <v>0.7142857142857143</v>
      </c>
      <c r="AN11" s="11">
        <f>SUM(AJ$5:AJ11)/SUM(AL$5:AL11)</f>
        <v>0.8571428571428571</v>
      </c>
      <c r="AP11" t="s">
        <v>1980</v>
      </c>
      <c r="AQ11">
        <v>100</v>
      </c>
      <c r="AR11">
        <v>581</v>
      </c>
    </row>
    <row r="12" spans="1:44" x14ac:dyDescent="0.35">
      <c r="A12" t="s">
        <v>77</v>
      </c>
      <c r="B12">
        <v>2520</v>
      </c>
      <c r="C12" t="s">
        <v>7</v>
      </c>
      <c r="D12" t="s">
        <v>8</v>
      </c>
      <c r="E12" t="s">
        <v>46</v>
      </c>
      <c r="G12" t="s">
        <v>47</v>
      </c>
      <c r="I12" t="s">
        <v>61</v>
      </c>
      <c r="K12" t="s">
        <v>84</v>
      </c>
      <c r="M12" t="s">
        <v>85</v>
      </c>
      <c r="O12">
        <v>0.87</v>
      </c>
      <c r="P12" s="14" t="s">
        <v>86</v>
      </c>
      <c r="Q12">
        <v>99.2</v>
      </c>
      <c r="R12">
        <v>1</v>
      </c>
      <c r="S12">
        <v>1293</v>
      </c>
      <c r="T12" s="9">
        <v>754</v>
      </c>
      <c r="U12">
        <v>0</v>
      </c>
      <c r="V12">
        <v>473</v>
      </c>
      <c r="X12" s="42">
        <f t="shared" si="0"/>
        <v>3.7142364701826955E-2</v>
      </c>
      <c r="Y12" s="16">
        <f t="shared" si="5"/>
        <v>0.76999310582557745</v>
      </c>
      <c r="AA12" s="25">
        <f>IF(P12="*","-",IFERROR(VLOOKUP(P12,'AESS-W1'!$P$5:$S$126,4,FALSE),"-"))</f>
        <v>12</v>
      </c>
      <c r="AB12" s="25" t="str">
        <f>IF(P12="*","-",IFERROR(VLOOKUP(P12,'AESS-W2'!$P$5:$S$107,4,FALSE),"-"))</f>
        <v>-</v>
      </c>
      <c r="AC12" s="25">
        <f>IF(P12="*","-",IFERROR(VLOOKUP(P12,'All MECSM samples'!$P$4:$AD$454,15,FALSE),"-"))</f>
        <v>1299</v>
      </c>
      <c r="AD12" s="25"/>
      <c r="AE12">
        <v>100</v>
      </c>
      <c r="AF12">
        <v>663</v>
      </c>
      <c r="AH12">
        <f t="shared" si="1"/>
        <v>1</v>
      </c>
      <c r="AI12">
        <f t="shared" si="2"/>
        <v>0</v>
      </c>
      <c r="AJ12">
        <f t="shared" si="3"/>
        <v>1</v>
      </c>
      <c r="AK12">
        <f t="shared" si="4"/>
        <v>1</v>
      </c>
      <c r="AL12" s="11">
        <f>SUM(AH$5:AH12)/SUM(AK$5:AK12)</f>
        <v>1</v>
      </c>
      <c r="AM12" s="11">
        <f>SUM(AI$5:AI12)/SUM(AK$5:AK12)</f>
        <v>0.625</v>
      </c>
      <c r="AN12" s="11">
        <f>SUM(AJ$5:AJ12)/SUM(AL$5:AL12)</f>
        <v>0.875</v>
      </c>
      <c r="AP12" t="s">
        <v>1981</v>
      </c>
      <c r="AQ12">
        <v>100</v>
      </c>
      <c r="AR12">
        <v>663</v>
      </c>
    </row>
    <row r="13" spans="1:44" x14ac:dyDescent="0.35">
      <c r="A13" t="s">
        <v>31</v>
      </c>
      <c r="B13">
        <v>2221</v>
      </c>
      <c r="C13" t="s">
        <v>7</v>
      </c>
      <c r="D13" t="s">
        <v>8</v>
      </c>
      <c r="E13" t="s">
        <v>46</v>
      </c>
      <c r="G13" t="s">
        <v>47</v>
      </c>
      <c r="I13" t="s">
        <v>61</v>
      </c>
      <c r="O13">
        <v>0.81</v>
      </c>
      <c r="P13" s="14" t="s">
        <v>136</v>
      </c>
      <c r="Q13">
        <v>91.3</v>
      </c>
      <c r="R13">
        <v>2</v>
      </c>
      <c r="S13">
        <v>477</v>
      </c>
      <c r="T13" s="9">
        <v>343</v>
      </c>
      <c r="U13">
        <v>946</v>
      </c>
      <c r="V13">
        <v>455</v>
      </c>
      <c r="X13" s="42">
        <f t="shared" si="0"/>
        <v>1.3702171664943122E-2</v>
      </c>
      <c r="Y13" s="16">
        <f t="shared" si="5"/>
        <v>0.78369527749052059</v>
      </c>
      <c r="AA13" s="25">
        <f>IF(P13="*","-",IFERROR(VLOOKUP(P13,'AESS-W1'!$P$5:$S$126,4,FALSE),"-"))</f>
        <v>17</v>
      </c>
      <c r="AB13" s="25" t="str">
        <f>IF(P13="*","-",IFERROR(VLOOKUP(P13,'AESS-W2'!$P$5:$S$107,4,FALSE),"-"))</f>
        <v>-</v>
      </c>
      <c r="AC13" s="25">
        <f>IF(P13="*","-",IFERROR(VLOOKUP(P13,'All MECSM samples'!$P$4:$AD$454,15,FALSE),"-"))</f>
        <v>780</v>
      </c>
      <c r="AD13" s="25"/>
      <c r="AE13">
        <v>100</v>
      </c>
      <c r="AF13">
        <v>394</v>
      </c>
      <c r="AH13">
        <f t="shared" si="1"/>
        <v>1</v>
      </c>
      <c r="AI13">
        <f t="shared" si="2"/>
        <v>1</v>
      </c>
      <c r="AJ13">
        <f t="shared" si="3"/>
        <v>1</v>
      </c>
      <c r="AK13">
        <f t="shared" si="4"/>
        <v>1</v>
      </c>
      <c r="AL13" s="11">
        <f>SUM(AH$5:AH13)/SUM(AK$5:AK13)</f>
        <v>1</v>
      </c>
      <c r="AM13" s="11">
        <f>SUM(AI$5:AI13)/SUM(AK$5:AK13)</f>
        <v>0.66666666666666663</v>
      </c>
      <c r="AN13" s="11">
        <f>SUM(AJ$5:AJ13)/SUM(AL$5:AL13)</f>
        <v>0.88888888888888884</v>
      </c>
      <c r="AP13" t="s">
        <v>1982</v>
      </c>
      <c r="AQ13">
        <v>100</v>
      </c>
      <c r="AR13">
        <v>394</v>
      </c>
    </row>
    <row r="14" spans="1:44" x14ac:dyDescent="0.35">
      <c r="A14" t="s">
        <v>63</v>
      </c>
      <c r="B14">
        <v>2089</v>
      </c>
      <c r="C14" t="s">
        <v>7</v>
      </c>
      <c r="D14" t="s">
        <v>8</v>
      </c>
      <c r="E14" t="s">
        <v>46</v>
      </c>
      <c r="G14" t="s">
        <v>47</v>
      </c>
      <c r="I14" t="s">
        <v>61</v>
      </c>
      <c r="O14">
        <v>0.85</v>
      </c>
      <c r="P14" s="14" t="s">
        <v>90</v>
      </c>
      <c r="Q14">
        <v>91.3</v>
      </c>
      <c r="R14">
        <v>1</v>
      </c>
      <c r="S14">
        <v>1124</v>
      </c>
      <c r="T14" s="9">
        <v>965</v>
      </c>
      <c r="U14">
        <v>0</v>
      </c>
      <c r="V14">
        <v>0</v>
      </c>
      <c r="X14" s="42">
        <f t="shared" si="0"/>
        <v>3.2287716879237045E-2</v>
      </c>
      <c r="Y14" s="16">
        <f t="shared" si="5"/>
        <v>0.81598299436975763</v>
      </c>
      <c r="AA14" s="25">
        <f>IF(P14="*","-",IFERROR(VLOOKUP(P14,'AESS-W1'!$P$5:$S$126,4,FALSE),"-"))</f>
        <v>32</v>
      </c>
      <c r="AB14" s="25">
        <f>IF(P14="*","-",IFERROR(VLOOKUP(P14,'AESS-W2'!$P$5:$S$107,4,FALSE),"-"))</f>
        <v>5</v>
      </c>
      <c r="AC14" s="25">
        <f>IF(P14="*","-",IFERROR(VLOOKUP(P14,'All MECSM samples'!$P$4:$AD$454,15,FALSE),"-"))</f>
        <v>1132</v>
      </c>
      <c r="AD14" s="25"/>
      <c r="AE14">
        <v>100</v>
      </c>
      <c r="AF14">
        <v>613</v>
      </c>
      <c r="AH14">
        <f t="shared" si="1"/>
        <v>1</v>
      </c>
      <c r="AI14">
        <f t="shared" si="2"/>
        <v>0</v>
      </c>
      <c r="AJ14">
        <f t="shared" si="3"/>
        <v>0</v>
      </c>
      <c r="AK14">
        <f t="shared" si="4"/>
        <v>1</v>
      </c>
      <c r="AL14" s="11">
        <f>SUM(AH$5:AH14)/SUM(AK$5:AK14)</f>
        <v>1</v>
      </c>
      <c r="AM14" s="11">
        <f>SUM(AI$5:AI14)/SUM(AK$5:AK14)</f>
        <v>0.6</v>
      </c>
      <c r="AN14" s="11">
        <f>SUM(AJ$5:AJ14)/SUM(AL$5:AL14)</f>
        <v>0.8</v>
      </c>
      <c r="AP14" t="s">
        <v>1983</v>
      </c>
      <c r="AQ14">
        <v>100</v>
      </c>
      <c r="AR14">
        <v>613</v>
      </c>
    </row>
    <row r="15" spans="1:44" x14ac:dyDescent="0.35">
      <c r="A15" t="s">
        <v>49</v>
      </c>
      <c r="B15">
        <v>1949</v>
      </c>
      <c r="C15" t="s">
        <v>7</v>
      </c>
      <c r="D15" t="s">
        <v>8</v>
      </c>
      <c r="E15" t="s">
        <v>32</v>
      </c>
      <c r="G15" t="s">
        <v>35</v>
      </c>
      <c r="I15" t="s">
        <v>36</v>
      </c>
      <c r="K15" t="s">
        <v>37</v>
      </c>
      <c r="O15">
        <v>0.5</v>
      </c>
      <c r="P15" s="14" t="s">
        <v>112</v>
      </c>
      <c r="Q15">
        <v>85.8</v>
      </c>
      <c r="R15">
        <v>1</v>
      </c>
      <c r="S15">
        <v>931</v>
      </c>
      <c r="T15" s="9">
        <v>1018</v>
      </c>
      <c r="U15">
        <v>0</v>
      </c>
      <c r="V15">
        <v>0</v>
      </c>
      <c r="X15" s="42">
        <f t="shared" si="0"/>
        <v>2.6743651614385845E-2</v>
      </c>
      <c r="Y15" s="16">
        <f t="shared" si="5"/>
        <v>0.84272664598414349</v>
      </c>
      <c r="AA15" s="25">
        <f>IF(P15="*","-",IFERROR(VLOOKUP(P15,'AESS-W1'!$P$5:$S$126,4,FALSE),"-"))</f>
        <v>5</v>
      </c>
      <c r="AB15" s="25" t="str">
        <f>IF(P15="*","-",IFERROR(VLOOKUP(P15,'AESS-W2'!$P$5:$S$107,4,FALSE),"-"))</f>
        <v>-</v>
      </c>
      <c r="AC15" s="25">
        <f>IF(P15="*","-",IFERROR(VLOOKUP(P15,'All MECSM samples'!$P$4:$AD$454,15,FALSE),"-"))</f>
        <v>943</v>
      </c>
      <c r="AD15" s="25"/>
      <c r="AE15">
        <v>100</v>
      </c>
      <c r="AF15">
        <v>688</v>
      </c>
      <c r="AH15">
        <f t="shared" si="1"/>
        <v>1</v>
      </c>
      <c r="AI15">
        <f t="shared" si="2"/>
        <v>0</v>
      </c>
      <c r="AJ15">
        <f t="shared" si="3"/>
        <v>0</v>
      </c>
      <c r="AK15">
        <f t="shared" si="4"/>
        <v>1</v>
      </c>
      <c r="AL15" s="11">
        <f>SUM(AH$5:AH15)/SUM(AK$5:AK15)</f>
        <v>1</v>
      </c>
      <c r="AM15" s="11">
        <f>SUM(AI$5:AI15)/SUM(AK$5:AK15)</f>
        <v>0.54545454545454541</v>
      </c>
      <c r="AN15" s="11">
        <f>SUM(AJ$5:AJ15)/SUM(AL$5:AL15)</f>
        <v>0.72727272727272729</v>
      </c>
      <c r="AP15" t="s">
        <v>1984</v>
      </c>
      <c r="AQ15">
        <v>100</v>
      </c>
      <c r="AR15">
        <v>688</v>
      </c>
    </row>
    <row r="16" spans="1:44" x14ac:dyDescent="0.35">
      <c r="A16" t="s">
        <v>45</v>
      </c>
      <c r="B16">
        <v>1910</v>
      </c>
      <c r="C16" t="s">
        <v>7</v>
      </c>
      <c r="D16" t="s">
        <v>8</v>
      </c>
      <c r="E16" t="s">
        <v>9</v>
      </c>
      <c r="G16" t="s">
        <v>10</v>
      </c>
      <c r="I16" t="s">
        <v>107</v>
      </c>
      <c r="K16" t="s">
        <v>108</v>
      </c>
      <c r="M16" t="s">
        <v>109</v>
      </c>
      <c r="O16">
        <v>1</v>
      </c>
      <c r="P16" s="14" t="s">
        <v>110</v>
      </c>
      <c r="Q16">
        <v>100</v>
      </c>
      <c r="R16">
        <v>1</v>
      </c>
      <c r="S16">
        <v>860</v>
      </c>
      <c r="T16" s="9">
        <v>624</v>
      </c>
      <c r="U16">
        <v>426</v>
      </c>
      <c r="V16">
        <v>0</v>
      </c>
      <c r="X16" s="42">
        <f t="shared" si="0"/>
        <v>2.4704125014362862E-2</v>
      </c>
      <c r="Y16" s="16">
        <f t="shared" si="5"/>
        <v>0.8674307709985063</v>
      </c>
      <c r="AA16" s="25">
        <f>IF(P16="*","-",IFERROR(VLOOKUP(P16,'AESS-W1'!$P$5:$S$126,4,FALSE),"-"))</f>
        <v>19</v>
      </c>
      <c r="AB16" s="25" t="str">
        <f>IF(P16="*","-",IFERROR(VLOOKUP(P16,'AESS-W2'!$P$5:$S$107,4,FALSE),"-"))</f>
        <v>-</v>
      </c>
      <c r="AC16" s="25">
        <f>IF(P16="*","-",IFERROR(VLOOKUP(P16,'All MECSM samples'!$P$4:$AD$454,15,FALSE),"-"))</f>
        <v>866</v>
      </c>
      <c r="AD16" s="25"/>
      <c r="AE16">
        <v>100</v>
      </c>
      <c r="AF16">
        <v>425</v>
      </c>
      <c r="AH16">
        <f t="shared" si="1"/>
        <v>1</v>
      </c>
      <c r="AI16">
        <f t="shared" si="2"/>
        <v>1</v>
      </c>
      <c r="AJ16">
        <f t="shared" si="3"/>
        <v>0</v>
      </c>
      <c r="AK16">
        <f t="shared" si="4"/>
        <v>1</v>
      </c>
      <c r="AL16" s="11">
        <f>SUM(AH$5:AH16)/SUM(AK$5:AK16)</f>
        <v>1</v>
      </c>
      <c r="AM16" s="11">
        <f>SUM(AI$5:AI16)/SUM(AK$5:AK16)</f>
        <v>0.58333333333333337</v>
      </c>
      <c r="AN16" s="11">
        <f>SUM(AJ$5:AJ16)/SUM(AL$5:AL16)</f>
        <v>0.66666666666666663</v>
      </c>
      <c r="AP16" t="s">
        <v>1985</v>
      </c>
      <c r="AQ16">
        <v>100</v>
      </c>
      <c r="AR16">
        <v>425</v>
      </c>
    </row>
    <row r="17" spans="1:44" x14ac:dyDescent="0.35">
      <c r="A17" t="s">
        <v>68</v>
      </c>
      <c r="B17">
        <v>1856</v>
      </c>
      <c r="C17" t="s">
        <v>7</v>
      </c>
      <c r="D17" t="s">
        <v>8</v>
      </c>
      <c r="E17" t="s">
        <v>46</v>
      </c>
      <c r="G17" t="s">
        <v>64</v>
      </c>
      <c r="I17" t="s">
        <v>65</v>
      </c>
      <c r="K17" t="s">
        <v>66</v>
      </c>
      <c r="M17" t="s">
        <v>146</v>
      </c>
      <c r="O17">
        <v>0.96</v>
      </c>
      <c r="P17" s="14" t="s">
        <v>147</v>
      </c>
      <c r="Q17">
        <v>98</v>
      </c>
      <c r="R17">
        <v>3</v>
      </c>
      <c r="S17">
        <v>306</v>
      </c>
      <c r="T17" s="9">
        <v>175</v>
      </c>
      <c r="U17">
        <v>805</v>
      </c>
      <c r="V17">
        <v>570</v>
      </c>
      <c r="X17" s="42">
        <f t="shared" si="0"/>
        <v>8.790072388831437E-3</v>
      </c>
      <c r="Y17" s="16">
        <f t="shared" si="5"/>
        <v>0.87622084338733774</v>
      </c>
      <c r="AA17" s="25" t="str">
        <f>IF(P17="*","-",IFERROR(VLOOKUP(P17,'AESS-W1'!$P$5:$S$126,4,FALSE),"-"))</f>
        <v>-</v>
      </c>
      <c r="AB17" s="25" t="str">
        <f>IF(P17="*","-",IFERROR(VLOOKUP(P17,'AESS-W2'!$P$5:$S$107,4,FALSE),"-"))</f>
        <v>-</v>
      </c>
      <c r="AC17" s="25">
        <f>IF(P17="*","-",IFERROR(VLOOKUP(P17,'All MECSM samples'!$P$4:$AD$454,15,FALSE),"-"))</f>
        <v>313</v>
      </c>
      <c r="AD17" s="25"/>
      <c r="AE17">
        <v>100</v>
      </c>
      <c r="AF17">
        <v>135</v>
      </c>
      <c r="AH17">
        <f t="shared" si="1"/>
        <v>1</v>
      </c>
      <c r="AI17">
        <f t="shared" si="2"/>
        <v>1</v>
      </c>
      <c r="AJ17">
        <f t="shared" si="3"/>
        <v>1</v>
      </c>
      <c r="AK17">
        <f t="shared" si="4"/>
        <v>1</v>
      </c>
      <c r="AL17" s="11">
        <f>SUM(AH$5:AH17)/SUM(AK$5:AK17)</f>
        <v>1</v>
      </c>
      <c r="AM17" s="11">
        <f>SUM(AI$5:AI17)/SUM(AK$5:AK17)</f>
        <v>0.61538461538461542</v>
      </c>
      <c r="AN17" s="11">
        <f>SUM(AJ$5:AJ17)/SUM(AL$5:AL17)</f>
        <v>0.69230769230769229</v>
      </c>
      <c r="AP17" t="s">
        <v>1986</v>
      </c>
      <c r="AQ17">
        <v>100</v>
      </c>
      <c r="AR17">
        <v>135</v>
      </c>
    </row>
    <row r="18" spans="1:44" x14ac:dyDescent="0.35">
      <c r="A18" t="s">
        <v>55</v>
      </c>
      <c r="B18">
        <v>1249</v>
      </c>
      <c r="C18" t="s">
        <v>7</v>
      </c>
      <c r="D18" t="s">
        <v>8</v>
      </c>
      <c r="E18" t="s">
        <v>46</v>
      </c>
      <c r="G18" t="s">
        <v>47</v>
      </c>
      <c r="O18">
        <v>0.84</v>
      </c>
      <c r="P18" s="14" t="s">
        <v>163</v>
      </c>
      <c r="Q18">
        <v>89.3</v>
      </c>
      <c r="R18">
        <v>2</v>
      </c>
      <c r="S18">
        <v>0</v>
      </c>
      <c r="T18" s="9">
        <v>0</v>
      </c>
      <c r="U18">
        <v>0</v>
      </c>
      <c r="V18">
        <v>1249</v>
      </c>
      <c r="X18" s="42">
        <f t="shared" si="0"/>
        <v>0</v>
      </c>
      <c r="Y18" s="16">
        <f t="shared" si="5"/>
        <v>0.87622084338733774</v>
      </c>
      <c r="AA18" s="25">
        <f>IF(P18="*","-",IFERROR(VLOOKUP(P18,'AESS-W1'!$P$5:$S$126,4,FALSE),"-"))</f>
        <v>15</v>
      </c>
      <c r="AB18" s="25">
        <f>IF(P18="*","-",IFERROR(VLOOKUP(P18,'AESS-W2'!$P$5:$S$107,4,FALSE),"-"))</f>
        <v>102</v>
      </c>
      <c r="AC18" s="25">
        <f>IF(P18="*","-",IFERROR(VLOOKUP(P18,'All MECSM samples'!$P$4:$AD$454,15,FALSE),"-"))</f>
        <v>3869</v>
      </c>
      <c r="AD18" s="25"/>
      <c r="AE18">
        <v>100</v>
      </c>
      <c r="AF18">
        <v>438</v>
      </c>
      <c r="AH18">
        <f t="shared" si="1"/>
        <v>0</v>
      </c>
      <c r="AI18">
        <f t="shared" si="2"/>
        <v>0</v>
      </c>
      <c r="AJ18">
        <f t="shared" si="3"/>
        <v>0</v>
      </c>
      <c r="AK18">
        <f t="shared" si="4"/>
        <v>0</v>
      </c>
      <c r="AL18" s="11">
        <f>SUM(AH$5:AH18)/SUM(AK$5:AK18)</f>
        <v>1</v>
      </c>
      <c r="AM18" s="11">
        <f>SUM(AI$5:AI18)/SUM(AK$5:AK18)</f>
        <v>0.61538461538461542</v>
      </c>
      <c r="AN18" s="11">
        <f>SUM(AJ$5:AJ18)/SUM(AL$5:AL18)</f>
        <v>0.6428571428571429</v>
      </c>
      <c r="AP18" t="s">
        <v>1987</v>
      </c>
      <c r="AQ18">
        <v>100</v>
      </c>
      <c r="AR18">
        <v>438</v>
      </c>
    </row>
    <row r="19" spans="1:44" x14ac:dyDescent="0.35">
      <c r="A19" t="s">
        <v>60</v>
      </c>
      <c r="B19">
        <v>1182</v>
      </c>
      <c r="C19" t="s">
        <v>7</v>
      </c>
      <c r="D19" t="s">
        <v>8</v>
      </c>
      <c r="E19" t="s">
        <v>165</v>
      </c>
      <c r="G19" t="s">
        <v>166</v>
      </c>
      <c r="I19" t="s">
        <v>167</v>
      </c>
      <c r="K19" t="s">
        <v>168</v>
      </c>
      <c r="M19" t="s">
        <v>169</v>
      </c>
      <c r="O19">
        <v>1</v>
      </c>
      <c r="P19" s="14" t="s">
        <v>170</v>
      </c>
      <c r="Q19">
        <v>95.6</v>
      </c>
      <c r="R19">
        <v>1</v>
      </c>
      <c r="S19">
        <v>0</v>
      </c>
      <c r="T19" s="9">
        <v>4</v>
      </c>
      <c r="U19">
        <v>1178</v>
      </c>
      <c r="V19">
        <v>0</v>
      </c>
      <c r="X19" s="42">
        <f t="shared" si="0"/>
        <v>0</v>
      </c>
      <c r="Y19" s="16">
        <f t="shared" si="5"/>
        <v>0.87622084338733774</v>
      </c>
      <c r="AA19" s="25">
        <f>IF(P19="*","-",IFERROR(VLOOKUP(P19,'AESS-W1'!$P$5:$S$126,4,FALSE),"-"))</f>
        <v>205</v>
      </c>
      <c r="AB19" s="25" t="str">
        <f>IF(P19="*","-",IFERROR(VLOOKUP(P19,'AESS-W2'!$P$5:$S$107,4,FALSE),"-"))</f>
        <v>-</v>
      </c>
      <c r="AC19" s="25">
        <f>IF(P19="*","-",IFERROR(VLOOKUP(P19,'All MECSM samples'!$P$4:$AD$454,15,FALSE),"-"))</f>
        <v>205</v>
      </c>
      <c r="AD19" s="25"/>
      <c r="AE19">
        <v>100</v>
      </c>
      <c r="AF19">
        <v>478</v>
      </c>
      <c r="AH19">
        <f t="shared" si="1"/>
        <v>0</v>
      </c>
      <c r="AI19">
        <f t="shared" si="2"/>
        <v>0</v>
      </c>
      <c r="AJ19">
        <f t="shared" si="3"/>
        <v>0</v>
      </c>
      <c r="AK19">
        <f t="shared" si="4"/>
        <v>0</v>
      </c>
      <c r="AL19" s="11">
        <f>SUM(AH$5:AH19)/SUM(AK$5:AK19)</f>
        <v>1</v>
      </c>
      <c r="AM19" s="11">
        <f>SUM(AI$5:AI19)/SUM(AK$5:AK19)</f>
        <v>0.61538461538461542</v>
      </c>
      <c r="AN19" s="11">
        <f>SUM(AJ$5:AJ19)/SUM(AL$5:AL19)</f>
        <v>0.6</v>
      </c>
      <c r="AP19" t="s">
        <v>1988</v>
      </c>
      <c r="AQ19">
        <v>100</v>
      </c>
      <c r="AR19">
        <v>478</v>
      </c>
    </row>
    <row r="20" spans="1:44" x14ac:dyDescent="0.35">
      <c r="A20" t="s">
        <v>72</v>
      </c>
      <c r="B20">
        <v>1005</v>
      </c>
      <c r="C20" t="s">
        <v>7</v>
      </c>
      <c r="D20" t="s">
        <v>8</v>
      </c>
      <c r="E20" t="s">
        <v>32</v>
      </c>
      <c r="G20" t="s">
        <v>35</v>
      </c>
      <c r="I20" t="s">
        <v>36</v>
      </c>
      <c r="K20" t="s">
        <v>194</v>
      </c>
      <c r="M20" t="s">
        <v>195</v>
      </c>
      <c r="O20">
        <v>0.6</v>
      </c>
      <c r="P20" s="14" t="s">
        <v>196</v>
      </c>
      <c r="Q20">
        <v>92.5</v>
      </c>
      <c r="R20">
        <v>1</v>
      </c>
      <c r="S20">
        <v>32</v>
      </c>
      <c r="T20" s="9">
        <v>178</v>
      </c>
      <c r="U20">
        <v>466</v>
      </c>
      <c r="V20">
        <v>329</v>
      </c>
      <c r="X20" s="42">
        <f t="shared" si="0"/>
        <v>9.192232563483856E-4</v>
      </c>
      <c r="Y20" s="16">
        <f t="shared" si="5"/>
        <v>0.87714006664368616</v>
      </c>
      <c r="AA20" s="25" t="str">
        <f>IF(P20="*","-",IFERROR(VLOOKUP(P20,'AESS-W1'!$P$5:$S$126,4,FALSE),"-"))</f>
        <v>-</v>
      </c>
      <c r="AB20" s="25" t="str">
        <f>IF(P20="*","-",IFERROR(VLOOKUP(P20,'AESS-W2'!$P$5:$S$107,4,FALSE),"-"))</f>
        <v>-</v>
      </c>
      <c r="AC20" s="25">
        <f>IF(P20="*","-",IFERROR(VLOOKUP(P20,'All MECSM samples'!$P$4:$AD$454,15,FALSE),"-"))</f>
        <v>35</v>
      </c>
      <c r="AD20" s="25"/>
      <c r="AE20">
        <v>100</v>
      </c>
      <c r="AF20">
        <v>112</v>
      </c>
      <c r="AH20">
        <f t="shared" si="1"/>
        <v>1</v>
      </c>
      <c r="AI20">
        <f t="shared" si="2"/>
        <v>1</v>
      </c>
      <c r="AJ20">
        <f t="shared" si="3"/>
        <v>1</v>
      </c>
      <c r="AK20">
        <f t="shared" si="4"/>
        <v>1</v>
      </c>
      <c r="AL20" s="11">
        <f>SUM(AH$5:AH20)/SUM(AK$5:AK20)</f>
        <v>1</v>
      </c>
      <c r="AM20" s="11">
        <f>SUM(AI$5:AI20)/SUM(AK$5:AK20)</f>
        <v>0.6428571428571429</v>
      </c>
      <c r="AN20" s="11">
        <f>SUM(AJ$5:AJ20)/SUM(AL$5:AL20)</f>
        <v>0.625</v>
      </c>
      <c r="AP20" t="s">
        <v>1989</v>
      </c>
      <c r="AQ20">
        <v>100</v>
      </c>
      <c r="AR20">
        <v>112</v>
      </c>
    </row>
    <row r="21" spans="1:44" x14ac:dyDescent="0.35">
      <c r="A21" t="s">
        <v>74</v>
      </c>
      <c r="B21">
        <v>925</v>
      </c>
      <c r="C21" t="s">
        <v>7</v>
      </c>
      <c r="D21" t="s">
        <v>8</v>
      </c>
      <c r="E21" t="s">
        <v>9</v>
      </c>
      <c r="G21" t="s">
        <v>138</v>
      </c>
      <c r="I21" t="s">
        <v>139</v>
      </c>
      <c r="K21" t="s">
        <v>140</v>
      </c>
      <c r="O21">
        <v>0.67</v>
      </c>
      <c r="P21" s="14" t="s">
        <v>141</v>
      </c>
      <c r="Q21">
        <v>90.1</v>
      </c>
      <c r="R21">
        <v>1</v>
      </c>
      <c r="S21">
        <v>290</v>
      </c>
      <c r="T21" s="9">
        <v>285</v>
      </c>
      <c r="U21">
        <v>202</v>
      </c>
      <c r="V21">
        <v>148</v>
      </c>
      <c r="X21" s="42">
        <f t="shared" si="0"/>
        <v>8.3304607606572451E-3</v>
      </c>
      <c r="Y21" s="16">
        <f t="shared" si="5"/>
        <v>0.8854705274043434</v>
      </c>
      <c r="AA21" s="25">
        <f>IF(P21="*","-",IFERROR(VLOOKUP(P21,'AESS-W1'!$P$5:$S$126,4,FALSE),"-"))</f>
        <v>6</v>
      </c>
      <c r="AB21" s="25">
        <f>IF(P21="*","-",IFERROR(VLOOKUP(P21,'AESS-W2'!$P$5:$S$107,4,FALSE),"-"))</f>
        <v>5</v>
      </c>
      <c r="AC21" s="25">
        <f>IF(P21="*","-",IFERROR(VLOOKUP(P21,'All MECSM samples'!$P$4:$AD$454,15,FALSE),"-"))</f>
        <v>469</v>
      </c>
      <c r="AD21" s="25"/>
      <c r="AE21">
        <v>100</v>
      </c>
      <c r="AF21">
        <v>204</v>
      </c>
      <c r="AH21">
        <f t="shared" si="1"/>
        <v>1</v>
      </c>
      <c r="AI21">
        <f t="shared" si="2"/>
        <v>1</v>
      </c>
      <c r="AJ21">
        <f t="shared" si="3"/>
        <v>1</v>
      </c>
      <c r="AK21">
        <f t="shared" si="4"/>
        <v>1</v>
      </c>
      <c r="AL21" s="11">
        <f>SUM(AH$5:AH21)/SUM(AK$5:AK21)</f>
        <v>1</v>
      </c>
      <c r="AM21" s="11">
        <f>SUM(AI$5:AI21)/SUM(AK$5:AK21)</f>
        <v>0.66666666666666663</v>
      </c>
      <c r="AN21" s="11">
        <f>SUM(AJ$5:AJ21)/SUM(AL$5:AL21)</f>
        <v>0.6470588235294118</v>
      </c>
      <c r="AP21" t="s">
        <v>1990</v>
      </c>
      <c r="AQ21">
        <v>100</v>
      </c>
      <c r="AR21">
        <v>204</v>
      </c>
    </row>
    <row r="22" spans="1:44" x14ac:dyDescent="0.35">
      <c r="A22" t="s">
        <v>97</v>
      </c>
      <c r="B22">
        <v>909</v>
      </c>
      <c r="C22" t="s">
        <v>7</v>
      </c>
      <c r="D22" t="s">
        <v>8</v>
      </c>
      <c r="E22" t="s">
        <v>46</v>
      </c>
      <c r="G22" t="s">
        <v>47</v>
      </c>
      <c r="I22" t="s">
        <v>61</v>
      </c>
      <c r="K22" t="s">
        <v>178</v>
      </c>
      <c r="M22" t="s">
        <v>186</v>
      </c>
      <c r="O22">
        <v>0.61</v>
      </c>
      <c r="P22" s="14" t="s">
        <v>187</v>
      </c>
      <c r="Q22">
        <v>92.1</v>
      </c>
      <c r="R22">
        <v>1</v>
      </c>
      <c r="S22">
        <v>13</v>
      </c>
      <c r="T22" s="9">
        <v>6</v>
      </c>
      <c r="U22">
        <v>241</v>
      </c>
      <c r="V22">
        <v>649</v>
      </c>
      <c r="X22" s="42">
        <f t="shared" si="0"/>
        <v>3.7343444789153166E-4</v>
      </c>
      <c r="Y22" s="16">
        <f t="shared" si="5"/>
        <v>0.88584396185223491</v>
      </c>
      <c r="AA22" s="25" t="str">
        <f>IF(P22="*","-",IFERROR(VLOOKUP(P22,'AESS-W1'!$P$5:$S$126,4,FALSE),"-"))</f>
        <v>-</v>
      </c>
      <c r="AB22" s="25" t="str">
        <f>IF(P22="*","-",IFERROR(VLOOKUP(P22,'AESS-W2'!$P$5:$S$107,4,FALSE),"-"))</f>
        <v>-</v>
      </c>
      <c r="AC22" s="25">
        <f>IF(P22="*","-",IFERROR(VLOOKUP(P22,'All MECSM samples'!$P$4:$AD$454,15,FALSE),"-"))</f>
        <v>520</v>
      </c>
      <c r="AD22" s="25"/>
      <c r="AE22">
        <v>100</v>
      </c>
      <c r="AF22">
        <v>245</v>
      </c>
      <c r="AH22">
        <f t="shared" si="1"/>
        <v>1</v>
      </c>
      <c r="AI22">
        <f t="shared" si="2"/>
        <v>1</v>
      </c>
      <c r="AJ22">
        <f t="shared" si="3"/>
        <v>1</v>
      </c>
      <c r="AK22">
        <f t="shared" si="4"/>
        <v>1</v>
      </c>
      <c r="AL22" s="11">
        <f>SUM(AH$5:AH22)/SUM(AK$5:AK22)</f>
        <v>1</v>
      </c>
      <c r="AM22" s="11">
        <f>SUM(AI$5:AI22)/SUM(AK$5:AK22)</f>
        <v>0.6875</v>
      </c>
      <c r="AN22" s="11">
        <f>SUM(AJ$5:AJ22)/SUM(AL$5:AL22)</f>
        <v>0.66666666666666663</v>
      </c>
      <c r="AP22" t="s">
        <v>1991</v>
      </c>
      <c r="AQ22">
        <v>100</v>
      </c>
      <c r="AR22">
        <v>245</v>
      </c>
    </row>
    <row r="23" spans="1:44" x14ac:dyDescent="0.35">
      <c r="A23" t="s">
        <v>106</v>
      </c>
      <c r="B23">
        <v>851</v>
      </c>
      <c r="C23" t="s">
        <v>7</v>
      </c>
      <c r="D23" t="s">
        <v>24</v>
      </c>
      <c r="E23" t="s">
        <v>25</v>
      </c>
      <c r="G23" t="s">
        <v>26</v>
      </c>
      <c r="I23" t="s">
        <v>27</v>
      </c>
      <c r="K23" t="s">
        <v>28</v>
      </c>
      <c r="M23" t="s">
        <v>29</v>
      </c>
      <c r="O23">
        <v>0.9</v>
      </c>
      <c r="P23" s="14" t="s">
        <v>88</v>
      </c>
      <c r="Q23">
        <v>100</v>
      </c>
      <c r="R23">
        <v>2</v>
      </c>
      <c r="S23">
        <v>586</v>
      </c>
      <c r="T23" s="9">
        <v>265</v>
      </c>
      <c r="U23">
        <v>0</v>
      </c>
      <c r="V23">
        <v>0</v>
      </c>
      <c r="X23" s="42">
        <f t="shared" si="0"/>
        <v>1.683327588187981E-2</v>
      </c>
      <c r="Y23" s="16">
        <f t="shared" si="5"/>
        <v>0.90267723773411468</v>
      </c>
      <c r="AA23" s="25" t="str">
        <f>IF(P23="*","-",IFERROR(VLOOKUP(P23,'AESS-W1'!$P$5:$S$126,4,FALSE),"-"))</f>
        <v>-</v>
      </c>
      <c r="AB23" s="25">
        <f>IF(P23="*","-",IFERROR(VLOOKUP(P23,'AESS-W2'!$P$5:$S$107,4,FALSE),"-"))</f>
        <v>1161</v>
      </c>
      <c r="AC23" s="25">
        <f>IF(P23="*","-",IFERROR(VLOOKUP(P23,'All MECSM samples'!$P$4:$AD$454,15,FALSE),"-"))</f>
        <v>1168</v>
      </c>
      <c r="AD23" s="25"/>
      <c r="AE23">
        <v>100</v>
      </c>
      <c r="AF23">
        <v>108</v>
      </c>
      <c r="AH23">
        <f t="shared" si="1"/>
        <v>1</v>
      </c>
      <c r="AI23">
        <f t="shared" si="2"/>
        <v>0</v>
      </c>
      <c r="AJ23">
        <f t="shared" si="3"/>
        <v>0</v>
      </c>
      <c r="AK23">
        <f t="shared" si="4"/>
        <v>1</v>
      </c>
      <c r="AL23" s="11">
        <f>SUM(AH$5:AH23)/SUM(AK$5:AK23)</f>
        <v>1</v>
      </c>
      <c r="AM23" s="11">
        <f>SUM(AI$5:AI23)/SUM(AK$5:AK23)</f>
        <v>0.6470588235294118</v>
      </c>
      <c r="AN23" s="11">
        <f>SUM(AJ$5:AJ23)/SUM(AL$5:AL23)</f>
        <v>0.63157894736842102</v>
      </c>
      <c r="AP23" t="s">
        <v>1992</v>
      </c>
      <c r="AQ23">
        <v>100</v>
      </c>
      <c r="AR23">
        <v>108</v>
      </c>
    </row>
    <row r="24" spans="1:44" x14ac:dyDescent="0.35">
      <c r="A24" t="s">
        <v>135</v>
      </c>
      <c r="B24">
        <v>753</v>
      </c>
      <c r="C24" t="s">
        <v>7</v>
      </c>
      <c r="D24" t="s">
        <v>8</v>
      </c>
      <c r="E24" t="s">
        <v>9</v>
      </c>
      <c r="G24" t="s">
        <v>10</v>
      </c>
      <c r="I24" t="s">
        <v>131</v>
      </c>
      <c r="K24" t="s">
        <v>132</v>
      </c>
      <c r="M24" t="s">
        <v>133</v>
      </c>
      <c r="O24">
        <v>1</v>
      </c>
      <c r="P24" s="14" t="s">
        <v>134</v>
      </c>
      <c r="Q24">
        <v>100</v>
      </c>
      <c r="R24">
        <v>1</v>
      </c>
      <c r="S24">
        <v>254</v>
      </c>
      <c r="T24" s="9">
        <v>139</v>
      </c>
      <c r="U24">
        <v>186</v>
      </c>
      <c r="V24">
        <v>174</v>
      </c>
      <c r="X24" s="42">
        <f t="shared" si="0"/>
        <v>7.2963345972653108E-3</v>
      </c>
      <c r="Y24" s="16">
        <f t="shared" si="5"/>
        <v>0.90997357233137999</v>
      </c>
      <c r="AA24" s="25">
        <f>IF(P24="*","-",IFERROR(VLOOKUP(P24,'AESS-W1'!$P$5:$S$126,4,FALSE),"-"))</f>
        <v>219</v>
      </c>
      <c r="AB24" s="25">
        <f>IF(P24="*","-",IFERROR(VLOOKUP(P24,'AESS-W2'!$P$5:$S$107,4,FALSE),"-"))</f>
        <v>17</v>
      </c>
      <c r="AC24" s="25">
        <f>IF(P24="*","-",IFERROR(VLOOKUP(P24,'All MECSM samples'!$P$4:$AD$454,15,FALSE),"-"))</f>
        <v>255</v>
      </c>
      <c r="AD24" s="25"/>
      <c r="AE24">
        <v>100</v>
      </c>
      <c r="AF24">
        <v>88</v>
      </c>
      <c r="AH24">
        <f t="shared" si="1"/>
        <v>1</v>
      </c>
      <c r="AI24">
        <f t="shared" si="2"/>
        <v>1</v>
      </c>
      <c r="AJ24">
        <f t="shared" si="3"/>
        <v>1</v>
      </c>
      <c r="AK24">
        <f t="shared" si="4"/>
        <v>1</v>
      </c>
      <c r="AL24" s="11">
        <f>SUM(AH$5:AH24)/SUM(AK$5:AK24)</f>
        <v>1</v>
      </c>
      <c r="AM24" s="11">
        <f>SUM(AI$5:AI24)/SUM(AK$5:AK24)</f>
        <v>0.66666666666666663</v>
      </c>
      <c r="AN24" s="11">
        <f>SUM(AJ$5:AJ24)/SUM(AL$5:AL24)</f>
        <v>0.65</v>
      </c>
      <c r="AP24" t="s">
        <v>1993</v>
      </c>
      <c r="AQ24">
        <v>100</v>
      </c>
      <c r="AR24">
        <v>88</v>
      </c>
    </row>
    <row r="25" spans="1:44" x14ac:dyDescent="0.35">
      <c r="A25" t="s">
        <v>99</v>
      </c>
      <c r="B25">
        <v>701</v>
      </c>
      <c r="C25" t="s">
        <v>7</v>
      </c>
      <c r="D25" t="s">
        <v>8</v>
      </c>
      <c r="E25" t="s">
        <v>9</v>
      </c>
      <c r="G25" t="s">
        <v>10</v>
      </c>
      <c r="I25" t="s">
        <v>107</v>
      </c>
      <c r="K25" t="s">
        <v>108</v>
      </c>
      <c r="M25" t="s">
        <v>109</v>
      </c>
      <c r="O25">
        <v>1</v>
      </c>
      <c r="P25" s="14" t="s">
        <v>129</v>
      </c>
      <c r="Q25">
        <v>99.2</v>
      </c>
      <c r="R25">
        <v>1</v>
      </c>
      <c r="S25">
        <v>429</v>
      </c>
      <c r="T25" s="9">
        <v>23</v>
      </c>
      <c r="U25">
        <v>135</v>
      </c>
      <c r="V25">
        <v>114</v>
      </c>
      <c r="X25" s="42">
        <f t="shared" si="0"/>
        <v>1.2323336780420545E-2</v>
      </c>
      <c r="Y25" s="16">
        <f t="shared" si="5"/>
        <v>0.92229690911180051</v>
      </c>
      <c r="AA25" s="25">
        <f>IF(P25="*","-",IFERROR(VLOOKUP(P25,'AESS-W1'!$P$5:$S$126,4,FALSE),"-"))</f>
        <v>108</v>
      </c>
      <c r="AB25" s="25">
        <f>IF(P25="*","-",IFERROR(VLOOKUP(P25,'AESS-W2'!$P$5:$S$107,4,FALSE),"-"))</f>
        <v>4</v>
      </c>
      <c r="AC25" s="25">
        <f>IF(P25="*","-",IFERROR(VLOOKUP(P25,'All MECSM samples'!$P$4:$AD$454,15,FALSE),"-"))</f>
        <v>762</v>
      </c>
      <c r="AD25" s="25"/>
      <c r="AE25">
        <v>100</v>
      </c>
      <c r="AF25">
        <v>148</v>
      </c>
      <c r="AH25">
        <f t="shared" si="1"/>
        <v>1</v>
      </c>
      <c r="AI25">
        <f t="shared" si="2"/>
        <v>1</v>
      </c>
      <c r="AJ25">
        <f t="shared" si="3"/>
        <v>1</v>
      </c>
      <c r="AK25">
        <f t="shared" si="4"/>
        <v>1</v>
      </c>
      <c r="AL25" s="11">
        <f>SUM(AH$5:AH25)/SUM(AK$5:AK25)</f>
        <v>1</v>
      </c>
      <c r="AM25" s="11">
        <f>SUM(AI$5:AI25)/SUM(AK$5:AK25)</f>
        <v>0.68421052631578949</v>
      </c>
      <c r="AN25" s="11">
        <f>SUM(AJ$5:AJ25)/SUM(AL$5:AL25)</f>
        <v>0.66666666666666663</v>
      </c>
      <c r="AP25" t="s">
        <v>1994</v>
      </c>
      <c r="AQ25">
        <v>100</v>
      </c>
      <c r="AR25">
        <v>148</v>
      </c>
    </row>
    <row r="26" spans="1:44" x14ac:dyDescent="0.35">
      <c r="A26" t="s">
        <v>83</v>
      </c>
      <c r="B26">
        <v>652</v>
      </c>
      <c r="C26" t="s">
        <v>7</v>
      </c>
      <c r="D26" t="s">
        <v>8</v>
      </c>
      <c r="E26" t="s">
        <v>32</v>
      </c>
      <c r="G26" t="s">
        <v>35</v>
      </c>
      <c r="I26" t="s">
        <v>36</v>
      </c>
      <c r="O26">
        <v>0.61</v>
      </c>
      <c r="P26" s="14" t="s">
        <v>92</v>
      </c>
      <c r="Q26">
        <v>86.2</v>
      </c>
      <c r="R26">
        <v>2</v>
      </c>
      <c r="S26">
        <v>389</v>
      </c>
      <c r="T26" s="9">
        <v>129</v>
      </c>
      <c r="U26">
        <v>71</v>
      </c>
      <c r="V26">
        <v>63</v>
      </c>
      <c r="X26" s="42">
        <f t="shared" si="0"/>
        <v>1.1174307709985063E-2</v>
      </c>
      <c r="Y26" s="16">
        <f t="shared" si="5"/>
        <v>0.93347121682178558</v>
      </c>
      <c r="AA26" s="25">
        <f>IF(P26="*","-",IFERROR(VLOOKUP(P26,'AESS-W1'!$P$5:$S$126,4,FALSE),"-"))</f>
        <v>1059</v>
      </c>
      <c r="AB26" s="25">
        <f>IF(P26="*","-",IFERROR(VLOOKUP(P26,'AESS-W2'!$P$5:$S$107,4,FALSE),"-"))</f>
        <v>29</v>
      </c>
      <c r="AC26" s="25">
        <f>IF(P26="*","-",IFERROR(VLOOKUP(P26,'All MECSM samples'!$P$4:$AD$454,15,FALSE),"-"))</f>
        <v>6717</v>
      </c>
      <c r="AD26" s="25"/>
      <c r="AE26">
        <v>100</v>
      </c>
      <c r="AF26">
        <v>75</v>
      </c>
      <c r="AH26">
        <f t="shared" si="1"/>
        <v>1</v>
      </c>
      <c r="AI26">
        <f t="shared" si="2"/>
        <v>1</v>
      </c>
      <c r="AJ26">
        <f t="shared" si="3"/>
        <v>1</v>
      </c>
      <c r="AK26">
        <f t="shared" si="4"/>
        <v>1</v>
      </c>
      <c r="AL26" s="11">
        <f>SUM(AH$5:AH26)/SUM(AK$5:AK26)</f>
        <v>1</v>
      </c>
      <c r="AM26" s="11">
        <f>SUM(AI$5:AI26)/SUM(AK$5:AK26)</f>
        <v>0.7</v>
      </c>
      <c r="AN26" s="11">
        <f>SUM(AJ$5:AJ26)/SUM(AL$5:AL26)</f>
        <v>0.68181818181818177</v>
      </c>
      <c r="AP26" t="s">
        <v>1995</v>
      </c>
      <c r="AQ26">
        <v>100</v>
      </c>
      <c r="AR26">
        <v>75</v>
      </c>
    </row>
    <row r="27" spans="1:44" x14ac:dyDescent="0.35">
      <c r="A27" t="s">
        <v>126</v>
      </c>
      <c r="B27">
        <v>495</v>
      </c>
      <c r="C27" t="s">
        <v>7</v>
      </c>
      <c r="D27" t="s">
        <v>8</v>
      </c>
      <c r="E27" t="s">
        <v>46</v>
      </c>
      <c r="G27" t="s">
        <v>47</v>
      </c>
      <c r="I27" t="s">
        <v>160</v>
      </c>
      <c r="K27" t="s">
        <v>161</v>
      </c>
      <c r="M27" t="s">
        <v>162</v>
      </c>
      <c r="O27">
        <v>0.95</v>
      </c>
      <c r="P27" s="14" t="s">
        <v>163</v>
      </c>
      <c r="Q27">
        <v>96</v>
      </c>
      <c r="R27">
        <v>1</v>
      </c>
      <c r="S27">
        <v>128</v>
      </c>
      <c r="T27" s="9">
        <v>104</v>
      </c>
      <c r="U27">
        <v>16</v>
      </c>
      <c r="V27">
        <v>247</v>
      </c>
      <c r="X27" s="42">
        <f t="shared" si="0"/>
        <v>3.6768930253935424E-3</v>
      </c>
      <c r="Y27" s="16">
        <f t="shared" si="5"/>
        <v>0.93714810984717911</v>
      </c>
      <c r="AA27" s="25">
        <f>IF(P27="*","-",IFERROR(VLOOKUP(P27,'AESS-W1'!$P$5:$S$126,4,FALSE),"-"))</f>
        <v>15</v>
      </c>
      <c r="AB27" s="25">
        <f>IF(P27="*","-",IFERROR(VLOOKUP(P27,'AESS-W2'!$P$5:$S$107,4,FALSE),"-"))</f>
        <v>102</v>
      </c>
      <c r="AC27" s="25">
        <f>IF(P27="*","-",IFERROR(VLOOKUP(P27,'All MECSM samples'!$P$4:$AD$454,15,FALSE),"-"))</f>
        <v>3869</v>
      </c>
      <c r="AD27" s="25"/>
      <c r="AE27">
        <v>100</v>
      </c>
      <c r="AF27">
        <v>102</v>
      </c>
      <c r="AH27">
        <f t="shared" si="1"/>
        <v>1</v>
      </c>
      <c r="AI27">
        <f t="shared" si="2"/>
        <v>1</v>
      </c>
      <c r="AJ27">
        <f t="shared" si="3"/>
        <v>1</v>
      </c>
      <c r="AK27">
        <f t="shared" si="4"/>
        <v>1</v>
      </c>
      <c r="AL27" s="11">
        <f>SUM(AH$5:AH27)/SUM(AK$5:AK27)</f>
        <v>1</v>
      </c>
      <c r="AM27" s="11">
        <f>SUM(AI$5:AI27)/SUM(AK$5:AK27)</f>
        <v>0.7142857142857143</v>
      </c>
      <c r="AN27" s="11">
        <f>SUM(AJ$5:AJ27)/SUM(AL$5:AL27)</f>
        <v>0.69565217391304346</v>
      </c>
      <c r="AP27" t="s">
        <v>1996</v>
      </c>
      <c r="AQ27">
        <v>100</v>
      </c>
      <c r="AR27">
        <v>102</v>
      </c>
    </row>
    <row r="28" spans="1:44" x14ac:dyDescent="0.35">
      <c r="A28" t="s">
        <v>91</v>
      </c>
      <c r="B28">
        <v>440</v>
      </c>
      <c r="C28" t="s">
        <v>7</v>
      </c>
      <c r="D28" t="s">
        <v>8</v>
      </c>
      <c r="E28" t="s">
        <v>9</v>
      </c>
      <c r="G28" t="s">
        <v>172</v>
      </c>
      <c r="I28" t="s">
        <v>173</v>
      </c>
      <c r="K28" t="s">
        <v>174</v>
      </c>
      <c r="M28" t="s">
        <v>175</v>
      </c>
      <c r="O28">
        <v>0.99</v>
      </c>
      <c r="P28" s="14" t="s">
        <v>176</v>
      </c>
      <c r="Q28">
        <v>100</v>
      </c>
      <c r="R28">
        <v>2</v>
      </c>
      <c r="S28">
        <v>138</v>
      </c>
      <c r="T28" s="9">
        <v>126</v>
      </c>
      <c r="U28">
        <v>102</v>
      </c>
      <c r="V28">
        <v>74</v>
      </c>
      <c r="X28" s="42">
        <f t="shared" si="0"/>
        <v>3.9641502930024127E-3</v>
      </c>
      <c r="Y28" s="16">
        <f t="shared" si="5"/>
        <v>0.94111226014018157</v>
      </c>
      <c r="AA28" s="25">
        <f>IF(P28="*","-",IFERROR(VLOOKUP(P28,'AESS-W1'!$P$5:$S$126,4,FALSE),"-"))</f>
        <v>6</v>
      </c>
      <c r="AB28" s="25" t="str">
        <f>IF(P28="*","-",IFERROR(VLOOKUP(P28,'AESS-W2'!$P$5:$S$107,4,FALSE),"-"))</f>
        <v>-</v>
      </c>
      <c r="AC28" s="25">
        <f>IF(P28="*","-",IFERROR(VLOOKUP(P28,'All MECSM samples'!$P$4:$AD$454,15,FALSE),"-"))</f>
        <v>1109</v>
      </c>
      <c r="AD28" s="25"/>
      <c r="AE28">
        <v>100</v>
      </c>
      <c r="AF28">
        <v>82</v>
      </c>
      <c r="AH28">
        <f t="shared" si="1"/>
        <v>1</v>
      </c>
      <c r="AI28">
        <f t="shared" si="2"/>
        <v>1</v>
      </c>
      <c r="AJ28">
        <f t="shared" si="3"/>
        <v>1</v>
      </c>
      <c r="AK28">
        <f t="shared" si="4"/>
        <v>1</v>
      </c>
      <c r="AL28" s="11">
        <f>SUM(AH$5:AH28)/SUM(AK$5:AK28)</f>
        <v>1</v>
      </c>
      <c r="AM28" s="11">
        <f>SUM(AI$5:AI28)/SUM(AK$5:AK28)</f>
        <v>0.72727272727272729</v>
      </c>
      <c r="AN28" s="11">
        <f>SUM(AJ$5:AJ28)/SUM(AL$5:AL28)</f>
        <v>0.70833333333333337</v>
      </c>
      <c r="AP28" t="s">
        <v>1997</v>
      </c>
      <c r="AQ28">
        <v>100</v>
      </c>
      <c r="AR28">
        <v>82</v>
      </c>
    </row>
    <row r="29" spans="1:44" x14ac:dyDescent="0.35">
      <c r="A29" t="s">
        <v>89</v>
      </c>
      <c r="B29">
        <v>375</v>
      </c>
      <c r="C29" t="s">
        <v>7</v>
      </c>
      <c r="D29" t="s">
        <v>8</v>
      </c>
      <c r="E29" t="s">
        <v>46</v>
      </c>
      <c r="G29" t="s">
        <v>47</v>
      </c>
      <c r="I29" t="s">
        <v>61</v>
      </c>
      <c r="K29" t="s">
        <v>94</v>
      </c>
      <c r="M29" t="s">
        <v>95</v>
      </c>
      <c r="O29">
        <v>1</v>
      </c>
      <c r="P29" s="14" t="s">
        <v>96</v>
      </c>
      <c r="Q29">
        <v>100</v>
      </c>
      <c r="R29">
        <v>3</v>
      </c>
      <c r="S29">
        <v>153</v>
      </c>
      <c r="T29" s="9">
        <v>155</v>
      </c>
      <c r="U29">
        <v>67</v>
      </c>
      <c r="V29">
        <v>0</v>
      </c>
      <c r="X29" s="42">
        <f t="shared" si="0"/>
        <v>4.3950361944157185E-3</v>
      </c>
      <c r="Y29" s="16">
        <f t="shared" si="5"/>
        <v>0.94550729633459729</v>
      </c>
      <c r="AA29" s="25">
        <f>IF(P29="*","-",IFERROR(VLOOKUP(P29,'AESS-W1'!$P$5:$S$126,4,FALSE),"-"))</f>
        <v>929</v>
      </c>
      <c r="AB29" s="25">
        <f>IF(P29="*","-",IFERROR(VLOOKUP(P29,'AESS-W2'!$P$5:$S$107,4,FALSE),"-"))</f>
        <v>16</v>
      </c>
      <c r="AC29" s="25">
        <f>IF(P29="*","-",IFERROR(VLOOKUP(P29,'All MECSM samples'!$P$4:$AD$454,15,FALSE),"-"))</f>
        <v>2442</v>
      </c>
      <c r="AD29" s="25"/>
      <c r="AE29">
        <v>100</v>
      </c>
      <c r="AF29">
        <v>120</v>
      </c>
      <c r="AH29">
        <f t="shared" si="1"/>
        <v>1</v>
      </c>
      <c r="AI29">
        <f t="shared" si="2"/>
        <v>1</v>
      </c>
      <c r="AJ29">
        <f t="shared" si="3"/>
        <v>0</v>
      </c>
      <c r="AK29">
        <f t="shared" si="4"/>
        <v>1</v>
      </c>
      <c r="AL29" s="11">
        <f>SUM(AH$5:AH29)/SUM(AK$5:AK29)</f>
        <v>1</v>
      </c>
      <c r="AM29" s="11">
        <f>SUM(AI$5:AI29)/SUM(AK$5:AK29)</f>
        <v>0.73913043478260865</v>
      </c>
      <c r="AN29" s="11">
        <f>SUM(AJ$5:AJ29)/SUM(AL$5:AL29)</f>
        <v>0.68</v>
      </c>
      <c r="AP29" t="s">
        <v>1998</v>
      </c>
      <c r="AQ29">
        <v>100</v>
      </c>
      <c r="AR29">
        <v>120</v>
      </c>
    </row>
    <row r="30" spans="1:44" x14ac:dyDescent="0.35">
      <c r="A30" t="s">
        <v>145</v>
      </c>
      <c r="B30">
        <v>335</v>
      </c>
      <c r="C30" t="s">
        <v>7</v>
      </c>
      <c r="D30" t="s">
        <v>8</v>
      </c>
      <c r="E30" t="s">
        <v>46</v>
      </c>
      <c r="G30" t="s">
        <v>47</v>
      </c>
      <c r="I30" t="s">
        <v>61</v>
      </c>
      <c r="K30" t="s">
        <v>210</v>
      </c>
      <c r="M30" t="s">
        <v>211</v>
      </c>
      <c r="O30">
        <v>1</v>
      </c>
      <c r="P30" s="14" t="s">
        <v>212</v>
      </c>
      <c r="Q30">
        <v>96.8</v>
      </c>
      <c r="R30">
        <v>1</v>
      </c>
      <c r="S30">
        <v>61</v>
      </c>
      <c r="T30" s="9">
        <v>69</v>
      </c>
      <c r="U30">
        <v>0</v>
      </c>
      <c r="V30">
        <v>205</v>
      </c>
      <c r="X30" s="42">
        <f t="shared" si="0"/>
        <v>1.75226933241411E-3</v>
      </c>
      <c r="Y30" s="16">
        <f t="shared" si="5"/>
        <v>0.94725956566701142</v>
      </c>
      <c r="AA30" s="25">
        <f>IF(P30="*","-",IFERROR(VLOOKUP(P30,'AESS-W1'!$P$5:$S$126,4,FALSE),"-"))</f>
        <v>53</v>
      </c>
      <c r="AB30" s="25">
        <f>IF(P30="*","-",IFERROR(VLOOKUP(P30,'AESS-W2'!$P$5:$S$107,4,FALSE),"-"))</f>
        <v>4</v>
      </c>
      <c r="AC30" s="25">
        <f>IF(P30="*","-",IFERROR(VLOOKUP(P30,'All MECSM samples'!$P$4:$AD$454,15,FALSE),"-"))</f>
        <v>439</v>
      </c>
      <c r="AD30" s="25"/>
      <c r="AE30">
        <v>100</v>
      </c>
      <c r="AF30">
        <v>38</v>
      </c>
      <c r="AH30">
        <f t="shared" si="1"/>
        <v>1</v>
      </c>
      <c r="AI30">
        <f t="shared" si="2"/>
        <v>0</v>
      </c>
      <c r="AJ30">
        <f t="shared" si="3"/>
        <v>1</v>
      </c>
      <c r="AK30">
        <f t="shared" si="4"/>
        <v>1</v>
      </c>
      <c r="AL30" s="11">
        <f>SUM(AH$5:AH30)/SUM(AK$5:AK30)</f>
        <v>1</v>
      </c>
      <c r="AM30" s="11">
        <f>SUM(AI$5:AI30)/SUM(AK$5:AK30)</f>
        <v>0.70833333333333337</v>
      </c>
      <c r="AN30" s="11">
        <f>SUM(AJ$5:AJ30)/SUM(AL$5:AL30)</f>
        <v>0.69230769230769229</v>
      </c>
      <c r="AP30" t="s">
        <v>1999</v>
      </c>
      <c r="AQ30">
        <v>100</v>
      </c>
      <c r="AR30">
        <v>38</v>
      </c>
    </row>
    <row r="31" spans="1:44" x14ac:dyDescent="0.35">
      <c r="A31" t="s">
        <v>153</v>
      </c>
      <c r="B31">
        <v>325</v>
      </c>
      <c r="C31" t="s">
        <v>7</v>
      </c>
      <c r="D31" t="s">
        <v>8</v>
      </c>
      <c r="E31" t="s">
        <v>9</v>
      </c>
      <c r="G31" t="s">
        <v>10</v>
      </c>
      <c r="I31" t="s">
        <v>131</v>
      </c>
      <c r="K31" t="s">
        <v>150</v>
      </c>
      <c r="M31" t="s">
        <v>151</v>
      </c>
      <c r="O31">
        <v>0.97</v>
      </c>
      <c r="P31" s="14" t="s">
        <v>152</v>
      </c>
      <c r="Q31">
        <v>98</v>
      </c>
      <c r="R31">
        <v>1</v>
      </c>
      <c r="S31">
        <v>108</v>
      </c>
      <c r="T31" s="9">
        <v>50</v>
      </c>
      <c r="U31">
        <v>77</v>
      </c>
      <c r="V31">
        <v>90</v>
      </c>
      <c r="X31" s="42">
        <f t="shared" si="0"/>
        <v>3.1023784901758012E-3</v>
      </c>
      <c r="Y31" s="16">
        <f t="shared" si="5"/>
        <v>0.95036194415718722</v>
      </c>
      <c r="AA31" s="25">
        <f>IF(P31="*","-",IFERROR(VLOOKUP(P31,'AESS-W1'!$P$5:$S$126,4,FALSE),"-"))</f>
        <v>77</v>
      </c>
      <c r="AB31" s="25">
        <f>IF(P31="*","-",IFERROR(VLOOKUP(P31,'AESS-W2'!$P$5:$S$107,4,FALSE),"-"))</f>
        <v>220</v>
      </c>
      <c r="AC31" s="25">
        <f>IF(P31="*","-",IFERROR(VLOOKUP(P31,'All MECSM samples'!$P$4:$AD$454,15,FALSE),"-"))</f>
        <v>577</v>
      </c>
      <c r="AD31" s="25"/>
      <c r="AE31">
        <v>100</v>
      </c>
      <c r="AF31">
        <v>27</v>
      </c>
      <c r="AH31">
        <f t="shared" si="1"/>
        <v>1</v>
      </c>
      <c r="AI31">
        <f t="shared" si="2"/>
        <v>1</v>
      </c>
      <c r="AJ31">
        <f t="shared" si="3"/>
        <v>1</v>
      </c>
      <c r="AK31">
        <f t="shared" si="4"/>
        <v>1</v>
      </c>
      <c r="AL31" s="11">
        <f>SUM(AH$5:AH31)/SUM(AK$5:AK31)</f>
        <v>1</v>
      </c>
      <c r="AM31" s="11">
        <f>SUM(AI$5:AI31)/SUM(AK$5:AK31)</f>
        <v>0.72</v>
      </c>
      <c r="AN31" s="11">
        <f>SUM(AJ$5:AJ31)/SUM(AL$5:AL31)</f>
        <v>0.70370370370370372</v>
      </c>
      <c r="AP31" t="s">
        <v>2000</v>
      </c>
      <c r="AQ31">
        <v>100</v>
      </c>
      <c r="AR31">
        <v>27</v>
      </c>
    </row>
    <row r="32" spans="1:44" x14ac:dyDescent="0.35">
      <c r="A32" t="s">
        <v>93</v>
      </c>
      <c r="B32">
        <v>307</v>
      </c>
      <c r="C32" t="s">
        <v>7</v>
      </c>
      <c r="D32" t="s">
        <v>8</v>
      </c>
      <c r="E32" t="s">
        <v>32</v>
      </c>
      <c r="G32" t="s">
        <v>35</v>
      </c>
      <c r="I32" t="s">
        <v>36</v>
      </c>
      <c r="K32" t="s">
        <v>143</v>
      </c>
      <c r="O32">
        <v>0.87</v>
      </c>
      <c r="P32" s="14" t="s">
        <v>144</v>
      </c>
      <c r="Q32">
        <v>91.7</v>
      </c>
      <c r="R32">
        <v>1</v>
      </c>
      <c r="S32">
        <v>119</v>
      </c>
      <c r="T32" s="9">
        <v>188</v>
      </c>
      <c r="U32">
        <v>0</v>
      </c>
      <c r="V32">
        <v>0</v>
      </c>
      <c r="X32" s="42">
        <f t="shared" si="0"/>
        <v>3.418361484545559E-3</v>
      </c>
      <c r="Y32" s="16">
        <f t="shared" si="5"/>
        <v>0.95378030564173277</v>
      </c>
      <c r="AA32" s="25">
        <f>IF(P32="*","-",IFERROR(VLOOKUP(P32,'AESS-W1'!$P$5:$S$126,4,FALSE),"-"))</f>
        <v>53</v>
      </c>
      <c r="AB32" s="25">
        <f>IF(P32="*","-",IFERROR(VLOOKUP(P32,'AESS-W2'!$P$5:$S$107,4,FALSE),"-"))</f>
        <v>112</v>
      </c>
      <c r="AC32" s="25">
        <f>IF(P32="*","-",IFERROR(VLOOKUP(P32,'All MECSM samples'!$P$4:$AD$454,15,FALSE),"-"))</f>
        <v>1118</v>
      </c>
      <c r="AD32" s="25"/>
      <c r="AE32">
        <v>100</v>
      </c>
      <c r="AF32">
        <v>113</v>
      </c>
      <c r="AH32">
        <f t="shared" si="1"/>
        <v>1</v>
      </c>
      <c r="AI32">
        <f t="shared" si="2"/>
        <v>0</v>
      </c>
      <c r="AJ32">
        <f t="shared" si="3"/>
        <v>0</v>
      </c>
      <c r="AK32">
        <f t="shared" si="4"/>
        <v>1</v>
      </c>
      <c r="AL32" s="11">
        <f>SUM(AH$5:AH32)/SUM(AK$5:AK32)</f>
        <v>1</v>
      </c>
      <c r="AM32" s="11">
        <f>SUM(AI$5:AI32)/SUM(AK$5:AK32)</f>
        <v>0.69230769230769229</v>
      </c>
      <c r="AN32" s="11">
        <f>SUM(AJ$5:AJ32)/SUM(AL$5:AL32)</f>
        <v>0.6785714285714286</v>
      </c>
      <c r="AP32" t="s">
        <v>2001</v>
      </c>
      <c r="AQ32">
        <v>100</v>
      </c>
      <c r="AR32">
        <v>113</v>
      </c>
    </row>
    <row r="33" spans="1:44" x14ac:dyDescent="0.35">
      <c r="A33" t="s">
        <v>87</v>
      </c>
      <c r="B33">
        <v>276</v>
      </c>
      <c r="C33" t="s">
        <v>7</v>
      </c>
      <c r="D33" t="s">
        <v>24</v>
      </c>
      <c r="E33" t="s">
        <v>25</v>
      </c>
      <c r="G33" t="s">
        <v>40</v>
      </c>
      <c r="I33" t="s">
        <v>41</v>
      </c>
      <c r="K33" t="s">
        <v>52</v>
      </c>
      <c r="M33" t="s">
        <v>53</v>
      </c>
      <c r="O33">
        <v>1</v>
      </c>
      <c r="P33" s="14" t="s">
        <v>54</v>
      </c>
      <c r="Q33">
        <v>100</v>
      </c>
      <c r="R33">
        <v>7</v>
      </c>
      <c r="S33">
        <v>54</v>
      </c>
      <c r="T33" s="9">
        <v>222</v>
      </c>
      <c r="U33">
        <v>0</v>
      </c>
      <c r="V33">
        <v>0</v>
      </c>
      <c r="X33" s="42">
        <f t="shared" si="0"/>
        <v>1.5511892450879006E-3</v>
      </c>
      <c r="Y33" s="16">
        <f t="shared" si="5"/>
        <v>0.95533149488682068</v>
      </c>
      <c r="AA33" s="25">
        <f>IF(P33="*","-",IFERROR(VLOOKUP(P33,'AESS-W1'!$P$5:$S$126,4,FALSE),"-"))</f>
        <v>1238</v>
      </c>
      <c r="AB33" s="25">
        <f>IF(P33="*","-",IFERROR(VLOOKUP(P33,'AESS-W2'!$P$5:$S$107,4,FALSE),"-"))</f>
        <v>11</v>
      </c>
      <c r="AC33" s="25">
        <f>IF(P33="*","-",IFERROR(VLOOKUP(P33,'All MECSM samples'!$P$4:$AD$454,15,FALSE),"-"))</f>
        <v>2085</v>
      </c>
      <c r="AD33" s="25"/>
      <c r="AE33">
        <v>100</v>
      </c>
      <c r="AF33">
        <v>177</v>
      </c>
      <c r="AH33">
        <f t="shared" si="1"/>
        <v>1</v>
      </c>
      <c r="AI33">
        <f t="shared" si="2"/>
        <v>0</v>
      </c>
      <c r="AJ33">
        <f t="shared" si="3"/>
        <v>0</v>
      </c>
      <c r="AK33">
        <f t="shared" si="4"/>
        <v>1</v>
      </c>
      <c r="AL33" s="11">
        <f>SUM(AH$5:AH33)/SUM(AK$5:AK33)</f>
        <v>1</v>
      </c>
      <c r="AM33" s="11">
        <f>SUM(AI$5:AI33)/SUM(AK$5:AK33)</f>
        <v>0.66666666666666663</v>
      </c>
      <c r="AN33" s="11">
        <f>SUM(AJ$5:AJ33)/SUM(AL$5:AL33)</f>
        <v>0.65517241379310343</v>
      </c>
      <c r="AP33" t="s">
        <v>2002</v>
      </c>
      <c r="AQ33">
        <v>100</v>
      </c>
      <c r="AR33">
        <v>177</v>
      </c>
    </row>
    <row r="34" spans="1:44" x14ac:dyDescent="0.35">
      <c r="A34" t="s">
        <v>294</v>
      </c>
      <c r="B34">
        <v>276</v>
      </c>
      <c r="C34" t="s">
        <v>7</v>
      </c>
      <c r="D34" t="s">
        <v>8</v>
      </c>
      <c r="E34" t="s">
        <v>46</v>
      </c>
      <c r="G34" t="s">
        <v>47</v>
      </c>
      <c r="I34" t="s">
        <v>61</v>
      </c>
      <c r="K34" t="s">
        <v>238</v>
      </c>
      <c r="M34" t="s">
        <v>239</v>
      </c>
      <c r="O34">
        <v>1</v>
      </c>
      <c r="P34" s="14" t="s">
        <v>240</v>
      </c>
      <c r="Q34">
        <v>98.4</v>
      </c>
      <c r="R34">
        <v>1</v>
      </c>
      <c r="S34">
        <v>53</v>
      </c>
      <c r="T34" s="9">
        <v>63</v>
      </c>
      <c r="U34">
        <v>60</v>
      </c>
      <c r="V34">
        <v>100</v>
      </c>
      <c r="X34" s="42">
        <f t="shared" si="0"/>
        <v>1.5224635183270136E-3</v>
      </c>
      <c r="Y34" s="16">
        <f t="shared" si="5"/>
        <v>0.95685395840514764</v>
      </c>
      <c r="AA34" s="25" t="str">
        <f>IF(P34="*","-",IFERROR(VLOOKUP(P34,'AESS-W1'!$P$5:$S$126,4,FALSE),"-"))</f>
        <v>-</v>
      </c>
      <c r="AB34" s="25" t="str">
        <f>IF(P34="*","-",IFERROR(VLOOKUP(P34,'AESS-W2'!$P$5:$S$107,4,FALSE),"-"))</f>
        <v>-</v>
      </c>
      <c r="AC34" s="25">
        <f>IF(P34="*","-",IFERROR(VLOOKUP(P34,'All MECSM samples'!$P$4:$AD$454,15,FALSE),"-"))</f>
        <v>53</v>
      </c>
      <c r="AD34" s="25"/>
      <c r="AE34">
        <v>100</v>
      </c>
      <c r="AF34">
        <v>39</v>
      </c>
      <c r="AH34">
        <f t="shared" si="1"/>
        <v>1</v>
      </c>
      <c r="AI34">
        <f t="shared" si="2"/>
        <v>1</v>
      </c>
      <c r="AJ34">
        <f t="shared" si="3"/>
        <v>1</v>
      </c>
      <c r="AK34">
        <f t="shared" si="4"/>
        <v>1</v>
      </c>
      <c r="AL34" s="11">
        <f>SUM(AH$5:AH34)/SUM(AK$5:AK34)</f>
        <v>1</v>
      </c>
      <c r="AM34" s="11">
        <f>SUM(AI$5:AI34)/SUM(AK$5:AK34)</f>
        <v>0.6785714285714286</v>
      </c>
      <c r="AN34" s="11">
        <f>SUM(AJ$5:AJ34)/SUM(AL$5:AL34)</f>
        <v>0.66666666666666663</v>
      </c>
      <c r="AP34" t="s">
        <v>2003</v>
      </c>
      <c r="AQ34">
        <v>100</v>
      </c>
      <c r="AR34">
        <v>39</v>
      </c>
    </row>
    <row r="35" spans="1:44" x14ac:dyDescent="0.35">
      <c r="A35" t="s">
        <v>602</v>
      </c>
      <c r="B35">
        <v>264</v>
      </c>
      <c r="C35" t="s">
        <v>7</v>
      </c>
      <c r="D35" t="s">
        <v>8</v>
      </c>
      <c r="E35" t="s">
        <v>46</v>
      </c>
      <c r="G35" t="s">
        <v>47</v>
      </c>
      <c r="I35" t="s">
        <v>61</v>
      </c>
      <c r="K35" t="s">
        <v>178</v>
      </c>
      <c r="M35" t="s">
        <v>179</v>
      </c>
      <c r="O35">
        <v>0.9</v>
      </c>
      <c r="P35" s="14" t="s">
        <v>180</v>
      </c>
      <c r="Q35">
        <v>97.6</v>
      </c>
      <c r="R35">
        <v>1</v>
      </c>
      <c r="S35">
        <v>146</v>
      </c>
      <c r="T35" s="9">
        <v>118</v>
      </c>
      <c r="U35">
        <v>0</v>
      </c>
      <c r="V35">
        <v>0</v>
      </c>
      <c r="X35" s="42">
        <f t="shared" si="0"/>
        <v>4.1939561070895096E-3</v>
      </c>
      <c r="Y35" s="16">
        <f t="shared" si="5"/>
        <v>0.96104791451223714</v>
      </c>
      <c r="AA35" s="25" t="str">
        <f>IF(P35="*","-",IFERROR(VLOOKUP(P35,'AESS-W1'!$P$5:$S$126,4,FALSE),"-"))</f>
        <v>-</v>
      </c>
      <c r="AB35" s="25" t="str">
        <f>IF(P35="*","-",IFERROR(VLOOKUP(P35,'AESS-W2'!$P$5:$S$107,4,FALSE),"-"))</f>
        <v>-</v>
      </c>
      <c r="AC35" s="25">
        <f>IF(P35="*","-",IFERROR(VLOOKUP(P35,'All MECSM samples'!$P$4:$AD$454,15,FALSE),"-"))</f>
        <v>148</v>
      </c>
      <c r="AD35" s="25"/>
      <c r="AE35">
        <v>100</v>
      </c>
      <c r="AF35">
        <v>140</v>
      </c>
      <c r="AH35">
        <f t="shared" si="1"/>
        <v>1</v>
      </c>
      <c r="AI35">
        <f t="shared" si="2"/>
        <v>0</v>
      </c>
      <c r="AJ35">
        <f t="shared" si="3"/>
        <v>0</v>
      </c>
      <c r="AK35">
        <f t="shared" si="4"/>
        <v>1</v>
      </c>
      <c r="AL35" s="11">
        <f>SUM(AH$5:AH35)/SUM(AK$5:AK35)</f>
        <v>1</v>
      </c>
      <c r="AM35" s="11">
        <f>SUM(AI$5:AI35)/SUM(AK$5:AK35)</f>
        <v>0.65517241379310343</v>
      </c>
      <c r="AN35" s="11">
        <f>SUM(AJ$5:AJ35)/SUM(AL$5:AL35)</f>
        <v>0.64516129032258063</v>
      </c>
      <c r="AP35" t="s">
        <v>2004</v>
      </c>
      <c r="AQ35">
        <v>100</v>
      </c>
      <c r="AR35">
        <v>140</v>
      </c>
    </row>
    <row r="36" spans="1:44" x14ac:dyDescent="0.35">
      <c r="A36" t="s">
        <v>111</v>
      </c>
      <c r="B36">
        <v>255</v>
      </c>
      <c r="C36" t="s">
        <v>7</v>
      </c>
      <c r="D36" t="s">
        <v>8</v>
      </c>
      <c r="E36" t="s">
        <v>46</v>
      </c>
      <c r="G36" t="s">
        <v>47</v>
      </c>
      <c r="I36" t="s">
        <v>61</v>
      </c>
      <c r="K36" t="s">
        <v>178</v>
      </c>
      <c r="M36" t="s">
        <v>186</v>
      </c>
      <c r="O36">
        <v>1</v>
      </c>
      <c r="P36" s="14" t="s">
        <v>187</v>
      </c>
      <c r="Q36">
        <v>98.8</v>
      </c>
      <c r="R36">
        <v>1</v>
      </c>
      <c r="S36">
        <v>181</v>
      </c>
      <c r="T36" s="9">
        <v>74</v>
      </c>
      <c r="U36">
        <v>0</v>
      </c>
      <c r="V36">
        <v>0</v>
      </c>
      <c r="X36" s="42">
        <f t="shared" si="0"/>
        <v>5.199356543720556E-3</v>
      </c>
      <c r="Y36" s="16">
        <f t="shared" si="5"/>
        <v>0.96624727105595765</v>
      </c>
      <c r="AA36" s="25" t="str">
        <f>IF(P36="*","-",IFERROR(VLOOKUP(P36,'AESS-W1'!$P$5:$S$126,4,FALSE),"-"))</f>
        <v>-</v>
      </c>
      <c r="AB36" s="25" t="str">
        <f>IF(P36="*","-",IFERROR(VLOOKUP(P36,'AESS-W2'!$P$5:$S$107,4,FALSE),"-"))</f>
        <v>-</v>
      </c>
      <c r="AC36" s="25">
        <f>IF(P36="*","-",IFERROR(VLOOKUP(P36,'All MECSM samples'!$P$4:$AD$454,15,FALSE),"-"))</f>
        <v>520</v>
      </c>
      <c r="AD36" s="25"/>
      <c r="AE36">
        <v>100</v>
      </c>
      <c r="AF36">
        <v>222</v>
      </c>
      <c r="AH36">
        <f t="shared" si="1"/>
        <v>1</v>
      </c>
      <c r="AI36">
        <f t="shared" si="2"/>
        <v>0</v>
      </c>
      <c r="AJ36">
        <f t="shared" si="3"/>
        <v>0</v>
      </c>
      <c r="AK36">
        <f t="shared" si="4"/>
        <v>1</v>
      </c>
      <c r="AL36" s="11">
        <f>SUM(AH$5:AH36)/SUM(AK$5:AK36)</f>
        <v>1</v>
      </c>
      <c r="AM36" s="11">
        <f>SUM(AI$5:AI36)/SUM(AK$5:AK36)</f>
        <v>0.6333333333333333</v>
      </c>
      <c r="AN36" s="11">
        <f>SUM(AJ$5:AJ36)/SUM(AL$5:AL36)</f>
        <v>0.625</v>
      </c>
      <c r="AP36" t="s">
        <v>2005</v>
      </c>
      <c r="AQ36">
        <v>100</v>
      </c>
      <c r="AR36">
        <v>222</v>
      </c>
    </row>
    <row r="37" spans="1:44" x14ac:dyDescent="0.35">
      <c r="A37" t="s">
        <v>130</v>
      </c>
      <c r="B37">
        <v>174</v>
      </c>
      <c r="C37" t="s">
        <v>7</v>
      </c>
      <c r="D37" t="s">
        <v>8</v>
      </c>
      <c r="E37" t="s">
        <v>18</v>
      </c>
      <c r="G37" t="s">
        <v>19</v>
      </c>
      <c r="I37" t="s">
        <v>20</v>
      </c>
      <c r="K37" t="s">
        <v>21</v>
      </c>
      <c r="M37" t="s">
        <v>235</v>
      </c>
      <c r="O37">
        <v>0.51</v>
      </c>
      <c r="P37" s="14" t="s">
        <v>236</v>
      </c>
      <c r="Q37">
        <v>88.1</v>
      </c>
      <c r="R37">
        <v>1</v>
      </c>
      <c r="S37">
        <v>61</v>
      </c>
      <c r="T37" s="9">
        <v>53</v>
      </c>
      <c r="U37">
        <v>29</v>
      </c>
      <c r="V37">
        <v>31</v>
      </c>
      <c r="X37" s="42">
        <f t="shared" ref="X37:X68" si="6">S37/S$1</f>
        <v>1.75226933241411E-3</v>
      </c>
      <c r="Y37" s="16">
        <f t="shared" si="5"/>
        <v>0.96799954038837177</v>
      </c>
      <c r="AA37" s="25" t="str">
        <f>IF(P37="*","-",IFERROR(VLOOKUP(P37,'AESS-W1'!$P$5:$S$126,4,FALSE),"-"))</f>
        <v>-</v>
      </c>
      <c r="AB37" s="25" t="str">
        <f>IF(P37="*","-",IFERROR(VLOOKUP(P37,'AESS-W2'!$P$5:$S$107,4,FALSE),"-"))</f>
        <v>-</v>
      </c>
      <c r="AC37" s="25">
        <f>IF(P37="*","-",IFERROR(VLOOKUP(P37,'All MECSM samples'!$P$4:$AD$454,15,FALSE),"-"))</f>
        <v>61</v>
      </c>
      <c r="AD37" s="25"/>
      <c r="AE37">
        <v>100</v>
      </c>
      <c r="AF37">
        <v>30</v>
      </c>
      <c r="AH37">
        <f t="shared" ref="AH37:AH68" si="7">IF(AND(S37&gt;0,AE37&gt;=90, T37&gt;0), 1, 0)</f>
        <v>1</v>
      </c>
      <c r="AI37">
        <f t="shared" ref="AI37:AI68" si="8">IF(AND(S37&gt;0,AE37&gt;=90, U37&gt;0), 1, 0)</f>
        <v>1</v>
      </c>
      <c r="AJ37">
        <f t="shared" ref="AJ37:AJ68" si="9">IF(AND(S37&gt;0,AE37&gt;=90, V37&gt;0), 1, 0)</f>
        <v>1</v>
      </c>
      <c r="AK37">
        <f t="shared" ref="AK37:AK68" si="10">IF(AND(S37&gt;0,AE37&gt;=90),1,0)</f>
        <v>1</v>
      </c>
      <c r="AL37" s="11">
        <f>SUM(AH$5:AH37)/SUM(AK$5:AK37)</f>
        <v>1</v>
      </c>
      <c r="AM37" s="11">
        <f>SUM(AI$5:AI37)/SUM(AK$5:AK37)</f>
        <v>0.64516129032258063</v>
      </c>
      <c r="AN37" s="11">
        <f>SUM(AJ$5:AJ37)/SUM(AL$5:AL37)</f>
        <v>0.63636363636363635</v>
      </c>
      <c r="AP37" t="s">
        <v>2006</v>
      </c>
      <c r="AQ37">
        <v>100</v>
      </c>
      <c r="AR37">
        <v>30</v>
      </c>
    </row>
    <row r="38" spans="1:44" x14ac:dyDescent="0.35">
      <c r="A38" t="s">
        <v>119</v>
      </c>
      <c r="B38">
        <v>159</v>
      </c>
      <c r="C38" t="s">
        <v>7</v>
      </c>
      <c r="D38" t="s">
        <v>8</v>
      </c>
      <c r="E38" t="s">
        <v>120</v>
      </c>
      <c r="G38" t="s">
        <v>121</v>
      </c>
      <c r="I38" t="s">
        <v>122</v>
      </c>
      <c r="K38" t="s">
        <v>123</v>
      </c>
      <c r="M38" t="s">
        <v>219</v>
      </c>
      <c r="O38">
        <v>0.9</v>
      </c>
      <c r="P38" s="14" t="s">
        <v>220</v>
      </c>
      <c r="Q38">
        <v>98</v>
      </c>
      <c r="R38">
        <v>1</v>
      </c>
      <c r="S38">
        <v>58</v>
      </c>
      <c r="T38" s="9">
        <v>50</v>
      </c>
      <c r="U38">
        <v>23</v>
      </c>
      <c r="V38">
        <v>28</v>
      </c>
      <c r="X38" s="42">
        <f t="shared" si="6"/>
        <v>1.666092152131449E-3</v>
      </c>
      <c r="Y38" s="16">
        <f t="shared" ref="Y38:Y69" si="11">Y37+X38</f>
        <v>0.9696656325405032</v>
      </c>
      <c r="AA38" s="25" t="str">
        <f>IF(P38="*","-",IFERROR(VLOOKUP(P38,'AESS-W1'!$P$5:$S$126,4,FALSE),"-"))</f>
        <v>-</v>
      </c>
      <c r="AB38" s="25">
        <f>IF(P38="*","-",IFERROR(VLOOKUP(P38,'AESS-W2'!$P$5:$S$107,4,FALSE),"-"))</f>
        <v>93</v>
      </c>
      <c r="AC38" s="25">
        <f>IF(P38="*","-",IFERROR(VLOOKUP(P38,'All MECSM samples'!$P$4:$AD$454,15,FALSE),"-"))</f>
        <v>81</v>
      </c>
      <c r="AD38" s="25"/>
      <c r="AE38">
        <v>100</v>
      </c>
      <c r="AF38">
        <v>28</v>
      </c>
      <c r="AH38">
        <f t="shared" si="7"/>
        <v>1</v>
      </c>
      <c r="AI38">
        <f t="shared" si="8"/>
        <v>1</v>
      </c>
      <c r="AJ38">
        <f t="shared" si="9"/>
        <v>1</v>
      </c>
      <c r="AK38">
        <f t="shared" si="10"/>
        <v>1</v>
      </c>
      <c r="AL38" s="11">
        <f>SUM(AH$5:AH38)/SUM(AK$5:AK38)</f>
        <v>1</v>
      </c>
      <c r="AM38" s="11">
        <f>SUM(AI$5:AI38)/SUM(AK$5:AK38)</f>
        <v>0.65625</v>
      </c>
      <c r="AN38" s="11">
        <f>SUM(AJ$5:AJ38)/SUM(AL$5:AL38)</f>
        <v>0.6470588235294118</v>
      </c>
      <c r="AP38" t="s">
        <v>2007</v>
      </c>
      <c r="AQ38">
        <v>100</v>
      </c>
      <c r="AR38">
        <v>28</v>
      </c>
    </row>
    <row r="39" spans="1:44" x14ac:dyDescent="0.35">
      <c r="A39" t="s">
        <v>113</v>
      </c>
      <c r="B39">
        <v>155</v>
      </c>
      <c r="C39" t="s">
        <v>7</v>
      </c>
      <c r="D39" t="s">
        <v>8</v>
      </c>
      <c r="E39" t="s">
        <v>46</v>
      </c>
      <c r="O39">
        <v>0.96</v>
      </c>
      <c r="P39" s="14" t="s">
        <v>222</v>
      </c>
      <c r="Q39">
        <v>92.5</v>
      </c>
      <c r="R39">
        <v>5</v>
      </c>
      <c r="S39">
        <v>106</v>
      </c>
      <c r="T39" s="9">
        <v>49</v>
      </c>
      <c r="U39">
        <v>0</v>
      </c>
      <c r="V39">
        <v>0</v>
      </c>
      <c r="X39" s="42">
        <f t="shared" si="6"/>
        <v>3.0449270366540273E-3</v>
      </c>
      <c r="Y39" s="16">
        <f t="shared" si="11"/>
        <v>0.97271055957715724</v>
      </c>
      <c r="AA39" s="25" t="str">
        <f>IF(P39="*","-",IFERROR(VLOOKUP(P39,'AESS-W1'!$P$5:$S$126,4,FALSE),"-"))</f>
        <v>-</v>
      </c>
      <c r="AB39" s="25" t="str">
        <f>IF(P39="*","-",IFERROR(VLOOKUP(P39,'AESS-W2'!$P$5:$S$107,4,FALSE),"-"))</f>
        <v>-</v>
      </c>
      <c r="AC39" s="25">
        <f>IF(P39="*","-",IFERROR(VLOOKUP(P39,'All MECSM samples'!$P$4:$AD$454,15,FALSE),"-"))</f>
        <v>106</v>
      </c>
      <c r="AD39" s="25"/>
      <c r="AE39">
        <v>100</v>
      </c>
      <c r="AF39">
        <v>111</v>
      </c>
      <c r="AH39">
        <f t="shared" si="7"/>
        <v>1</v>
      </c>
      <c r="AI39">
        <f t="shared" si="8"/>
        <v>0</v>
      </c>
      <c r="AJ39">
        <f t="shared" si="9"/>
        <v>0</v>
      </c>
      <c r="AK39">
        <f t="shared" si="10"/>
        <v>1</v>
      </c>
      <c r="AL39" s="11">
        <f>SUM(AH$5:AH39)/SUM(AK$5:AK39)</f>
        <v>1</v>
      </c>
      <c r="AM39" s="11">
        <f>SUM(AI$5:AI39)/SUM(AK$5:AK39)</f>
        <v>0.63636363636363635</v>
      </c>
      <c r="AN39" s="11">
        <f>SUM(AJ$5:AJ39)/SUM(AL$5:AL39)</f>
        <v>0.62857142857142856</v>
      </c>
      <c r="AP39" t="s">
        <v>2008</v>
      </c>
      <c r="AQ39">
        <v>100</v>
      </c>
      <c r="AR39">
        <v>111</v>
      </c>
    </row>
    <row r="40" spans="1:44" x14ac:dyDescent="0.35">
      <c r="A40" t="s">
        <v>272</v>
      </c>
      <c r="B40">
        <v>134</v>
      </c>
      <c r="C40" t="s">
        <v>7</v>
      </c>
      <c r="D40" t="s">
        <v>8</v>
      </c>
      <c r="E40" t="s">
        <v>46</v>
      </c>
      <c r="G40" t="s">
        <v>47</v>
      </c>
      <c r="I40" t="s">
        <v>61</v>
      </c>
      <c r="K40" t="s">
        <v>268</v>
      </c>
      <c r="M40" t="s">
        <v>269</v>
      </c>
      <c r="O40">
        <v>0.99</v>
      </c>
      <c r="P40" s="14" t="s">
        <v>270</v>
      </c>
      <c r="Q40">
        <v>95.7</v>
      </c>
      <c r="R40">
        <v>1</v>
      </c>
      <c r="S40">
        <v>32</v>
      </c>
      <c r="T40" s="9">
        <v>40</v>
      </c>
      <c r="U40">
        <v>62</v>
      </c>
      <c r="V40">
        <v>0</v>
      </c>
      <c r="X40" s="42">
        <f t="shared" si="6"/>
        <v>9.192232563483856E-4</v>
      </c>
      <c r="Y40" s="16">
        <f t="shared" si="11"/>
        <v>0.97362978283350565</v>
      </c>
      <c r="AA40" s="25" t="str">
        <f>IF(P40="*","-",IFERROR(VLOOKUP(P40,'AESS-W1'!$P$5:$S$126,4,FALSE),"-"))</f>
        <v>-</v>
      </c>
      <c r="AB40" s="25" t="str">
        <f>IF(P40="*","-",IFERROR(VLOOKUP(P40,'AESS-W2'!$P$5:$S$107,4,FALSE),"-"))</f>
        <v>-</v>
      </c>
      <c r="AC40" s="25">
        <f>IF(P40="*","-",IFERROR(VLOOKUP(P40,'All MECSM samples'!$P$4:$AD$454,15,FALSE),"-"))</f>
        <v>51</v>
      </c>
      <c r="AD40" s="25"/>
      <c r="AE40">
        <v>100</v>
      </c>
      <c r="AF40">
        <v>37</v>
      </c>
      <c r="AH40">
        <f t="shared" si="7"/>
        <v>1</v>
      </c>
      <c r="AI40">
        <f t="shared" si="8"/>
        <v>1</v>
      </c>
      <c r="AJ40">
        <f t="shared" si="9"/>
        <v>0</v>
      </c>
      <c r="AK40">
        <f t="shared" si="10"/>
        <v>1</v>
      </c>
      <c r="AL40" s="11">
        <f>SUM(AH$5:AH40)/SUM(AK$5:AK40)</f>
        <v>1</v>
      </c>
      <c r="AM40" s="11">
        <f>SUM(AI$5:AI40)/SUM(AK$5:AK40)</f>
        <v>0.6470588235294118</v>
      </c>
      <c r="AN40" s="11">
        <f>SUM(AJ$5:AJ40)/SUM(AL$5:AL40)</f>
        <v>0.61111111111111116</v>
      </c>
      <c r="AP40" t="s">
        <v>2009</v>
      </c>
      <c r="AQ40">
        <v>100</v>
      </c>
      <c r="AR40">
        <v>37</v>
      </c>
    </row>
    <row r="41" spans="1:44" x14ac:dyDescent="0.35">
      <c r="A41" t="s">
        <v>128</v>
      </c>
      <c r="B41">
        <v>116</v>
      </c>
      <c r="C41" t="s">
        <v>7</v>
      </c>
      <c r="D41" t="s">
        <v>8</v>
      </c>
      <c r="E41" t="s">
        <v>9</v>
      </c>
      <c r="G41" t="s">
        <v>10</v>
      </c>
      <c r="K41" t="s">
        <v>227</v>
      </c>
      <c r="M41" t="s">
        <v>228</v>
      </c>
      <c r="O41">
        <v>0.99</v>
      </c>
      <c r="P41" s="14" t="s">
        <v>229</v>
      </c>
      <c r="Q41">
        <v>94.9</v>
      </c>
      <c r="R41">
        <v>1</v>
      </c>
      <c r="S41">
        <v>82</v>
      </c>
      <c r="T41" s="9">
        <v>34</v>
      </c>
      <c r="U41">
        <v>0</v>
      </c>
      <c r="V41">
        <v>0</v>
      </c>
      <c r="X41" s="42">
        <f t="shared" si="6"/>
        <v>2.3555095943927381E-3</v>
      </c>
      <c r="Y41" s="16">
        <f t="shared" si="11"/>
        <v>0.97598529242789844</v>
      </c>
      <c r="AA41" s="25">
        <f>IF(P41="*","-",IFERROR(VLOOKUP(P41,'AESS-W1'!$P$5:$S$126,4,FALSE),"-"))</f>
        <v>25</v>
      </c>
      <c r="AB41" s="25">
        <f>IF(P41="*","-",IFERROR(VLOOKUP(P41,'AESS-W2'!$P$5:$S$107,4,FALSE),"-"))</f>
        <v>52</v>
      </c>
      <c r="AC41" s="25">
        <f>IF(P41="*","-",IFERROR(VLOOKUP(P41,'All MECSM samples'!$P$4:$AD$454,15,FALSE),"-"))</f>
        <v>1516</v>
      </c>
      <c r="AD41" s="25"/>
      <c r="AE41">
        <v>100</v>
      </c>
      <c r="AF41">
        <v>44</v>
      </c>
      <c r="AH41">
        <f t="shared" si="7"/>
        <v>1</v>
      </c>
      <c r="AI41">
        <f t="shared" si="8"/>
        <v>0</v>
      </c>
      <c r="AJ41">
        <f t="shared" si="9"/>
        <v>0</v>
      </c>
      <c r="AK41">
        <f t="shared" si="10"/>
        <v>1</v>
      </c>
      <c r="AL41" s="11">
        <f>SUM(AH$5:AH41)/SUM(AK$5:AK41)</f>
        <v>1</v>
      </c>
      <c r="AM41" s="11">
        <f>SUM(AI$5:AI41)/SUM(AK$5:AK41)</f>
        <v>0.62857142857142856</v>
      </c>
      <c r="AN41" s="11">
        <f>SUM(AJ$5:AJ41)/SUM(AL$5:AL41)</f>
        <v>0.59459459459459463</v>
      </c>
      <c r="AP41" t="s">
        <v>2010</v>
      </c>
      <c r="AQ41">
        <v>100</v>
      </c>
      <c r="AR41">
        <v>44</v>
      </c>
    </row>
    <row r="42" spans="1:44" x14ac:dyDescent="0.35">
      <c r="A42" t="s">
        <v>349</v>
      </c>
      <c r="B42">
        <v>112</v>
      </c>
      <c r="C42" t="s">
        <v>7</v>
      </c>
      <c r="D42" t="s">
        <v>8</v>
      </c>
      <c r="E42" t="s">
        <v>9</v>
      </c>
      <c r="G42" t="s">
        <v>10</v>
      </c>
      <c r="I42" t="s">
        <v>11</v>
      </c>
      <c r="K42" t="s">
        <v>249</v>
      </c>
      <c r="M42" t="s">
        <v>250</v>
      </c>
      <c r="O42">
        <v>0.94</v>
      </c>
      <c r="P42" s="14" t="s">
        <v>251</v>
      </c>
      <c r="Q42">
        <v>96.8</v>
      </c>
      <c r="R42">
        <v>1</v>
      </c>
      <c r="S42">
        <v>61</v>
      </c>
      <c r="T42" s="9">
        <v>51</v>
      </c>
      <c r="U42">
        <v>0</v>
      </c>
      <c r="V42">
        <v>0</v>
      </c>
      <c r="X42" s="42">
        <f t="shared" si="6"/>
        <v>1.75226933241411E-3</v>
      </c>
      <c r="Y42" s="16">
        <f t="shared" si="11"/>
        <v>0.97773756176031257</v>
      </c>
      <c r="AA42" s="25">
        <f>IF(P42="*","-",IFERROR(VLOOKUP(P42,'AESS-W1'!$P$5:$S$126,4,FALSE),"-"))</f>
        <v>4</v>
      </c>
      <c r="AB42" s="25" t="str">
        <f>IF(P42="*","-",IFERROR(VLOOKUP(P42,'AESS-W2'!$P$5:$S$107,4,FALSE),"-"))</f>
        <v>-</v>
      </c>
      <c r="AC42" s="25">
        <f>IF(P42="*","-",IFERROR(VLOOKUP(P42,'All MECSM samples'!$P$4:$AD$454,15,FALSE),"-"))</f>
        <v>523</v>
      </c>
      <c r="AD42" s="25"/>
      <c r="AE42">
        <v>100</v>
      </c>
      <c r="AF42">
        <v>21</v>
      </c>
      <c r="AH42">
        <f t="shared" si="7"/>
        <v>1</v>
      </c>
      <c r="AI42">
        <f t="shared" si="8"/>
        <v>0</v>
      </c>
      <c r="AJ42">
        <f t="shared" si="9"/>
        <v>0</v>
      </c>
      <c r="AK42">
        <f t="shared" si="10"/>
        <v>1</v>
      </c>
      <c r="AL42" s="11">
        <f>SUM(AH$5:AH42)/SUM(AK$5:AK42)</f>
        <v>1</v>
      </c>
      <c r="AM42" s="11">
        <f>SUM(AI$5:AI42)/SUM(AK$5:AK42)</f>
        <v>0.61111111111111116</v>
      </c>
      <c r="AN42" s="11">
        <f>SUM(AJ$5:AJ42)/SUM(AL$5:AL42)</f>
        <v>0.57894736842105265</v>
      </c>
      <c r="AP42" t="s">
        <v>2011</v>
      </c>
      <c r="AQ42">
        <v>100</v>
      </c>
      <c r="AR42">
        <v>21</v>
      </c>
    </row>
    <row r="43" spans="1:44" x14ac:dyDescent="0.35">
      <c r="A43" t="s">
        <v>193</v>
      </c>
      <c r="B43">
        <v>92</v>
      </c>
      <c r="C43" t="s">
        <v>7</v>
      </c>
      <c r="D43" t="s">
        <v>8</v>
      </c>
      <c r="O43">
        <v>0.99</v>
      </c>
      <c r="P43" s="14" t="s">
        <v>98</v>
      </c>
      <c r="Q43">
        <v>0</v>
      </c>
      <c r="R43">
        <v>1</v>
      </c>
      <c r="S43">
        <v>11</v>
      </c>
      <c r="T43" s="9">
        <v>40</v>
      </c>
      <c r="U43">
        <v>23</v>
      </c>
      <c r="V43">
        <v>18</v>
      </c>
      <c r="X43" s="42">
        <f t="shared" si="6"/>
        <v>3.1598299436975757E-4</v>
      </c>
      <c r="Y43" s="16">
        <f t="shared" si="11"/>
        <v>0.97805354475468231</v>
      </c>
      <c r="AA43" s="25" t="str">
        <f>IF(P43="*","-",IFERROR(VLOOKUP(P43,'AESS-W1'!$P$5:$S$126,4,FALSE),"-"))</f>
        <v>-</v>
      </c>
      <c r="AB43" s="25" t="str">
        <f>IF(P43="*","-",IFERROR(VLOOKUP(P43,'AESS-W2'!$P$5:$S$107,4,FALSE),"-"))</f>
        <v>-</v>
      </c>
      <c r="AC43" s="25" t="str">
        <f>IF(P43="*","-",IFERROR(VLOOKUP(P43,'All MECSM samples'!$P$4:$AD$454,15,FALSE),"-"))</f>
        <v>-</v>
      </c>
      <c r="AD43" s="25"/>
      <c r="AE43">
        <v>100</v>
      </c>
      <c r="AF43">
        <v>26</v>
      </c>
      <c r="AH43">
        <f t="shared" si="7"/>
        <v>1</v>
      </c>
      <c r="AI43">
        <f t="shared" si="8"/>
        <v>1</v>
      </c>
      <c r="AJ43">
        <f t="shared" si="9"/>
        <v>1</v>
      </c>
      <c r="AK43">
        <f t="shared" si="10"/>
        <v>1</v>
      </c>
      <c r="AL43" s="11">
        <f>SUM(AH$5:AH43)/SUM(AK$5:AK43)</f>
        <v>1</v>
      </c>
      <c r="AM43" s="11">
        <f>SUM(AI$5:AI43)/SUM(AK$5:AK43)</f>
        <v>0.6216216216216216</v>
      </c>
      <c r="AN43" s="11">
        <f>SUM(AJ$5:AJ43)/SUM(AL$5:AL43)</f>
        <v>0.58974358974358976</v>
      </c>
      <c r="AP43" t="s">
        <v>2012</v>
      </c>
      <c r="AQ43">
        <v>100</v>
      </c>
      <c r="AR43">
        <v>26</v>
      </c>
    </row>
    <row r="44" spans="1:44" x14ac:dyDescent="0.35">
      <c r="A44" t="s">
        <v>137</v>
      </c>
      <c r="B44">
        <v>81</v>
      </c>
      <c r="C44" t="s">
        <v>7</v>
      </c>
      <c r="D44" t="s">
        <v>8</v>
      </c>
      <c r="E44" t="s">
        <v>9</v>
      </c>
      <c r="G44" t="s">
        <v>10</v>
      </c>
      <c r="K44" t="s">
        <v>227</v>
      </c>
      <c r="M44" t="s">
        <v>228</v>
      </c>
      <c r="O44">
        <v>1</v>
      </c>
      <c r="P44" s="14" t="s">
        <v>229</v>
      </c>
      <c r="Q44">
        <v>97.2</v>
      </c>
      <c r="R44">
        <v>1</v>
      </c>
      <c r="S44">
        <v>25</v>
      </c>
      <c r="T44" s="9">
        <v>56</v>
      </c>
      <c r="U44">
        <v>0</v>
      </c>
      <c r="V44">
        <v>0</v>
      </c>
      <c r="X44" s="42">
        <f t="shared" si="6"/>
        <v>7.1814316902217622E-4</v>
      </c>
      <c r="Y44" s="16">
        <f t="shared" si="11"/>
        <v>0.9787716879237045</v>
      </c>
      <c r="AA44" s="25">
        <f>IF(P44="*","-",IFERROR(VLOOKUP(P44,'AESS-W1'!$P$5:$S$126,4,FALSE),"-"))</f>
        <v>25</v>
      </c>
      <c r="AB44" s="25">
        <f>IF(P44="*","-",IFERROR(VLOOKUP(P44,'AESS-W2'!$P$5:$S$107,4,FALSE),"-"))</f>
        <v>52</v>
      </c>
      <c r="AC44" s="25">
        <f>IF(P44="*","-",IFERROR(VLOOKUP(P44,'All MECSM samples'!$P$4:$AD$454,15,FALSE),"-"))</f>
        <v>1516</v>
      </c>
      <c r="AD44" s="25"/>
      <c r="AE44">
        <v>100</v>
      </c>
      <c r="AF44">
        <v>19</v>
      </c>
      <c r="AH44">
        <f t="shared" si="7"/>
        <v>1</v>
      </c>
      <c r="AI44">
        <f t="shared" si="8"/>
        <v>0</v>
      </c>
      <c r="AJ44">
        <f t="shared" si="9"/>
        <v>0</v>
      </c>
      <c r="AK44">
        <f t="shared" si="10"/>
        <v>1</v>
      </c>
      <c r="AL44" s="11">
        <f>SUM(AH$5:AH44)/SUM(AK$5:AK44)</f>
        <v>1</v>
      </c>
      <c r="AM44" s="11">
        <f>SUM(AI$5:AI44)/SUM(AK$5:AK44)</f>
        <v>0.60526315789473684</v>
      </c>
      <c r="AN44" s="11">
        <f>SUM(AJ$5:AJ44)/SUM(AL$5:AL44)</f>
        <v>0.57499999999999996</v>
      </c>
      <c r="AP44" t="s">
        <v>2013</v>
      </c>
      <c r="AQ44">
        <v>100</v>
      </c>
      <c r="AR44">
        <v>19</v>
      </c>
    </row>
    <row r="45" spans="1:44" x14ac:dyDescent="0.35">
      <c r="A45" t="s">
        <v>181</v>
      </c>
      <c r="B45">
        <v>70</v>
      </c>
      <c r="C45" t="s">
        <v>7</v>
      </c>
      <c r="D45" t="s">
        <v>8</v>
      </c>
      <c r="E45" t="s">
        <v>120</v>
      </c>
      <c r="G45" t="s">
        <v>121</v>
      </c>
      <c r="I45" t="s">
        <v>122</v>
      </c>
      <c r="K45" t="s">
        <v>123</v>
      </c>
      <c r="O45">
        <v>0.63</v>
      </c>
      <c r="P45" s="14" t="s">
        <v>324</v>
      </c>
      <c r="Q45">
        <v>86.6</v>
      </c>
      <c r="R45">
        <v>2</v>
      </c>
      <c r="S45">
        <v>22</v>
      </c>
      <c r="T45" s="9">
        <v>35</v>
      </c>
      <c r="U45">
        <v>6</v>
      </c>
      <c r="V45">
        <v>7</v>
      </c>
      <c r="X45" s="42">
        <f t="shared" si="6"/>
        <v>6.3196598873951513E-4</v>
      </c>
      <c r="Y45" s="16">
        <f t="shared" si="11"/>
        <v>0.97940365391244399</v>
      </c>
      <c r="AA45" s="25" t="str">
        <f>IF(P45="*","-",IFERROR(VLOOKUP(P45,'AESS-W1'!$P$5:$S$126,4,FALSE),"-"))</f>
        <v>-</v>
      </c>
      <c r="AB45" s="25" t="str">
        <f>IF(P45="*","-",IFERROR(VLOOKUP(P45,'AESS-W2'!$P$5:$S$107,4,FALSE),"-"))</f>
        <v>-</v>
      </c>
      <c r="AC45" s="25">
        <f>IF(P45="*","-",IFERROR(VLOOKUP(P45,'All MECSM samples'!$P$4:$AD$454,15,FALSE),"-"))</f>
        <v>22</v>
      </c>
      <c r="AD45" s="25"/>
      <c r="AE45">
        <v>100</v>
      </c>
      <c r="AF45">
        <v>10</v>
      </c>
      <c r="AH45">
        <f t="shared" si="7"/>
        <v>1</v>
      </c>
      <c r="AI45">
        <f t="shared" si="8"/>
        <v>1</v>
      </c>
      <c r="AJ45">
        <f t="shared" si="9"/>
        <v>1</v>
      </c>
      <c r="AK45">
        <f t="shared" si="10"/>
        <v>1</v>
      </c>
      <c r="AL45" s="11">
        <f>SUM(AH$5:AH45)/SUM(AK$5:AK45)</f>
        <v>1</v>
      </c>
      <c r="AM45" s="11">
        <f>SUM(AI$5:AI45)/SUM(AK$5:AK45)</f>
        <v>0.61538461538461542</v>
      </c>
      <c r="AN45" s="11">
        <f>SUM(AJ$5:AJ45)/SUM(AL$5:AL45)</f>
        <v>0.58536585365853655</v>
      </c>
      <c r="AP45" t="s">
        <v>2014</v>
      </c>
      <c r="AQ45">
        <v>100</v>
      </c>
      <c r="AR45">
        <v>10</v>
      </c>
    </row>
    <row r="46" spans="1:44" x14ac:dyDescent="0.35">
      <c r="A46" t="s">
        <v>142</v>
      </c>
      <c r="B46">
        <v>70</v>
      </c>
      <c r="C46" t="s">
        <v>7</v>
      </c>
      <c r="D46" t="s">
        <v>8</v>
      </c>
      <c r="E46" t="s">
        <v>46</v>
      </c>
      <c r="G46" t="s">
        <v>47</v>
      </c>
      <c r="I46" t="s">
        <v>61</v>
      </c>
      <c r="K46" t="s">
        <v>190</v>
      </c>
      <c r="M46" t="s">
        <v>191</v>
      </c>
      <c r="O46">
        <v>0.99</v>
      </c>
      <c r="P46" s="14" t="s">
        <v>192</v>
      </c>
      <c r="Q46">
        <v>100</v>
      </c>
      <c r="R46">
        <v>1</v>
      </c>
      <c r="S46">
        <v>46</v>
      </c>
      <c r="T46" s="9">
        <v>24</v>
      </c>
      <c r="U46">
        <v>0</v>
      </c>
      <c r="V46">
        <v>0</v>
      </c>
      <c r="X46" s="42">
        <f t="shared" si="6"/>
        <v>1.3213834310008042E-3</v>
      </c>
      <c r="Y46" s="18">
        <f t="shared" si="11"/>
        <v>0.98072503734344485</v>
      </c>
      <c r="AA46" s="25">
        <f>IF(P46="*","-",IFERROR(VLOOKUP(P46,'AESS-W1'!$P$5:$S$126,4,FALSE),"-"))</f>
        <v>169</v>
      </c>
      <c r="AB46" s="25" t="str">
        <f>IF(P46="*","-",IFERROR(VLOOKUP(P46,'AESS-W2'!$P$5:$S$107,4,FALSE),"-"))</f>
        <v>-</v>
      </c>
      <c r="AC46" s="25">
        <f>IF(P46="*","-",IFERROR(VLOOKUP(P46,'All MECSM samples'!$P$4:$AD$454,15,FALSE),"-"))</f>
        <v>245</v>
      </c>
      <c r="AD46" s="25"/>
      <c r="AE46">
        <v>100</v>
      </c>
      <c r="AF46">
        <v>18</v>
      </c>
      <c r="AH46">
        <f t="shared" si="7"/>
        <v>1</v>
      </c>
      <c r="AI46">
        <f t="shared" si="8"/>
        <v>0</v>
      </c>
      <c r="AJ46">
        <f t="shared" si="9"/>
        <v>0</v>
      </c>
      <c r="AK46">
        <f t="shared" si="10"/>
        <v>1</v>
      </c>
      <c r="AL46" s="11">
        <f>SUM(AH$5:AH46)/SUM(AK$5:AK46)</f>
        <v>1</v>
      </c>
      <c r="AM46" s="11">
        <f>SUM(AI$5:AI46)/SUM(AK$5:AK46)</f>
        <v>0.6</v>
      </c>
      <c r="AN46" s="11">
        <f>SUM(AJ$5:AJ46)/SUM(AL$5:AL46)</f>
        <v>0.5714285714285714</v>
      </c>
      <c r="AP46" t="s">
        <v>2015</v>
      </c>
      <c r="AQ46">
        <v>100</v>
      </c>
      <c r="AR46">
        <v>18</v>
      </c>
    </row>
    <row r="47" spans="1:44" x14ac:dyDescent="0.35">
      <c r="A47" t="s">
        <v>164</v>
      </c>
      <c r="B47">
        <v>61</v>
      </c>
      <c r="C47" t="s">
        <v>7</v>
      </c>
      <c r="D47" t="s">
        <v>8</v>
      </c>
      <c r="E47" t="s">
        <v>46</v>
      </c>
      <c r="G47" t="s">
        <v>47</v>
      </c>
      <c r="I47" t="s">
        <v>61</v>
      </c>
      <c r="O47">
        <v>0.52</v>
      </c>
      <c r="P47" s="14" t="s">
        <v>288</v>
      </c>
      <c r="Q47">
        <v>88.2</v>
      </c>
      <c r="R47">
        <v>1</v>
      </c>
      <c r="S47">
        <v>39</v>
      </c>
      <c r="T47" s="9">
        <v>11</v>
      </c>
      <c r="U47">
        <v>11</v>
      </c>
      <c r="V47">
        <v>0</v>
      </c>
      <c r="X47" s="42">
        <f t="shared" si="6"/>
        <v>1.1203033436745949E-3</v>
      </c>
      <c r="Y47" s="16">
        <f t="shared" si="11"/>
        <v>0.98184534068711948</v>
      </c>
      <c r="AA47" s="25" t="str">
        <f>IF(P47="*","-",IFERROR(VLOOKUP(P47,'AESS-W1'!$P$5:$S$126,4,FALSE),"-"))</f>
        <v>-</v>
      </c>
      <c r="AB47" s="25" t="str">
        <f>IF(P47="*","-",IFERROR(VLOOKUP(P47,'AESS-W2'!$P$5:$S$107,4,FALSE),"-"))</f>
        <v>-</v>
      </c>
      <c r="AC47" s="25">
        <f>IF(P47="*","-",IFERROR(VLOOKUP(P47,'All MECSM samples'!$P$4:$AD$454,15,FALSE),"-"))</f>
        <v>50</v>
      </c>
      <c r="AD47" s="25"/>
      <c r="AE47">
        <v>100</v>
      </c>
      <c r="AF47">
        <v>11</v>
      </c>
      <c r="AH47">
        <f t="shared" si="7"/>
        <v>1</v>
      </c>
      <c r="AI47">
        <f t="shared" si="8"/>
        <v>1</v>
      </c>
      <c r="AJ47">
        <f t="shared" si="9"/>
        <v>0</v>
      </c>
      <c r="AK47">
        <f t="shared" si="10"/>
        <v>1</v>
      </c>
      <c r="AL47" s="11">
        <f>SUM(AH$5:AH47)/SUM(AK$5:AK47)</f>
        <v>1</v>
      </c>
      <c r="AM47" s="11">
        <f>SUM(AI$5:AI47)/SUM(AK$5:AK47)</f>
        <v>0.6097560975609756</v>
      </c>
      <c r="AN47" s="11">
        <f>SUM(AJ$5:AJ47)/SUM(AL$5:AL47)</f>
        <v>0.55813953488372092</v>
      </c>
      <c r="AP47" t="s">
        <v>2016</v>
      </c>
      <c r="AQ47">
        <v>100</v>
      </c>
      <c r="AR47">
        <v>11</v>
      </c>
    </row>
    <row r="48" spans="1:44" x14ac:dyDescent="0.35">
      <c r="A48" t="s">
        <v>225</v>
      </c>
      <c r="B48">
        <v>58</v>
      </c>
      <c r="C48" t="s">
        <v>7</v>
      </c>
      <c r="D48" t="s">
        <v>8</v>
      </c>
      <c r="E48" t="s">
        <v>46</v>
      </c>
      <c r="G48" t="s">
        <v>47</v>
      </c>
      <c r="I48" t="s">
        <v>69</v>
      </c>
      <c r="K48" t="s">
        <v>70</v>
      </c>
      <c r="O48">
        <v>0.57999999999999996</v>
      </c>
      <c r="P48" s="14" t="s">
        <v>610</v>
      </c>
      <c r="Q48">
        <v>89.7</v>
      </c>
      <c r="R48">
        <v>1</v>
      </c>
      <c r="S48">
        <v>32</v>
      </c>
      <c r="T48" s="9">
        <v>26</v>
      </c>
      <c r="U48">
        <v>0</v>
      </c>
      <c r="V48">
        <v>0</v>
      </c>
      <c r="X48" s="42">
        <f t="shared" si="6"/>
        <v>9.192232563483856E-4</v>
      </c>
      <c r="Y48" s="16">
        <f t="shared" si="11"/>
        <v>0.98276456394346789</v>
      </c>
      <c r="AA48" s="25" t="str">
        <f>IF(P48="*","-",IFERROR(VLOOKUP(P48,'AESS-W1'!$P$5:$S$126,4,FALSE),"-"))</f>
        <v>-</v>
      </c>
      <c r="AB48" s="25">
        <f>IF(P48="*","-",IFERROR(VLOOKUP(P48,'AESS-W2'!$P$5:$S$107,4,FALSE),"-"))</f>
        <v>6</v>
      </c>
      <c r="AC48" s="25">
        <f>IF(P48="*","-",IFERROR(VLOOKUP(P48,'All MECSM samples'!$P$4:$AD$454,15,FALSE),"-"))</f>
        <v>33</v>
      </c>
      <c r="AD48" s="25"/>
      <c r="AE48">
        <v>100</v>
      </c>
      <c r="AF48">
        <v>134</v>
      </c>
      <c r="AH48">
        <f t="shared" si="7"/>
        <v>1</v>
      </c>
      <c r="AI48">
        <f t="shared" si="8"/>
        <v>0</v>
      </c>
      <c r="AJ48">
        <f t="shared" si="9"/>
        <v>0</v>
      </c>
      <c r="AK48">
        <f t="shared" si="10"/>
        <v>1</v>
      </c>
      <c r="AL48" s="11">
        <f>SUM(AH$5:AH48)/SUM(AK$5:AK48)</f>
        <v>1</v>
      </c>
      <c r="AM48" s="11">
        <f>SUM(AI$5:AI48)/SUM(AK$5:AK48)</f>
        <v>0.59523809523809523</v>
      </c>
      <c r="AN48" s="11">
        <f>SUM(AJ$5:AJ48)/SUM(AL$5:AL48)</f>
        <v>0.54545454545454541</v>
      </c>
      <c r="AP48" t="s">
        <v>2017</v>
      </c>
      <c r="AQ48">
        <v>100</v>
      </c>
      <c r="AR48">
        <v>134</v>
      </c>
    </row>
    <row r="49" spans="1:44" x14ac:dyDescent="0.35">
      <c r="A49" t="s">
        <v>197</v>
      </c>
      <c r="B49">
        <v>55</v>
      </c>
      <c r="C49" t="s">
        <v>7</v>
      </c>
      <c r="D49" t="s">
        <v>8</v>
      </c>
      <c r="E49" t="s">
        <v>46</v>
      </c>
      <c r="G49" t="s">
        <v>64</v>
      </c>
      <c r="I49" t="s">
        <v>65</v>
      </c>
      <c r="K49" t="s">
        <v>66</v>
      </c>
      <c r="O49">
        <v>0.83</v>
      </c>
      <c r="P49" s="14" t="s">
        <v>281</v>
      </c>
      <c r="Q49">
        <v>89.3</v>
      </c>
      <c r="R49">
        <v>1</v>
      </c>
      <c r="S49">
        <v>28</v>
      </c>
      <c r="T49" s="9">
        <v>27</v>
      </c>
      <c r="U49">
        <v>0</v>
      </c>
      <c r="V49">
        <v>0</v>
      </c>
      <c r="X49" s="42">
        <f t="shared" si="6"/>
        <v>8.0432034930483741E-4</v>
      </c>
      <c r="Y49" s="16">
        <f t="shared" si="11"/>
        <v>0.98356888429277278</v>
      </c>
      <c r="AA49" s="25" t="str">
        <f>IF(P49="*","-",IFERROR(VLOOKUP(P49,'AESS-W1'!$P$5:$S$126,4,FALSE),"-"))</f>
        <v>-</v>
      </c>
      <c r="AB49" s="25" t="str">
        <f>IF(P49="*","-",IFERROR(VLOOKUP(P49,'AESS-W2'!$P$5:$S$107,4,FALSE),"-"))</f>
        <v>-</v>
      </c>
      <c r="AC49" s="25">
        <f>IF(P49="*","-",IFERROR(VLOOKUP(P49,'All MECSM samples'!$P$4:$AD$454,15,FALSE),"-"))</f>
        <v>28</v>
      </c>
      <c r="AD49" s="25"/>
      <c r="AE49">
        <v>100</v>
      </c>
      <c r="AF49">
        <v>16</v>
      </c>
      <c r="AH49">
        <f t="shared" si="7"/>
        <v>1</v>
      </c>
      <c r="AI49">
        <f t="shared" si="8"/>
        <v>0</v>
      </c>
      <c r="AJ49">
        <f t="shared" si="9"/>
        <v>0</v>
      </c>
      <c r="AK49">
        <f t="shared" si="10"/>
        <v>1</v>
      </c>
      <c r="AL49" s="11">
        <f>SUM(AH$5:AH49)/SUM(AK$5:AK49)</f>
        <v>1</v>
      </c>
      <c r="AM49" s="11">
        <f>SUM(AI$5:AI49)/SUM(AK$5:AK49)</f>
        <v>0.58139534883720934</v>
      </c>
      <c r="AN49" s="11">
        <f>SUM(AJ$5:AJ49)/SUM(AL$5:AL49)</f>
        <v>0.53333333333333333</v>
      </c>
      <c r="AP49" t="s">
        <v>2018</v>
      </c>
      <c r="AQ49">
        <v>100</v>
      </c>
      <c r="AR49">
        <v>16</v>
      </c>
    </row>
    <row r="50" spans="1:44" x14ac:dyDescent="0.35">
      <c r="A50" t="s">
        <v>148</v>
      </c>
      <c r="B50">
        <v>45</v>
      </c>
      <c r="C50" t="s">
        <v>7</v>
      </c>
      <c r="D50" t="s">
        <v>8</v>
      </c>
      <c r="E50" t="s">
        <v>9</v>
      </c>
      <c r="G50" t="s">
        <v>138</v>
      </c>
      <c r="I50" t="s">
        <v>296</v>
      </c>
      <c r="K50" t="s">
        <v>297</v>
      </c>
      <c r="M50" t="s">
        <v>298</v>
      </c>
      <c r="O50">
        <v>1</v>
      </c>
      <c r="P50" s="14" t="s">
        <v>299</v>
      </c>
      <c r="Q50">
        <v>100</v>
      </c>
      <c r="R50">
        <v>1</v>
      </c>
      <c r="S50">
        <v>0</v>
      </c>
      <c r="T50" s="62">
        <v>45</v>
      </c>
      <c r="U50">
        <v>0</v>
      </c>
      <c r="V50">
        <v>0</v>
      </c>
      <c r="X50" s="42">
        <f t="shared" si="6"/>
        <v>0</v>
      </c>
      <c r="Y50" s="16">
        <f t="shared" si="11"/>
        <v>0.98356888429277278</v>
      </c>
      <c r="AA50" s="25">
        <f>IF(P50="*","-",IFERROR(VLOOKUP(P50,'AESS-W1'!$P$5:$S$126,4,FALSE),"-"))</f>
        <v>0</v>
      </c>
      <c r="AB50" s="25" t="str">
        <f>IF(P50="*","-",IFERROR(VLOOKUP(P50,'AESS-W2'!$P$5:$S$107,4,FALSE),"-"))</f>
        <v>-</v>
      </c>
      <c r="AC50" s="25" t="str">
        <f>IF(P50="*","-",IFERROR(VLOOKUP(P50,'All MECSM samples'!$P$4:$AD$454,15,FALSE),"-"))</f>
        <v>-</v>
      </c>
      <c r="AD50" s="25"/>
      <c r="AE50">
        <v>100</v>
      </c>
      <c r="AF50">
        <v>16</v>
      </c>
      <c r="AH50">
        <f t="shared" si="7"/>
        <v>0</v>
      </c>
      <c r="AI50">
        <f t="shared" si="8"/>
        <v>0</v>
      </c>
      <c r="AJ50">
        <f t="shared" si="9"/>
        <v>0</v>
      </c>
      <c r="AK50">
        <f t="shared" si="10"/>
        <v>0</v>
      </c>
      <c r="AL50" s="11">
        <f>SUM(AH$5:AH50)/SUM(AK$5:AK50)</f>
        <v>1</v>
      </c>
      <c r="AM50" s="11">
        <f>SUM(AI$5:AI50)/SUM(AK$5:AK50)</f>
        <v>0.58139534883720934</v>
      </c>
      <c r="AN50" s="11">
        <f>SUM(AJ$5:AJ50)/SUM(AL$5:AL50)</f>
        <v>0.52173913043478259</v>
      </c>
      <c r="AP50" t="s">
        <v>2019</v>
      </c>
      <c r="AQ50">
        <v>100</v>
      </c>
      <c r="AR50">
        <v>16</v>
      </c>
    </row>
    <row r="51" spans="1:44" x14ac:dyDescent="0.35">
      <c r="A51" t="s">
        <v>255</v>
      </c>
      <c r="B51">
        <v>41</v>
      </c>
      <c r="C51" t="s">
        <v>7</v>
      </c>
      <c r="D51" t="s">
        <v>8</v>
      </c>
      <c r="E51" t="s">
        <v>46</v>
      </c>
      <c r="G51" t="s">
        <v>47</v>
      </c>
      <c r="I51" t="s">
        <v>61</v>
      </c>
      <c r="K51" t="s">
        <v>190</v>
      </c>
      <c r="M51" t="s">
        <v>273</v>
      </c>
      <c r="O51">
        <v>0.92</v>
      </c>
      <c r="P51" s="14" t="s">
        <v>614</v>
      </c>
      <c r="Q51">
        <v>97.2</v>
      </c>
      <c r="R51">
        <v>1</v>
      </c>
      <c r="S51">
        <v>29</v>
      </c>
      <c r="T51" s="9">
        <v>12</v>
      </c>
      <c r="U51">
        <v>0</v>
      </c>
      <c r="V51">
        <v>0</v>
      </c>
      <c r="X51" s="42">
        <f t="shared" si="6"/>
        <v>8.3304607606572451E-4</v>
      </c>
      <c r="Y51" s="16">
        <f t="shared" si="11"/>
        <v>0.9844019303688385</v>
      </c>
      <c r="AA51" s="25" t="str">
        <f>IF(P51="*","-",IFERROR(VLOOKUP(P51,'AESS-W1'!$P$5:$S$126,4,FALSE),"-"))</f>
        <v>-</v>
      </c>
      <c r="AB51" s="25" t="str">
        <f>IF(P51="*","-",IFERROR(VLOOKUP(P51,'AESS-W2'!$P$5:$S$107,4,FALSE),"-"))</f>
        <v>-</v>
      </c>
      <c r="AC51" s="25">
        <f>IF(P51="*","-",IFERROR(VLOOKUP(P51,'All MECSM samples'!$P$4:$AD$454,15,FALSE),"-"))</f>
        <v>32</v>
      </c>
      <c r="AD51" s="25"/>
      <c r="AE51">
        <v>100</v>
      </c>
      <c r="AF51">
        <v>109</v>
      </c>
      <c r="AH51">
        <f t="shared" si="7"/>
        <v>1</v>
      </c>
      <c r="AI51">
        <f t="shared" si="8"/>
        <v>0</v>
      </c>
      <c r="AJ51">
        <f t="shared" si="9"/>
        <v>0</v>
      </c>
      <c r="AK51">
        <f t="shared" si="10"/>
        <v>1</v>
      </c>
      <c r="AL51" s="11">
        <f>SUM(AH$5:AH51)/SUM(AK$5:AK51)</f>
        <v>1</v>
      </c>
      <c r="AM51" s="11">
        <f>SUM(AI$5:AI51)/SUM(AK$5:AK51)</f>
        <v>0.56818181818181823</v>
      </c>
      <c r="AN51" s="11">
        <f>SUM(AJ$5:AJ51)/SUM(AL$5:AL51)</f>
        <v>0.51063829787234039</v>
      </c>
      <c r="AP51" t="s">
        <v>2020</v>
      </c>
      <c r="AQ51">
        <v>100</v>
      </c>
      <c r="AR51">
        <v>109</v>
      </c>
    </row>
    <row r="52" spans="1:44" x14ac:dyDescent="0.35">
      <c r="A52" t="s">
        <v>149</v>
      </c>
      <c r="B52">
        <v>38</v>
      </c>
      <c r="C52" t="s">
        <v>7</v>
      </c>
      <c r="D52" t="s">
        <v>8</v>
      </c>
      <c r="E52" t="s">
        <v>46</v>
      </c>
      <c r="G52" t="s">
        <v>47</v>
      </c>
      <c r="I52" t="s">
        <v>61</v>
      </c>
      <c r="K52" t="s">
        <v>238</v>
      </c>
      <c r="M52" t="s">
        <v>239</v>
      </c>
      <c r="O52">
        <v>1</v>
      </c>
      <c r="P52" s="14" t="s">
        <v>787</v>
      </c>
      <c r="Q52">
        <v>98</v>
      </c>
      <c r="R52">
        <v>1</v>
      </c>
      <c r="S52">
        <v>17</v>
      </c>
      <c r="T52" s="9">
        <v>21</v>
      </c>
      <c r="U52">
        <v>0</v>
      </c>
      <c r="V52">
        <v>0</v>
      </c>
      <c r="X52" s="42">
        <f t="shared" si="6"/>
        <v>4.8833735493507985E-4</v>
      </c>
      <c r="Y52" s="16">
        <f t="shared" si="11"/>
        <v>0.98489026772377353</v>
      </c>
      <c r="AA52" s="25" t="str">
        <f>IF(P52="*","-",IFERROR(VLOOKUP(P52,'AESS-W1'!$P$5:$S$126,4,FALSE),"-"))</f>
        <v>-</v>
      </c>
      <c r="AB52" s="25" t="str">
        <f>IF(P52="*","-",IFERROR(VLOOKUP(P52,'AESS-W2'!$P$5:$S$107,4,FALSE),"-"))</f>
        <v>-</v>
      </c>
      <c r="AC52" s="25">
        <f>IF(P52="*","-",IFERROR(VLOOKUP(P52,'All MECSM samples'!$P$4:$AD$454,15,FALSE),"-"))</f>
        <v>17</v>
      </c>
      <c r="AD52" s="25"/>
      <c r="AE52">
        <v>100</v>
      </c>
      <c r="AF52">
        <v>13</v>
      </c>
      <c r="AH52">
        <f t="shared" si="7"/>
        <v>1</v>
      </c>
      <c r="AI52">
        <f t="shared" si="8"/>
        <v>0</v>
      </c>
      <c r="AJ52">
        <f t="shared" si="9"/>
        <v>0</v>
      </c>
      <c r="AK52">
        <f t="shared" si="10"/>
        <v>1</v>
      </c>
      <c r="AL52" s="11">
        <f>SUM(AH$5:AH52)/SUM(AK$5:AK52)</f>
        <v>1</v>
      </c>
      <c r="AM52" s="11">
        <f>SUM(AI$5:AI52)/SUM(AK$5:AK52)</f>
        <v>0.55555555555555558</v>
      </c>
      <c r="AN52" s="11">
        <f>SUM(AJ$5:AJ52)/SUM(AL$5:AL52)</f>
        <v>0.5</v>
      </c>
      <c r="AP52" t="s">
        <v>2021</v>
      </c>
      <c r="AQ52">
        <v>100</v>
      </c>
      <c r="AR52">
        <v>13</v>
      </c>
    </row>
    <row r="53" spans="1:44" x14ac:dyDescent="0.35">
      <c r="A53" t="s">
        <v>171</v>
      </c>
      <c r="B53">
        <v>36</v>
      </c>
      <c r="C53" t="s">
        <v>7</v>
      </c>
      <c r="D53" t="s">
        <v>24</v>
      </c>
      <c r="E53" t="s">
        <v>25</v>
      </c>
      <c r="G53" t="s">
        <v>40</v>
      </c>
      <c r="I53" t="s">
        <v>56</v>
      </c>
      <c r="K53" t="s">
        <v>466</v>
      </c>
      <c r="M53" t="s">
        <v>467</v>
      </c>
      <c r="O53">
        <v>0.91</v>
      </c>
      <c r="P53" s="14" t="s">
        <v>468</v>
      </c>
      <c r="Q53">
        <v>96.5</v>
      </c>
      <c r="R53">
        <v>1</v>
      </c>
      <c r="S53">
        <v>6</v>
      </c>
      <c r="T53" s="9">
        <v>19</v>
      </c>
      <c r="U53">
        <v>11</v>
      </c>
      <c r="V53">
        <v>0</v>
      </c>
      <c r="X53" s="42">
        <f t="shared" si="6"/>
        <v>1.7235436056532231E-4</v>
      </c>
      <c r="Y53" s="16">
        <f t="shared" si="11"/>
        <v>0.98506262208433881</v>
      </c>
      <c r="AA53" s="25" t="str">
        <f>IF(P53="*","-",IFERROR(VLOOKUP(P53,'AESS-W1'!$P$5:$S$126,4,FALSE),"-"))</f>
        <v>-</v>
      </c>
      <c r="AB53" s="25" t="str">
        <f>IF(P53="*","-",IFERROR(VLOOKUP(P53,'AESS-W2'!$P$5:$S$107,4,FALSE),"-"))</f>
        <v>-</v>
      </c>
      <c r="AC53" s="25">
        <f>IF(P53="*","-",IFERROR(VLOOKUP(P53,'All MECSM samples'!$P$4:$AD$454,15,FALSE),"-"))</f>
        <v>6</v>
      </c>
      <c r="AD53" s="25"/>
      <c r="AE53">
        <v>100</v>
      </c>
      <c r="AF53">
        <v>11</v>
      </c>
      <c r="AH53">
        <f t="shared" si="7"/>
        <v>1</v>
      </c>
      <c r="AI53">
        <f t="shared" si="8"/>
        <v>1</v>
      </c>
      <c r="AJ53">
        <f t="shared" si="9"/>
        <v>0</v>
      </c>
      <c r="AK53">
        <f t="shared" si="10"/>
        <v>1</v>
      </c>
      <c r="AL53" s="11">
        <f>SUM(AH$5:AH53)/SUM(AK$5:AK53)</f>
        <v>1</v>
      </c>
      <c r="AM53" s="11">
        <f>SUM(AI$5:AI53)/SUM(AK$5:AK53)</f>
        <v>0.56521739130434778</v>
      </c>
      <c r="AN53" s="11">
        <f>SUM(AJ$5:AJ53)/SUM(AL$5:AL53)</f>
        <v>0.48979591836734693</v>
      </c>
      <c r="AP53" t="s">
        <v>2022</v>
      </c>
      <c r="AQ53">
        <v>100</v>
      </c>
      <c r="AR53">
        <v>11</v>
      </c>
    </row>
    <row r="54" spans="1:44" x14ac:dyDescent="0.35">
      <c r="A54" t="s">
        <v>209</v>
      </c>
      <c r="B54">
        <v>33</v>
      </c>
      <c r="C54" t="s">
        <v>7</v>
      </c>
      <c r="D54" t="s">
        <v>24</v>
      </c>
      <c r="E54" t="s">
        <v>25</v>
      </c>
      <c r="G54" t="s">
        <v>26</v>
      </c>
      <c r="I54" t="s">
        <v>27</v>
      </c>
      <c r="K54" t="s">
        <v>28</v>
      </c>
      <c r="M54" t="s">
        <v>29</v>
      </c>
      <c r="O54">
        <v>1</v>
      </c>
      <c r="P54" s="14" t="s">
        <v>283</v>
      </c>
      <c r="Q54">
        <v>99.6</v>
      </c>
      <c r="R54">
        <v>1</v>
      </c>
      <c r="S54">
        <v>33</v>
      </c>
      <c r="T54" s="9">
        <v>0</v>
      </c>
      <c r="U54">
        <v>0</v>
      </c>
      <c r="V54">
        <v>0</v>
      </c>
      <c r="X54" s="42">
        <f t="shared" si="6"/>
        <v>9.479489831092727E-4</v>
      </c>
      <c r="Y54" s="16">
        <f t="shared" si="11"/>
        <v>0.98601057106744805</v>
      </c>
      <c r="AA54" s="25">
        <f>IF(P54="*","-",IFERROR(VLOOKUP(P54,'AESS-W1'!$P$5:$S$126,4,FALSE),"-"))</f>
        <v>10</v>
      </c>
      <c r="AB54" s="25">
        <f>IF(P54="*","-",IFERROR(VLOOKUP(P54,'AESS-W2'!$P$5:$S$107,4,FALSE),"-"))</f>
        <v>18</v>
      </c>
      <c r="AC54" s="25">
        <f>IF(P54="*","-",IFERROR(VLOOKUP(P54,'All MECSM samples'!$P$4:$AD$454,15,FALSE),"-"))</f>
        <v>22906</v>
      </c>
      <c r="AD54" s="25"/>
      <c r="AE54">
        <v>100</v>
      </c>
      <c r="AF54">
        <v>39</v>
      </c>
      <c r="AH54">
        <f t="shared" si="7"/>
        <v>0</v>
      </c>
      <c r="AI54">
        <f t="shared" si="8"/>
        <v>0</v>
      </c>
      <c r="AJ54">
        <f t="shared" si="9"/>
        <v>0</v>
      </c>
      <c r="AK54">
        <f t="shared" si="10"/>
        <v>1</v>
      </c>
      <c r="AL54" s="11">
        <f>SUM(AH$5:AH54)/SUM(AK$5:AK54)</f>
        <v>0.97872340425531912</v>
      </c>
      <c r="AM54" s="11">
        <f>SUM(AI$5:AI54)/SUM(AK$5:AK54)</f>
        <v>0.55319148936170215</v>
      </c>
      <c r="AN54" s="11">
        <f>SUM(AJ$5:AJ54)/SUM(AL$5:AL54)</f>
        <v>0.48020434227330777</v>
      </c>
      <c r="AP54" t="s">
        <v>2023</v>
      </c>
      <c r="AQ54">
        <v>100</v>
      </c>
      <c r="AR54">
        <v>39</v>
      </c>
    </row>
    <row r="55" spans="1:44" x14ac:dyDescent="0.35">
      <c r="A55" t="s">
        <v>159</v>
      </c>
      <c r="B55">
        <v>31</v>
      </c>
      <c r="C55" t="s">
        <v>7</v>
      </c>
      <c r="D55" t="s">
        <v>8</v>
      </c>
      <c r="E55" t="s">
        <v>9</v>
      </c>
      <c r="G55" t="s">
        <v>78</v>
      </c>
      <c r="I55" t="s">
        <v>79</v>
      </c>
      <c r="K55" t="s">
        <v>80</v>
      </c>
      <c r="M55" t="s">
        <v>81</v>
      </c>
      <c r="O55">
        <v>0.62</v>
      </c>
      <c r="P55" s="14" t="s">
        <v>82</v>
      </c>
      <c r="Q55">
        <v>97.2</v>
      </c>
      <c r="R55">
        <v>1</v>
      </c>
      <c r="S55">
        <v>31</v>
      </c>
      <c r="T55" s="9">
        <v>0</v>
      </c>
      <c r="U55">
        <v>0</v>
      </c>
      <c r="V55">
        <v>0</v>
      </c>
      <c r="X55" s="42">
        <f t="shared" si="6"/>
        <v>8.9049752958749861E-4</v>
      </c>
      <c r="Y55" s="16">
        <f t="shared" si="11"/>
        <v>0.98690106859703552</v>
      </c>
      <c r="AA55" s="25">
        <f>IF(P55="*","-",IFERROR(VLOOKUP(P55,'AESS-W1'!$P$5:$S$126,4,FALSE),"-"))</f>
        <v>2340</v>
      </c>
      <c r="AB55" s="25">
        <f>IF(P55="*","-",IFERROR(VLOOKUP(P55,'AESS-W2'!$P$5:$S$107,4,FALSE),"-"))</f>
        <v>41</v>
      </c>
      <c r="AC55" s="25">
        <f>IF(P55="*","-",IFERROR(VLOOKUP(P55,'All MECSM samples'!$P$4:$AD$454,15,FALSE),"-"))</f>
        <v>14011</v>
      </c>
      <c r="AD55" s="25"/>
      <c r="AE55" s="9">
        <v>0</v>
      </c>
      <c r="AF55">
        <v>0</v>
      </c>
      <c r="AH55">
        <f t="shared" si="7"/>
        <v>0</v>
      </c>
      <c r="AI55">
        <f t="shared" si="8"/>
        <v>0</v>
      </c>
      <c r="AJ55">
        <f t="shared" si="9"/>
        <v>0</v>
      </c>
      <c r="AK55">
        <f t="shared" si="10"/>
        <v>0</v>
      </c>
      <c r="AL55" s="11">
        <f>SUM(AH$5:AH55)/SUM(AK$5:AK55)</f>
        <v>0.97872340425531912</v>
      </c>
      <c r="AM55" s="11">
        <f>SUM(AI$5:AI55)/SUM(AK$5:AK55)</f>
        <v>0.55319148936170215</v>
      </c>
      <c r="AN55" s="11">
        <f>SUM(AJ$5:AJ55)/SUM(AL$5:AL55)</f>
        <v>0.47098121085594991</v>
      </c>
      <c r="AP55" t="s">
        <v>2024</v>
      </c>
      <c r="AQ55">
        <v>0</v>
      </c>
      <c r="AR55">
        <v>0</v>
      </c>
    </row>
    <row r="56" spans="1:44" x14ac:dyDescent="0.35">
      <c r="A56" t="s">
        <v>156</v>
      </c>
      <c r="B56">
        <v>29</v>
      </c>
      <c r="C56" t="s">
        <v>7</v>
      </c>
      <c r="D56" t="s">
        <v>24</v>
      </c>
      <c r="E56" t="s">
        <v>25</v>
      </c>
      <c r="G56" t="s">
        <v>40</v>
      </c>
      <c r="I56" t="s">
        <v>56</v>
      </c>
      <c r="K56" t="s">
        <v>57</v>
      </c>
      <c r="M56" t="s">
        <v>58</v>
      </c>
      <c r="O56">
        <v>1</v>
      </c>
      <c r="P56" s="14" t="s">
        <v>59</v>
      </c>
      <c r="Q56">
        <v>99.6</v>
      </c>
      <c r="R56">
        <v>1</v>
      </c>
      <c r="S56">
        <v>29</v>
      </c>
      <c r="T56" s="9">
        <v>0</v>
      </c>
      <c r="U56">
        <v>0</v>
      </c>
      <c r="V56">
        <v>0</v>
      </c>
      <c r="X56" s="42">
        <f t="shared" si="6"/>
        <v>8.3304607606572451E-4</v>
      </c>
      <c r="Y56" s="16">
        <f t="shared" si="11"/>
        <v>0.98773411467310124</v>
      </c>
      <c r="AA56" s="25">
        <f>IF(P56="*","-",IFERROR(VLOOKUP(P56,'AESS-W1'!$P$5:$S$126,4,FALSE),"-"))</f>
        <v>3312</v>
      </c>
      <c r="AB56" s="25">
        <f>IF(P56="*","-",IFERROR(VLOOKUP(P56,'AESS-W2'!$P$5:$S$107,4,FALSE),"-"))</f>
        <v>30</v>
      </c>
      <c r="AC56" s="25">
        <f>IF(P56="*","-",IFERROR(VLOOKUP(P56,'All MECSM samples'!$P$4:$AD$454,15,FALSE),"-"))</f>
        <v>10512</v>
      </c>
      <c r="AD56" s="25"/>
      <c r="AE56">
        <v>18</v>
      </c>
      <c r="AF56">
        <v>1</v>
      </c>
      <c r="AH56">
        <f t="shared" si="7"/>
        <v>0</v>
      </c>
      <c r="AI56">
        <f t="shared" si="8"/>
        <v>0</v>
      </c>
      <c r="AJ56">
        <f t="shared" si="9"/>
        <v>0</v>
      </c>
      <c r="AK56">
        <f t="shared" si="10"/>
        <v>0</v>
      </c>
      <c r="AL56" s="11">
        <f>SUM(AH$5:AH56)/SUM(AK$5:AK56)</f>
        <v>0.97872340425531912</v>
      </c>
      <c r="AM56" s="11">
        <f>SUM(AI$5:AI56)/SUM(AK$5:AK56)</f>
        <v>0.55319148936170215</v>
      </c>
      <c r="AN56" s="11">
        <f>SUM(AJ$5:AJ56)/SUM(AL$5:AL56)</f>
        <v>0.46210569438754606</v>
      </c>
      <c r="AP56" t="s">
        <v>2025</v>
      </c>
      <c r="AQ56">
        <v>18</v>
      </c>
      <c r="AR56">
        <v>1</v>
      </c>
    </row>
    <row r="57" spans="1:44" x14ac:dyDescent="0.35">
      <c r="A57" t="s">
        <v>307</v>
      </c>
      <c r="B57">
        <v>27</v>
      </c>
      <c r="C57" t="s">
        <v>7</v>
      </c>
      <c r="D57" t="s">
        <v>8</v>
      </c>
      <c r="E57" t="s">
        <v>46</v>
      </c>
      <c r="G57" t="s">
        <v>47</v>
      </c>
      <c r="I57" t="s">
        <v>61</v>
      </c>
      <c r="O57">
        <v>0.84</v>
      </c>
      <c r="P57" s="14" t="s">
        <v>321</v>
      </c>
      <c r="Q57">
        <v>90.9</v>
      </c>
      <c r="R57">
        <v>1</v>
      </c>
      <c r="S57">
        <v>14</v>
      </c>
      <c r="T57" s="9">
        <v>13</v>
      </c>
      <c r="U57">
        <v>0</v>
      </c>
      <c r="V57">
        <v>0</v>
      </c>
      <c r="X57" s="42">
        <f t="shared" si="6"/>
        <v>4.0216017465241871E-4</v>
      </c>
      <c r="Y57" s="16">
        <f t="shared" si="11"/>
        <v>0.98813627484775368</v>
      </c>
      <c r="AA57" s="25">
        <f>IF(P57="*","-",IFERROR(VLOOKUP(P57,'AESS-W1'!$P$5:$S$126,4,FALSE),"-"))</f>
        <v>18</v>
      </c>
      <c r="AB57" s="25" t="str">
        <f>IF(P57="*","-",IFERROR(VLOOKUP(P57,'AESS-W2'!$P$5:$S$107,4,FALSE),"-"))</f>
        <v>-</v>
      </c>
      <c r="AC57" s="25">
        <f>IF(P57="*","-",IFERROR(VLOOKUP(P57,'All MECSM samples'!$P$4:$AD$454,15,FALSE),"-"))</f>
        <v>276</v>
      </c>
      <c r="AD57" s="25"/>
      <c r="AE57">
        <v>97</v>
      </c>
      <c r="AF57">
        <v>263</v>
      </c>
      <c r="AH57">
        <f t="shared" si="7"/>
        <v>1</v>
      </c>
      <c r="AI57">
        <f t="shared" si="8"/>
        <v>0</v>
      </c>
      <c r="AJ57">
        <f t="shared" si="9"/>
        <v>0</v>
      </c>
      <c r="AK57">
        <f t="shared" si="10"/>
        <v>1</v>
      </c>
      <c r="AL57" s="11">
        <f>SUM(AH$5:AH57)/SUM(AK$5:AK57)</f>
        <v>0.97916666666666663</v>
      </c>
      <c r="AM57" s="11">
        <f>SUM(AI$5:AI57)/SUM(AK$5:AK57)</f>
        <v>0.54166666666666663</v>
      </c>
      <c r="AN57" s="11">
        <f>SUM(AJ$5:AJ57)/SUM(AL$5:AL57)</f>
        <v>0.45355470484264138</v>
      </c>
      <c r="AP57" t="s">
        <v>2026</v>
      </c>
      <c r="AQ57">
        <v>97</v>
      </c>
      <c r="AR57">
        <v>263</v>
      </c>
    </row>
    <row r="58" spans="1:44" x14ac:dyDescent="0.35">
      <c r="A58" t="s">
        <v>203</v>
      </c>
      <c r="B58">
        <v>26</v>
      </c>
      <c r="C58" t="s">
        <v>7</v>
      </c>
      <c r="D58" t="s">
        <v>8</v>
      </c>
      <c r="E58" t="s">
        <v>46</v>
      </c>
      <c r="G58" t="s">
        <v>47</v>
      </c>
      <c r="I58" t="s">
        <v>61</v>
      </c>
      <c r="K58" t="s">
        <v>210</v>
      </c>
      <c r="M58" t="s">
        <v>211</v>
      </c>
      <c r="O58">
        <v>0.94</v>
      </c>
      <c r="P58" s="14" t="s">
        <v>360</v>
      </c>
      <c r="Q58">
        <v>94.5</v>
      </c>
      <c r="R58">
        <v>1</v>
      </c>
      <c r="S58">
        <v>2</v>
      </c>
      <c r="T58" s="9">
        <v>24</v>
      </c>
      <c r="U58">
        <v>0</v>
      </c>
      <c r="V58">
        <v>0</v>
      </c>
      <c r="X58" s="42">
        <f t="shared" si="6"/>
        <v>5.74514535217741E-5</v>
      </c>
      <c r="Y58" s="16">
        <f t="shared" si="11"/>
        <v>0.98819372630127544</v>
      </c>
      <c r="AA58" s="25">
        <f>IF(P58="*","-",IFERROR(VLOOKUP(P58,'AESS-W1'!$P$5:$S$126,4,FALSE),"-"))</f>
        <v>11</v>
      </c>
      <c r="AB58" s="25">
        <f>IF(P58="*","-",IFERROR(VLOOKUP(P58,'AESS-W2'!$P$5:$S$107,4,FALSE),"-"))</f>
        <v>9</v>
      </c>
      <c r="AC58" s="25">
        <f>IF(P58="*","-",IFERROR(VLOOKUP(P58,'All MECSM samples'!$P$4:$AD$454,15,FALSE),"-"))</f>
        <v>1108</v>
      </c>
      <c r="AD58" s="25"/>
      <c r="AE58">
        <v>100</v>
      </c>
      <c r="AF58">
        <v>11</v>
      </c>
      <c r="AH58">
        <f t="shared" si="7"/>
        <v>1</v>
      </c>
      <c r="AI58">
        <f t="shared" si="8"/>
        <v>0</v>
      </c>
      <c r="AJ58">
        <f t="shared" si="9"/>
        <v>0</v>
      </c>
      <c r="AK58">
        <f t="shared" si="10"/>
        <v>1</v>
      </c>
      <c r="AL58" s="11">
        <f>SUM(AH$5:AH58)/SUM(AK$5:AK58)</f>
        <v>0.97959183673469385</v>
      </c>
      <c r="AM58" s="11">
        <f>SUM(AI$5:AI58)/SUM(AK$5:AK58)</f>
        <v>0.53061224489795922</v>
      </c>
      <c r="AN58" s="11">
        <f>SUM(AJ$5:AJ58)/SUM(AL$5:AL58)</f>
        <v>0.4453109146204422</v>
      </c>
      <c r="AP58" t="s">
        <v>2027</v>
      </c>
      <c r="AQ58">
        <v>100</v>
      </c>
      <c r="AR58">
        <v>11</v>
      </c>
    </row>
    <row r="59" spans="1:44" x14ac:dyDescent="0.35">
      <c r="A59" t="s">
        <v>189</v>
      </c>
      <c r="B59">
        <v>24</v>
      </c>
      <c r="C59" t="s">
        <v>7</v>
      </c>
      <c r="D59" t="s">
        <v>8</v>
      </c>
      <c r="E59" t="s">
        <v>46</v>
      </c>
      <c r="G59" t="s">
        <v>47</v>
      </c>
      <c r="I59" t="s">
        <v>61</v>
      </c>
      <c r="M59" t="s">
        <v>334</v>
      </c>
      <c r="O59">
        <v>0.66</v>
      </c>
      <c r="P59" s="14" t="s">
        <v>335</v>
      </c>
      <c r="Q59">
        <v>96</v>
      </c>
      <c r="R59">
        <v>1</v>
      </c>
      <c r="S59">
        <v>17</v>
      </c>
      <c r="T59" s="9">
        <v>7</v>
      </c>
      <c r="U59">
        <v>0</v>
      </c>
      <c r="V59">
        <v>0</v>
      </c>
      <c r="X59" s="42">
        <f t="shared" si="6"/>
        <v>4.8833735493507985E-4</v>
      </c>
      <c r="Y59" s="16">
        <f t="shared" si="11"/>
        <v>0.98868206365621047</v>
      </c>
      <c r="AA59" s="25" t="str">
        <f>IF(P59="*","-",IFERROR(VLOOKUP(P59,'AESS-W1'!$P$5:$S$126,4,FALSE),"-"))</f>
        <v>-</v>
      </c>
      <c r="AB59" s="25" t="str">
        <f>IF(P59="*","-",IFERROR(VLOOKUP(P59,'AESS-W2'!$P$5:$S$107,4,FALSE),"-"))</f>
        <v>-</v>
      </c>
      <c r="AC59" s="25">
        <f>IF(P59="*","-",IFERROR(VLOOKUP(P59,'All MECSM samples'!$P$4:$AD$454,15,FALSE),"-"))</f>
        <v>23</v>
      </c>
      <c r="AD59" s="25"/>
      <c r="AE59">
        <v>100</v>
      </c>
      <c r="AF59">
        <v>175</v>
      </c>
      <c r="AH59">
        <f t="shared" si="7"/>
        <v>1</v>
      </c>
      <c r="AI59">
        <f t="shared" si="8"/>
        <v>0</v>
      </c>
      <c r="AJ59">
        <f t="shared" si="9"/>
        <v>0</v>
      </c>
      <c r="AK59">
        <f t="shared" si="10"/>
        <v>1</v>
      </c>
      <c r="AL59" s="11">
        <f>SUM(AH$5:AH59)/SUM(AK$5:AK59)</f>
        <v>0.98</v>
      </c>
      <c r="AM59" s="11">
        <f>SUM(AI$5:AI59)/SUM(AK$5:AK59)</f>
        <v>0.52</v>
      </c>
      <c r="AN59" s="11">
        <f>SUM(AJ$5:AJ59)/SUM(AL$5:AL59)</f>
        <v>0.43735819911742491</v>
      </c>
      <c r="AP59" t="s">
        <v>2028</v>
      </c>
      <c r="AQ59">
        <v>100</v>
      </c>
      <c r="AR59">
        <v>175</v>
      </c>
    </row>
    <row r="60" spans="1:44" x14ac:dyDescent="0.35">
      <c r="A60" t="s">
        <v>237</v>
      </c>
      <c r="B60">
        <v>23</v>
      </c>
      <c r="C60" t="s">
        <v>7</v>
      </c>
      <c r="D60" t="s">
        <v>8</v>
      </c>
      <c r="E60" t="s">
        <v>46</v>
      </c>
      <c r="G60" t="s">
        <v>47</v>
      </c>
      <c r="I60" t="s">
        <v>61</v>
      </c>
      <c r="O60">
        <v>0.85</v>
      </c>
      <c r="P60" s="14" t="s">
        <v>370</v>
      </c>
      <c r="Q60">
        <v>88.5</v>
      </c>
      <c r="R60">
        <v>1</v>
      </c>
      <c r="S60">
        <v>16</v>
      </c>
      <c r="T60" s="9">
        <v>7</v>
      </c>
      <c r="U60">
        <v>0</v>
      </c>
      <c r="V60">
        <v>0</v>
      </c>
      <c r="X60" s="42">
        <f t="shared" si="6"/>
        <v>4.596116281741928E-4</v>
      </c>
      <c r="Y60" s="16">
        <f t="shared" si="11"/>
        <v>0.98914167528438468</v>
      </c>
      <c r="AA60" s="25" t="str">
        <f>IF(P60="*","-",IFERROR(VLOOKUP(P60,'AESS-W1'!$P$5:$S$126,4,FALSE),"-"))</f>
        <v>-</v>
      </c>
      <c r="AB60" s="25" t="str">
        <f>IF(P60="*","-",IFERROR(VLOOKUP(P60,'AESS-W2'!$P$5:$S$107,4,FALSE),"-"))</f>
        <v>-</v>
      </c>
      <c r="AC60" s="25">
        <f>IF(P60="*","-",IFERROR(VLOOKUP(P60,'All MECSM samples'!$P$4:$AD$454,15,FALSE),"-"))</f>
        <v>16</v>
      </c>
      <c r="AD60" s="25"/>
      <c r="AE60">
        <v>100</v>
      </c>
      <c r="AF60">
        <v>145</v>
      </c>
      <c r="AH60">
        <f t="shared" si="7"/>
        <v>1</v>
      </c>
      <c r="AI60">
        <f t="shared" si="8"/>
        <v>0</v>
      </c>
      <c r="AJ60">
        <f t="shared" si="9"/>
        <v>0</v>
      </c>
      <c r="AK60">
        <f t="shared" si="10"/>
        <v>1</v>
      </c>
      <c r="AL60" s="11">
        <f>SUM(AH$5:AH60)/SUM(AK$5:AK60)</f>
        <v>0.98039215686274506</v>
      </c>
      <c r="AM60" s="11">
        <f>SUM(AI$5:AI60)/SUM(AK$5:AK60)</f>
        <v>0.50980392156862742</v>
      </c>
      <c r="AN60" s="11">
        <f>SUM(AJ$5:AJ60)/SUM(AL$5:AL60)</f>
        <v>0.42968153480948829</v>
      </c>
      <c r="AP60" t="s">
        <v>2029</v>
      </c>
      <c r="AQ60">
        <v>100</v>
      </c>
      <c r="AR60">
        <v>145</v>
      </c>
    </row>
    <row r="61" spans="1:44" x14ac:dyDescent="0.35">
      <c r="A61" t="s">
        <v>177</v>
      </c>
      <c r="B61">
        <v>22</v>
      </c>
      <c r="C61" t="s">
        <v>7</v>
      </c>
      <c r="D61" t="s">
        <v>8</v>
      </c>
      <c r="E61" t="s">
        <v>120</v>
      </c>
      <c r="G61" t="s">
        <v>121</v>
      </c>
      <c r="I61" t="s">
        <v>122</v>
      </c>
      <c r="K61" t="s">
        <v>123</v>
      </c>
      <c r="M61" t="s">
        <v>124</v>
      </c>
      <c r="O61">
        <v>0.59</v>
      </c>
      <c r="P61" s="14" t="s">
        <v>125</v>
      </c>
      <c r="Q61">
        <v>93.7</v>
      </c>
      <c r="R61">
        <v>1</v>
      </c>
      <c r="S61">
        <v>8</v>
      </c>
      <c r="T61" s="9">
        <v>14</v>
      </c>
      <c r="U61">
        <v>0</v>
      </c>
      <c r="V61">
        <v>0</v>
      </c>
      <c r="X61" s="42">
        <f t="shared" si="6"/>
        <v>2.298058140870964E-4</v>
      </c>
      <c r="Y61" s="16">
        <f t="shared" si="11"/>
        <v>0.98937148109847173</v>
      </c>
      <c r="AA61" s="25">
        <f>IF(P61="*","-",IFERROR(VLOOKUP(P61,'AESS-W1'!$P$5:$S$126,4,FALSE),"-"))</f>
        <v>796</v>
      </c>
      <c r="AB61" s="25">
        <f>IF(P61="*","-",IFERROR(VLOOKUP(P61,'AESS-W2'!$P$5:$S$107,4,FALSE),"-"))</f>
        <v>4</v>
      </c>
      <c r="AC61" s="25">
        <f>IF(P61="*","-",IFERROR(VLOOKUP(P61,'All MECSM samples'!$P$4:$AD$454,15,FALSE),"-"))</f>
        <v>799</v>
      </c>
      <c r="AD61" s="25"/>
      <c r="AE61">
        <v>97</v>
      </c>
      <c r="AF61">
        <v>7</v>
      </c>
      <c r="AH61">
        <f t="shared" si="7"/>
        <v>1</v>
      </c>
      <c r="AI61">
        <f t="shared" si="8"/>
        <v>0</v>
      </c>
      <c r="AJ61">
        <f t="shared" si="9"/>
        <v>0</v>
      </c>
      <c r="AK61">
        <f t="shared" si="10"/>
        <v>1</v>
      </c>
      <c r="AL61" s="11">
        <f>SUM(AH$5:AH61)/SUM(AK$5:AK61)</f>
        <v>0.98076923076923073</v>
      </c>
      <c r="AM61" s="11">
        <f>SUM(AI$5:AI61)/SUM(AK$5:AK61)</f>
        <v>0.5</v>
      </c>
      <c r="AN61" s="11">
        <f>SUM(AJ$5:AJ61)/SUM(AL$5:AL61)</f>
        <v>0.42226690745561485</v>
      </c>
      <c r="AP61" t="s">
        <v>2030</v>
      </c>
      <c r="AQ61">
        <v>97</v>
      </c>
      <c r="AR61">
        <v>7</v>
      </c>
    </row>
    <row r="62" spans="1:44" x14ac:dyDescent="0.35">
      <c r="A62" t="s">
        <v>223</v>
      </c>
      <c r="B62">
        <v>14</v>
      </c>
      <c r="C62" t="s">
        <v>7</v>
      </c>
      <c r="D62" t="s">
        <v>8</v>
      </c>
      <c r="E62" t="s">
        <v>46</v>
      </c>
      <c r="G62" t="s">
        <v>47</v>
      </c>
      <c r="I62" t="s">
        <v>61</v>
      </c>
      <c r="K62" t="s">
        <v>190</v>
      </c>
      <c r="O62">
        <v>0.5</v>
      </c>
      <c r="P62" s="14" t="s">
        <v>319</v>
      </c>
      <c r="Q62">
        <v>89.3</v>
      </c>
      <c r="R62">
        <v>1</v>
      </c>
      <c r="S62">
        <v>14</v>
      </c>
      <c r="T62" s="9">
        <v>0</v>
      </c>
      <c r="U62">
        <v>0</v>
      </c>
      <c r="V62">
        <v>0</v>
      </c>
      <c r="X62" s="42">
        <f t="shared" si="6"/>
        <v>4.0216017465241871E-4</v>
      </c>
      <c r="Y62" s="18">
        <f t="shared" si="11"/>
        <v>0.98977364127312417</v>
      </c>
      <c r="AA62" s="25">
        <f>IF(P62="*","-",IFERROR(VLOOKUP(P62,'AESS-W1'!$P$5:$S$126,4,FALSE),"-"))</f>
        <v>9</v>
      </c>
      <c r="AB62" s="25">
        <f>IF(P62="*","-",IFERROR(VLOOKUP(P62,'AESS-W2'!$P$5:$S$107,4,FALSE),"-"))</f>
        <v>10</v>
      </c>
      <c r="AC62" s="25">
        <f>IF(P62="*","-",IFERROR(VLOOKUP(P62,'All MECSM samples'!$P$4:$AD$454,15,FALSE),"-"))</f>
        <v>5160</v>
      </c>
      <c r="AD62" s="25"/>
      <c r="AE62">
        <v>16</v>
      </c>
      <c r="AF62">
        <v>599</v>
      </c>
      <c r="AH62">
        <f t="shared" si="7"/>
        <v>0</v>
      </c>
      <c r="AI62">
        <f t="shared" si="8"/>
        <v>0</v>
      </c>
      <c r="AJ62">
        <f t="shared" si="9"/>
        <v>0</v>
      </c>
      <c r="AK62">
        <f t="shared" si="10"/>
        <v>0</v>
      </c>
      <c r="AL62" s="11">
        <f>SUM(AH$5:AH62)/SUM(AK$5:AK62)</f>
        <v>0.98076923076923073</v>
      </c>
      <c r="AM62" s="11">
        <f>SUM(AI$5:AI62)/SUM(AK$5:AK62)</f>
        <v>0.5</v>
      </c>
      <c r="AN62" s="11">
        <f>SUM(AJ$5:AJ62)/SUM(AL$5:AL62)</f>
        <v>0.41510383435252551</v>
      </c>
      <c r="AP62" t="s">
        <v>2031</v>
      </c>
      <c r="AQ62">
        <v>16</v>
      </c>
      <c r="AR62">
        <v>599</v>
      </c>
    </row>
    <row r="63" spans="1:44" x14ac:dyDescent="0.35">
      <c r="A63" t="s">
        <v>185</v>
      </c>
      <c r="B63">
        <v>14</v>
      </c>
      <c r="C63" t="s">
        <v>7</v>
      </c>
      <c r="D63" t="s">
        <v>8</v>
      </c>
      <c r="E63" t="s">
        <v>258</v>
      </c>
      <c r="G63" t="s">
        <v>258</v>
      </c>
      <c r="H63" t="s">
        <v>259</v>
      </c>
      <c r="I63" t="s">
        <v>260</v>
      </c>
      <c r="J63" t="s">
        <v>261</v>
      </c>
      <c r="K63" t="s">
        <v>262</v>
      </c>
      <c r="O63">
        <v>0.59</v>
      </c>
      <c r="P63" s="14" t="s">
        <v>263</v>
      </c>
      <c r="Q63">
        <v>88.5</v>
      </c>
      <c r="R63">
        <v>1</v>
      </c>
      <c r="S63">
        <v>14</v>
      </c>
      <c r="T63" s="9">
        <v>0</v>
      </c>
      <c r="U63">
        <v>0</v>
      </c>
      <c r="V63">
        <v>0</v>
      </c>
      <c r="X63" s="42">
        <f t="shared" si="6"/>
        <v>4.0216017465241871E-4</v>
      </c>
      <c r="Y63" s="16">
        <f t="shared" si="11"/>
        <v>0.99017580144777662</v>
      </c>
      <c r="AA63" s="25">
        <f>IF(P63="*","-",IFERROR(VLOOKUP(P63,'AESS-W1'!$P$5:$S$126,4,FALSE),"-"))</f>
        <v>51</v>
      </c>
      <c r="AB63" s="25">
        <f>IF(P63="*","-",IFERROR(VLOOKUP(P63,'AESS-W2'!$P$5:$S$107,4,FALSE),"-"))</f>
        <v>14</v>
      </c>
      <c r="AC63" s="25">
        <f>IF(P63="*","-",IFERROR(VLOOKUP(P63,'All MECSM samples'!$P$4:$AD$454,15,FALSE),"-"))</f>
        <v>9732</v>
      </c>
      <c r="AD63" s="25"/>
      <c r="AE63">
        <v>23</v>
      </c>
      <c r="AF63">
        <v>1</v>
      </c>
      <c r="AH63">
        <f t="shared" si="7"/>
        <v>0</v>
      </c>
      <c r="AI63">
        <f t="shared" si="8"/>
        <v>0</v>
      </c>
      <c r="AJ63">
        <f t="shared" si="9"/>
        <v>0</v>
      </c>
      <c r="AK63">
        <f t="shared" si="10"/>
        <v>0</v>
      </c>
      <c r="AL63" s="11">
        <f>SUM(AH$5:AH63)/SUM(AK$5:AK63)</f>
        <v>0.98076923076923073</v>
      </c>
      <c r="AM63" s="11">
        <f>SUM(AI$5:AI63)/SUM(AK$5:AK63)</f>
        <v>0.5</v>
      </c>
      <c r="AN63" s="11">
        <f>SUM(AJ$5:AJ63)/SUM(AL$5:AL63)</f>
        <v>0.40817972740738095</v>
      </c>
      <c r="AP63" t="s">
        <v>2032</v>
      </c>
      <c r="AQ63">
        <v>23</v>
      </c>
      <c r="AR63">
        <v>1</v>
      </c>
    </row>
    <row r="64" spans="1:44" x14ac:dyDescent="0.35">
      <c r="A64" t="s">
        <v>234</v>
      </c>
      <c r="B64">
        <v>14</v>
      </c>
      <c r="C64" t="s">
        <v>7</v>
      </c>
      <c r="D64" t="s">
        <v>8</v>
      </c>
      <c r="E64" t="s">
        <v>46</v>
      </c>
      <c r="G64" t="s">
        <v>47</v>
      </c>
      <c r="I64" t="s">
        <v>61</v>
      </c>
      <c r="K64" t="s">
        <v>210</v>
      </c>
      <c r="M64" t="s">
        <v>211</v>
      </c>
      <c r="O64">
        <v>0.63</v>
      </c>
      <c r="P64" s="14" t="s">
        <v>362</v>
      </c>
      <c r="Q64">
        <v>96</v>
      </c>
      <c r="R64">
        <v>1</v>
      </c>
      <c r="S64">
        <v>11</v>
      </c>
      <c r="T64" s="9">
        <v>3</v>
      </c>
      <c r="U64">
        <v>0</v>
      </c>
      <c r="V64">
        <v>0</v>
      </c>
      <c r="X64" s="42">
        <f t="shared" si="6"/>
        <v>3.1598299436975757E-4</v>
      </c>
      <c r="Y64" s="16">
        <f t="shared" si="11"/>
        <v>0.99049178444214636</v>
      </c>
      <c r="AA64" s="25">
        <f>IF(P64="*","-",IFERROR(VLOOKUP(P64,'AESS-W1'!$P$5:$S$126,4,FALSE),"-"))</f>
        <v>6</v>
      </c>
      <c r="AB64" s="25" t="str">
        <f>IF(P64="*","-",IFERROR(VLOOKUP(P64,'AESS-W2'!$P$5:$S$107,4,FALSE),"-"))</f>
        <v>-</v>
      </c>
      <c r="AC64" s="25">
        <f>IF(P64="*","-",IFERROR(VLOOKUP(P64,'All MECSM samples'!$P$4:$AD$454,15,FALSE),"-"))</f>
        <v>1842</v>
      </c>
      <c r="AD64" s="25"/>
      <c r="AE64">
        <v>100</v>
      </c>
      <c r="AF64">
        <v>9</v>
      </c>
      <c r="AH64">
        <f t="shared" si="7"/>
        <v>1</v>
      </c>
      <c r="AI64">
        <f t="shared" si="8"/>
        <v>0</v>
      </c>
      <c r="AJ64">
        <f t="shared" si="9"/>
        <v>0</v>
      </c>
      <c r="AK64">
        <f t="shared" si="10"/>
        <v>1</v>
      </c>
      <c r="AL64" s="11">
        <f>SUM(AH$5:AH64)/SUM(AK$5:AK64)</f>
        <v>0.98113207547169812</v>
      </c>
      <c r="AM64" s="11">
        <f>SUM(AI$5:AI64)/SUM(AK$5:AK64)</f>
        <v>0.49056603773584906</v>
      </c>
      <c r="AN64" s="11">
        <f>SUM(AJ$5:AJ64)/SUM(AL$5:AL64)</f>
        <v>0.401480387728477</v>
      </c>
      <c r="AP64" t="s">
        <v>2033</v>
      </c>
      <c r="AQ64">
        <v>100</v>
      </c>
      <c r="AR64">
        <v>9</v>
      </c>
    </row>
    <row r="65" spans="1:44" x14ac:dyDescent="0.35">
      <c r="A65" t="s">
        <v>221</v>
      </c>
      <c r="B65">
        <v>13</v>
      </c>
      <c r="C65" t="s">
        <v>7</v>
      </c>
      <c r="D65" t="s">
        <v>8</v>
      </c>
      <c r="E65" t="s">
        <v>9</v>
      </c>
      <c r="G65" t="s">
        <v>243</v>
      </c>
      <c r="I65" t="s">
        <v>244</v>
      </c>
      <c r="K65" t="s">
        <v>245</v>
      </c>
      <c r="M65" t="s">
        <v>246</v>
      </c>
      <c r="O65">
        <v>0.98</v>
      </c>
      <c r="P65" s="14" t="s">
        <v>247</v>
      </c>
      <c r="Q65">
        <v>99.2</v>
      </c>
      <c r="R65">
        <v>1</v>
      </c>
      <c r="S65">
        <v>13</v>
      </c>
      <c r="T65" s="9">
        <v>0</v>
      </c>
      <c r="U65">
        <v>0</v>
      </c>
      <c r="V65">
        <v>0</v>
      </c>
      <c r="X65" s="42">
        <f t="shared" si="6"/>
        <v>3.7343444789153166E-4</v>
      </c>
      <c r="Y65" s="16">
        <f t="shared" si="11"/>
        <v>0.99086521889003787</v>
      </c>
      <c r="AA65" s="25">
        <f>IF(P65="*","-",IFERROR(VLOOKUP(P65,'AESS-W1'!$P$5:$S$126,4,FALSE),"-"))</f>
        <v>71</v>
      </c>
      <c r="AB65" s="25">
        <f>IF(P65="*","-",IFERROR(VLOOKUP(P65,'AESS-W2'!$P$5:$S$107,4,FALSE),"-"))</f>
        <v>10</v>
      </c>
      <c r="AC65" s="25">
        <f>IF(P65="*","-",IFERROR(VLOOKUP(P65,'All MECSM samples'!$P$4:$AD$454,15,FALSE),"-"))</f>
        <v>7416</v>
      </c>
      <c r="AD65" s="25"/>
      <c r="AE65">
        <v>4</v>
      </c>
      <c r="AF65">
        <v>1</v>
      </c>
      <c r="AH65">
        <f t="shared" si="7"/>
        <v>0</v>
      </c>
      <c r="AI65">
        <f t="shared" si="8"/>
        <v>0</v>
      </c>
      <c r="AJ65">
        <f t="shared" si="9"/>
        <v>0</v>
      </c>
      <c r="AK65">
        <f t="shared" si="10"/>
        <v>0</v>
      </c>
      <c r="AL65" s="11">
        <f>SUM(AH$5:AH65)/SUM(AK$5:AK65)</f>
        <v>0.98113207547169812</v>
      </c>
      <c r="AM65" s="11">
        <f>SUM(AI$5:AI65)/SUM(AK$5:AK65)</f>
        <v>0.49056603773584906</v>
      </c>
      <c r="AN65" s="11">
        <f>SUM(AJ$5:AJ65)/SUM(AL$5:AL65)</f>
        <v>0.39499740580629739</v>
      </c>
      <c r="AP65" t="s">
        <v>2034</v>
      </c>
      <c r="AQ65">
        <v>4</v>
      </c>
      <c r="AR65">
        <v>1</v>
      </c>
    </row>
    <row r="66" spans="1:44" x14ac:dyDescent="0.35">
      <c r="A66" t="s">
        <v>603</v>
      </c>
      <c r="B66">
        <v>12</v>
      </c>
      <c r="C66" t="s">
        <v>7</v>
      </c>
      <c r="D66" t="s">
        <v>8</v>
      </c>
      <c r="E66" t="s">
        <v>46</v>
      </c>
      <c r="G66" t="s">
        <v>47</v>
      </c>
      <c r="I66" t="s">
        <v>61</v>
      </c>
      <c r="K66" t="s">
        <v>190</v>
      </c>
      <c r="M66" t="s">
        <v>273</v>
      </c>
      <c r="O66">
        <v>0.72</v>
      </c>
      <c r="P66" s="14" t="s">
        <v>628</v>
      </c>
      <c r="Q66">
        <v>94.9</v>
      </c>
      <c r="R66">
        <v>1</v>
      </c>
      <c r="S66">
        <v>11</v>
      </c>
      <c r="T66" s="9">
        <v>1</v>
      </c>
      <c r="U66">
        <v>0</v>
      </c>
      <c r="V66">
        <v>0</v>
      </c>
      <c r="X66" s="42">
        <f t="shared" si="6"/>
        <v>3.1598299436975757E-4</v>
      </c>
      <c r="Y66" s="16">
        <f t="shared" si="11"/>
        <v>0.99118120188440761</v>
      </c>
      <c r="AA66" s="25" t="str">
        <f>IF(P66="*","-",IFERROR(VLOOKUP(P66,'AESS-W1'!$P$5:$S$126,4,FALSE),"-"))</f>
        <v>-</v>
      </c>
      <c r="AB66" s="25" t="str">
        <f>IF(P66="*","-",IFERROR(VLOOKUP(P66,'AESS-W2'!$P$5:$S$107,4,FALSE),"-"))</f>
        <v>-</v>
      </c>
      <c r="AC66" s="25">
        <f>IF(P66="*","-",IFERROR(VLOOKUP(P66,'All MECSM samples'!$P$4:$AD$454,15,FALSE),"-"))</f>
        <v>469</v>
      </c>
      <c r="AD66" s="25"/>
      <c r="AE66">
        <v>100</v>
      </c>
      <c r="AF66">
        <v>44</v>
      </c>
      <c r="AH66">
        <f t="shared" si="7"/>
        <v>1</v>
      </c>
      <c r="AI66">
        <f t="shared" si="8"/>
        <v>0</v>
      </c>
      <c r="AJ66">
        <f t="shared" si="9"/>
        <v>0</v>
      </c>
      <c r="AK66">
        <f t="shared" si="10"/>
        <v>1</v>
      </c>
      <c r="AL66" s="11">
        <f>SUM(AH$5:AH66)/SUM(AK$5:AK66)</f>
        <v>0.98148148148148151</v>
      </c>
      <c r="AM66" s="11">
        <f>SUM(AI$5:AI66)/SUM(AK$5:AK66)</f>
        <v>0.48148148148148145</v>
      </c>
      <c r="AN66" s="11">
        <f>SUM(AJ$5:AJ66)/SUM(AL$5:AL66)</f>
        <v>0.38871826731821763</v>
      </c>
      <c r="AP66" t="s">
        <v>2035</v>
      </c>
      <c r="AQ66">
        <v>100</v>
      </c>
      <c r="AR66">
        <v>44</v>
      </c>
    </row>
    <row r="67" spans="1:44" x14ac:dyDescent="0.35">
      <c r="A67" t="s">
        <v>188</v>
      </c>
      <c r="B67">
        <v>12</v>
      </c>
      <c r="C67" t="s">
        <v>7</v>
      </c>
      <c r="D67" t="s">
        <v>8</v>
      </c>
      <c r="E67" t="s">
        <v>46</v>
      </c>
      <c r="O67">
        <v>0.84</v>
      </c>
      <c r="P67" s="14" t="s">
        <v>335</v>
      </c>
      <c r="Q67">
        <v>88.5</v>
      </c>
      <c r="R67">
        <v>1</v>
      </c>
      <c r="S67">
        <v>0</v>
      </c>
      <c r="T67" s="9">
        <v>12</v>
      </c>
      <c r="U67">
        <v>0</v>
      </c>
      <c r="V67">
        <v>0</v>
      </c>
      <c r="X67" s="42">
        <f t="shared" si="6"/>
        <v>0</v>
      </c>
      <c r="Y67" s="16">
        <f t="shared" si="11"/>
        <v>0.99118120188440761</v>
      </c>
      <c r="AA67" s="25" t="str">
        <f>IF(P67="*","-",IFERROR(VLOOKUP(P67,'AESS-W1'!$P$5:$S$126,4,FALSE),"-"))</f>
        <v>-</v>
      </c>
      <c r="AB67" s="25" t="str">
        <f>IF(P67="*","-",IFERROR(VLOOKUP(P67,'AESS-W2'!$P$5:$S$107,4,FALSE),"-"))</f>
        <v>-</v>
      </c>
      <c r="AC67" s="25">
        <f>IF(P67="*","-",IFERROR(VLOOKUP(P67,'All MECSM samples'!$P$4:$AD$454,15,FALSE),"-"))</f>
        <v>23</v>
      </c>
      <c r="AD67" s="25"/>
      <c r="AE67">
        <v>91</v>
      </c>
      <c r="AF67">
        <v>1032</v>
      </c>
      <c r="AH67">
        <f t="shared" si="7"/>
        <v>0</v>
      </c>
      <c r="AI67">
        <f t="shared" si="8"/>
        <v>0</v>
      </c>
      <c r="AJ67">
        <f t="shared" si="9"/>
        <v>0</v>
      </c>
      <c r="AK67">
        <f t="shared" si="10"/>
        <v>0</v>
      </c>
      <c r="AL67" s="11">
        <f>SUM(AH$5:AH67)/SUM(AK$5:AK67)</f>
        <v>0.98148148148148151</v>
      </c>
      <c r="AM67" s="11">
        <f>SUM(AI$5:AI67)/SUM(AK$5:AK67)</f>
        <v>0.48148148148148145</v>
      </c>
      <c r="AN67" s="11">
        <f>SUM(AJ$5:AJ67)/SUM(AL$5:AL67)</f>
        <v>0.3826356395941638</v>
      </c>
      <c r="AP67" t="s">
        <v>2036</v>
      </c>
      <c r="AQ67">
        <v>91</v>
      </c>
      <c r="AR67">
        <v>1032</v>
      </c>
    </row>
    <row r="68" spans="1:44" x14ac:dyDescent="0.35">
      <c r="A68" t="s">
        <v>230</v>
      </c>
      <c r="B68">
        <v>12</v>
      </c>
      <c r="C68" t="s">
        <v>7</v>
      </c>
      <c r="D68" t="s">
        <v>8</v>
      </c>
      <c r="E68" t="s">
        <v>46</v>
      </c>
      <c r="G68" t="s">
        <v>47</v>
      </c>
      <c r="I68" t="s">
        <v>160</v>
      </c>
      <c r="K68" t="s">
        <v>161</v>
      </c>
      <c r="M68" t="s">
        <v>162</v>
      </c>
      <c r="O68">
        <v>0.57999999999999996</v>
      </c>
      <c r="P68" s="14" t="s">
        <v>163</v>
      </c>
      <c r="Q68">
        <v>89.7</v>
      </c>
      <c r="R68">
        <v>1</v>
      </c>
      <c r="S68">
        <v>12</v>
      </c>
      <c r="T68" s="9">
        <v>0</v>
      </c>
      <c r="U68">
        <v>0</v>
      </c>
      <c r="V68">
        <v>0</v>
      </c>
      <c r="X68" s="42">
        <f t="shared" si="6"/>
        <v>3.4470872113064461E-4</v>
      </c>
      <c r="Y68" s="16">
        <f t="shared" si="11"/>
        <v>0.9915259106055383</v>
      </c>
      <c r="AA68" s="25">
        <f>IF(P68="*","-",IFERROR(VLOOKUP(P68,'AESS-W1'!$P$5:$S$126,4,FALSE),"-"))</f>
        <v>15</v>
      </c>
      <c r="AB68" s="25">
        <f>IF(P68="*","-",IFERROR(VLOOKUP(P68,'AESS-W2'!$P$5:$S$107,4,FALSE),"-"))</f>
        <v>102</v>
      </c>
      <c r="AC68" s="25">
        <f>IF(P68="*","-",IFERROR(VLOOKUP(P68,'All MECSM samples'!$P$4:$AD$454,15,FALSE),"-"))</f>
        <v>3869</v>
      </c>
      <c r="AD68" s="25"/>
      <c r="AE68">
        <v>22</v>
      </c>
      <c r="AF68">
        <v>59</v>
      </c>
      <c r="AH68">
        <f t="shared" si="7"/>
        <v>0</v>
      </c>
      <c r="AI68">
        <f t="shared" si="8"/>
        <v>0</v>
      </c>
      <c r="AJ68">
        <f t="shared" si="9"/>
        <v>0</v>
      </c>
      <c r="AK68">
        <f t="shared" si="10"/>
        <v>0</v>
      </c>
      <c r="AL68" s="11">
        <f>SUM(AH$5:AH68)/SUM(AK$5:AK68)</f>
        <v>0.98148148148148151</v>
      </c>
      <c r="AM68" s="11">
        <f>SUM(AI$5:AI68)/SUM(AK$5:AK68)</f>
        <v>0.48148148148148145</v>
      </c>
      <c r="AN68" s="11">
        <f>SUM(AJ$5:AJ68)/SUM(AL$5:AL68)</f>
        <v>0.37674043981413963</v>
      </c>
      <c r="AP68" t="s">
        <v>2037</v>
      </c>
      <c r="AQ68">
        <v>22</v>
      </c>
      <c r="AR68">
        <v>59</v>
      </c>
    </row>
    <row r="69" spans="1:44" x14ac:dyDescent="0.35">
      <c r="A69" t="s">
        <v>216</v>
      </c>
      <c r="B69">
        <v>11</v>
      </c>
      <c r="C69" t="s">
        <v>7</v>
      </c>
      <c r="D69" t="s">
        <v>8</v>
      </c>
      <c r="O69">
        <v>1</v>
      </c>
      <c r="P69" s="14" t="s">
        <v>423</v>
      </c>
      <c r="Q69">
        <v>89.7</v>
      </c>
      <c r="R69">
        <v>3</v>
      </c>
      <c r="S69">
        <v>11</v>
      </c>
      <c r="T69" s="9">
        <v>0</v>
      </c>
      <c r="U69">
        <v>0</v>
      </c>
      <c r="V69">
        <v>0</v>
      </c>
      <c r="X69" s="42">
        <f t="shared" ref="X69:X100" si="12">S69/S$1</f>
        <v>3.1598299436975757E-4</v>
      </c>
      <c r="Y69" s="16">
        <f t="shared" si="11"/>
        <v>0.99184189359990804</v>
      </c>
      <c r="AA69" s="25" t="str">
        <f>IF(P69="*","-",IFERROR(VLOOKUP(P69,'AESS-W1'!$P$5:$S$126,4,FALSE),"-"))</f>
        <v>-</v>
      </c>
      <c r="AB69" s="25" t="str">
        <f>IF(P69="*","-",IFERROR(VLOOKUP(P69,'AESS-W2'!$P$5:$S$107,4,FALSE),"-"))</f>
        <v>-</v>
      </c>
      <c r="AC69" s="25">
        <f>IF(P69="*","-",IFERROR(VLOOKUP(P69,'All MECSM samples'!$P$4:$AD$454,15,FALSE),"-"))</f>
        <v>16</v>
      </c>
      <c r="AD69" s="25"/>
      <c r="AE69">
        <v>100</v>
      </c>
      <c r="AF69">
        <v>128</v>
      </c>
      <c r="AH69">
        <f t="shared" ref="AH69:AH100" si="13">IF(AND(S69&gt;0,AE69&gt;=90, T69&gt;0), 1, 0)</f>
        <v>0</v>
      </c>
      <c r="AI69">
        <f t="shared" ref="AI69:AI100" si="14">IF(AND(S69&gt;0,AE69&gt;=90, U69&gt;0), 1, 0)</f>
        <v>0</v>
      </c>
      <c r="AJ69">
        <f t="shared" ref="AJ69:AJ100" si="15">IF(AND(S69&gt;0,AE69&gt;=90, V69&gt;0), 1, 0)</f>
        <v>0</v>
      </c>
      <c r="AK69">
        <f t="shared" ref="AK69:AK100" si="16">IF(AND(S69&gt;0,AE69&gt;=90),1,0)</f>
        <v>1</v>
      </c>
      <c r="AL69" s="11">
        <f>SUM(AH$5:AH69)/SUM(AK$5:AK69)</f>
        <v>0.96363636363636362</v>
      </c>
      <c r="AM69" s="11">
        <f>SUM(AI$5:AI69)/SUM(AK$5:AK69)</f>
        <v>0.47272727272727272</v>
      </c>
      <c r="AN69" s="11">
        <f>SUM(AJ$5:AJ69)/SUM(AL$5:AL69)</f>
        <v>0.37112652047088862</v>
      </c>
      <c r="AP69" t="s">
        <v>2038</v>
      </c>
      <c r="AQ69">
        <v>100</v>
      </c>
      <c r="AR69">
        <v>128</v>
      </c>
    </row>
    <row r="70" spans="1:44" x14ac:dyDescent="0.35">
      <c r="A70" t="s">
        <v>200</v>
      </c>
      <c r="B70">
        <v>10</v>
      </c>
      <c r="C70" t="s">
        <v>7</v>
      </c>
      <c r="D70" t="s">
        <v>8</v>
      </c>
      <c r="E70" t="s">
        <v>46</v>
      </c>
      <c r="G70" t="s">
        <v>364</v>
      </c>
      <c r="I70" t="s">
        <v>416</v>
      </c>
      <c r="K70" t="s">
        <v>417</v>
      </c>
      <c r="M70" t="s">
        <v>418</v>
      </c>
      <c r="O70">
        <v>1</v>
      </c>
      <c r="P70" s="14" t="s">
        <v>419</v>
      </c>
      <c r="Q70">
        <v>99.2</v>
      </c>
      <c r="R70">
        <v>1</v>
      </c>
      <c r="S70">
        <v>10</v>
      </c>
      <c r="T70" s="9">
        <v>0</v>
      </c>
      <c r="U70">
        <v>0</v>
      </c>
      <c r="V70">
        <v>0</v>
      </c>
      <c r="X70" s="42">
        <f t="shared" si="12"/>
        <v>2.8725726760887052E-4</v>
      </c>
      <c r="Y70" s="16">
        <f t="shared" ref="Y70:Y101" si="17">Y69+X70</f>
        <v>0.99212915086751696</v>
      </c>
      <c r="AA70" s="25" t="str">
        <f>IF(P70="*","-",IFERROR(VLOOKUP(P70,'AESS-W1'!$P$5:$S$126,4,FALSE),"-"))</f>
        <v>-</v>
      </c>
      <c r="AB70" s="25" t="str">
        <f>IF(P70="*","-",IFERROR(VLOOKUP(P70,'AESS-W2'!$P$5:$S$107,4,FALSE),"-"))</f>
        <v>-</v>
      </c>
      <c r="AC70" s="25">
        <f>IF(P70="*","-",IFERROR(VLOOKUP(P70,'All MECSM samples'!$P$4:$AD$454,15,FALSE),"-"))</f>
        <v>22</v>
      </c>
      <c r="AD70" s="25"/>
      <c r="AE70">
        <v>100</v>
      </c>
      <c r="AF70">
        <v>146</v>
      </c>
      <c r="AH70">
        <f t="shared" si="13"/>
        <v>0</v>
      </c>
      <c r="AI70">
        <f t="shared" si="14"/>
        <v>0</v>
      </c>
      <c r="AJ70">
        <f t="shared" si="15"/>
        <v>0</v>
      </c>
      <c r="AK70">
        <f t="shared" si="16"/>
        <v>1</v>
      </c>
      <c r="AL70" s="11">
        <f>SUM(AH$5:AH70)/SUM(AK$5:AK70)</f>
        <v>0.9464285714285714</v>
      </c>
      <c r="AM70" s="11">
        <f>SUM(AI$5:AI70)/SUM(AK$5:AK70)</f>
        <v>0.4642857142857143</v>
      </c>
      <c r="AN70" s="11">
        <f>SUM(AJ$5:AJ70)/SUM(AL$5:AL70)</f>
        <v>0.36577335513874498</v>
      </c>
      <c r="AP70" t="s">
        <v>2039</v>
      </c>
      <c r="AQ70">
        <v>100</v>
      </c>
      <c r="AR70">
        <v>146</v>
      </c>
    </row>
    <row r="71" spans="1:44" x14ac:dyDescent="0.35">
      <c r="A71" t="s">
        <v>214</v>
      </c>
      <c r="B71">
        <v>10</v>
      </c>
      <c r="C71" t="s">
        <v>7</v>
      </c>
      <c r="D71" t="s">
        <v>8</v>
      </c>
      <c r="E71" t="s">
        <v>46</v>
      </c>
      <c r="O71">
        <v>0.72</v>
      </c>
      <c r="P71" s="14" t="s">
        <v>354</v>
      </c>
      <c r="Q71">
        <v>87.4</v>
      </c>
      <c r="R71">
        <v>1</v>
      </c>
      <c r="S71">
        <v>10</v>
      </c>
      <c r="T71" s="9">
        <v>0</v>
      </c>
      <c r="U71">
        <v>0</v>
      </c>
      <c r="V71">
        <v>0</v>
      </c>
      <c r="X71" s="42">
        <f t="shared" si="12"/>
        <v>2.8725726760887052E-4</v>
      </c>
      <c r="Y71" s="16">
        <f t="shared" si="17"/>
        <v>0.99241640813512588</v>
      </c>
      <c r="AA71" s="25">
        <f>IF(P71="*","-",IFERROR(VLOOKUP(P71,'AESS-W1'!$P$5:$S$126,4,FALSE),"-"))</f>
        <v>8</v>
      </c>
      <c r="AB71" s="25">
        <f>IF(P71="*","-",IFERROR(VLOOKUP(P71,'AESS-W2'!$P$5:$S$107,4,FALSE),"-"))</f>
        <v>4</v>
      </c>
      <c r="AC71" s="25">
        <f>IF(P71="*","-",IFERROR(VLOOKUP(P71,'All MECSM samples'!$P$4:$AD$454,15,FALSE),"-"))</f>
        <v>905</v>
      </c>
      <c r="AD71" s="25"/>
      <c r="AE71">
        <v>84</v>
      </c>
      <c r="AF71">
        <v>105</v>
      </c>
      <c r="AH71">
        <f t="shared" si="13"/>
        <v>0</v>
      </c>
      <c r="AI71">
        <f t="shared" si="14"/>
        <v>0</v>
      </c>
      <c r="AJ71">
        <f t="shared" si="15"/>
        <v>0</v>
      </c>
      <c r="AK71">
        <f t="shared" si="16"/>
        <v>0</v>
      </c>
      <c r="AL71" s="11">
        <f>SUM(AH$5:AH71)/SUM(AK$5:AK71)</f>
        <v>0.9464285714285714</v>
      </c>
      <c r="AM71" s="11">
        <f>SUM(AI$5:AI71)/SUM(AK$5:AK71)</f>
        <v>0.4642857142857143</v>
      </c>
      <c r="AN71" s="11">
        <f>SUM(AJ$5:AJ71)/SUM(AL$5:AL71)</f>
        <v>0.36057242314164645</v>
      </c>
      <c r="AP71" t="s">
        <v>2040</v>
      </c>
      <c r="AQ71">
        <v>84</v>
      </c>
      <c r="AR71">
        <v>105</v>
      </c>
    </row>
    <row r="72" spans="1:44" x14ac:dyDescent="0.35">
      <c r="A72" t="s">
        <v>286</v>
      </c>
      <c r="B72">
        <v>10</v>
      </c>
      <c r="C72" t="s">
        <v>7</v>
      </c>
      <c r="D72" t="s">
        <v>8</v>
      </c>
      <c r="O72">
        <v>0.99</v>
      </c>
      <c r="P72" s="14" t="s">
        <v>16</v>
      </c>
      <c r="Q72">
        <v>87</v>
      </c>
      <c r="R72">
        <v>1</v>
      </c>
      <c r="S72">
        <v>10</v>
      </c>
      <c r="T72" s="9">
        <v>0</v>
      </c>
      <c r="U72">
        <v>0</v>
      </c>
      <c r="V72">
        <v>0</v>
      </c>
      <c r="X72" s="42">
        <f t="shared" si="12"/>
        <v>2.8725726760887052E-4</v>
      </c>
      <c r="Y72" s="16">
        <f t="shared" si="17"/>
        <v>0.9927036654027348</v>
      </c>
      <c r="AA72" s="25">
        <f>IF(P72="*","-",IFERROR(VLOOKUP(P72,'AESS-W1'!$P$5:$S$126,4,FALSE),"-"))</f>
        <v>24</v>
      </c>
      <c r="AB72" s="25">
        <f>IF(P72="*","-",IFERROR(VLOOKUP(P72,'AESS-W2'!$P$5:$S$107,4,FALSE),"-"))</f>
        <v>17120</v>
      </c>
      <c r="AC72" s="25">
        <f>IF(P72="*","-",IFERROR(VLOOKUP(P72,'All MECSM samples'!$P$4:$AD$454,15,FALSE),"-"))</f>
        <v>17201</v>
      </c>
      <c r="AD72" s="25"/>
      <c r="AE72">
        <v>25</v>
      </c>
      <c r="AF72">
        <v>1</v>
      </c>
      <c r="AH72">
        <f t="shared" si="13"/>
        <v>0</v>
      </c>
      <c r="AI72">
        <f t="shared" si="14"/>
        <v>0</v>
      </c>
      <c r="AJ72">
        <f t="shared" si="15"/>
        <v>0</v>
      </c>
      <c r="AK72">
        <f t="shared" si="16"/>
        <v>0</v>
      </c>
      <c r="AL72" s="11">
        <f>SUM(AH$5:AH72)/SUM(AK$5:AK72)</f>
        <v>0.9464285714285714</v>
      </c>
      <c r="AM72" s="11">
        <f>SUM(AI$5:AI72)/SUM(AK$5:AK72)</f>
        <v>0.4642857142857143</v>
      </c>
      <c r="AN72" s="11">
        <f>SUM(AJ$5:AJ72)/SUM(AL$5:AL72)</f>
        <v>0.35551732170249456</v>
      </c>
      <c r="AP72" t="s">
        <v>2041</v>
      </c>
      <c r="AQ72">
        <v>25</v>
      </c>
      <c r="AR72">
        <v>1</v>
      </c>
    </row>
    <row r="73" spans="1:44" x14ac:dyDescent="0.35">
      <c r="A73" t="s">
        <v>218</v>
      </c>
      <c r="B73">
        <v>9</v>
      </c>
      <c r="C73" t="s">
        <v>7</v>
      </c>
      <c r="D73" t="s">
        <v>8</v>
      </c>
      <c r="E73" t="s">
        <v>46</v>
      </c>
      <c r="G73" t="s">
        <v>47</v>
      </c>
      <c r="I73" t="s">
        <v>61</v>
      </c>
      <c r="O73">
        <v>0.84</v>
      </c>
      <c r="P73" s="14" t="s">
        <v>321</v>
      </c>
      <c r="Q73">
        <v>91.7</v>
      </c>
      <c r="R73">
        <v>1</v>
      </c>
      <c r="S73">
        <v>0</v>
      </c>
      <c r="T73" s="9">
        <v>9</v>
      </c>
      <c r="U73">
        <v>0</v>
      </c>
      <c r="V73">
        <v>0</v>
      </c>
      <c r="X73" s="42">
        <f t="shared" si="12"/>
        <v>0</v>
      </c>
      <c r="Y73" s="16">
        <f t="shared" si="17"/>
        <v>0.9927036654027348</v>
      </c>
      <c r="AA73" s="25">
        <f>IF(P73="*","-",IFERROR(VLOOKUP(P73,'AESS-W1'!$P$5:$S$126,4,FALSE),"-"))</f>
        <v>18</v>
      </c>
      <c r="AB73" s="25" t="str">
        <f>IF(P73="*","-",IFERROR(VLOOKUP(P73,'AESS-W2'!$P$5:$S$107,4,FALSE),"-"))</f>
        <v>-</v>
      </c>
      <c r="AC73" s="25">
        <f>IF(P73="*","-",IFERROR(VLOOKUP(P73,'All MECSM samples'!$P$4:$AD$454,15,FALSE),"-"))</f>
        <v>276</v>
      </c>
      <c r="AD73" s="25"/>
      <c r="AE73">
        <v>100</v>
      </c>
      <c r="AF73">
        <v>222</v>
      </c>
      <c r="AH73">
        <f t="shared" si="13"/>
        <v>0</v>
      </c>
      <c r="AI73">
        <f t="shared" si="14"/>
        <v>0</v>
      </c>
      <c r="AJ73">
        <f t="shared" si="15"/>
        <v>0</v>
      </c>
      <c r="AK73">
        <f t="shared" si="16"/>
        <v>0</v>
      </c>
      <c r="AL73" s="11">
        <f>SUM(AH$5:AH73)/SUM(AK$5:AK73)</f>
        <v>0.9464285714285714</v>
      </c>
      <c r="AM73" s="11">
        <f>SUM(AI$5:AI73)/SUM(AK$5:AK73)</f>
        <v>0.4642857142857143</v>
      </c>
      <c r="AN73" s="11">
        <f>SUM(AJ$5:AJ73)/SUM(AL$5:AL73)</f>
        <v>0.35060200213884246</v>
      </c>
      <c r="AP73" t="s">
        <v>2042</v>
      </c>
      <c r="AQ73">
        <v>100</v>
      </c>
      <c r="AR73">
        <v>222</v>
      </c>
    </row>
    <row r="74" spans="1:44" x14ac:dyDescent="0.35">
      <c r="A74" t="s">
        <v>226</v>
      </c>
      <c r="B74">
        <v>9</v>
      </c>
      <c r="C74" t="s">
        <v>7</v>
      </c>
      <c r="D74" t="s">
        <v>8</v>
      </c>
      <c r="E74" t="s">
        <v>46</v>
      </c>
      <c r="G74" t="s">
        <v>47</v>
      </c>
      <c r="I74" t="s">
        <v>61</v>
      </c>
      <c r="K74" t="s">
        <v>403</v>
      </c>
      <c r="O74">
        <v>0.5</v>
      </c>
      <c r="P74" s="14" t="s">
        <v>321</v>
      </c>
      <c r="Q74">
        <v>90.1</v>
      </c>
      <c r="R74">
        <v>1</v>
      </c>
      <c r="S74">
        <v>9</v>
      </c>
      <c r="T74" s="9">
        <v>0</v>
      </c>
      <c r="U74">
        <v>0</v>
      </c>
      <c r="V74">
        <v>0</v>
      </c>
      <c r="X74" s="42">
        <f t="shared" si="12"/>
        <v>2.5853154084798347E-4</v>
      </c>
      <c r="Y74" s="16">
        <f t="shared" si="17"/>
        <v>0.99296219694358279</v>
      </c>
      <c r="AA74" s="25">
        <f>IF(P74="*","-",IFERROR(VLOOKUP(P74,'AESS-W1'!$P$5:$S$126,4,FALSE),"-"))</f>
        <v>18</v>
      </c>
      <c r="AB74" s="25" t="str">
        <f>IF(P74="*","-",IFERROR(VLOOKUP(P74,'AESS-W2'!$P$5:$S$107,4,FALSE),"-"))</f>
        <v>-</v>
      </c>
      <c r="AC74" s="25">
        <f>IF(P74="*","-",IFERROR(VLOOKUP(P74,'All MECSM samples'!$P$4:$AD$454,15,FALSE),"-"))</f>
        <v>276</v>
      </c>
      <c r="AD74" s="25"/>
      <c r="AE74">
        <v>100</v>
      </c>
      <c r="AF74">
        <v>127</v>
      </c>
      <c r="AH74">
        <f t="shared" si="13"/>
        <v>0</v>
      </c>
      <c r="AI74">
        <f t="shared" si="14"/>
        <v>0</v>
      </c>
      <c r="AJ74">
        <f t="shared" si="15"/>
        <v>0</v>
      </c>
      <c r="AK74">
        <f t="shared" si="16"/>
        <v>1</v>
      </c>
      <c r="AL74" s="11">
        <f>SUM(AH$5:AH74)/SUM(AK$5:AK74)</f>
        <v>0.92982456140350878</v>
      </c>
      <c r="AM74" s="11">
        <f>SUM(AI$5:AI74)/SUM(AK$5:AK74)</f>
        <v>0.45614035087719296</v>
      </c>
      <c r="AN74" s="11">
        <f>SUM(AJ$5:AJ74)/SUM(AL$5:AL74)</f>
        <v>0.34590350329201924</v>
      </c>
      <c r="AP74" t="s">
        <v>2043</v>
      </c>
      <c r="AQ74">
        <v>100</v>
      </c>
      <c r="AR74">
        <v>127</v>
      </c>
    </row>
    <row r="75" spans="1:44" x14ac:dyDescent="0.35">
      <c r="A75" t="s">
        <v>369</v>
      </c>
      <c r="B75">
        <v>9</v>
      </c>
      <c r="C75" t="s">
        <v>7</v>
      </c>
      <c r="D75" t="s">
        <v>8</v>
      </c>
      <c r="E75" t="s">
        <v>100</v>
      </c>
      <c r="G75" t="s">
        <v>101</v>
      </c>
      <c r="I75" t="s">
        <v>102</v>
      </c>
      <c r="K75" t="s">
        <v>103</v>
      </c>
      <c r="M75" t="s">
        <v>104</v>
      </c>
      <c r="O75">
        <v>1</v>
      </c>
      <c r="P75" s="14" t="s">
        <v>105</v>
      </c>
      <c r="Q75">
        <v>99.6</v>
      </c>
      <c r="R75">
        <v>1</v>
      </c>
      <c r="S75">
        <v>9</v>
      </c>
      <c r="T75" s="9">
        <v>0</v>
      </c>
      <c r="U75">
        <v>0</v>
      </c>
      <c r="V75">
        <v>0</v>
      </c>
      <c r="X75" s="42">
        <f t="shared" si="12"/>
        <v>2.5853154084798347E-4</v>
      </c>
      <c r="Y75" s="16">
        <f t="shared" si="17"/>
        <v>0.99322072848443077</v>
      </c>
      <c r="AA75" s="25" t="str">
        <f>IF(P75="*","-",IFERROR(VLOOKUP(P75,'AESS-W1'!$P$5:$S$126,4,FALSE),"-"))</f>
        <v>-</v>
      </c>
      <c r="AB75" s="25">
        <f>IF(P75="*","-",IFERROR(VLOOKUP(P75,'AESS-W2'!$P$5:$S$107,4,FALSE),"-"))</f>
        <v>1089</v>
      </c>
      <c r="AC75" s="25">
        <f>IF(P75="*","-",IFERROR(VLOOKUP(P75,'All MECSM samples'!$P$4:$AD$454,15,FALSE),"-"))</f>
        <v>3639</v>
      </c>
      <c r="AD75" s="25"/>
      <c r="AE75">
        <v>0</v>
      </c>
      <c r="AF75">
        <v>0</v>
      </c>
      <c r="AH75">
        <f t="shared" si="13"/>
        <v>0</v>
      </c>
      <c r="AI75">
        <f t="shared" si="14"/>
        <v>0</v>
      </c>
      <c r="AJ75">
        <f t="shared" si="15"/>
        <v>0</v>
      </c>
      <c r="AK75">
        <f t="shared" si="16"/>
        <v>0</v>
      </c>
      <c r="AL75" s="11">
        <f>SUM(AH$5:AH75)/SUM(AK$5:AK75)</f>
        <v>0.92982456140350878</v>
      </c>
      <c r="AM75" s="11">
        <f>SUM(AI$5:AI75)/SUM(AK$5:AK75)</f>
        <v>0.45614035087719296</v>
      </c>
      <c r="AN75" s="11">
        <f>SUM(AJ$5:AJ75)/SUM(AL$5:AL75)</f>
        <v>0.34132927047551326</v>
      </c>
      <c r="AP75" t="s">
        <v>2044</v>
      </c>
      <c r="AQ75">
        <v>0</v>
      </c>
      <c r="AR75">
        <v>0</v>
      </c>
    </row>
    <row r="76" spans="1:44" x14ac:dyDescent="0.35">
      <c r="A76" t="s">
        <v>284</v>
      </c>
      <c r="B76">
        <v>8</v>
      </c>
      <c r="C76" t="s">
        <v>7</v>
      </c>
      <c r="D76" t="s">
        <v>8</v>
      </c>
      <c r="E76" t="s">
        <v>258</v>
      </c>
      <c r="G76" t="s">
        <v>258</v>
      </c>
      <c r="H76" t="s">
        <v>351</v>
      </c>
      <c r="O76">
        <v>0.56000000000000005</v>
      </c>
      <c r="P76" s="14" t="s">
        <v>352</v>
      </c>
      <c r="Q76">
        <v>89.3</v>
      </c>
      <c r="R76">
        <v>3</v>
      </c>
      <c r="S76">
        <v>8</v>
      </c>
      <c r="T76" s="9">
        <v>0</v>
      </c>
      <c r="U76">
        <v>0</v>
      </c>
      <c r="V76">
        <v>0</v>
      </c>
      <c r="X76" s="42">
        <f t="shared" si="12"/>
        <v>2.298058140870964E-4</v>
      </c>
      <c r="Y76" s="16">
        <f t="shared" si="17"/>
        <v>0.99345053429851782</v>
      </c>
      <c r="AA76" s="25">
        <f>IF(P76="*","-",IFERROR(VLOOKUP(P76,'AESS-W1'!$P$5:$S$126,4,FALSE),"-"))</f>
        <v>11</v>
      </c>
      <c r="AB76" s="25" t="str">
        <f>IF(P76="*","-",IFERROR(VLOOKUP(P76,'AESS-W2'!$P$5:$S$107,4,FALSE),"-"))</f>
        <v>-</v>
      </c>
      <c r="AC76" s="25">
        <f>IF(P76="*","-",IFERROR(VLOOKUP(P76,'All MECSM samples'!$P$4:$AD$454,15,FALSE),"-"))</f>
        <v>18</v>
      </c>
      <c r="AD76" s="25"/>
      <c r="AE76">
        <v>100</v>
      </c>
      <c r="AF76">
        <v>8</v>
      </c>
      <c r="AH76">
        <f t="shared" si="13"/>
        <v>0</v>
      </c>
      <c r="AI76">
        <f t="shared" si="14"/>
        <v>0</v>
      </c>
      <c r="AJ76">
        <f t="shared" si="15"/>
        <v>0</v>
      </c>
      <c r="AK76">
        <f t="shared" si="16"/>
        <v>1</v>
      </c>
      <c r="AL76" s="11">
        <f>SUM(AH$5:AH76)/SUM(AK$5:AK76)</f>
        <v>0.91379310344827591</v>
      </c>
      <c r="AM76" s="11">
        <f>SUM(AI$5:AI76)/SUM(AK$5:AK76)</f>
        <v>0.44827586206896552</v>
      </c>
      <c r="AN76" s="11">
        <f>SUM(AJ$5:AJ76)/SUM(AL$5:AL76)</f>
        <v>0.33695026021346203</v>
      </c>
      <c r="AP76" t="s">
        <v>2045</v>
      </c>
      <c r="AQ76">
        <v>100</v>
      </c>
      <c r="AR76">
        <v>8</v>
      </c>
    </row>
    <row r="77" spans="1:44" x14ac:dyDescent="0.35">
      <c r="A77" t="s">
        <v>344</v>
      </c>
      <c r="B77">
        <v>7</v>
      </c>
      <c r="C77" t="s">
        <v>7</v>
      </c>
      <c r="D77" t="s">
        <v>8</v>
      </c>
      <c r="E77" t="s">
        <v>46</v>
      </c>
      <c r="G77" t="s">
        <v>47</v>
      </c>
      <c r="I77" t="s">
        <v>69</v>
      </c>
      <c r="K77" t="s">
        <v>70</v>
      </c>
      <c r="O77">
        <v>0.64</v>
      </c>
      <c r="P77" s="14" t="s">
        <v>71</v>
      </c>
      <c r="Q77">
        <v>90.5</v>
      </c>
      <c r="R77">
        <v>1</v>
      </c>
      <c r="S77">
        <v>7</v>
      </c>
      <c r="T77" s="9">
        <v>0</v>
      </c>
      <c r="U77">
        <v>0</v>
      </c>
      <c r="V77">
        <v>0</v>
      </c>
      <c r="X77" s="42">
        <f t="shared" si="12"/>
        <v>2.0108008732620935E-4</v>
      </c>
      <c r="Y77" s="16">
        <f t="shared" si="17"/>
        <v>0.99365161438584404</v>
      </c>
      <c r="AA77" s="25">
        <f>IF(P77="*","-",IFERROR(VLOOKUP(P77,'AESS-W1'!$P$5:$S$126,4,FALSE),"-"))</f>
        <v>6</v>
      </c>
      <c r="AB77" s="25">
        <f>IF(P77="*","-",IFERROR(VLOOKUP(P77,'AESS-W2'!$P$5:$S$107,4,FALSE),"-"))</f>
        <v>2871</v>
      </c>
      <c r="AC77" s="25">
        <f>IF(P77="*","-",IFERROR(VLOOKUP(P77,'All MECSM samples'!$P$4:$AD$454,15,FALSE),"-"))</f>
        <v>2892</v>
      </c>
      <c r="AD77" s="25"/>
      <c r="AE77">
        <v>7</v>
      </c>
      <c r="AF77">
        <v>1178</v>
      </c>
      <c r="AH77">
        <f t="shared" si="13"/>
        <v>0</v>
      </c>
      <c r="AI77">
        <f t="shared" si="14"/>
        <v>0</v>
      </c>
      <c r="AJ77">
        <f t="shared" si="15"/>
        <v>0</v>
      </c>
      <c r="AK77">
        <f t="shared" si="16"/>
        <v>0</v>
      </c>
      <c r="AL77" s="11">
        <f>SUM(AH$5:AH77)/SUM(AK$5:AK77)</f>
        <v>0.91379310344827591</v>
      </c>
      <c r="AM77" s="11">
        <f>SUM(AI$5:AI77)/SUM(AK$5:AK77)</f>
        <v>0.44827586206896552</v>
      </c>
      <c r="AN77" s="11">
        <f>SUM(AJ$5:AJ77)/SUM(AL$5:AL77)</f>
        <v>0.33268218585861115</v>
      </c>
      <c r="AP77" t="s">
        <v>2046</v>
      </c>
      <c r="AQ77">
        <v>7</v>
      </c>
      <c r="AR77">
        <v>1178</v>
      </c>
    </row>
    <row r="78" spans="1:44" x14ac:dyDescent="0.35">
      <c r="A78" t="s">
        <v>242</v>
      </c>
      <c r="B78">
        <v>7</v>
      </c>
      <c r="C78" t="s">
        <v>7</v>
      </c>
      <c r="D78" t="s">
        <v>8</v>
      </c>
      <c r="E78" t="s">
        <v>32</v>
      </c>
      <c r="O78">
        <v>0.99</v>
      </c>
      <c r="P78" s="14" t="s">
        <v>33</v>
      </c>
      <c r="Q78">
        <v>87.7</v>
      </c>
      <c r="R78">
        <v>1</v>
      </c>
      <c r="S78">
        <v>7</v>
      </c>
      <c r="T78" s="9">
        <v>0</v>
      </c>
      <c r="U78">
        <v>0</v>
      </c>
      <c r="V78">
        <v>0</v>
      </c>
      <c r="X78" s="42">
        <f t="shared" si="12"/>
        <v>2.0108008732620935E-4</v>
      </c>
      <c r="Y78" s="16">
        <f t="shared" si="17"/>
        <v>0.99385269447317026</v>
      </c>
      <c r="AA78" s="25">
        <f>IF(P78="*","-",IFERROR(VLOOKUP(P78,'AESS-W1'!$P$5:$S$126,4,FALSE),"-"))</f>
        <v>9</v>
      </c>
      <c r="AB78" s="25">
        <f>IF(P78="*","-",IFERROR(VLOOKUP(P78,'AESS-W2'!$P$5:$S$107,4,FALSE),"-"))</f>
        <v>5845</v>
      </c>
      <c r="AC78" s="25">
        <f>IF(P78="*","-",IFERROR(VLOOKUP(P78,'All MECSM samples'!$P$4:$AD$454,15,FALSE),"-"))</f>
        <v>5880</v>
      </c>
      <c r="AD78" s="25"/>
      <c r="AE78">
        <v>25</v>
      </c>
      <c r="AF78">
        <v>9</v>
      </c>
      <c r="AH78">
        <f t="shared" si="13"/>
        <v>0</v>
      </c>
      <c r="AI78">
        <f t="shared" si="14"/>
        <v>0</v>
      </c>
      <c r="AJ78">
        <f t="shared" si="15"/>
        <v>0</v>
      </c>
      <c r="AK78">
        <f t="shared" si="16"/>
        <v>0</v>
      </c>
      <c r="AL78" s="11">
        <f>SUM(AH$5:AH78)/SUM(AK$5:AK78)</f>
        <v>0.91379310344827591</v>
      </c>
      <c r="AM78" s="11">
        <f>SUM(AI$5:AI78)/SUM(AK$5:AK78)</f>
        <v>0.44827586206896552</v>
      </c>
      <c r="AN78" s="11">
        <f>SUM(AJ$5:AJ78)/SUM(AL$5:AL78)</f>
        <v>0.32852088453939787</v>
      </c>
      <c r="AP78" t="s">
        <v>2047</v>
      </c>
      <c r="AQ78">
        <v>25</v>
      </c>
      <c r="AR78">
        <v>9</v>
      </c>
    </row>
    <row r="79" spans="1:44" x14ac:dyDescent="0.35">
      <c r="A79" t="s">
        <v>213</v>
      </c>
      <c r="B79">
        <v>7</v>
      </c>
      <c r="C79" t="s">
        <v>7</v>
      </c>
      <c r="D79" t="s">
        <v>8</v>
      </c>
      <c r="E79" t="s">
        <v>120</v>
      </c>
      <c r="G79" t="s">
        <v>121</v>
      </c>
      <c r="I79" t="s">
        <v>122</v>
      </c>
      <c r="K79" t="s">
        <v>123</v>
      </c>
      <c r="M79" t="s">
        <v>124</v>
      </c>
      <c r="O79">
        <v>0.56000000000000005</v>
      </c>
      <c r="P79" s="14" t="s">
        <v>478</v>
      </c>
      <c r="Q79">
        <v>91.7</v>
      </c>
      <c r="R79">
        <v>1</v>
      </c>
      <c r="S79">
        <v>7</v>
      </c>
      <c r="T79" s="9">
        <v>0</v>
      </c>
      <c r="U79">
        <v>0</v>
      </c>
      <c r="V79">
        <v>0</v>
      </c>
      <c r="X79" s="42">
        <f t="shared" si="12"/>
        <v>2.0108008732620935E-4</v>
      </c>
      <c r="Y79" s="16">
        <f t="shared" si="17"/>
        <v>0.99405377456049648</v>
      </c>
      <c r="AA79" s="25" t="str">
        <f>IF(P79="*","-",IFERROR(VLOOKUP(P79,'AESS-W1'!$P$5:$S$126,4,FALSE),"-"))</f>
        <v>-</v>
      </c>
      <c r="AB79" s="25" t="str">
        <f>IF(P79="*","-",IFERROR(VLOOKUP(P79,'AESS-W2'!$P$5:$S$107,4,FALSE),"-"))</f>
        <v>-</v>
      </c>
      <c r="AC79" s="25">
        <f>IF(P79="*","-",IFERROR(VLOOKUP(P79,'All MECSM samples'!$P$4:$AD$454,15,FALSE),"-"))</f>
        <v>58</v>
      </c>
      <c r="AD79" s="25"/>
      <c r="AE79">
        <v>100</v>
      </c>
      <c r="AF79">
        <v>5</v>
      </c>
      <c r="AH79">
        <f t="shared" si="13"/>
        <v>0</v>
      </c>
      <c r="AI79">
        <f t="shared" si="14"/>
        <v>0</v>
      </c>
      <c r="AJ79">
        <f t="shared" si="15"/>
        <v>0</v>
      </c>
      <c r="AK79">
        <f t="shared" si="16"/>
        <v>1</v>
      </c>
      <c r="AL79" s="11">
        <f>SUM(AH$5:AH79)/SUM(AK$5:AK79)</f>
        <v>0.89830508474576276</v>
      </c>
      <c r="AM79" s="11">
        <f>SUM(AI$5:AI79)/SUM(AK$5:AK79)</f>
        <v>0.44067796610169491</v>
      </c>
      <c r="AN79" s="11">
        <f>SUM(AJ$5:AJ79)/SUM(AL$5:AL79)</f>
        <v>0.32453035141813263</v>
      </c>
      <c r="AP79" t="s">
        <v>2048</v>
      </c>
      <c r="AQ79">
        <v>100</v>
      </c>
      <c r="AR79">
        <v>5</v>
      </c>
    </row>
    <row r="80" spans="1:44" x14ac:dyDescent="0.35">
      <c r="A80" t="s">
        <v>267</v>
      </c>
      <c r="B80">
        <v>7</v>
      </c>
      <c r="C80" t="s">
        <v>7</v>
      </c>
      <c r="D80" t="s">
        <v>24</v>
      </c>
      <c r="E80" t="s">
        <v>25</v>
      </c>
      <c r="G80" t="s">
        <v>26</v>
      </c>
      <c r="I80" t="s">
        <v>27</v>
      </c>
      <c r="K80" t="s">
        <v>28</v>
      </c>
      <c r="M80" t="s">
        <v>29</v>
      </c>
      <c r="O80">
        <v>0.98</v>
      </c>
      <c r="P80" s="14" t="s">
        <v>30</v>
      </c>
      <c r="Q80">
        <v>96.9</v>
      </c>
      <c r="R80">
        <v>1</v>
      </c>
      <c r="S80">
        <v>0</v>
      </c>
      <c r="T80" s="9">
        <v>7</v>
      </c>
      <c r="U80">
        <v>0</v>
      </c>
      <c r="V80">
        <v>0</v>
      </c>
      <c r="X80" s="42">
        <f t="shared" si="12"/>
        <v>0</v>
      </c>
      <c r="Y80" s="16">
        <f t="shared" si="17"/>
        <v>0.99405377456049648</v>
      </c>
      <c r="AA80" s="25">
        <f>IF(P80="*","-",IFERROR(VLOOKUP(P80,'AESS-W1'!$P$5:$S$126,4,FALSE),"-"))</f>
        <v>6</v>
      </c>
      <c r="AB80" s="25">
        <f>IF(P80="*","-",IFERROR(VLOOKUP(P80,'AESS-W2'!$P$5:$S$107,4,FALSE),"-"))</f>
        <v>29</v>
      </c>
      <c r="AC80" s="25">
        <f>IF(P80="*","-",IFERROR(VLOOKUP(P80,'All MECSM samples'!$P$4:$AD$454,15,FALSE),"-"))</f>
        <v>7783</v>
      </c>
      <c r="AD80" s="25"/>
      <c r="AE80">
        <v>100</v>
      </c>
      <c r="AF80">
        <v>1176</v>
      </c>
      <c r="AH80">
        <f t="shared" si="13"/>
        <v>0</v>
      </c>
      <c r="AI80">
        <f t="shared" si="14"/>
        <v>0</v>
      </c>
      <c r="AJ80">
        <f t="shared" si="15"/>
        <v>0</v>
      </c>
      <c r="AK80">
        <f t="shared" si="16"/>
        <v>0</v>
      </c>
      <c r="AL80" s="11">
        <f>SUM(AH$5:AH80)/SUM(AK$5:AK80)</f>
        <v>0.89830508474576276</v>
      </c>
      <c r="AM80" s="11">
        <f>SUM(AI$5:AI80)/SUM(AK$5:AK80)</f>
        <v>0.44067796610169491</v>
      </c>
      <c r="AN80" s="11">
        <f>SUM(AJ$5:AJ80)/SUM(AL$5:AL80)</f>
        <v>0.32063560059934559</v>
      </c>
      <c r="AP80" t="s">
        <v>2049</v>
      </c>
      <c r="AQ80">
        <v>100</v>
      </c>
      <c r="AR80">
        <v>1176</v>
      </c>
    </row>
    <row r="81" spans="1:44" x14ac:dyDescent="0.35">
      <c r="A81" t="s">
        <v>248</v>
      </c>
      <c r="B81">
        <v>7</v>
      </c>
      <c r="C81" t="s">
        <v>7</v>
      </c>
      <c r="D81" t="s">
        <v>8</v>
      </c>
      <c r="E81" t="s">
        <v>394</v>
      </c>
      <c r="G81" t="s">
        <v>395</v>
      </c>
      <c r="I81" t="s">
        <v>396</v>
      </c>
      <c r="K81" t="s">
        <v>397</v>
      </c>
      <c r="M81" t="s">
        <v>398</v>
      </c>
      <c r="O81">
        <v>0.9</v>
      </c>
      <c r="P81" s="14" t="s">
        <v>399</v>
      </c>
      <c r="Q81">
        <v>92.9</v>
      </c>
      <c r="R81">
        <v>1</v>
      </c>
      <c r="S81">
        <v>7</v>
      </c>
      <c r="T81" s="9">
        <v>0</v>
      </c>
      <c r="U81">
        <v>0</v>
      </c>
      <c r="V81">
        <v>0</v>
      </c>
      <c r="X81" s="42">
        <f t="shared" si="12"/>
        <v>2.0108008732620935E-4</v>
      </c>
      <c r="Y81" s="16">
        <f t="shared" si="17"/>
        <v>0.99425485464782271</v>
      </c>
      <c r="AA81" s="25" t="str">
        <f>IF(P81="*","-",IFERROR(VLOOKUP(P81,'AESS-W1'!$P$5:$S$126,4,FALSE),"-"))</f>
        <v>-</v>
      </c>
      <c r="AB81" s="25">
        <f>IF(P81="*","-",IFERROR(VLOOKUP(P81,'AESS-W2'!$P$5:$S$107,4,FALSE),"-"))</f>
        <v>3</v>
      </c>
      <c r="AC81" s="25">
        <f>IF(P81="*","-",IFERROR(VLOOKUP(P81,'All MECSM samples'!$P$4:$AD$454,15,FALSE),"-"))</f>
        <v>2033</v>
      </c>
      <c r="AD81" s="25"/>
      <c r="AE81">
        <v>0</v>
      </c>
      <c r="AF81">
        <v>0</v>
      </c>
      <c r="AH81">
        <f t="shared" si="13"/>
        <v>0</v>
      </c>
      <c r="AI81">
        <f t="shared" si="14"/>
        <v>0</v>
      </c>
      <c r="AJ81">
        <f t="shared" si="15"/>
        <v>0</v>
      </c>
      <c r="AK81">
        <f t="shared" si="16"/>
        <v>0</v>
      </c>
      <c r="AL81" s="11">
        <f>SUM(AH$5:AH81)/SUM(AK$5:AK81)</f>
        <v>0.89830508474576276</v>
      </c>
      <c r="AM81" s="11">
        <f>SUM(AI$5:AI81)/SUM(AK$5:AK81)</f>
        <v>0.44067796610169491</v>
      </c>
      <c r="AN81" s="11">
        <f>SUM(AJ$5:AJ81)/SUM(AL$5:AL81)</f>
        <v>0.31683322447321832</v>
      </c>
      <c r="AP81" t="s">
        <v>2050</v>
      </c>
      <c r="AQ81">
        <v>0</v>
      </c>
      <c r="AR81">
        <v>0</v>
      </c>
    </row>
    <row r="82" spans="1:44" x14ac:dyDescent="0.35">
      <c r="A82" t="s">
        <v>325</v>
      </c>
      <c r="B82">
        <v>7</v>
      </c>
      <c r="C82" t="s">
        <v>7</v>
      </c>
      <c r="D82" t="s">
        <v>8</v>
      </c>
      <c r="E82" t="s">
        <v>46</v>
      </c>
      <c r="G82" t="s">
        <v>47</v>
      </c>
      <c r="I82" t="s">
        <v>61</v>
      </c>
      <c r="O82">
        <v>0.55000000000000004</v>
      </c>
      <c r="P82" s="14" t="s">
        <v>434</v>
      </c>
      <c r="Q82">
        <v>88.5</v>
      </c>
      <c r="R82">
        <v>6</v>
      </c>
      <c r="S82">
        <v>7</v>
      </c>
      <c r="T82" s="9">
        <v>0</v>
      </c>
      <c r="U82">
        <v>0</v>
      </c>
      <c r="V82">
        <v>0</v>
      </c>
      <c r="X82" s="42">
        <f t="shared" si="12"/>
        <v>2.0108008732620935E-4</v>
      </c>
      <c r="Y82" s="16">
        <f t="shared" si="17"/>
        <v>0.99445593473514893</v>
      </c>
      <c r="AA82" s="25" t="str">
        <f>IF(P82="*","-",IFERROR(VLOOKUP(P82,'AESS-W1'!$P$5:$S$126,4,FALSE),"-"))</f>
        <v>-</v>
      </c>
      <c r="AB82" s="25" t="str">
        <f>IF(P82="*","-",IFERROR(VLOOKUP(P82,'AESS-W2'!$P$5:$S$107,4,FALSE),"-"))</f>
        <v>-</v>
      </c>
      <c r="AC82" s="25">
        <f>IF(P82="*","-",IFERROR(VLOOKUP(P82,'All MECSM samples'!$P$4:$AD$454,15,FALSE),"-"))</f>
        <v>29</v>
      </c>
      <c r="AD82" s="25"/>
      <c r="AE82">
        <v>100</v>
      </c>
      <c r="AF82">
        <v>127</v>
      </c>
      <c r="AH82">
        <f t="shared" si="13"/>
        <v>0</v>
      </c>
      <c r="AI82">
        <f t="shared" si="14"/>
        <v>0</v>
      </c>
      <c r="AJ82">
        <f t="shared" si="15"/>
        <v>0</v>
      </c>
      <c r="AK82">
        <f t="shared" si="16"/>
        <v>1</v>
      </c>
      <c r="AL82" s="11">
        <f>SUM(AH$5:AH82)/SUM(AK$5:AK82)</f>
        <v>0.8833333333333333</v>
      </c>
      <c r="AM82" s="11">
        <f>SUM(AI$5:AI82)/SUM(AK$5:AK82)</f>
        <v>0.43333333333333335</v>
      </c>
      <c r="AN82" s="11">
        <f>SUM(AJ$5:AJ82)/SUM(AL$5:AL82)</f>
        <v>0.3131811493003131</v>
      </c>
      <c r="AP82" t="s">
        <v>2051</v>
      </c>
      <c r="AQ82">
        <v>100</v>
      </c>
      <c r="AR82">
        <v>127</v>
      </c>
    </row>
    <row r="83" spans="1:44" x14ac:dyDescent="0.35">
      <c r="A83" t="s">
        <v>346</v>
      </c>
      <c r="B83">
        <v>7</v>
      </c>
      <c r="C83" t="s">
        <v>7</v>
      </c>
      <c r="D83" t="s">
        <v>8</v>
      </c>
      <c r="E83" t="s">
        <v>46</v>
      </c>
      <c r="O83">
        <v>0.96</v>
      </c>
      <c r="P83" s="14" t="s">
        <v>330</v>
      </c>
      <c r="Q83">
        <v>90.9</v>
      </c>
      <c r="R83">
        <v>1</v>
      </c>
      <c r="S83">
        <v>7</v>
      </c>
      <c r="T83" s="9">
        <v>0</v>
      </c>
      <c r="U83">
        <v>0</v>
      </c>
      <c r="V83">
        <v>0</v>
      </c>
      <c r="X83" s="42">
        <f t="shared" si="12"/>
        <v>2.0108008732620935E-4</v>
      </c>
      <c r="Y83" s="16">
        <f t="shared" si="17"/>
        <v>0.99465701482247515</v>
      </c>
      <c r="AA83" s="25">
        <f>IF(P83="*","-",IFERROR(VLOOKUP(P83,'AESS-W1'!$P$5:$S$126,4,FALSE),"-"))</f>
        <v>10</v>
      </c>
      <c r="AB83" s="25">
        <f>IF(P83="*","-",IFERROR(VLOOKUP(P83,'AESS-W2'!$P$5:$S$107,4,FALSE),"-"))</f>
        <v>10</v>
      </c>
      <c r="AC83" s="25">
        <f>IF(P83="*","-",IFERROR(VLOOKUP(P83,'All MECSM samples'!$P$4:$AD$454,15,FALSE),"-"))</f>
        <v>3140</v>
      </c>
      <c r="AD83" s="25"/>
      <c r="AE83">
        <v>30</v>
      </c>
      <c r="AF83">
        <v>407</v>
      </c>
      <c r="AH83">
        <f t="shared" si="13"/>
        <v>0</v>
      </c>
      <c r="AI83">
        <f t="shared" si="14"/>
        <v>0</v>
      </c>
      <c r="AJ83">
        <f t="shared" si="15"/>
        <v>0</v>
      </c>
      <c r="AK83">
        <f t="shared" si="16"/>
        <v>0</v>
      </c>
      <c r="AL83" s="11">
        <f>SUM(AH$5:AH83)/SUM(AK$5:AK83)</f>
        <v>0.8833333333333333</v>
      </c>
      <c r="AM83" s="11">
        <f>SUM(AI$5:AI83)/SUM(AK$5:AK83)</f>
        <v>0.43333333333333335</v>
      </c>
      <c r="AN83" s="11">
        <f>SUM(AJ$5:AJ83)/SUM(AL$5:AL83)</f>
        <v>0.30961230822946045</v>
      </c>
      <c r="AP83" t="s">
        <v>2052</v>
      </c>
      <c r="AQ83">
        <v>30</v>
      </c>
      <c r="AR83">
        <v>407</v>
      </c>
    </row>
    <row r="84" spans="1:44" x14ac:dyDescent="0.35">
      <c r="A84" t="s">
        <v>289</v>
      </c>
      <c r="B84">
        <v>7</v>
      </c>
      <c r="C84" t="s">
        <v>7</v>
      </c>
      <c r="D84" t="s">
        <v>8</v>
      </c>
      <c r="E84" t="s">
        <v>46</v>
      </c>
      <c r="G84" t="s">
        <v>364</v>
      </c>
      <c r="I84" t="s">
        <v>365</v>
      </c>
      <c r="K84" t="s">
        <v>366</v>
      </c>
      <c r="M84" t="s">
        <v>367</v>
      </c>
      <c r="O84">
        <v>1</v>
      </c>
      <c r="P84" s="14" t="s">
        <v>368</v>
      </c>
      <c r="Q84">
        <v>100</v>
      </c>
      <c r="R84">
        <v>4</v>
      </c>
      <c r="S84">
        <v>7</v>
      </c>
      <c r="T84" s="9">
        <v>0</v>
      </c>
      <c r="U84">
        <v>0</v>
      </c>
      <c r="V84">
        <v>0</v>
      </c>
      <c r="X84" s="42">
        <f t="shared" si="12"/>
        <v>2.0108008732620935E-4</v>
      </c>
      <c r="Y84" s="16">
        <f t="shared" si="17"/>
        <v>0.99485809490980137</v>
      </c>
      <c r="AA84" s="25" t="str">
        <f>IF(P84="*","-",IFERROR(VLOOKUP(P84,'AESS-W1'!$P$5:$S$126,4,FALSE),"-"))</f>
        <v>-</v>
      </c>
      <c r="AB84" s="25">
        <f>IF(P84="*","-",IFERROR(VLOOKUP(P84,'AESS-W2'!$P$5:$S$107,4,FALSE),"-"))</f>
        <v>13</v>
      </c>
      <c r="AC84" s="25">
        <f>IF(P84="*","-",IFERROR(VLOOKUP(P84,'All MECSM samples'!$P$4:$AD$454,15,FALSE),"-"))</f>
        <v>13</v>
      </c>
      <c r="AD84" s="25"/>
      <c r="AE84">
        <v>0</v>
      </c>
      <c r="AF84">
        <v>0</v>
      </c>
      <c r="AH84">
        <f t="shared" si="13"/>
        <v>0</v>
      </c>
      <c r="AI84">
        <f t="shared" si="14"/>
        <v>0</v>
      </c>
      <c r="AJ84">
        <f t="shared" si="15"/>
        <v>0</v>
      </c>
      <c r="AK84">
        <f t="shared" si="16"/>
        <v>0</v>
      </c>
      <c r="AL84" s="11">
        <f>SUM(AH$5:AH84)/SUM(AK$5:AK84)</f>
        <v>0.8833333333333333</v>
      </c>
      <c r="AM84" s="11">
        <f>SUM(AI$5:AI84)/SUM(AK$5:AK84)</f>
        <v>0.43333333333333335</v>
      </c>
      <c r="AN84" s="11">
        <f>SUM(AJ$5:AJ84)/SUM(AL$5:AL84)</f>
        <v>0.30612388784985445</v>
      </c>
      <c r="AP84" t="s">
        <v>2053</v>
      </c>
      <c r="AQ84">
        <v>0</v>
      </c>
      <c r="AR84">
        <v>0</v>
      </c>
    </row>
    <row r="85" spans="1:44" x14ac:dyDescent="0.35">
      <c r="A85" t="s">
        <v>300</v>
      </c>
      <c r="B85">
        <v>7</v>
      </c>
      <c r="C85" t="s">
        <v>7</v>
      </c>
      <c r="D85" t="s">
        <v>8</v>
      </c>
      <c r="E85" t="s">
        <v>32</v>
      </c>
      <c r="G85" t="s">
        <v>35</v>
      </c>
      <c r="I85" t="s">
        <v>36</v>
      </c>
      <c r="K85" t="s">
        <v>37</v>
      </c>
      <c r="M85" t="s">
        <v>304</v>
      </c>
      <c r="O85">
        <v>0.97</v>
      </c>
      <c r="P85" s="14" t="s">
        <v>305</v>
      </c>
      <c r="Q85">
        <v>98.4</v>
      </c>
      <c r="R85">
        <v>1</v>
      </c>
      <c r="S85">
        <v>7</v>
      </c>
      <c r="T85" s="9">
        <v>0</v>
      </c>
      <c r="U85">
        <v>0</v>
      </c>
      <c r="V85">
        <v>0</v>
      </c>
      <c r="X85" s="42">
        <f t="shared" si="12"/>
        <v>2.0108008732620935E-4</v>
      </c>
      <c r="Y85" s="16">
        <f t="shared" si="17"/>
        <v>0.99505917499712759</v>
      </c>
      <c r="AA85" s="25">
        <f>IF(P85="*","-",IFERROR(VLOOKUP(P85,'AESS-W1'!$P$5:$S$126,4,FALSE),"-"))</f>
        <v>27</v>
      </c>
      <c r="AB85" s="25">
        <f>IF(P85="*","-",IFERROR(VLOOKUP(P85,'AESS-W2'!$P$5:$S$107,4,FALSE),"-"))</f>
        <v>4</v>
      </c>
      <c r="AC85" s="25">
        <f>IF(P85="*","-",IFERROR(VLOOKUP(P85,'All MECSM samples'!$P$4:$AD$454,15,FALSE),"-"))</f>
        <v>2600</v>
      </c>
      <c r="AD85" s="25"/>
      <c r="AE85">
        <v>0</v>
      </c>
      <c r="AF85">
        <v>0</v>
      </c>
      <c r="AH85">
        <f t="shared" si="13"/>
        <v>0</v>
      </c>
      <c r="AI85">
        <f t="shared" si="14"/>
        <v>0</v>
      </c>
      <c r="AJ85">
        <f t="shared" si="15"/>
        <v>0</v>
      </c>
      <c r="AK85">
        <f t="shared" si="16"/>
        <v>0</v>
      </c>
      <c r="AL85" s="11">
        <f>SUM(AH$5:AH85)/SUM(AK$5:AK85)</f>
        <v>0.8833333333333333</v>
      </c>
      <c r="AM85" s="11">
        <f>SUM(AI$5:AI85)/SUM(AK$5:AK85)</f>
        <v>0.43333333333333335</v>
      </c>
      <c r="AN85" s="11">
        <f>SUM(AJ$5:AJ85)/SUM(AL$5:AL85)</f>
        <v>0.30271320013346459</v>
      </c>
      <c r="AP85" t="s">
        <v>2054</v>
      </c>
      <c r="AQ85">
        <v>0</v>
      </c>
      <c r="AR85">
        <v>0</v>
      </c>
    </row>
    <row r="86" spans="1:44" x14ac:dyDescent="0.35">
      <c r="A86" t="s">
        <v>313</v>
      </c>
      <c r="B86">
        <v>6</v>
      </c>
      <c r="C86" t="s">
        <v>7</v>
      </c>
      <c r="D86" t="s">
        <v>8</v>
      </c>
      <c r="E86" t="s">
        <v>46</v>
      </c>
      <c r="G86" t="s">
        <v>47</v>
      </c>
      <c r="I86" t="s">
        <v>69</v>
      </c>
      <c r="K86" t="s">
        <v>70</v>
      </c>
      <c r="M86" t="s">
        <v>459</v>
      </c>
      <c r="O86">
        <v>0.95</v>
      </c>
      <c r="P86" s="14" t="s">
        <v>460</v>
      </c>
      <c r="Q86">
        <v>94.9</v>
      </c>
      <c r="R86">
        <v>3</v>
      </c>
      <c r="S86">
        <v>6</v>
      </c>
      <c r="T86" s="9">
        <v>0</v>
      </c>
      <c r="U86">
        <v>0</v>
      </c>
      <c r="V86">
        <v>0</v>
      </c>
      <c r="X86" s="42">
        <f t="shared" si="12"/>
        <v>1.7235436056532231E-4</v>
      </c>
      <c r="Y86" s="16">
        <f t="shared" si="17"/>
        <v>0.99523152935769288</v>
      </c>
      <c r="AA86" s="25" t="str">
        <f>IF(P86="*","-",IFERROR(VLOOKUP(P86,'AESS-W1'!$P$5:$S$126,4,FALSE),"-"))</f>
        <v>-</v>
      </c>
      <c r="AB86" s="25">
        <f>IF(P86="*","-",IFERROR(VLOOKUP(P86,'AESS-W2'!$P$5:$S$107,4,FALSE),"-"))</f>
        <v>3</v>
      </c>
      <c r="AC86" s="25">
        <f>IF(P86="*","-",IFERROR(VLOOKUP(P86,'All MECSM samples'!$P$4:$AD$454,15,FALSE),"-"))</f>
        <v>6</v>
      </c>
      <c r="AD86" s="25"/>
      <c r="AE86">
        <v>89</v>
      </c>
      <c r="AF86">
        <v>102</v>
      </c>
      <c r="AH86">
        <f t="shared" si="13"/>
        <v>0</v>
      </c>
      <c r="AI86">
        <f t="shared" si="14"/>
        <v>0</v>
      </c>
      <c r="AJ86">
        <f t="shared" si="15"/>
        <v>0</v>
      </c>
      <c r="AK86">
        <f t="shared" si="16"/>
        <v>0</v>
      </c>
      <c r="AL86" s="11">
        <f>SUM(AH$5:AH86)/SUM(AK$5:AK86)</f>
        <v>0.8833333333333333</v>
      </c>
      <c r="AM86" s="11">
        <f>SUM(AI$5:AI86)/SUM(AK$5:AK86)</f>
        <v>0.43333333333333335</v>
      </c>
      <c r="AN86" s="11">
        <f>SUM(AJ$5:AJ86)/SUM(AL$5:AL86)</f>
        <v>0.29937767552722133</v>
      </c>
      <c r="AP86" t="s">
        <v>1642</v>
      </c>
      <c r="AQ86">
        <v>89</v>
      </c>
      <c r="AR86">
        <v>102</v>
      </c>
    </row>
    <row r="87" spans="1:44" x14ac:dyDescent="0.35">
      <c r="A87" t="s">
        <v>275</v>
      </c>
      <c r="B87">
        <v>6</v>
      </c>
      <c r="C87" t="s">
        <v>7</v>
      </c>
      <c r="D87" t="s">
        <v>8</v>
      </c>
      <c r="E87" t="s">
        <v>46</v>
      </c>
      <c r="G87" t="s">
        <v>47</v>
      </c>
      <c r="I87" t="s">
        <v>61</v>
      </c>
      <c r="K87" t="s">
        <v>94</v>
      </c>
      <c r="M87" t="s">
        <v>316</v>
      </c>
      <c r="O87">
        <v>1</v>
      </c>
      <c r="P87" s="14" t="s">
        <v>317</v>
      </c>
      <c r="Q87">
        <v>100</v>
      </c>
      <c r="R87">
        <v>1</v>
      </c>
      <c r="S87">
        <v>6</v>
      </c>
      <c r="T87" s="9">
        <v>0</v>
      </c>
      <c r="U87">
        <v>0</v>
      </c>
      <c r="V87">
        <v>0</v>
      </c>
      <c r="X87" s="42">
        <f t="shared" si="12"/>
        <v>1.7235436056532231E-4</v>
      </c>
      <c r="Y87" s="16">
        <f t="shared" si="17"/>
        <v>0.99540388371825816</v>
      </c>
      <c r="AA87" s="25">
        <f>IF(P87="*","-",IFERROR(VLOOKUP(P87,'AESS-W1'!$P$5:$S$126,4,FALSE),"-"))</f>
        <v>18</v>
      </c>
      <c r="AB87" s="25">
        <f>IF(P87="*","-",IFERROR(VLOOKUP(P87,'AESS-W2'!$P$5:$S$107,4,FALSE),"-"))</f>
        <v>9</v>
      </c>
      <c r="AC87" s="25">
        <f>IF(P87="*","-",IFERROR(VLOOKUP(P87,'All MECSM samples'!$P$4:$AD$454,15,FALSE),"-"))</f>
        <v>2300</v>
      </c>
      <c r="AD87" s="25"/>
      <c r="AE87">
        <v>13</v>
      </c>
      <c r="AF87">
        <v>931</v>
      </c>
      <c r="AH87">
        <f t="shared" si="13"/>
        <v>0</v>
      </c>
      <c r="AI87">
        <f t="shared" si="14"/>
        <v>0</v>
      </c>
      <c r="AJ87">
        <f t="shared" si="15"/>
        <v>0</v>
      </c>
      <c r="AK87">
        <f t="shared" si="16"/>
        <v>0</v>
      </c>
      <c r="AL87" s="11">
        <f>SUM(AH$5:AH87)/SUM(AK$5:AK87)</f>
        <v>0.8833333333333333</v>
      </c>
      <c r="AM87" s="11">
        <f>SUM(AI$5:AI87)/SUM(AK$5:AK87)</f>
        <v>0.43333333333333335</v>
      </c>
      <c r="AN87" s="11">
        <f>SUM(AJ$5:AJ87)/SUM(AL$5:AL87)</f>
        <v>0.29611485649691749</v>
      </c>
      <c r="AP87" t="s">
        <v>1966</v>
      </c>
      <c r="AQ87">
        <v>13</v>
      </c>
      <c r="AR87">
        <v>931</v>
      </c>
    </row>
    <row r="88" spans="1:44" x14ac:dyDescent="0.35">
      <c r="A88" t="s">
        <v>257</v>
      </c>
      <c r="B88">
        <v>6</v>
      </c>
      <c r="C88" t="s">
        <v>7</v>
      </c>
      <c r="D88" t="s">
        <v>8</v>
      </c>
      <c r="E88" t="s">
        <v>46</v>
      </c>
      <c r="G88" t="s">
        <v>47</v>
      </c>
      <c r="I88" t="s">
        <v>61</v>
      </c>
      <c r="O88">
        <v>0.89</v>
      </c>
      <c r="P88" s="14" t="s">
        <v>62</v>
      </c>
      <c r="Q88">
        <v>90.9</v>
      </c>
      <c r="R88">
        <v>1</v>
      </c>
      <c r="S88">
        <v>6</v>
      </c>
      <c r="T88" s="9">
        <v>0</v>
      </c>
      <c r="U88">
        <v>0</v>
      </c>
      <c r="V88">
        <v>0</v>
      </c>
      <c r="X88" s="42">
        <f t="shared" si="12"/>
        <v>1.7235436056532231E-4</v>
      </c>
      <c r="Y88" s="16">
        <f t="shared" si="17"/>
        <v>0.99557623807882345</v>
      </c>
      <c r="AA88" s="25" t="str">
        <f>IF(P88="*","-",IFERROR(VLOOKUP(P88,'AESS-W1'!$P$5:$S$126,4,FALSE),"-"))</f>
        <v>-</v>
      </c>
      <c r="AB88" s="25">
        <f>IF(P88="*","-",IFERROR(VLOOKUP(P88,'AESS-W2'!$P$5:$S$107,4,FALSE),"-"))</f>
        <v>2463</v>
      </c>
      <c r="AC88" s="25">
        <f>IF(P88="*","-",IFERROR(VLOOKUP(P88,'All MECSM samples'!$P$4:$AD$454,15,FALSE),"-"))</f>
        <v>2474</v>
      </c>
      <c r="AD88" s="25"/>
      <c r="AE88">
        <v>43</v>
      </c>
      <c r="AF88">
        <v>289</v>
      </c>
      <c r="AH88">
        <f t="shared" si="13"/>
        <v>0</v>
      </c>
      <c r="AI88">
        <f t="shared" si="14"/>
        <v>0</v>
      </c>
      <c r="AJ88">
        <f t="shared" si="15"/>
        <v>0</v>
      </c>
      <c r="AK88">
        <f t="shared" si="16"/>
        <v>0</v>
      </c>
      <c r="AL88" s="11">
        <f>SUM(AH$5:AH88)/SUM(AK$5:AK88)</f>
        <v>0.8833333333333333</v>
      </c>
      <c r="AM88" s="11">
        <f>SUM(AI$5:AI88)/SUM(AK$5:AK88)</f>
        <v>0.43333333333333335</v>
      </c>
      <c r="AN88" s="11">
        <f>SUM(AJ$5:AJ88)/SUM(AL$5:AL88)</f>
        <v>0.29292239148873528</v>
      </c>
      <c r="AP88" t="s">
        <v>2055</v>
      </c>
      <c r="AQ88">
        <v>43</v>
      </c>
      <c r="AR88">
        <v>289</v>
      </c>
    </row>
    <row r="89" spans="1:44" x14ac:dyDescent="0.35">
      <c r="A89" t="s">
        <v>266</v>
      </c>
      <c r="B89">
        <v>6</v>
      </c>
      <c r="C89" t="s">
        <v>7</v>
      </c>
      <c r="D89" t="s">
        <v>8</v>
      </c>
      <c r="O89">
        <v>1</v>
      </c>
      <c r="P89" s="14" t="s">
        <v>50</v>
      </c>
      <c r="Q89">
        <v>89.7</v>
      </c>
      <c r="R89">
        <v>1</v>
      </c>
      <c r="S89">
        <v>6</v>
      </c>
      <c r="T89" s="9">
        <v>0</v>
      </c>
      <c r="U89">
        <v>0</v>
      </c>
      <c r="V89">
        <v>0</v>
      </c>
      <c r="X89" s="42">
        <f t="shared" si="12"/>
        <v>1.7235436056532231E-4</v>
      </c>
      <c r="Y89" s="16">
        <f t="shared" si="17"/>
        <v>0.99574859243938874</v>
      </c>
      <c r="AA89" s="25">
        <f>IF(P89="*","-",IFERROR(VLOOKUP(P89,'AESS-W1'!$P$5:$S$126,4,FALSE),"-"))</f>
        <v>3</v>
      </c>
      <c r="AB89" s="25">
        <f>IF(P89="*","-",IFERROR(VLOOKUP(P89,'AESS-W2'!$P$5:$S$107,4,FALSE),"-"))</f>
        <v>4057</v>
      </c>
      <c r="AC89" s="25">
        <f>IF(P89="*","-",IFERROR(VLOOKUP(P89,'All MECSM samples'!$P$4:$AD$454,15,FALSE),"-"))</f>
        <v>4081</v>
      </c>
      <c r="AD89" s="25"/>
      <c r="AE89">
        <v>57</v>
      </c>
      <c r="AF89">
        <v>1</v>
      </c>
      <c r="AH89">
        <f t="shared" si="13"/>
        <v>0</v>
      </c>
      <c r="AI89">
        <f t="shared" si="14"/>
        <v>0</v>
      </c>
      <c r="AJ89">
        <f t="shared" si="15"/>
        <v>0</v>
      </c>
      <c r="AK89">
        <f t="shared" si="16"/>
        <v>0</v>
      </c>
      <c r="AL89" s="11">
        <f>SUM(AH$5:AH89)/SUM(AK$5:AK89)</f>
        <v>0.8833333333333333</v>
      </c>
      <c r="AM89" s="11">
        <f>SUM(AI$5:AI89)/SUM(AK$5:AK89)</f>
        <v>0.43333333333333335</v>
      </c>
      <c r="AN89" s="11">
        <f>SUM(AJ$5:AJ89)/SUM(AL$5:AL89)</f>
        <v>0.28979802927721854</v>
      </c>
      <c r="AP89" t="s">
        <v>2056</v>
      </c>
      <c r="AQ89">
        <v>57</v>
      </c>
      <c r="AR89">
        <v>1</v>
      </c>
    </row>
    <row r="90" spans="1:44" x14ac:dyDescent="0.35">
      <c r="A90" t="s">
        <v>295</v>
      </c>
      <c r="B90">
        <v>6</v>
      </c>
      <c r="C90" t="s">
        <v>7</v>
      </c>
      <c r="D90" t="s">
        <v>8</v>
      </c>
      <c r="E90" t="s">
        <v>32</v>
      </c>
      <c r="O90">
        <v>0.99</v>
      </c>
      <c r="P90" s="14" t="s">
        <v>375</v>
      </c>
      <c r="Q90">
        <v>86.2</v>
      </c>
      <c r="R90">
        <v>2</v>
      </c>
      <c r="S90">
        <v>6</v>
      </c>
      <c r="T90" s="9">
        <v>0</v>
      </c>
      <c r="U90">
        <v>0</v>
      </c>
      <c r="V90">
        <v>0</v>
      </c>
      <c r="X90" s="42">
        <f t="shared" si="12"/>
        <v>1.7235436056532231E-4</v>
      </c>
      <c r="Y90" s="16">
        <f t="shared" si="17"/>
        <v>0.99592094679995402</v>
      </c>
      <c r="AA90" s="25" t="str">
        <f>IF(P90="*","-",IFERROR(VLOOKUP(P90,'AESS-W1'!$P$5:$S$126,4,FALSE),"-"))</f>
        <v>-</v>
      </c>
      <c r="AB90" s="25">
        <f>IF(P90="*","-",IFERROR(VLOOKUP(P90,'AESS-W2'!$P$5:$S$107,4,FALSE),"-"))</f>
        <v>6</v>
      </c>
      <c r="AC90" s="25">
        <f>IF(P90="*","-",IFERROR(VLOOKUP(P90,'All MECSM samples'!$P$4:$AD$454,15,FALSE),"-"))</f>
        <v>2087</v>
      </c>
      <c r="AD90" s="25"/>
      <c r="AE90">
        <v>4</v>
      </c>
      <c r="AF90">
        <v>1</v>
      </c>
      <c r="AH90">
        <f t="shared" si="13"/>
        <v>0</v>
      </c>
      <c r="AI90">
        <f t="shared" si="14"/>
        <v>0</v>
      </c>
      <c r="AJ90">
        <f t="shared" si="15"/>
        <v>0</v>
      </c>
      <c r="AK90">
        <f t="shared" si="16"/>
        <v>0</v>
      </c>
      <c r="AL90" s="11">
        <f>SUM(AH$5:AH90)/SUM(AK$5:AK90)</f>
        <v>0.8833333333333333</v>
      </c>
      <c r="AM90" s="11">
        <f>SUM(AI$5:AI90)/SUM(AK$5:AK90)</f>
        <v>0.43333333333333335</v>
      </c>
      <c r="AN90" s="11">
        <f>SUM(AJ$5:AJ90)/SUM(AL$5:AL90)</f>
        <v>0.28673961367113993</v>
      </c>
      <c r="AP90" t="s">
        <v>2057</v>
      </c>
      <c r="AQ90">
        <v>4</v>
      </c>
      <c r="AR90">
        <v>1</v>
      </c>
    </row>
    <row r="91" spans="1:44" x14ac:dyDescent="0.35">
      <c r="A91" t="s">
        <v>253</v>
      </c>
      <c r="B91">
        <v>6</v>
      </c>
      <c r="C91" t="s">
        <v>7</v>
      </c>
      <c r="D91" t="s">
        <v>8</v>
      </c>
      <c r="E91" t="s">
        <v>120</v>
      </c>
      <c r="G91" t="s">
        <v>121</v>
      </c>
      <c r="I91" t="s">
        <v>122</v>
      </c>
      <c r="K91" t="s">
        <v>123</v>
      </c>
      <c r="O91">
        <v>0.65</v>
      </c>
      <c r="P91" s="14" t="s">
        <v>220</v>
      </c>
      <c r="Q91">
        <v>87.7</v>
      </c>
      <c r="R91">
        <v>1</v>
      </c>
      <c r="S91">
        <v>6</v>
      </c>
      <c r="T91" s="9">
        <v>0</v>
      </c>
      <c r="U91">
        <v>0</v>
      </c>
      <c r="V91">
        <v>0</v>
      </c>
      <c r="X91" s="42">
        <f t="shared" si="12"/>
        <v>1.7235436056532231E-4</v>
      </c>
      <c r="Y91" s="16">
        <f t="shared" si="17"/>
        <v>0.99609330116051931</v>
      </c>
      <c r="AA91" s="25" t="str">
        <f>IF(P91="*","-",IFERROR(VLOOKUP(P91,'AESS-W1'!$P$5:$S$126,4,FALSE),"-"))</f>
        <v>-</v>
      </c>
      <c r="AB91" s="25">
        <f>IF(P91="*","-",IFERROR(VLOOKUP(P91,'AESS-W2'!$P$5:$S$107,4,FALSE),"-"))</f>
        <v>93</v>
      </c>
      <c r="AC91" s="25">
        <f>IF(P91="*","-",IFERROR(VLOOKUP(P91,'All MECSM samples'!$P$4:$AD$454,15,FALSE),"-"))</f>
        <v>81</v>
      </c>
      <c r="AD91" s="25"/>
      <c r="AE91">
        <v>67</v>
      </c>
      <c r="AF91">
        <v>5</v>
      </c>
      <c r="AH91">
        <f t="shared" si="13"/>
        <v>0</v>
      </c>
      <c r="AI91">
        <f t="shared" si="14"/>
        <v>0</v>
      </c>
      <c r="AJ91">
        <f t="shared" si="15"/>
        <v>0</v>
      </c>
      <c r="AK91">
        <f t="shared" si="16"/>
        <v>0</v>
      </c>
      <c r="AL91" s="11">
        <f>SUM(AH$5:AH91)/SUM(AK$5:AK91)</f>
        <v>0.8833333333333333</v>
      </c>
      <c r="AM91" s="11">
        <f>SUM(AI$5:AI91)/SUM(AK$5:AK91)</f>
        <v>0.43333333333333335</v>
      </c>
      <c r="AN91" s="11">
        <f>SUM(AJ$5:AJ91)/SUM(AL$5:AL91)</f>
        <v>0.28374507855110104</v>
      </c>
      <c r="AP91" t="s">
        <v>1967</v>
      </c>
      <c r="AQ91">
        <v>67</v>
      </c>
      <c r="AR91">
        <v>5</v>
      </c>
    </row>
    <row r="92" spans="1:44" x14ac:dyDescent="0.35">
      <c r="A92" t="s">
        <v>315</v>
      </c>
      <c r="B92">
        <v>5</v>
      </c>
      <c r="C92" t="s">
        <v>7</v>
      </c>
      <c r="D92" t="s">
        <v>8</v>
      </c>
      <c r="E92" t="s">
        <v>258</v>
      </c>
      <c r="G92" t="s">
        <v>258</v>
      </c>
      <c r="O92">
        <v>0.51</v>
      </c>
      <c r="P92" s="14" t="s">
        <v>328</v>
      </c>
      <c r="Q92">
        <v>90.1</v>
      </c>
      <c r="R92">
        <v>1</v>
      </c>
      <c r="S92">
        <v>5</v>
      </c>
      <c r="T92" s="9">
        <v>0</v>
      </c>
      <c r="U92">
        <v>0</v>
      </c>
      <c r="V92">
        <v>0</v>
      </c>
      <c r="X92" s="42">
        <f t="shared" si="12"/>
        <v>1.4362863380443526E-4</v>
      </c>
      <c r="Y92" s="16">
        <f t="shared" si="17"/>
        <v>0.99623692979432377</v>
      </c>
      <c r="AA92" s="25">
        <f>IF(P92="*","-",IFERROR(VLOOKUP(P92,'AESS-W1'!$P$5:$S$126,4,FALSE),"-"))</f>
        <v>11</v>
      </c>
      <c r="AB92" s="25">
        <f>IF(P92="*","-",IFERROR(VLOOKUP(P92,'AESS-W2'!$P$5:$S$107,4,FALSE),"-"))</f>
        <v>20</v>
      </c>
      <c r="AC92" s="25">
        <f>IF(P92="*","-",IFERROR(VLOOKUP(P92,'All MECSM samples'!$P$4:$AD$454,15,FALSE),"-"))</f>
        <v>3418</v>
      </c>
      <c r="AD92" s="25"/>
      <c r="AE92">
        <v>0</v>
      </c>
      <c r="AF92">
        <v>0</v>
      </c>
      <c r="AH92">
        <f t="shared" si="13"/>
        <v>0</v>
      </c>
      <c r="AI92">
        <f t="shared" si="14"/>
        <v>0</v>
      </c>
      <c r="AJ92">
        <f t="shared" si="15"/>
        <v>0</v>
      </c>
      <c r="AK92">
        <f t="shared" si="16"/>
        <v>0</v>
      </c>
      <c r="AL92" s="11">
        <f>SUM(AH$5:AH92)/SUM(AK$5:AK92)</f>
        <v>0.8833333333333333</v>
      </c>
      <c r="AM92" s="11">
        <f>SUM(AI$5:AI92)/SUM(AK$5:AK92)</f>
        <v>0.43333333333333335</v>
      </c>
      <c r="AN92" s="11">
        <f>SUM(AJ$5:AJ92)/SUM(AL$5:AL92)</f>
        <v>0.28081244321486432</v>
      </c>
      <c r="AP92" t="s">
        <v>1971</v>
      </c>
      <c r="AQ92">
        <v>0</v>
      </c>
      <c r="AR92">
        <v>0</v>
      </c>
    </row>
    <row r="93" spans="1:44" x14ac:dyDescent="0.35">
      <c r="A93" t="s">
        <v>277</v>
      </c>
      <c r="B93">
        <v>5</v>
      </c>
      <c r="C93" t="s">
        <v>7</v>
      </c>
      <c r="D93" t="s">
        <v>8</v>
      </c>
      <c r="E93" t="s">
        <v>32</v>
      </c>
      <c r="G93" t="s">
        <v>35</v>
      </c>
      <c r="I93" t="s">
        <v>36</v>
      </c>
      <c r="O93">
        <v>0.72</v>
      </c>
      <c r="P93" s="14" t="s">
        <v>92</v>
      </c>
      <c r="Q93">
        <v>86.2</v>
      </c>
      <c r="R93">
        <v>1</v>
      </c>
      <c r="S93">
        <v>5</v>
      </c>
      <c r="T93" s="9">
        <v>0</v>
      </c>
      <c r="U93">
        <v>0</v>
      </c>
      <c r="V93">
        <v>0</v>
      </c>
      <c r="X93" s="42">
        <f t="shared" si="12"/>
        <v>1.4362863380443526E-4</v>
      </c>
      <c r="Y93" s="16">
        <f t="shared" si="17"/>
        <v>0.99638055842812823</v>
      </c>
      <c r="AA93" s="25">
        <f>IF(P93="*","-",IFERROR(VLOOKUP(P93,'AESS-W1'!$P$5:$S$126,4,FALSE),"-"))</f>
        <v>1059</v>
      </c>
      <c r="AB93" s="25">
        <f>IF(P93="*","-",IFERROR(VLOOKUP(P93,'AESS-W2'!$P$5:$S$107,4,FALSE),"-"))</f>
        <v>29</v>
      </c>
      <c r="AC93" s="25">
        <f>IF(P93="*","-",IFERROR(VLOOKUP(P93,'All MECSM samples'!$P$4:$AD$454,15,FALSE),"-"))</f>
        <v>6717</v>
      </c>
      <c r="AD93" s="25"/>
      <c r="AE93">
        <v>78</v>
      </c>
      <c r="AF93">
        <v>10</v>
      </c>
      <c r="AH93">
        <f t="shared" si="13"/>
        <v>0</v>
      </c>
      <c r="AI93">
        <f t="shared" si="14"/>
        <v>0</v>
      </c>
      <c r="AJ93">
        <f t="shared" si="15"/>
        <v>0</v>
      </c>
      <c r="AK93">
        <f t="shared" si="16"/>
        <v>0</v>
      </c>
      <c r="AL93" s="11">
        <f>SUM(AH$5:AH93)/SUM(AK$5:AK93)</f>
        <v>0.8833333333333333</v>
      </c>
      <c r="AM93" s="11">
        <f>SUM(AI$5:AI93)/SUM(AK$5:AK93)</f>
        <v>0.43333333333333335</v>
      </c>
      <c r="AN93" s="11">
        <f>SUM(AJ$5:AJ93)/SUM(AL$5:AL93)</f>
        <v>0.2779398080083812</v>
      </c>
      <c r="AP93" t="s">
        <v>2058</v>
      </c>
      <c r="AQ93">
        <v>78</v>
      </c>
      <c r="AR93">
        <v>10</v>
      </c>
    </row>
    <row r="94" spans="1:44" x14ac:dyDescent="0.35">
      <c r="A94" t="s">
        <v>303</v>
      </c>
      <c r="B94">
        <v>5</v>
      </c>
      <c r="C94" t="s">
        <v>7</v>
      </c>
      <c r="D94" t="s">
        <v>8</v>
      </c>
      <c r="E94" t="s">
        <v>258</v>
      </c>
      <c r="G94" t="s">
        <v>258</v>
      </c>
      <c r="H94" t="s">
        <v>259</v>
      </c>
      <c r="I94" t="s">
        <v>260</v>
      </c>
      <c r="J94" t="s">
        <v>261</v>
      </c>
      <c r="K94" t="s">
        <v>262</v>
      </c>
      <c r="O94">
        <v>0.56000000000000005</v>
      </c>
      <c r="P94" s="14" t="s">
        <v>328</v>
      </c>
      <c r="Q94">
        <v>89.3</v>
      </c>
      <c r="R94">
        <v>1</v>
      </c>
      <c r="S94">
        <v>5</v>
      </c>
      <c r="T94" s="9">
        <v>0</v>
      </c>
      <c r="U94">
        <v>0</v>
      </c>
      <c r="V94">
        <v>0</v>
      </c>
      <c r="X94" s="42">
        <f t="shared" si="12"/>
        <v>1.4362863380443526E-4</v>
      </c>
      <c r="Y94" s="16">
        <f t="shared" si="17"/>
        <v>0.99652418706193269</v>
      </c>
      <c r="AA94" s="25">
        <f>IF(P94="*","-",IFERROR(VLOOKUP(P94,'AESS-W1'!$P$5:$S$126,4,FALSE),"-"))</f>
        <v>11</v>
      </c>
      <c r="AB94" s="25">
        <f>IF(P94="*","-",IFERROR(VLOOKUP(P94,'AESS-W2'!$P$5:$S$107,4,FALSE),"-"))</f>
        <v>20</v>
      </c>
      <c r="AC94" s="25">
        <f>IF(P94="*","-",IFERROR(VLOOKUP(P94,'All MECSM samples'!$P$4:$AD$454,15,FALSE),"-"))</f>
        <v>3418</v>
      </c>
      <c r="AD94" s="25"/>
      <c r="AE94">
        <v>39</v>
      </c>
      <c r="AF94">
        <v>1</v>
      </c>
      <c r="AH94">
        <f t="shared" si="13"/>
        <v>0</v>
      </c>
      <c r="AI94">
        <f t="shared" si="14"/>
        <v>0</v>
      </c>
      <c r="AJ94">
        <f t="shared" si="15"/>
        <v>0</v>
      </c>
      <c r="AK94">
        <f t="shared" si="16"/>
        <v>0</v>
      </c>
      <c r="AL94" s="11">
        <f>SUM(AH$5:AH94)/SUM(AK$5:AK94)</f>
        <v>0.8833333333333333</v>
      </c>
      <c r="AM94" s="11">
        <f>SUM(AI$5:AI94)/SUM(AK$5:AK94)</f>
        <v>0.43333333333333335</v>
      </c>
      <c r="AN94" s="11">
        <f>SUM(AJ$5:AJ94)/SUM(AL$5:AL94)</f>
        <v>0.27512535022226464</v>
      </c>
      <c r="AP94" t="s">
        <v>2059</v>
      </c>
      <c r="AQ94">
        <v>39</v>
      </c>
      <c r="AR94">
        <v>1</v>
      </c>
    </row>
    <row r="95" spans="1:44" x14ac:dyDescent="0.35">
      <c r="A95" t="s">
        <v>233</v>
      </c>
      <c r="B95">
        <v>5</v>
      </c>
      <c r="C95" t="s">
        <v>7</v>
      </c>
      <c r="D95" t="s">
        <v>8</v>
      </c>
      <c r="E95" t="s">
        <v>9</v>
      </c>
      <c r="G95" t="s">
        <v>10</v>
      </c>
      <c r="O95">
        <v>0.5</v>
      </c>
      <c r="P95" s="14" t="s">
        <v>154</v>
      </c>
      <c r="Q95">
        <v>89.7</v>
      </c>
      <c r="R95">
        <v>1</v>
      </c>
      <c r="S95">
        <v>5</v>
      </c>
      <c r="T95" s="9">
        <v>0</v>
      </c>
      <c r="U95">
        <v>0</v>
      </c>
      <c r="V95">
        <v>0</v>
      </c>
      <c r="X95" s="42">
        <f t="shared" si="12"/>
        <v>1.4362863380443526E-4</v>
      </c>
      <c r="Y95" s="16">
        <f t="shared" si="17"/>
        <v>0.99666781569573715</v>
      </c>
      <c r="AA95" s="25">
        <f>IF(P95="*","-",IFERROR(VLOOKUP(P95,'AESS-W1'!$P$5:$S$126,4,FALSE),"-"))</f>
        <v>304</v>
      </c>
      <c r="AB95" s="25" t="str">
        <f>IF(P95="*","-",IFERROR(VLOOKUP(P95,'AESS-W2'!$P$5:$S$107,4,FALSE),"-"))</f>
        <v>-</v>
      </c>
      <c r="AC95" s="25">
        <f>IF(P95="*","-",IFERROR(VLOOKUP(P95,'All MECSM samples'!$P$4:$AD$454,15,FALSE),"-"))</f>
        <v>305</v>
      </c>
      <c r="AD95" s="25"/>
      <c r="AE95">
        <v>61</v>
      </c>
      <c r="AF95">
        <v>2</v>
      </c>
      <c r="AH95">
        <f t="shared" si="13"/>
        <v>0</v>
      </c>
      <c r="AI95">
        <f t="shared" si="14"/>
        <v>0</v>
      </c>
      <c r="AJ95">
        <f t="shared" si="15"/>
        <v>0</v>
      </c>
      <c r="AK95">
        <f t="shared" si="16"/>
        <v>0</v>
      </c>
      <c r="AL95" s="11">
        <f>SUM(AH$5:AH95)/SUM(AK$5:AK95)</f>
        <v>0.8833333333333333</v>
      </c>
      <c r="AM95" s="11">
        <f>SUM(AI$5:AI95)/SUM(AK$5:AK95)</f>
        <v>0.43333333333333335</v>
      </c>
      <c r="AN95" s="11">
        <f>SUM(AJ$5:AJ95)/SUM(AL$5:AL95)</f>
        <v>0.27236732023508048</v>
      </c>
      <c r="AP95" t="s">
        <v>2060</v>
      </c>
      <c r="AQ95">
        <v>61</v>
      </c>
      <c r="AR95">
        <v>2</v>
      </c>
    </row>
    <row r="96" spans="1:44" x14ac:dyDescent="0.35">
      <c r="A96" t="s">
        <v>264</v>
      </c>
      <c r="B96">
        <v>5</v>
      </c>
      <c r="C96" t="s">
        <v>7</v>
      </c>
      <c r="D96" t="s">
        <v>8</v>
      </c>
      <c r="E96" t="s">
        <v>46</v>
      </c>
      <c r="G96" t="s">
        <v>364</v>
      </c>
      <c r="I96" t="s">
        <v>365</v>
      </c>
      <c r="K96" t="s">
        <v>366</v>
      </c>
      <c r="M96" t="s">
        <v>367</v>
      </c>
      <c r="O96">
        <v>0.97</v>
      </c>
      <c r="P96" s="14" t="s">
        <v>414</v>
      </c>
      <c r="Q96">
        <v>100</v>
      </c>
      <c r="R96">
        <v>4</v>
      </c>
      <c r="S96">
        <v>5</v>
      </c>
      <c r="T96" s="9">
        <v>0</v>
      </c>
      <c r="U96">
        <v>0</v>
      </c>
      <c r="V96">
        <v>0</v>
      </c>
      <c r="X96" s="42">
        <f t="shared" si="12"/>
        <v>1.4362863380443526E-4</v>
      </c>
      <c r="Y96" s="16">
        <f t="shared" si="17"/>
        <v>0.99681144432954161</v>
      </c>
      <c r="AA96" s="25" t="str">
        <f>IF(P96="*","-",IFERROR(VLOOKUP(P96,'AESS-W1'!$P$5:$S$126,4,FALSE),"-"))</f>
        <v>-</v>
      </c>
      <c r="AB96" s="25">
        <f>IF(P96="*","-",IFERROR(VLOOKUP(P96,'AESS-W2'!$P$5:$S$107,4,FALSE),"-"))</f>
        <v>7</v>
      </c>
      <c r="AC96" s="25">
        <f>IF(P96="*","-",IFERROR(VLOOKUP(P96,'All MECSM samples'!$P$4:$AD$454,15,FALSE),"-"))</f>
        <v>30</v>
      </c>
      <c r="AD96" s="25"/>
      <c r="AE96">
        <v>0</v>
      </c>
      <c r="AF96">
        <v>0</v>
      </c>
      <c r="AH96">
        <f t="shared" si="13"/>
        <v>0</v>
      </c>
      <c r="AI96">
        <f t="shared" si="14"/>
        <v>0</v>
      </c>
      <c r="AJ96">
        <f t="shared" si="15"/>
        <v>0</v>
      </c>
      <c r="AK96">
        <f t="shared" si="16"/>
        <v>0</v>
      </c>
      <c r="AL96" s="11">
        <f>SUM(AH$5:AH96)/SUM(AK$5:AK96)</f>
        <v>0.8833333333333333</v>
      </c>
      <c r="AM96" s="11">
        <f>SUM(AI$5:AI96)/SUM(AK$5:AK96)</f>
        <v>0.43333333333333335</v>
      </c>
      <c r="AN96" s="11">
        <f>SUM(AJ$5:AJ96)/SUM(AL$5:AL96)</f>
        <v>0.26966403788630833</v>
      </c>
      <c r="AP96" t="s">
        <v>2061</v>
      </c>
      <c r="AQ96">
        <v>0</v>
      </c>
      <c r="AR96">
        <v>0</v>
      </c>
    </row>
    <row r="97" spans="1:44" x14ac:dyDescent="0.35">
      <c r="A97" t="s">
        <v>329</v>
      </c>
      <c r="B97">
        <v>5</v>
      </c>
      <c r="C97" t="s">
        <v>7</v>
      </c>
      <c r="D97" t="s">
        <v>8</v>
      </c>
      <c r="E97" t="s">
        <v>394</v>
      </c>
      <c r="G97" t="s">
        <v>395</v>
      </c>
      <c r="I97" t="s">
        <v>396</v>
      </c>
      <c r="K97" t="s">
        <v>397</v>
      </c>
      <c r="M97" t="s">
        <v>398</v>
      </c>
      <c r="O97">
        <v>0.99</v>
      </c>
      <c r="P97" s="14" t="s">
        <v>399</v>
      </c>
      <c r="Q97">
        <v>94.8</v>
      </c>
      <c r="R97">
        <v>1</v>
      </c>
      <c r="S97">
        <v>5</v>
      </c>
      <c r="T97" s="9">
        <v>0</v>
      </c>
      <c r="U97">
        <v>0</v>
      </c>
      <c r="V97">
        <v>0</v>
      </c>
      <c r="X97" s="42">
        <f t="shared" si="12"/>
        <v>1.4362863380443526E-4</v>
      </c>
      <c r="Y97" s="16">
        <f t="shared" si="17"/>
        <v>0.99695507296334607</v>
      </c>
      <c r="AA97" s="25" t="str">
        <f>IF(P97="*","-",IFERROR(VLOOKUP(P97,'AESS-W1'!$P$5:$S$126,4,FALSE),"-"))</f>
        <v>-</v>
      </c>
      <c r="AB97" s="25">
        <f>IF(P97="*","-",IFERROR(VLOOKUP(P97,'AESS-W2'!$P$5:$S$107,4,FALSE),"-"))</f>
        <v>3</v>
      </c>
      <c r="AC97" s="25">
        <f>IF(P97="*","-",IFERROR(VLOOKUP(P97,'All MECSM samples'!$P$4:$AD$454,15,FALSE),"-"))</f>
        <v>2033</v>
      </c>
      <c r="AD97" s="25"/>
      <c r="AE97">
        <v>0</v>
      </c>
      <c r="AF97">
        <v>0</v>
      </c>
      <c r="AH97">
        <f t="shared" si="13"/>
        <v>0</v>
      </c>
      <c r="AI97">
        <f t="shared" si="14"/>
        <v>0</v>
      </c>
      <c r="AJ97">
        <f t="shared" si="15"/>
        <v>0</v>
      </c>
      <c r="AK97">
        <f t="shared" si="16"/>
        <v>0</v>
      </c>
      <c r="AL97" s="11">
        <f>SUM(AH$5:AH97)/SUM(AK$5:AK97)</f>
        <v>0.8833333333333333</v>
      </c>
      <c r="AM97" s="11">
        <f>SUM(AI$5:AI97)/SUM(AK$5:AK97)</f>
        <v>0.43333333333333335</v>
      </c>
      <c r="AN97" s="11">
        <f>SUM(AJ$5:AJ97)/SUM(AL$5:AL97)</f>
        <v>0.26701388906317319</v>
      </c>
      <c r="AP97" t="s">
        <v>2062</v>
      </c>
      <c r="AQ97">
        <v>0</v>
      </c>
      <c r="AR97">
        <v>0</v>
      </c>
    </row>
    <row r="98" spans="1:44" x14ac:dyDescent="0.35">
      <c r="A98" t="s">
        <v>311</v>
      </c>
      <c r="B98">
        <v>5</v>
      </c>
      <c r="C98" t="s">
        <v>7</v>
      </c>
      <c r="D98" t="s">
        <v>8</v>
      </c>
      <c r="E98" t="s">
        <v>32</v>
      </c>
      <c r="O98">
        <v>1</v>
      </c>
      <c r="P98" s="14" t="s">
        <v>436</v>
      </c>
      <c r="Q98">
        <v>88.5</v>
      </c>
      <c r="R98">
        <v>2</v>
      </c>
      <c r="S98">
        <v>5</v>
      </c>
      <c r="T98" s="9">
        <v>0</v>
      </c>
      <c r="U98">
        <v>0</v>
      </c>
      <c r="V98">
        <v>0</v>
      </c>
      <c r="X98" s="42">
        <f t="shared" si="12"/>
        <v>1.4362863380443526E-4</v>
      </c>
      <c r="Y98" s="16">
        <f t="shared" si="17"/>
        <v>0.99709870159715053</v>
      </c>
      <c r="AA98" s="25" t="str">
        <f>IF(P98="*","-",IFERROR(VLOOKUP(P98,'AESS-W1'!$P$5:$S$126,4,FALSE),"-"))</f>
        <v>-</v>
      </c>
      <c r="AB98" s="25" t="str">
        <f>IF(P98="*","-",IFERROR(VLOOKUP(P98,'AESS-W2'!$P$5:$S$107,4,FALSE),"-"))</f>
        <v>-</v>
      </c>
      <c r="AC98" s="25">
        <f>IF(P98="*","-",IFERROR(VLOOKUP(P98,'All MECSM samples'!$P$4:$AD$454,15,FALSE),"-"))</f>
        <v>1534</v>
      </c>
      <c r="AD98" s="25"/>
      <c r="AE98">
        <v>0</v>
      </c>
      <c r="AF98">
        <v>0</v>
      </c>
      <c r="AH98">
        <f t="shared" si="13"/>
        <v>0</v>
      </c>
      <c r="AI98">
        <f t="shared" si="14"/>
        <v>0</v>
      </c>
      <c r="AJ98">
        <f t="shared" si="15"/>
        <v>0</v>
      </c>
      <c r="AK98">
        <f t="shared" si="16"/>
        <v>0</v>
      </c>
      <c r="AL98" s="11">
        <f>SUM(AH$5:AH98)/SUM(AK$5:AK98)</f>
        <v>0.8833333333333333</v>
      </c>
      <c r="AM98" s="11">
        <f>SUM(AI$5:AI98)/SUM(AK$5:AK98)</f>
        <v>0.43333333333333335</v>
      </c>
      <c r="AN98" s="11">
        <f>SUM(AJ$5:AJ98)/SUM(AL$5:AL98)</f>
        <v>0.26441532248677757</v>
      </c>
      <c r="AP98" t="s">
        <v>1643</v>
      </c>
      <c r="AQ98">
        <v>0</v>
      </c>
      <c r="AR98">
        <v>0</v>
      </c>
    </row>
    <row r="99" spans="1:44" x14ac:dyDescent="0.35">
      <c r="A99" t="s">
        <v>340</v>
      </c>
      <c r="B99">
        <v>5</v>
      </c>
      <c r="C99" t="s">
        <v>7</v>
      </c>
      <c r="D99" t="s">
        <v>8</v>
      </c>
      <c r="E99" t="s">
        <v>46</v>
      </c>
      <c r="G99" t="s">
        <v>47</v>
      </c>
      <c r="I99" t="s">
        <v>61</v>
      </c>
      <c r="O99">
        <v>1</v>
      </c>
      <c r="P99" s="14" t="s">
        <v>381</v>
      </c>
      <c r="Q99">
        <v>94.9</v>
      </c>
      <c r="R99">
        <v>1</v>
      </c>
      <c r="S99">
        <v>5</v>
      </c>
      <c r="T99" s="9">
        <v>0</v>
      </c>
      <c r="U99">
        <v>0</v>
      </c>
      <c r="V99">
        <v>0</v>
      </c>
      <c r="X99" s="42">
        <f t="shared" si="12"/>
        <v>1.4362863380443526E-4</v>
      </c>
      <c r="Y99" s="16">
        <f t="shared" si="17"/>
        <v>0.99724233023095499</v>
      </c>
      <c r="AA99" s="25">
        <f>IF(P99="*","-",IFERROR(VLOOKUP(P99,'AESS-W1'!$P$5:$S$126,4,FALSE),"-"))</f>
        <v>5</v>
      </c>
      <c r="AB99" s="25">
        <f>IF(P99="*","-",IFERROR(VLOOKUP(P99,'AESS-W2'!$P$5:$S$107,4,FALSE),"-"))</f>
        <v>6</v>
      </c>
      <c r="AC99" s="25">
        <f>IF(P99="*","-",IFERROR(VLOOKUP(P99,'All MECSM samples'!$P$4:$AD$454,15,FALSE),"-"))</f>
        <v>932</v>
      </c>
      <c r="AD99" s="25"/>
      <c r="AE99">
        <v>42</v>
      </c>
      <c r="AF99">
        <v>405</v>
      </c>
      <c r="AH99">
        <f t="shared" si="13"/>
        <v>0</v>
      </c>
      <c r="AI99">
        <f t="shared" si="14"/>
        <v>0</v>
      </c>
      <c r="AJ99">
        <f t="shared" si="15"/>
        <v>0</v>
      </c>
      <c r="AK99">
        <f t="shared" si="16"/>
        <v>0</v>
      </c>
      <c r="AL99" s="11">
        <f>SUM(AH$5:AH99)/SUM(AK$5:AK99)</f>
        <v>0.8833333333333333</v>
      </c>
      <c r="AM99" s="11">
        <f>SUM(AI$5:AI99)/SUM(AK$5:AK99)</f>
        <v>0.43333333333333335</v>
      </c>
      <c r="AN99" s="11">
        <f>SUM(AJ$5:AJ99)/SUM(AL$5:AL99)</f>
        <v>0.26186684668408855</v>
      </c>
      <c r="AP99" t="s">
        <v>2063</v>
      </c>
      <c r="AQ99">
        <v>42</v>
      </c>
      <c r="AR99">
        <v>405</v>
      </c>
    </row>
    <row r="100" spans="1:44" x14ac:dyDescent="0.35">
      <c r="A100" t="s">
        <v>350</v>
      </c>
      <c r="B100">
        <v>5</v>
      </c>
      <c r="C100" t="s">
        <v>7</v>
      </c>
      <c r="D100" t="s">
        <v>8</v>
      </c>
      <c r="E100" t="s">
        <v>32</v>
      </c>
      <c r="G100" t="s">
        <v>35</v>
      </c>
      <c r="I100" t="s">
        <v>36</v>
      </c>
      <c r="K100" t="s">
        <v>37</v>
      </c>
      <c r="O100">
        <v>0.9</v>
      </c>
      <c r="P100" s="14" t="s">
        <v>401</v>
      </c>
      <c r="Q100">
        <v>91.7</v>
      </c>
      <c r="R100">
        <v>1</v>
      </c>
      <c r="S100">
        <v>5</v>
      </c>
      <c r="T100" s="9">
        <v>0</v>
      </c>
      <c r="U100">
        <v>0</v>
      </c>
      <c r="V100">
        <v>0</v>
      </c>
      <c r="X100" s="42">
        <f t="shared" si="12"/>
        <v>1.4362863380443526E-4</v>
      </c>
      <c r="Y100" s="16">
        <f t="shared" si="17"/>
        <v>0.99738595886475945</v>
      </c>
      <c r="AA100" s="25">
        <f>IF(P100="*","-",IFERROR(VLOOKUP(P100,'AESS-W1'!$P$5:$S$126,4,FALSE),"-"))</f>
        <v>5</v>
      </c>
      <c r="AB100" s="25">
        <f>IF(P100="*","-",IFERROR(VLOOKUP(P100,'AESS-W2'!$P$5:$S$107,4,FALSE),"-"))</f>
        <v>6</v>
      </c>
      <c r="AC100" s="25">
        <f>IF(P100="*","-",IFERROR(VLOOKUP(P100,'All MECSM samples'!$P$4:$AD$454,15,FALSE),"-"))</f>
        <v>6</v>
      </c>
      <c r="AD100" s="25"/>
      <c r="AE100">
        <v>3</v>
      </c>
      <c r="AF100">
        <v>46</v>
      </c>
      <c r="AH100">
        <f t="shared" si="13"/>
        <v>0</v>
      </c>
      <c r="AI100">
        <f t="shared" si="14"/>
        <v>0</v>
      </c>
      <c r="AJ100">
        <f t="shared" si="15"/>
        <v>0</v>
      </c>
      <c r="AK100">
        <f t="shared" si="16"/>
        <v>0</v>
      </c>
      <c r="AL100" s="11">
        <f>SUM(AH$5:AH100)/SUM(AK$5:AK100)</f>
        <v>0.8833333333333333</v>
      </c>
      <c r="AM100" s="11">
        <f>SUM(AI$5:AI100)/SUM(AK$5:AK100)</f>
        <v>0.43333333333333335</v>
      </c>
      <c r="AN100" s="11">
        <f>SUM(AJ$5:AJ100)/SUM(AL$5:AL100)</f>
        <v>0.25936702713335963</v>
      </c>
      <c r="AP100" t="s">
        <v>2064</v>
      </c>
      <c r="AQ100">
        <v>3</v>
      </c>
      <c r="AR100">
        <v>46</v>
      </c>
    </row>
    <row r="101" spans="1:44" x14ac:dyDescent="0.35">
      <c r="A101" t="s">
        <v>333</v>
      </c>
      <c r="B101">
        <v>5</v>
      </c>
      <c r="C101" t="s">
        <v>7</v>
      </c>
      <c r="D101" t="s">
        <v>8</v>
      </c>
      <c r="E101" t="s">
        <v>32</v>
      </c>
      <c r="O101">
        <v>0.98</v>
      </c>
      <c r="P101" s="14" t="s">
        <v>341</v>
      </c>
      <c r="Q101">
        <v>86.6</v>
      </c>
      <c r="R101">
        <v>1</v>
      </c>
      <c r="S101">
        <v>5</v>
      </c>
      <c r="T101" s="9">
        <v>0</v>
      </c>
      <c r="U101">
        <v>0</v>
      </c>
      <c r="V101">
        <v>0</v>
      </c>
      <c r="X101" s="42">
        <f t="shared" ref="X101:X128" si="18">S101/S$1</f>
        <v>1.4362863380443526E-4</v>
      </c>
      <c r="Y101" s="16">
        <f t="shared" si="17"/>
        <v>0.99752958749856391</v>
      </c>
      <c r="AA101" s="25">
        <f>IF(P101="*","-",IFERROR(VLOOKUP(P101,'AESS-W1'!$P$5:$S$126,4,FALSE),"-"))</f>
        <v>15</v>
      </c>
      <c r="AB101" s="25">
        <f>IF(P101="*","-",IFERROR(VLOOKUP(P101,'AESS-W2'!$P$5:$S$107,4,FALSE),"-"))</f>
        <v>5</v>
      </c>
      <c r="AC101" s="25">
        <f>IF(P101="*","-",IFERROR(VLOOKUP(P101,'All MECSM samples'!$P$4:$AD$454,15,FALSE),"-"))</f>
        <v>1251</v>
      </c>
      <c r="AD101" s="25"/>
      <c r="AE101">
        <v>3</v>
      </c>
      <c r="AF101">
        <v>40</v>
      </c>
      <c r="AH101">
        <f t="shared" ref="AH101:AH129" si="19">IF(AND(S101&gt;0,AE101&gt;=90, T101&gt;0), 1, 0)</f>
        <v>0</v>
      </c>
      <c r="AI101">
        <f t="shared" ref="AI101:AI130" si="20">IF(AND(S101&gt;0,AE101&gt;=90, U101&gt;0), 1, 0)</f>
        <v>0</v>
      </c>
      <c r="AJ101">
        <f t="shared" ref="AJ101:AJ130" si="21">IF(AND(S101&gt;0,AE101&gt;=90, V101&gt;0), 1, 0)</f>
        <v>0</v>
      </c>
      <c r="AK101">
        <f t="shared" ref="AK101:AK130" si="22">IF(AND(S101&gt;0,AE101&gt;=90),1,0)</f>
        <v>0</v>
      </c>
      <c r="AL101" s="11">
        <f>SUM(AH$5:AH101)/SUM(AK$5:AK101)</f>
        <v>0.8833333333333333</v>
      </c>
      <c r="AM101" s="11">
        <f>SUM(AI$5:AI101)/SUM(AK$5:AK101)</f>
        <v>0.43333333333333335</v>
      </c>
      <c r="AN101" s="11">
        <f>SUM(AJ$5:AJ101)/SUM(AL$5:AL101)</f>
        <v>0.25691448357150781</v>
      </c>
      <c r="AP101" t="s">
        <v>2065</v>
      </c>
      <c r="AQ101">
        <v>3</v>
      </c>
      <c r="AR101">
        <v>40</v>
      </c>
    </row>
    <row r="102" spans="1:44" x14ac:dyDescent="0.35">
      <c r="A102" t="s">
        <v>338</v>
      </c>
      <c r="B102">
        <v>4</v>
      </c>
      <c r="C102" t="s">
        <v>7</v>
      </c>
      <c r="D102" t="s">
        <v>8</v>
      </c>
      <c r="E102" t="s">
        <v>46</v>
      </c>
      <c r="G102" t="s">
        <v>47</v>
      </c>
      <c r="I102" t="s">
        <v>61</v>
      </c>
      <c r="K102" t="s">
        <v>190</v>
      </c>
      <c r="M102" t="s">
        <v>484</v>
      </c>
      <c r="O102">
        <v>0.64</v>
      </c>
      <c r="P102" s="14" t="s">
        <v>485</v>
      </c>
      <c r="Q102">
        <v>91.7</v>
      </c>
      <c r="R102">
        <v>1</v>
      </c>
      <c r="S102">
        <v>4</v>
      </c>
      <c r="T102" s="9">
        <v>0</v>
      </c>
      <c r="U102">
        <v>0</v>
      </c>
      <c r="V102">
        <v>0</v>
      </c>
      <c r="X102" s="42">
        <f t="shared" si="18"/>
        <v>1.149029070435482E-4</v>
      </c>
      <c r="Y102" s="16">
        <f t="shared" ref="Y102:Y128" si="23">Y101+X102</f>
        <v>0.99764449040560743</v>
      </c>
      <c r="AA102" s="25" t="str">
        <f>IF(P102="*","-",IFERROR(VLOOKUP(P102,'AESS-W1'!$P$5:$S$126,4,FALSE),"-"))</f>
        <v>-</v>
      </c>
      <c r="AB102" s="25" t="str">
        <f>IF(P102="*","-",IFERROR(VLOOKUP(P102,'AESS-W2'!$P$5:$S$107,4,FALSE),"-"))</f>
        <v>-</v>
      </c>
      <c r="AC102" s="25">
        <f>IF(P102="*","-",IFERROR(VLOOKUP(P102,'All MECSM samples'!$P$4:$AD$454,15,FALSE),"-"))</f>
        <v>24</v>
      </c>
      <c r="AD102" s="25"/>
      <c r="AE102">
        <v>50</v>
      </c>
      <c r="AF102">
        <v>1</v>
      </c>
      <c r="AH102">
        <f t="shared" si="19"/>
        <v>0</v>
      </c>
      <c r="AI102">
        <f t="shared" si="20"/>
        <v>0</v>
      </c>
      <c r="AJ102">
        <f t="shared" si="21"/>
        <v>0</v>
      </c>
      <c r="AK102">
        <f t="shared" si="22"/>
        <v>0</v>
      </c>
      <c r="AL102" s="11">
        <f>SUM(AH$5:AH102)/SUM(AK$5:AK102)</f>
        <v>0.8833333333333333</v>
      </c>
      <c r="AM102" s="11">
        <f>SUM(AI$5:AI102)/SUM(AK$5:AK102)</f>
        <v>0.43333333333333335</v>
      </c>
      <c r="AN102" s="11">
        <f>SUM(AJ$5:AJ102)/SUM(AL$5:AL102)</f>
        <v>0.25450788745282699</v>
      </c>
      <c r="AP102" t="s">
        <v>1969</v>
      </c>
      <c r="AQ102">
        <v>50</v>
      </c>
      <c r="AR102">
        <v>1</v>
      </c>
    </row>
    <row r="103" spans="1:44" x14ac:dyDescent="0.35">
      <c r="A103" t="s">
        <v>336</v>
      </c>
      <c r="B103">
        <v>4</v>
      </c>
      <c r="C103" t="s">
        <v>7</v>
      </c>
      <c r="D103" t="s">
        <v>8</v>
      </c>
      <c r="E103" t="s">
        <v>32</v>
      </c>
      <c r="G103" t="s">
        <v>35</v>
      </c>
      <c r="I103" t="s">
        <v>36</v>
      </c>
      <c r="K103" t="s">
        <v>37</v>
      </c>
      <c r="M103" t="s">
        <v>231</v>
      </c>
      <c r="O103">
        <v>0.95</v>
      </c>
      <c r="P103" s="14" t="s">
        <v>312</v>
      </c>
      <c r="Q103">
        <v>97.2</v>
      </c>
      <c r="R103">
        <v>1</v>
      </c>
      <c r="S103">
        <v>4</v>
      </c>
      <c r="T103" s="9">
        <v>0</v>
      </c>
      <c r="U103">
        <v>0</v>
      </c>
      <c r="V103">
        <v>0</v>
      </c>
      <c r="X103" s="42">
        <f t="shared" si="18"/>
        <v>1.149029070435482E-4</v>
      </c>
      <c r="Y103" s="16">
        <f t="shared" si="23"/>
        <v>0.99775939331265096</v>
      </c>
      <c r="AA103" s="25">
        <f>IF(P103="*","-",IFERROR(VLOOKUP(P103,'AESS-W1'!$P$5:$S$126,4,FALSE),"-"))</f>
        <v>29</v>
      </c>
      <c r="AB103" s="25" t="str">
        <f>IF(P103="*","-",IFERROR(VLOOKUP(P103,'AESS-W2'!$P$5:$S$107,4,FALSE),"-"))</f>
        <v>-</v>
      </c>
      <c r="AC103" s="25">
        <f>IF(P103="*","-",IFERROR(VLOOKUP(P103,'All MECSM samples'!$P$4:$AD$454,15,FALSE),"-"))</f>
        <v>1018</v>
      </c>
      <c r="AD103" s="25"/>
      <c r="AE103">
        <v>0</v>
      </c>
      <c r="AF103">
        <v>0</v>
      </c>
      <c r="AH103">
        <f t="shared" si="19"/>
        <v>0</v>
      </c>
      <c r="AI103">
        <f t="shared" si="20"/>
        <v>0</v>
      </c>
      <c r="AJ103">
        <f t="shared" si="21"/>
        <v>0</v>
      </c>
      <c r="AK103">
        <f t="shared" si="22"/>
        <v>0</v>
      </c>
      <c r="AL103" s="11">
        <f>SUM(AH$5:AH103)/SUM(AK$5:AK103)</f>
        <v>0.8833333333333333</v>
      </c>
      <c r="AM103" s="11">
        <f>SUM(AI$5:AI103)/SUM(AK$5:AK103)</f>
        <v>0.43333333333333335</v>
      </c>
      <c r="AN103" s="11">
        <f>SUM(AJ$5:AJ103)/SUM(AL$5:AL103)</f>
        <v>0.25214595954920499</v>
      </c>
      <c r="AP103" t="s">
        <v>1972</v>
      </c>
      <c r="AQ103">
        <v>0</v>
      </c>
      <c r="AR103">
        <v>0</v>
      </c>
    </row>
    <row r="104" spans="1:44" x14ac:dyDescent="0.35">
      <c r="A104" t="s">
        <v>282</v>
      </c>
      <c r="B104">
        <v>4</v>
      </c>
      <c r="C104" t="s">
        <v>7</v>
      </c>
      <c r="D104" t="s">
        <v>8</v>
      </c>
      <c r="E104" t="s">
        <v>46</v>
      </c>
      <c r="G104" t="s">
        <v>47</v>
      </c>
      <c r="I104" t="s">
        <v>61</v>
      </c>
      <c r="O104">
        <v>0.99</v>
      </c>
      <c r="P104" s="14" t="s">
        <v>516</v>
      </c>
      <c r="Q104">
        <v>92.9</v>
      </c>
      <c r="R104">
        <v>1</v>
      </c>
      <c r="S104">
        <v>4</v>
      </c>
      <c r="T104" s="9">
        <v>0</v>
      </c>
      <c r="U104">
        <v>0</v>
      </c>
      <c r="V104">
        <v>0</v>
      </c>
      <c r="X104" s="42">
        <f t="shared" si="18"/>
        <v>1.149029070435482E-4</v>
      </c>
      <c r="Y104" s="16">
        <f t="shared" si="23"/>
        <v>0.99787429621969448</v>
      </c>
      <c r="AA104" s="25" t="str">
        <f>IF(P104="*","-",IFERROR(VLOOKUP(P104,'AESS-W1'!$P$5:$S$126,4,FALSE),"-"))</f>
        <v>-</v>
      </c>
      <c r="AB104" s="25" t="str">
        <f>IF(P104="*","-",IFERROR(VLOOKUP(P104,'AESS-W2'!$P$5:$S$107,4,FALSE),"-"))</f>
        <v>-</v>
      </c>
      <c r="AC104" s="25" t="str">
        <f>IF(P104="*","-",IFERROR(VLOOKUP(P104,'All MECSM samples'!$P$4:$AD$454,15,FALSE),"-"))</f>
        <v>-</v>
      </c>
      <c r="AD104" s="25"/>
      <c r="AE104">
        <v>62</v>
      </c>
      <c r="AF104">
        <v>156</v>
      </c>
      <c r="AH104">
        <f t="shared" si="19"/>
        <v>0</v>
      </c>
      <c r="AI104">
        <f t="shared" si="20"/>
        <v>0</v>
      </c>
      <c r="AJ104">
        <f t="shared" si="21"/>
        <v>0</v>
      </c>
      <c r="AK104">
        <f t="shared" si="22"/>
        <v>0</v>
      </c>
      <c r="AL104" s="11">
        <f>SUM(AH$5:AH104)/SUM(AK$5:AK104)</f>
        <v>0.8833333333333333</v>
      </c>
      <c r="AM104" s="11">
        <f>SUM(AI$5:AI104)/SUM(AK$5:AK104)</f>
        <v>0.43333333333333335</v>
      </c>
      <c r="AN104" s="11">
        <f>SUM(AJ$5:AJ104)/SUM(AL$5:AL104)</f>
        <v>0.24982746768273803</v>
      </c>
      <c r="AP104" t="s">
        <v>2066</v>
      </c>
      <c r="AQ104">
        <v>62</v>
      </c>
      <c r="AR104">
        <v>156</v>
      </c>
    </row>
    <row r="105" spans="1:44" x14ac:dyDescent="0.35">
      <c r="A105" t="s">
        <v>271</v>
      </c>
      <c r="B105">
        <v>4</v>
      </c>
      <c r="C105" t="s">
        <v>7</v>
      </c>
      <c r="D105" t="s">
        <v>8</v>
      </c>
      <c r="E105" t="s">
        <v>46</v>
      </c>
      <c r="G105" t="s">
        <v>47</v>
      </c>
      <c r="I105" t="s">
        <v>61</v>
      </c>
      <c r="K105" t="s">
        <v>157</v>
      </c>
      <c r="M105" t="s">
        <v>440</v>
      </c>
      <c r="O105">
        <v>0.61</v>
      </c>
      <c r="P105" s="14" t="s">
        <v>441</v>
      </c>
      <c r="Q105">
        <v>96.8</v>
      </c>
      <c r="R105">
        <v>1</v>
      </c>
      <c r="S105">
        <v>4</v>
      </c>
      <c r="T105" s="9">
        <v>0</v>
      </c>
      <c r="U105">
        <v>0</v>
      </c>
      <c r="V105">
        <v>0</v>
      </c>
      <c r="X105" s="42">
        <f t="shared" si="18"/>
        <v>1.149029070435482E-4</v>
      </c>
      <c r="Y105" s="16">
        <f t="shared" si="23"/>
        <v>0.997989199126738</v>
      </c>
      <c r="AA105" s="25">
        <f>IF(P105="*","-",IFERROR(VLOOKUP(P105,'AESS-W1'!$P$5:$S$126,4,FALSE),"-"))</f>
        <v>4</v>
      </c>
      <c r="AB105" s="25">
        <f>IF(P105="*","-",IFERROR(VLOOKUP(P105,'AESS-W2'!$P$5:$S$107,4,FALSE),"-"))</f>
        <v>2</v>
      </c>
      <c r="AC105" s="25">
        <f>IF(P105="*","-",IFERROR(VLOOKUP(P105,'All MECSM samples'!$P$4:$AD$454,15,FALSE),"-"))</f>
        <v>767</v>
      </c>
      <c r="AD105" s="25"/>
      <c r="AE105">
        <v>7</v>
      </c>
      <c r="AF105">
        <v>40</v>
      </c>
      <c r="AH105">
        <f t="shared" si="19"/>
        <v>0</v>
      </c>
      <c r="AI105">
        <f t="shared" si="20"/>
        <v>0</v>
      </c>
      <c r="AJ105">
        <f t="shared" si="21"/>
        <v>0</v>
      </c>
      <c r="AK105">
        <f t="shared" si="22"/>
        <v>0</v>
      </c>
      <c r="AL105" s="11">
        <f>SUM(AH$5:AH105)/SUM(AK$5:AK105)</f>
        <v>0.8833333333333333</v>
      </c>
      <c r="AM105" s="11">
        <f>SUM(AI$5:AI105)/SUM(AK$5:AK105)</f>
        <v>0.43333333333333335</v>
      </c>
      <c r="AN105" s="11">
        <f>SUM(AJ$5:AJ105)/SUM(AL$5:AL105)</f>
        <v>0.24755122458229686</v>
      </c>
      <c r="AP105" t="s">
        <v>2067</v>
      </c>
      <c r="AQ105">
        <v>7</v>
      </c>
      <c r="AR105">
        <v>40</v>
      </c>
    </row>
    <row r="106" spans="1:44" x14ac:dyDescent="0.35">
      <c r="A106" t="s">
        <v>356</v>
      </c>
      <c r="B106">
        <v>4</v>
      </c>
      <c r="C106" t="s">
        <v>7</v>
      </c>
      <c r="D106" t="s">
        <v>8</v>
      </c>
      <c r="E106" t="s">
        <v>9</v>
      </c>
      <c r="G106" t="s">
        <v>172</v>
      </c>
      <c r="I106" t="s">
        <v>347</v>
      </c>
      <c r="O106">
        <v>0.56000000000000005</v>
      </c>
      <c r="P106" s="14" t="s">
        <v>348</v>
      </c>
      <c r="Q106">
        <v>92.9</v>
      </c>
      <c r="R106">
        <v>2</v>
      </c>
      <c r="S106">
        <v>4</v>
      </c>
      <c r="T106" s="9">
        <v>0</v>
      </c>
      <c r="U106">
        <v>0</v>
      </c>
      <c r="V106">
        <v>0</v>
      </c>
      <c r="X106" s="42">
        <f t="shared" si="18"/>
        <v>1.149029070435482E-4</v>
      </c>
      <c r="Y106" s="16">
        <f t="shared" si="23"/>
        <v>0.99810410203378153</v>
      </c>
      <c r="AA106" s="25">
        <f>IF(P106="*","-",IFERROR(VLOOKUP(P106,'AESS-W1'!$P$5:$S$126,4,FALSE),"-"))</f>
        <v>14</v>
      </c>
      <c r="AB106" s="25">
        <f>IF(P106="*","-",IFERROR(VLOOKUP(P106,'AESS-W2'!$P$5:$S$107,4,FALSE),"-"))</f>
        <v>5</v>
      </c>
      <c r="AC106" s="25">
        <f>IF(P106="*","-",IFERROR(VLOOKUP(P106,'All MECSM samples'!$P$4:$AD$454,15,FALSE),"-"))</f>
        <v>5401</v>
      </c>
      <c r="AD106" s="25"/>
      <c r="AE106">
        <v>0</v>
      </c>
      <c r="AF106">
        <v>0</v>
      </c>
      <c r="AH106">
        <f t="shared" si="19"/>
        <v>0</v>
      </c>
      <c r="AI106">
        <f t="shared" si="20"/>
        <v>0</v>
      </c>
      <c r="AJ106">
        <f t="shared" si="21"/>
        <v>0</v>
      </c>
      <c r="AK106">
        <f t="shared" si="22"/>
        <v>0</v>
      </c>
      <c r="AL106" s="11">
        <f>SUM(AH$5:AH106)/SUM(AK$5:AK106)</f>
        <v>0.8833333333333333</v>
      </c>
      <c r="AM106" s="11">
        <f>SUM(AI$5:AI106)/SUM(AK$5:AK106)</f>
        <v>0.43333333333333335</v>
      </c>
      <c r="AN106" s="11">
        <f>SUM(AJ$5:AJ106)/SUM(AL$5:AL106)</f>
        <v>0.24531608585621184</v>
      </c>
      <c r="AP106" t="s">
        <v>1507</v>
      </c>
      <c r="AQ106">
        <v>0</v>
      </c>
      <c r="AR106">
        <v>0</v>
      </c>
    </row>
    <row r="107" spans="1:44" x14ac:dyDescent="0.35">
      <c r="A107" t="s">
        <v>301</v>
      </c>
      <c r="B107">
        <v>4</v>
      </c>
      <c r="C107" t="s">
        <v>7</v>
      </c>
      <c r="D107" t="s">
        <v>8</v>
      </c>
      <c r="E107" t="s">
        <v>32</v>
      </c>
      <c r="G107" t="s">
        <v>35</v>
      </c>
      <c r="I107" t="s">
        <v>36</v>
      </c>
      <c r="K107" t="s">
        <v>37</v>
      </c>
      <c r="M107" t="s">
        <v>201</v>
      </c>
      <c r="O107">
        <v>0.54</v>
      </c>
      <c r="P107" s="14" t="s">
        <v>202</v>
      </c>
      <c r="Q107">
        <v>86.2</v>
      </c>
      <c r="R107">
        <v>1</v>
      </c>
      <c r="S107">
        <v>4</v>
      </c>
      <c r="T107" s="9">
        <v>0</v>
      </c>
      <c r="U107">
        <v>0</v>
      </c>
      <c r="V107">
        <v>0</v>
      </c>
      <c r="X107" s="42">
        <f t="shared" si="18"/>
        <v>1.149029070435482E-4</v>
      </c>
      <c r="Y107" s="16">
        <f t="shared" si="23"/>
        <v>0.99821900494082505</v>
      </c>
      <c r="AA107" s="25">
        <f>IF(P107="*","-",IFERROR(VLOOKUP(P107,'AESS-W1'!$P$5:$S$126,4,FALSE),"-"))</f>
        <v>175</v>
      </c>
      <c r="AB107" s="25" t="str">
        <f>IF(P107="*","-",IFERROR(VLOOKUP(P107,'AESS-W2'!$P$5:$S$107,4,FALSE),"-"))</f>
        <v>-</v>
      </c>
      <c r="AC107" s="25">
        <f>IF(P107="*","-",IFERROR(VLOOKUP(P107,'All MECSM samples'!$P$4:$AD$454,15,FALSE),"-"))</f>
        <v>611</v>
      </c>
      <c r="AD107" s="25"/>
      <c r="AE107">
        <v>8</v>
      </c>
      <c r="AF107">
        <v>1112</v>
      </c>
      <c r="AH107">
        <f t="shared" si="19"/>
        <v>0</v>
      </c>
      <c r="AI107">
        <f t="shared" si="20"/>
        <v>0</v>
      </c>
      <c r="AJ107">
        <f t="shared" si="21"/>
        <v>0</v>
      </c>
      <c r="AK107">
        <f t="shared" si="22"/>
        <v>0</v>
      </c>
      <c r="AL107" s="11">
        <f>SUM(AH$5:AH107)/SUM(AK$5:AK107)</f>
        <v>0.8833333333333333</v>
      </c>
      <c r="AM107" s="11">
        <f>SUM(AI$5:AI107)/SUM(AK$5:AK107)</f>
        <v>0.43333333333333335</v>
      </c>
      <c r="AN107" s="11">
        <f>SUM(AJ$5:AJ107)/SUM(AL$5:AL107)</f>
        <v>0.24312094807380269</v>
      </c>
      <c r="AP107" t="s">
        <v>1637</v>
      </c>
      <c r="AQ107">
        <v>8</v>
      </c>
      <c r="AR107">
        <v>1112</v>
      </c>
    </row>
    <row r="108" spans="1:44" x14ac:dyDescent="0.35">
      <c r="A108" t="s">
        <v>280</v>
      </c>
      <c r="B108">
        <v>4</v>
      </c>
      <c r="C108" t="s">
        <v>7</v>
      </c>
      <c r="D108" t="s">
        <v>8</v>
      </c>
      <c r="E108" t="s">
        <v>9</v>
      </c>
      <c r="G108" t="s">
        <v>10</v>
      </c>
      <c r="I108" t="s">
        <v>107</v>
      </c>
      <c r="K108" t="s">
        <v>308</v>
      </c>
      <c r="M108" t="s">
        <v>309</v>
      </c>
      <c r="O108">
        <v>1</v>
      </c>
      <c r="P108" s="14" t="s">
        <v>615</v>
      </c>
      <c r="Q108">
        <v>99.6</v>
      </c>
      <c r="R108">
        <v>3</v>
      </c>
      <c r="S108">
        <v>4</v>
      </c>
      <c r="T108" s="9">
        <v>0</v>
      </c>
      <c r="U108">
        <v>0</v>
      </c>
      <c r="V108">
        <v>0</v>
      </c>
      <c r="X108" s="42">
        <f t="shared" si="18"/>
        <v>1.149029070435482E-4</v>
      </c>
      <c r="Y108" s="16">
        <f t="shared" si="23"/>
        <v>0.99833390784786857</v>
      </c>
      <c r="AA108" s="25" t="str">
        <f>IF(P108="*","-",IFERROR(VLOOKUP(P108,'AESS-W1'!$P$5:$S$126,4,FALSE),"-"))</f>
        <v>-</v>
      </c>
      <c r="AB108" s="25" t="str">
        <f>IF(P108="*","-",IFERROR(VLOOKUP(P108,'AESS-W2'!$P$5:$S$107,4,FALSE),"-"))</f>
        <v>-</v>
      </c>
      <c r="AC108" s="25">
        <f>IF(P108="*","-",IFERROR(VLOOKUP(P108,'All MECSM samples'!$P$4:$AD$454,15,FALSE),"-"))</f>
        <v>107</v>
      </c>
      <c r="AD108" s="25"/>
      <c r="AE108">
        <v>8</v>
      </c>
      <c r="AF108">
        <v>2</v>
      </c>
      <c r="AH108">
        <f t="shared" si="19"/>
        <v>0</v>
      </c>
      <c r="AI108">
        <f t="shared" si="20"/>
        <v>0</v>
      </c>
      <c r="AJ108">
        <f t="shared" si="21"/>
        <v>0</v>
      </c>
      <c r="AK108">
        <f t="shared" si="22"/>
        <v>0</v>
      </c>
      <c r="AL108" s="11">
        <f>SUM(AH$5:AH108)/SUM(AK$5:AK108)</f>
        <v>0.8833333333333333</v>
      </c>
      <c r="AM108" s="11">
        <f>SUM(AI$5:AI108)/SUM(AK$5:AK108)</f>
        <v>0.43333333333333335</v>
      </c>
      <c r="AN108" s="11">
        <f>SUM(AJ$5:AJ108)/SUM(AL$5:AL108)</f>
        <v>0.24096474694899572</v>
      </c>
      <c r="AP108" t="s">
        <v>1514</v>
      </c>
      <c r="AQ108">
        <v>8</v>
      </c>
      <c r="AR108">
        <v>2</v>
      </c>
    </row>
    <row r="109" spans="1:44" x14ac:dyDescent="0.35">
      <c r="A109" t="s">
        <v>323</v>
      </c>
      <c r="B109">
        <v>4</v>
      </c>
      <c r="C109" t="s">
        <v>7</v>
      </c>
      <c r="D109" t="s">
        <v>8</v>
      </c>
      <c r="E109" t="s">
        <v>46</v>
      </c>
      <c r="G109" t="s">
        <v>47</v>
      </c>
      <c r="I109" t="s">
        <v>61</v>
      </c>
      <c r="K109" t="s">
        <v>190</v>
      </c>
      <c r="M109" t="s">
        <v>273</v>
      </c>
      <c r="O109">
        <v>0.9</v>
      </c>
      <c r="P109" s="14" t="s">
        <v>543</v>
      </c>
      <c r="Q109">
        <v>95.7</v>
      </c>
      <c r="R109">
        <v>3</v>
      </c>
      <c r="S109">
        <v>4</v>
      </c>
      <c r="T109" s="9">
        <v>0</v>
      </c>
      <c r="U109">
        <v>0</v>
      </c>
      <c r="V109">
        <v>0</v>
      </c>
      <c r="X109" s="42">
        <f t="shared" si="18"/>
        <v>1.149029070435482E-4</v>
      </c>
      <c r="Y109" s="16">
        <f t="shared" si="23"/>
        <v>0.9984488107549121</v>
      </c>
      <c r="AA109" s="25" t="str">
        <f>IF(P109="*","-",IFERROR(VLOOKUP(P109,'AESS-W1'!$P$5:$S$126,4,FALSE),"-"))</f>
        <v>-</v>
      </c>
      <c r="AB109" s="25" t="str">
        <f>IF(P109="*","-",IFERROR(VLOOKUP(P109,'AESS-W2'!$P$5:$S$107,4,FALSE),"-"))</f>
        <v>-</v>
      </c>
      <c r="AC109" s="25">
        <f>IF(P109="*","-",IFERROR(VLOOKUP(P109,'All MECSM samples'!$P$4:$AD$454,15,FALSE),"-"))</f>
        <v>4</v>
      </c>
      <c r="AD109" s="25"/>
      <c r="AE109">
        <v>100</v>
      </c>
      <c r="AF109">
        <v>102</v>
      </c>
      <c r="AH109">
        <f t="shared" si="19"/>
        <v>0</v>
      </c>
      <c r="AI109">
        <f t="shared" si="20"/>
        <v>0</v>
      </c>
      <c r="AJ109">
        <f t="shared" si="21"/>
        <v>0</v>
      </c>
      <c r="AK109">
        <f t="shared" si="22"/>
        <v>1</v>
      </c>
      <c r="AL109" s="11">
        <f>SUM(AH$5:AH109)/SUM(AK$5:AK109)</f>
        <v>0.86885245901639341</v>
      </c>
      <c r="AM109" s="11">
        <f>SUM(AI$5:AI109)/SUM(AK$5:AK109)</f>
        <v>0.42622950819672129</v>
      </c>
      <c r="AN109" s="11">
        <f>SUM(AJ$5:AJ109)/SUM(AL$5:AL109)</f>
        <v>0.23888088139555924</v>
      </c>
      <c r="AP109" t="s">
        <v>1968</v>
      </c>
      <c r="AQ109">
        <v>100</v>
      </c>
      <c r="AR109">
        <v>102</v>
      </c>
    </row>
    <row r="110" spans="1:44" x14ac:dyDescent="0.35">
      <c r="A110" t="s">
        <v>327</v>
      </c>
      <c r="B110">
        <v>4</v>
      </c>
      <c r="C110" t="s">
        <v>7</v>
      </c>
      <c r="D110" t="s">
        <v>8</v>
      </c>
      <c r="E110" t="s">
        <v>100</v>
      </c>
      <c r="G110" t="s">
        <v>101</v>
      </c>
      <c r="I110" t="s">
        <v>102</v>
      </c>
      <c r="K110" t="s">
        <v>103</v>
      </c>
      <c r="M110" t="s">
        <v>383</v>
      </c>
      <c r="O110">
        <v>0.81</v>
      </c>
      <c r="P110" s="14" t="s">
        <v>384</v>
      </c>
      <c r="Q110">
        <v>95.7</v>
      </c>
      <c r="R110">
        <v>1</v>
      </c>
      <c r="S110">
        <v>4</v>
      </c>
      <c r="T110" s="9">
        <v>0</v>
      </c>
      <c r="U110">
        <v>0</v>
      </c>
      <c r="V110">
        <v>0</v>
      </c>
      <c r="X110" s="42">
        <f t="shared" si="18"/>
        <v>1.149029070435482E-4</v>
      </c>
      <c r="Y110" s="16">
        <f t="shared" si="23"/>
        <v>0.99856371366195562</v>
      </c>
      <c r="AA110" s="25">
        <f>IF(P110="*","-",IFERROR(VLOOKUP(P110,'AESS-W1'!$P$5:$S$126,4,FALSE),"-"))</f>
        <v>6</v>
      </c>
      <c r="AB110" s="25">
        <f>IF(P110="*","-",IFERROR(VLOOKUP(P110,'AESS-W2'!$P$5:$S$107,4,FALSE),"-"))</f>
        <v>5</v>
      </c>
      <c r="AC110" s="25">
        <f>IF(P110="*","-",IFERROR(VLOOKUP(P110,'All MECSM samples'!$P$4:$AD$454,15,FALSE),"-"))</f>
        <v>1015</v>
      </c>
      <c r="AD110" s="25"/>
      <c r="AE110">
        <v>0</v>
      </c>
      <c r="AF110">
        <v>0</v>
      </c>
      <c r="AH110">
        <f t="shared" si="19"/>
        <v>0</v>
      </c>
      <c r="AI110">
        <f t="shared" si="20"/>
        <v>0</v>
      </c>
      <c r="AJ110">
        <f t="shared" si="21"/>
        <v>0</v>
      </c>
      <c r="AK110">
        <f t="shared" si="22"/>
        <v>0</v>
      </c>
      <c r="AL110" s="11">
        <f>SUM(AH$5:AH110)/SUM(AK$5:AK110)</f>
        <v>0.86885245901639341</v>
      </c>
      <c r="AM110" s="11">
        <f>SUM(AI$5:AI110)/SUM(AK$5:AK110)</f>
        <v>0.42622950819672129</v>
      </c>
      <c r="AN110" s="11">
        <f>SUM(AJ$5:AJ110)/SUM(AL$5:AL110)</f>
        <v>0.23683274939846846</v>
      </c>
      <c r="AP110" t="s">
        <v>2068</v>
      </c>
      <c r="AQ110">
        <v>0</v>
      </c>
      <c r="AR110">
        <v>0</v>
      </c>
    </row>
    <row r="111" spans="1:44" x14ac:dyDescent="0.35">
      <c r="A111" t="s">
        <v>331</v>
      </c>
      <c r="B111">
        <v>4</v>
      </c>
      <c r="C111" t="s">
        <v>7</v>
      </c>
      <c r="D111" t="s">
        <v>8</v>
      </c>
      <c r="E111" t="s">
        <v>32</v>
      </c>
      <c r="G111" t="s">
        <v>445</v>
      </c>
      <c r="I111" t="s">
        <v>446</v>
      </c>
      <c r="O111">
        <v>0.5</v>
      </c>
      <c r="P111" s="14" t="s">
        <v>33</v>
      </c>
      <c r="Q111">
        <v>88.9</v>
      </c>
      <c r="R111">
        <v>1</v>
      </c>
      <c r="S111">
        <v>4</v>
      </c>
      <c r="T111" s="9">
        <v>0</v>
      </c>
      <c r="U111">
        <v>0</v>
      </c>
      <c r="V111">
        <v>0</v>
      </c>
      <c r="X111" s="42">
        <f t="shared" si="18"/>
        <v>1.149029070435482E-4</v>
      </c>
      <c r="Y111" s="16">
        <f t="shared" si="23"/>
        <v>0.99867861656899914</v>
      </c>
      <c r="AA111" s="25">
        <f>IF(P111="*","-",IFERROR(VLOOKUP(P111,'AESS-W1'!$P$5:$S$126,4,FALSE),"-"))</f>
        <v>9</v>
      </c>
      <c r="AB111" s="25">
        <f>IF(P111="*","-",IFERROR(VLOOKUP(P111,'AESS-W2'!$P$5:$S$107,4,FALSE),"-"))</f>
        <v>5845</v>
      </c>
      <c r="AC111" s="25">
        <f>IF(P111="*","-",IFERROR(VLOOKUP(P111,'All MECSM samples'!$P$4:$AD$454,15,FALSE),"-"))</f>
        <v>5880</v>
      </c>
      <c r="AD111" s="25"/>
      <c r="AE111">
        <v>0</v>
      </c>
      <c r="AF111">
        <v>0</v>
      </c>
      <c r="AH111">
        <f t="shared" si="19"/>
        <v>0</v>
      </c>
      <c r="AI111">
        <f t="shared" si="20"/>
        <v>0</v>
      </c>
      <c r="AJ111">
        <f t="shared" si="21"/>
        <v>0</v>
      </c>
      <c r="AK111">
        <f t="shared" si="22"/>
        <v>0</v>
      </c>
      <c r="AL111" s="11">
        <f>SUM(AH$5:AH111)/SUM(AK$5:AK111)</f>
        <v>0.86885245901639341</v>
      </c>
      <c r="AM111" s="11">
        <f>SUM(AI$5:AI111)/SUM(AK$5:AK111)</f>
        <v>0.42622950819672129</v>
      </c>
      <c r="AN111" s="11">
        <f>SUM(AJ$5:AJ111)/SUM(AL$5:AL111)</f>
        <v>0.23481943964730345</v>
      </c>
      <c r="AP111" t="s">
        <v>2069</v>
      </c>
      <c r="AQ111">
        <v>0</v>
      </c>
      <c r="AR111">
        <v>0</v>
      </c>
    </row>
    <row r="112" spans="1:44" x14ac:dyDescent="0.35">
      <c r="A112" t="s">
        <v>400</v>
      </c>
      <c r="B112">
        <v>4</v>
      </c>
      <c r="C112" t="s">
        <v>7</v>
      </c>
      <c r="D112" t="s">
        <v>8</v>
      </c>
      <c r="E112" t="s">
        <v>46</v>
      </c>
      <c r="G112" t="s">
        <v>47</v>
      </c>
      <c r="I112" t="s">
        <v>61</v>
      </c>
      <c r="K112" t="s">
        <v>157</v>
      </c>
      <c r="M112" t="s">
        <v>616</v>
      </c>
      <c r="O112">
        <v>0.61</v>
      </c>
      <c r="P112" s="14" t="s">
        <v>158</v>
      </c>
      <c r="Q112">
        <v>95.6</v>
      </c>
      <c r="R112">
        <v>1</v>
      </c>
      <c r="S112">
        <v>4</v>
      </c>
      <c r="T112" s="9">
        <v>0</v>
      </c>
      <c r="U112">
        <v>0</v>
      </c>
      <c r="V112">
        <v>0</v>
      </c>
      <c r="X112" s="42">
        <f t="shared" si="18"/>
        <v>1.149029070435482E-4</v>
      </c>
      <c r="Y112" s="16">
        <f t="shared" si="23"/>
        <v>0.99879351947604267</v>
      </c>
      <c r="AA112" s="25">
        <f>IF(P112="*","-",IFERROR(VLOOKUP(P112,'AESS-W1'!$P$5:$S$126,4,FALSE),"-"))</f>
        <v>230</v>
      </c>
      <c r="AB112" s="25" t="str">
        <f>IF(P112="*","-",IFERROR(VLOOKUP(P112,'AESS-W2'!$P$5:$S$107,4,FALSE),"-"))</f>
        <v>-</v>
      </c>
      <c r="AC112" s="25">
        <f>IF(P112="*","-",IFERROR(VLOOKUP(P112,'All MECSM samples'!$P$4:$AD$454,15,FALSE),"-"))</f>
        <v>231</v>
      </c>
      <c r="AD112" s="25"/>
      <c r="AE112">
        <v>14</v>
      </c>
      <c r="AF112">
        <v>899</v>
      </c>
      <c r="AH112">
        <f t="shared" si="19"/>
        <v>0</v>
      </c>
      <c r="AI112">
        <f t="shared" si="20"/>
        <v>0</v>
      </c>
      <c r="AJ112">
        <f t="shared" si="21"/>
        <v>0</v>
      </c>
      <c r="AK112">
        <f t="shared" si="22"/>
        <v>0</v>
      </c>
      <c r="AL112" s="11">
        <f>SUM(AH$5:AH112)/SUM(AK$5:AK112)</f>
        <v>0.86885245901639341</v>
      </c>
      <c r="AM112" s="11">
        <f>SUM(AI$5:AI112)/SUM(AK$5:AK112)</f>
        <v>0.42622950819672129</v>
      </c>
      <c r="AN112" s="11">
        <f>SUM(AJ$5:AJ112)/SUM(AL$5:AL112)</f>
        <v>0.23284007155855119</v>
      </c>
      <c r="AP112" t="s">
        <v>2070</v>
      </c>
      <c r="AQ112">
        <v>14</v>
      </c>
      <c r="AR112">
        <v>899</v>
      </c>
    </row>
    <row r="113" spans="1:44" x14ac:dyDescent="0.35">
      <c r="A113" t="s">
        <v>322</v>
      </c>
      <c r="B113">
        <v>4</v>
      </c>
      <c r="C113" t="s">
        <v>7</v>
      </c>
      <c r="D113" t="s">
        <v>8</v>
      </c>
      <c r="E113" t="s">
        <v>32</v>
      </c>
      <c r="O113">
        <v>0.99</v>
      </c>
      <c r="P113" s="14" t="s">
        <v>314</v>
      </c>
      <c r="Q113">
        <v>87</v>
      </c>
      <c r="R113">
        <v>1</v>
      </c>
      <c r="S113">
        <v>4</v>
      </c>
      <c r="T113" s="9">
        <v>0</v>
      </c>
      <c r="U113">
        <v>0</v>
      </c>
      <c r="V113">
        <v>0</v>
      </c>
      <c r="X113" s="42">
        <f t="shared" si="18"/>
        <v>1.149029070435482E-4</v>
      </c>
      <c r="Y113" s="16">
        <f t="shared" si="23"/>
        <v>0.99890842238308619</v>
      </c>
      <c r="AA113" s="25">
        <f>IF(P113="*","-",IFERROR(VLOOKUP(P113,'AESS-W1'!$P$5:$S$126,4,FALSE),"-"))</f>
        <v>13</v>
      </c>
      <c r="AB113" s="25">
        <f>IF(P113="*","-",IFERROR(VLOOKUP(P113,'AESS-W2'!$P$5:$S$107,4,FALSE),"-"))</f>
        <v>18</v>
      </c>
      <c r="AC113" s="25">
        <f>IF(P113="*","-",IFERROR(VLOOKUP(P113,'All MECSM samples'!$P$4:$AD$454,15,FALSE),"-"))</f>
        <v>4137</v>
      </c>
      <c r="AD113" s="25"/>
      <c r="AE113">
        <v>21</v>
      </c>
      <c r="AF113">
        <v>11</v>
      </c>
      <c r="AH113">
        <f t="shared" si="19"/>
        <v>0</v>
      </c>
      <c r="AI113">
        <f t="shared" si="20"/>
        <v>0</v>
      </c>
      <c r="AJ113">
        <f t="shared" si="21"/>
        <v>0</v>
      </c>
      <c r="AK113">
        <f t="shared" si="22"/>
        <v>0</v>
      </c>
      <c r="AL113" s="11">
        <f>SUM(AH$5:AH113)/SUM(AK$5:AK113)</f>
        <v>0.86885245901639341</v>
      </c>
      <c r="AM113" s="11">
        <f>SUM(AI$5:AI113)/SUM(AK$5:AK113)</f>
        <v>0.42622950819672129</v>
      </c>
      <c r="AN113" s="11">
        <f>SUM(AJ$5:AJ113)/SUM(AL$5:AL113)</f>
        <v>0.23089379399139595</v>
      </c>
      <c r="AP113" t="s">
        <v>2071</v>
      </c>
      <c r="AQ113">
        <v>21</v>
      </c>
      <c r="AR113">
        <v>11</v>
      </c>
    </row>
    <row r="114" spans="1:44" x14ac:dyDescent="0.35">
      <c r="A114" t="s">
        <v>359</v>
      </c>
      <c r="B114">
        <v>3</v>
      </c>
      <c r="C114" t="s">
        <v>7</v>
      </c>
      <c r="D114" t="s">
        <v>8</v>
      </c>
      <c r="E114" t="s">
        <v>9</v>
      </c>
      <c r="G114" t="s">
        <v>138</v>
      </c>
      <c r="I114" t="s">
        <v>410</v>
      </c>
      <c r="K114" t="s">
        <v>411</v>
      </c>
      <c r="O114">
        <v>1</v>
      </c>
      <c r="P114" s="14" t="s">
        <v>412</v>
      </c>
      <c r="Q114">
        <v>99.2</v>
      </c>
      <c r="R114">
        <v>7</v>
      </c>
      <c r="S114">
        <v>3</v>
      </c>
      <c r="T114" s="9">
        <v>0</v>
      </c>
      <c r="U114">
        <v>0</v>
      </c>
      <c r="V114">
        <v>0</v>
      </c>
      <c r="X114" s="42">
        <f t="shared" si="18"/>
        <v>8.6177180282661153E-5</v>
      </c>
      <c r="Y114" s="16">
        <f t="shared" si="23"/>
        <v>0.99899459956336889</v>
      </c>
      <c r="AA114" s="25">
        <f>IF(P114="*","-",IFERROR(VLOOKUP(P114,'AESS-W1'!$P$5:$S$126,4,FALSE),"-"))</f>
        <v>5</v>
      </c>
      <c r="AB114" s="25">
        <f>IF(P114="*","-",IFERROR(VLOOKUP(P114,'AESS-W2'!$P$5:$S$107,4,FALSE),"-"))</f>
        <v>4</v>
      </c>
      <c r="AC114" s="25">
        <f>IF(P114="*","-",IFERROR(VLOOKUP(P114,'All MECSM samples'!$P$4:$AD$454,15,FALSE),"-"))</f>
        <v>1524</v>
      </c>
      <c r="AD114" s="25"/>
      <c r="AE114">
        <v>32</v>
      </c>
      <c r="AF114">
        <v>1</v>
      </c>
      <c r="AH114">
        <f t="shared" si="19"/>
        <v>0</v>
      </c>
      <c r="AI114">
        <f t="shared" si="20"/>
        <v>0</v>
      </c>
      <c r="AJ114">
        <f t="shared" si="21"/>
        <v>0</v>
      </c>
      <c r="AK114">
        <f t="shared" si="22"/>
        <v>0</v>
      </c>
      <c r="AL114" s="11">
        <f>SUM(AH$5:AH114)/SUM(AK$5:AK114)</f>
        <v>0.86885245901639341</v>
      </c>
      <c r="AM114" s="11">
        <f>SUM(AI$5:AI114)/SUM(AK$5:AK114)</f>
        <v>0.42622950819672129</v>
      </c>
      <c r="AN114" s="11">
        <f>SUM(AJ$5:AJ114)/SUM(AL$5:AL114)</f>
        <v>0.22897978402738306</v>
      </c>
      <c r="AP114" t="s">
        <v>2072</v>
      </c>
      <c r="AQ114">
        <v>32</v>
      </c>
      <c r="AR114">
        <v>1</v>
      </c>
    </row>
    <row r="115" spans="1:44" x14ac:dyDescent="0.35">
      <c r="A115" t="s">
        <v>306</v>
      </c>
      <c r="B115">
        <v>3</v>
      </c>
      <c r="C115" t="s">
        <v>7</v>
      </c>
      <c r="D115" t="s">
        <v>8</v>
      </c>
      <c r="E115" t="s">
        <v>32</v>
      </c>
      <c r="G115" t="s">
        <v>35</v>
      </c>
      <c r="I115" t="s">
        <v>36</v>
      </c>
      <c r="K115" t="s">
        <v>37</v>
      </c>
      <c r="O115">
        <v>0.97</v>
      </c>
      <c r="P115" s="14" t="s">
        <v>401</v>
      </c>
      <c r="Q115">
        <v>93.7</v>
      </c>
      <c r="R115">
        <v>1</v>
      </c>
      <c r="S115">
        <v>3</v>
      </c>
      <c r="T115" s="9">
        <v>0</v>
      </c>
      <c r="U115">
        <v>0</v>
      </c>
      <c r="V115">
        <v>0</v>
      </c>
      <c r="X115" s="42">
        <f t="shared" si="18"/>
        <v>8.6177180282661153E-5</v>
      </c>
      <c r="Y115" s="16">
        <f t="shared" si="23"/>
        <v>0.99908077674365159</v>
      </c>
      <c r="AA115" s="25">
        <f>IF(P115="*","-",IFERROR(VLOOKUP(P115,'AESS-W1'!$P$5:$S$126,4,FALSE),"-"))</f>
        <v>5</v>
      </c>
      <c r="AB115" s="25">
        <f>IF(P115="*","-",IFERROR(VLOOKUP(P115,'AESS-W2'!$P$5:$S$107,4,FALSE),"-"))</f>
        <v>6</v>
      </c>
      <c r="AC115" s="25">
        <f>IF(P115="*","-",IFERROR(VLOOKUP(P115,'All MECSM samples'!$P$4:$AD$454,15,FALSE),"-"))</f>
        <v>6</v>
      </c>
      <c r="AD115" s="25"/>
      <c r="AE115">
        <v>3</v>
      </c>
      <c r="AF115">
        <v>41</v>
      </c>
      <c r="AH115">
        <f t="shared" si="19"/>
        <v>0</v>
      </c>
      <c r="AI115">
        <f t="shared" si="20"/>
        <v>0</v>
      </c>
      <c r="AJ115">
        <f t="shared" si="21"/>
        <v>0</v>
      </c>
      <c r="AK115">
        <f t="shared" si="22"/>
        <v>0</v>
      </c>
      <c r="AL115" s="11">
        <f>SUM(AH$5:AH115)/SUM(AK$5:AK115)</f>
        <v>0.86885245901639341</v>
      </c>
      <c r="AM115" s="11">
        <f>SUM(AI$5:AI115)/SUM(AK$5:AK115)</f>
        <v>0.42622950819672129</v>
      </c>
      <c r="AN115" s="11">
        <f>SUM(AJ$5:AJ115)/SUM(AL$5:AL115)</f>
        <v>0.22709724581027982</v>
      </c>
      <c r="AP115" t="s">
        <v>2073</v>
      </c>
      <c r="AQ115">
        <v>3</v>
      </c>
      <c r="AR115">
        <v>41</v>
      </c>
    </row>
    <row r="116" spans="1:44" x14ac:dyDescent="0.35">
      <c r="A116" t="s">
        <v>427</v>
      </c>
      <c r="B116">
        <v>3</v>
      </c>
      <c r="C116" t="s">
        <v>7</v>
      </c>
      <c r="D116" t="s">
        <v>8</v>
      </c>
      <c r="E116" t="s">
        <v>120</v>
      </c>
      <c r="G116" t="s">
        <v>121</v>
      </c>
      <c r="I116" t="s">
        <v>122</v>
      </c>
      <c r="K116" t="s">
        <v>123</v>
      </c>
      <c r="M116" t="s">
        <v>124</v>
      </c>
      <c r="O116">
        <v>1</v>
      </c>
      <c r="P116" s="14" t="s">
        <v>125</v>
      </c>
      <c r="Q116">
        <v>99.6</v>
      </c>
      <c r="R116">
        <v>1</v>
      </c>
      <c r="S116">
        <v>3</v>
      </c>
      <c r="T116" s="9">
        <v>0</v>
      </c>
      <c r="U116">
        <v>0</v>
      </c>
      <c r="V116">
        <v>0</v>
      </c>
      <c r="X116" s="42">
        <f t="shared" si="18"/>
        <v>8.6177180282661153E-5</v>
      </c>
      <c r="Y116" s="16">
        <f t="shared" si="23"/>
        <v>0.99916695392393429</v>
      </c>
      <c r="AA116" s="25">
        <f>IF(P116="*","-",IFERROR(VLOOKUP(P116,'AESS-W1'!$P$5:$S$126,4,FALSE),"-"))</f>
        <v>796</v>
      </c>
      <c r="AB116" s="25">
        <f>IF(P116="*","-",IFERROR(VLOOKUP(P116,'AESS-W2'!$P$5:$S$107,4,FALSE),"-"))</f>
        <v>4</v>
      </c>
      <c r="AC116" s="25">
        <f>IF(P116="*","-",IFERROR(VLOOKUP(P116,'All MECSM samples'!$P$4:$AD$454,15,FALSE),"-"))</f>
        <v>799</v>
      </c>
      <c r="AD116" s="25"/>
      <c r="AE116">
        <v>22</v>
      </c>
      <c r="AF116">
        <v>32</v>
      </c>
      <c r="AH116">
        <f t="shared" si="19"/>
        <v>0</v>
      </c>
      <c r="AI116">
        <f t="shared" si="20"/>
        <v>0</v>
      </c>
      <c r="AJ116">
        <f t="shared" si="21"/>
        <v>0</v>
      </c>
      <c r="AK116">
        <f t="shared" si="22"/>
        <v>0</v>
      </c>
      <c r="AL116" s="11">
        <f>SUM(AH$5:AH116)/SUM(AK$5:AK116)</f>
        <v>0.86885245901639341</v>
      </c>
      <c r="AM116" s="11">
        <f>SUM(AI$5:AI116)/SUM(AK$5:AK116)</f>
        <v>0.42622950819672129</v>
      </c>
      <c r="AN116" s="11">
        <f>SUM(AJ$5:AJ116)/SUM(AL$5:AL116)</f>
        <v>0.22524540944269797</v>
      </c>
      <c r="AP116" t="s">
        <v>2074</v>
      </c>
      <c r="AQ116">
        <v>22</v>
      </c>
      <c r="AR116">
        <v>32</v>
      </c>
    </row>
    <row r="117" spans="1:44" x14ac:dyDescent="0.35">
      <c r="A117" t="s">
        <v>424</v>
      </c>
      <c r="B117">
        <v>3</v>
      </c>
      <c r="C117" t="s">
        <v>7</v>
      </c>
      <c r="D117" t="s">
        <v>8</v>
      </c>
      <c r="E117" t="s">
        <v>46</v>
      </c>
      <c r="G117" t="s">
        <v>47</v>
      </c>
      <c r="I117" t="s">
        <v>61</v>
      </c>
      <c r="K117" t="s">
        <v>561</v>
      </c>
      <c r="M117" t="s">
        <v>562</v>
      </c>
      <c r="O117">
        <v>1</v>
      </c>
      <c r="P117" s="14" t="s">
        <v>563</v>
      </c>
      <c r="Q117">
        <v>100</v>
      </c>
      <c r="R117">
        <v>1</v>
      </c>
      <c r="S117">
        <v>3</v>
      </c>
      <c r="T117" s="9">
        <v>0</v>
      </c>
      <c r="U117">
        <v>0</v>
      </c>
      <c r="V117">
        <v>0</v>
      </c>
      <c r="X117" s="42">
        <f t="shared" si="18"/>
        <v>8.6177180282661153E-5</v>
      </c>
      <c r="Y117" s="16">
        <f t="shared" si="23"/>
        <v>0.99925313110421699</v>
      </c>
      <c r="AA117" s="25" t="str">
        <f>IF(P117="*","-",IFERROR(VLOOKUP(P117,'AESS-W1'!$P$5:$S$126,4,FALSE),"-"))</f>
        <v>-</v>
      </c>
      <c r="AB117" s="25" t="str">
        <f>IF(P117="*","-",IFERROR(VLOOKUP(P117,'AESS-W2'!$P$5:$S$107,4,FALSE),"-"))</f>
        <v>-</v>
      </c>
      <c r="AC117" s="25">
        <f>IF(P117="*","-",IFERROR(VLOOKUP(P117,'All MECSM samples'!$P$4:$AD$454,15,FALSE),"-"))</f>
        <v>9</v>
      </c>
      <c r="AD117" s="25"/>
      <c r="AE117">
        <v>81</v>
      </c>
      <c r="AF117">
        <v>149</v>
      </c>
      <c r="AH117">
        <f t="shared" si="19"/>
        <v>0</v>
      </c>
      <c r="AI117">
        <f t="shared" si="20"/>
        <v>0</v>
      </c>
      <c r="AJ117">
        <f t="shared" si="21"/>
        <v>0</v>
      </c>
      <c r="AK117">
        <f t="shared" si="22"/>
        <v>0</v>
      </c>
      <c r="AL117" s="11">
        <f>SUM(AH$5:AH117)/SUM(AK$5:AK117)</f>
        <v>0.86885245901639341</v>
      </c>
      <c r="AM117" s="11">
        <f>SUM(AI$5:AI117)/SUM(AK$5:AK117)</f>
        <v>0.42622950819672129</v>
      </c>
      <c r="AN117" s="11">
        <f>SUM(AJ$5:AJ117)/SUM(AL$5:AL117)</f>
        <v>0.22342352993626341</v>
      </c>
      <c r="AP117" t="s">
        <v>2075</v>
      </c>
      <c r="AQ117">
        <v>81</v>
      </c>
      <c r="AR117">
        <v>149</v>
      </c>
    </row>
    <row r="118" spans="1:44" x14ac:dyDescent="0.35">
      <c r="A118" t="s">
        <v>287</v>
      </c>
      <c r="B118">
        <v>3</v>
      </c>
      <c r="C118" t="s">
        <v>7</v>
      </c>
      <c r="D118" t="s">
        <v>8</v>
      </c>
      <c r="E118" t="s">
        <v>32</v>
      </c>
      <c r="G118" t="s">
        <v>35</v>
      </c>
      <c r="I118" t="s">
        <v>36</v>
      </c>
      <c r="K118" t="s">
        <v>37</v>
      </c>
      <c r="O118">
        <v>0.85</v>
      </c>
      <c r="P118" s="14" t="s">
        <v>401</v>
      </c>
      <c r="Q118">
        <v>89.7</v>
      </c>
      <c r="R118">
        <v>1</v>
      </c>
      <c r="S118">
        <v>3</v>
      </c>
      <c r="T118" s="9">
        <v>0</v>
      </c>
      <c r="U118">
        <v>0</v>
      </c>
      <c r="V118">
        <v>0</v>
      </c>
      <c r="X118" s="42">
        <f t="shared" si="18"/>
        <v>8.6177180282661153E-5</v>
      </c>
      <c r="Y118" s="16">
        <f t="shared" si="23"/>
        <v>0.99933930828449968</v>
      </c>
      <c r="AA118" s="25">
        <f>IF(P118="*","-",IFERROR(VLOOKUP(P118,'AESS-W1'!$P$5:$S$126,4,FALSE),"-"))</f>
        <v>5</v>
      </c>
      <c r="AB118" s="25">
        <f>IF(P118="*","-",IFERROR(VLOOKUP(P118,'AESS-W2'!$P$5:$S$107,4,FALSE),"-"))</f>
        <v>6</v>
      </c>
      <c r="AC118" s="25">
        <f>IF(P118="*","-",IFERROR(VLOOKUP(P118,'All MECSM samples'!$P$4:$AD$454,15,FALSE),"-"))</f>
        <v>6</v>
      </c>
      <c r="AD118" s="25"/>
      <c r="AE118">
        <v>0</v>
      </c>
      <c r="AF118">
        <v>0</v>
      </c>
      <c r="AH118">
        <f t="shared" si="19"/>
        <v>0</v>
      </c>
      <c r="AI118">
        <f t="shared" si="20"/>
        <v>0</v>
      </c>
      <c r="AJ118">
        <f t="shared" si="21"/>
        <v>0</v>
      </c>
      <c r="AK118">
        <f t="shared" si="22"/>
        <v>0</v>
      </c>
      <c r="AL118" s="11">
        <f>SUM(AH$5:AH118)/SUM(AK$5:AK118)</f>
        <v>0.86885245901639341</v>
      </c>
      <c r="AM118" s="11">
        <f>SUM(AI$5:AI118)/SUM(AK$5:AK118)</f>
        <v>0.42622950819672129</v>
      </c>
      <c r="AN118" s="11">
        <f>SUM(AJ$5:AJ118)/SUM(AL$5:AL118)</f>
        <v>0.22163088621232599</v>
      </c>
      <c r="AP118" t="s">
        <v>2076</v>
      </c>
      <c r="AQ118">
        <v>0</v>
      </c>
      <c r="AR118">
        <v>0</v>
      </c>
    </row>
    <row r="119" spans="1:44" x14ac:dyDescent="0.35">
      <c r="A119" t="s">
        <v>265</v>
      </c>
      <c r="B119">
        <v>3</v>
      </c>
      <c r="C119" t="s">
        <v>7</v>
      </c>
      <c r="D119" t="s">
        <v>8</v>
      </c>
      <c r="E119" t="s">
        <v>32</v>
      </c>
      <c r="G119" t="s">
        <v>35</v>
      </c>
      <c r="I119" t="s">
        <v>36</v>
      </c>
      <c r="K119" t="s">
        <v>37</v>
      </c>
      <c r="M119" t="s">
        <v>480</v>
      </c>
      <c r="O119">
        <v>0.5</v>
      </c>
      <c r="P119" s="14" t="s">
        <v>401</v>
      </c>
      <c r="Q119">
        <v>90.5</v>
      </c>
      <c r="R119">
        <v>1</v>
      </c>
      <c r="S119">
        <v>3</v>
      </c>
      <c r="T119" s="9">
        <v>0</v>
      </c>
      <c r="U119">
        <v>0</v>
      </c>
      <c r="V119">
        <v>0</v>
      </c>
      <c r="X119" s="42">
        <f t="shared" si="18"/>
        <v>8.6177180282661153E-5</v>
      </c>
      <c r="Y119" s="16">
        <f t="shared" si="23"/>
        <v>0.99942548546478238</v>
      </c>
      <c r="AA119" s="25">
        <f>IF(P119="*","-",IFERROR(VLOOKUP(P119,'AESS-W1'!$P$5:$S$126,4,FALSE),"-"))</f>
        <v>5</v>
      </c>
      <c r="AB119" s="25">
        <f>IF(P119="*","-",IFERROR(VLOOKUP(P119,'AESS-W2'!$P$5:$S$107,4,FALSE),"-"))</f>
        <v>6</v>
      </c>
      <c r="AC119" s="25">
        <f>IF(P119="*","-",IFERROR(VLOOKUP(P119,'All MECSM samples'!$P$4:$AD$454,15,FALSE),"-"))</f>
        <v>6</v>
      </c>
      <c r="AD119" s="25"/>
      <c r="AE119">
        <v>2</v>
      </c>
      <c r="AF119">
        <v>54</v>
      </c>
      <c r="AH119">
        <f t="shared" si="19"/>
        <v>0</v>
      </c>
      <c r="AI119">
        <f t="shared" si="20"/>
        <v>0</v>
      </c>
      <c r="AJ119">
        <f t="shared" si="21"/>
        <v>0</v>
      </c>
      <c r="AK119">
        <f t="shared" si="22"/>
        <v>0</v>
      </c>
      <c r="AL119" s="11">
        <f>SUM(AH$5:AH119)/SUM(AK$5:AK119)</f>
        <v>0.86885245901639341</v>
      </c>
      <c r="AM119" s="11">
        <f>SUM(AI$5:AI119)/SUM(AK$5:AK119)</f>
        <v>0.42622950819672129</v>
      </c>
      <c r="AN119" s="11">
        <f>SUM(AJ$5:AJ119)/SUM(AL$5:AL119)</f>
        <v>0.21986678015039343</v>
      </c>
      <c r="AP119" t="s">
        <v>2077</v>
      </c>
      <c r="AQ119">
        <v>2</v>
      </c>
      <c r="AR119">
        <v>54</v>
      </c>
    </row>
    <row r="120" spans="1:44" x14ac:dyDescent="0.35">
      <c r="A120" t="s">
        <v>363</v>
      </c>
      <c r="B120">
        <v>2</v>
      </c>
      <c r="C120" t="s">
        <v>7</v>
      </c>
      <c r="D120" t="s">
        <v>8</v>
      </c>
      <c r="E120" t="s">
        <v>32</v>
      </c>
      <c r="G120" t="s">
        <v>35</v>
      </c>
      <c r="I120" t="s">
        <v>36</v>
      </c>
      <c r="K120" t="s">
        <v>37</v>
      </c>
      <c r="M120" t="s">
        <v>425</v>
      </c>
      <c r="O120">
        <v>0.99</v>
      </c>
      <c r="P120" s="14" t="s">
        <v>426</v>
      </c>
      <c r="Q120">
        <v>93.3</v>
      </c>
      <c r="R120">
        <v>1</v>
      </c>
      <c r="S120">
        <v>2</v>
      </c>
      <c r="T120" s="9">
        <v>0</v>
      </c>
      <c r="U120">
        <v>0</v>
      </c>
      <c r="V120">
        <v>0</v>
      </c>
      <c r="X120" s="42">
        <f t="shared" si="18"/>
        <v>5.74514535217741E-5</v>
      </c>
      <c r="Y120" s="16">
        <f t="shared" si="23"/>
        <v>0.99948293691830414</v>
      </c>
      <c r="AA120" s="25" t="str">
        <f>IF(P120="*","-",IFERROR(VLOOKUP(P120,'AESS-W1'!$P$5:$S$126,4,FALSE),"-"))</f>
        <v>-</v>
      </c>
      <c r="AB120" s="25">
        <f>IF(P120="*","-",IFERROR(VLOOKUP(P120,'AESS-W2'!$P$5:$S$107,4,FALSE),"-"))</f>
        <v>9</v>
      </c>
      <c r="AC120" s="25">
        <f>IF(P120="*","-",IFERROR(VLOOKUP(P120,'All MECSM samples'!$P$4:$AD$454,15,FALSE),"-"))</f>
        <v>9</v>
      </c>
      <c r="AD120" s="25"/>
      <c r="AE120">
        <v>2</v>
      </c>
      <c r="AF120">
        <v>54</v>
      </c>
      <c r="AH120">
        <f t="shared" si="19"/>
        <v>0</v>
      </c>
      <c r="AI120">
        <f t="shared" si="20"/>
        <v>0</v>
      </c>
      <c r="AJ120">
        <f t="shared" si="21"/>
        <v>0</v>
      </c>
      <c r="AK120">
        <f t="shared" si="22"/>
        <v>0</v>
      </c>
      <c r="AL120" s="11">
        <f>SUM(AH$5:AH120)/SUM(AK$5:AK120)</f>
        <v>0.86885245901639341</v>
      </c>
      <c r="AM120" s="11">
        <f>SUM(AI$5:AI120)/SUM(AK$5:AK120)</f>
        <v>0.42622950819672129</v>
      </c>
      <c r="AN120" s="11">
        <f>SUM(AJ$5:AJ120)/SUM(AL$5:AL120)</f>
        <v>0.21813053568165117</v>
      </c>
      <c r="AP120" t="s">
        <v>2078</v>
      </c>
      <c r="AQ120">
        <v>2</v>
      </c>
      <c r="AR120">
        <v>54</v>
      </c>
    </row>
    <row r="121" spans="1:44" x14ac:dyDescent="0.35">
      <c r="A121" t="s">
        <v>355</v>
      </c>
      <c r="B121">
        <v>2</v>
      </c>
      <c r="C121" t="s">
        <v>7</v>
      </c>
      <c r="D121" t="s">
        <v>8</v>
      </c>
      <c r="E121" t="s">
        <v>9</v>
      </c>
      <c r="G121" t="s">
        <v>243</v>
      </c>
      <c r="I121" t="s">
        <v>594</v>
      </c>
      <c r="K121" t="s">
        <v>595</v>
      </c>
      <c r="M121" t="s">
        <v>596</v>
      </c>
      <c r="O121">
        <v>0.51</v>
      </c>
      <c r="P121" s="14" t="s">
        <v>597</v>
      </c>
      <c r="Q121">
        <v>98.8</v>
      </c>
      <c r="R121">
        <v>3</v>
      </c>
      <c r="S121">
        <v>2</v>
      </c>
      <c r="T121" s="9">
        <v>0</v>
      </c>
      <c r="U121">
        <v>0</v>
      </c>
      <c r="V121">
        <v>0</v>
      </c>
      <c r="X121" s="42">
        <f t="shared" si="18"/>
        <v>5.74514535217741E-5</v>
      </c>
      <c r="Y121" s="16">
        <f t="shared" si="23"/>
        <v>0.99954038837182591</v>
      </c>
      <c r="AA121" s="25" t="str">
        <f>IF(P121="*","-",IFERROR(VLOOKUP(P121,'AESS-W1'!$P$5:$S$126,4,FALSE),"-"))</f>
        <v>-</v>
      </c>
      <c r="AB121" s="25" t="str">
        <f>IF(P121="*","-",IFERROR(VLOOKUP(P121,'AESS-W2'!$P$5:$S$107,4,FALSE),"-"))</f>
        <v>-</v>
      </c>
      <c r="AC121" s="25">
        <f>IF(P121="*","-",IFERROR(VLOOKUP(P121,'All MECSM samples'!$P$4:$AD$454,15,FALSE),"-"))</f>
        <v>2</v>
      </c>
      <c r="AD121" s="25"/>
      <c r="AE121">
        <v>16</v>
      </c>
      <c r="AF121">
        <v>1</v>
      </c>
      <c r="AH121">
        <f t="shared" si="19"/>
        <v>0</v>
      </c>
      <c r="AI121">
        <f t="shared" si="20"/>
        <v>0</v>
      </c>
      <c r="AJ121">
        <f t="shared" si="21"/>
        <v>0</v>
      </c>
      <c r="AK121">
        <f t="shared" si="22"/>
        <v>0</v>
      </c>
      <c r="AL121" s="11">
        <f>SUM(AH$5:AH121)/SUM(AK$5:AK121)</f>
        <v>0.86885245901639341</v>
      </c>
      <c r="AM121" s="11">
        <f>SUM(AI$5:AI121)/SUM(AK$5:AK121)</f>
        <v>0.42622950819672129</v>
      </c>
      <c r="AN121" s="11">
        <f>SUM(AJ$5:AJ121)/SUM(AL$5:AL121)</f>
        <v>0.21642149792509541</v>
      </c>
      <c r="AP121" t="s">
        <v>2079</v>
      </c>
      <c r="AQ121">
        <v>16</v>
      </c>
      <c r="AR121">
        <v>1</v>
      </c>
    </row>
    <row r="122" spans="1:44" x14ac:dyDescent="0.35">
      <c r="A122" t="s">
        <v>320</v>
      </c>
      <c r="B122">
        <v>2</v>
      </c>
      <c r="C122" t="s">
        <v>7</v>
      </c>
      <c r="D122" t="s">
        <v>8</v>
      </c>
      <c r="E122" t="s">
        <v>32</v>
      </c>
      <c r="G122" t="s">
        <v>35</v>
      </c>
      <c r="I122" t="s">
        <v>36</v>
      </c>
      <c r="K122" t="s">
        <v>37</v>
      </c>
      <c r="O122">
        <v>0.98</v>
      </c>
      <c r="P122" s="14" t="s">
        <v>401</v>
      </c>
      <c r="Q122">
        <v>96.4</v>
      </c>
      <c r="R122">
        <v>1</v>
      </c>
      <c r="S122">
        <v>2</v>
      </c>
      <c r="T122" s="9">
        <v>0</v>
      </c>
      <c r="U122">
        <v>0</v>
      </c>
      <c r="V122">
        <v>0</v>
      </c>
      <c r="X122" s="42">
        <f t="shared" si="18"/>
        <v>5.74514535217741E-5</v>
      </c>
      <c r="Y122" s="16">
        <f t="shared" si="23"/>
        <v>0.99959783982534767</v>
      </c>
      <c r="AA122" s="25">
        <f>IF(P122="*","-",IFERROR(VLOOKUP(P122,'AESS-W1'!$P$5:$S$126,4,FALSE),"-"))</f>
        <v>5</v>
      </c>
      <c r="AB122" s="25">
        <f>IF(P122="*","-",IFERROR(VLOOKUP(P122,'AESS-W2'!$P$5:$S$107,4,FALSE),"-"))</f>
        <v>6</v>
      </c>
      <c r="AC122" s="25">
        <f>IF(P122="*","-",IFERROR(VLOOKUP(P122,'All MECSM samples'!$P$4:$AD$454,15,FALSE),"-"))</f>
        <v>6</v>
      </c>
      <c r="AD122" s="25"/>
      <c r="AE122">
        <v>0</v>
      </c>
      <c r="AF122">
        <v>0</v>
      </c>
      <c r="AH122">
        <f t="shared" si="19"/>
        <v>0</v>
      </c>
      <c r="AI122">
        <f t="shared" si="20"/>
        <v>0</v>
      </c>
      <c r="AJ122">
        <f t="shared" si="21"/>
        <v>0</v>
      </c>
      <c r="AK122">
        <f t="shared" si="22"/>
        <v>0</v>
      </c>
      <c r="AL122" s="11">
        <f>SUM(AH$5:AH122)/SUM(AK$5:AK122)</f>
        <v>0.86885245901639341</v>
      </c>
      <c r="AM122" s="11">
        <f>SUM(AI$5:AI122)/SUM(AK$5:AK122)</f>
        <v>0.42622950819672129</v>
      </c>
      <c r="AN122" s="11">
        <f>SUM(AJ$5:AJ122)/SUM(AL$5:AL122)</f>
        <v>0.21473903236396066</v>
      </c>
      <c r="AP122" t="s">
        <v>2080</v>
      </c>
      <c r="AQ122">
        <v>0</v>
      </c>
      <c r="AR122">
        <v>0</v>
      </c>
    </row>
    <row r="123" spans="1:44" x14ac:dyDescent="0.35">
      <c r="A123" t="s">
        <v>353</v>
      </c>
      <c r="B123">
        <v>2</v>
      </c>
      <c r="C123" t="s">
        <v>7</v>
      </c>
      <c r="D123" t="s">
        <v>8</v>
      </c>
      <c r="E123" t="s">
        <v>32</v>
      </c>
      <c r="G123" t="s">
        <v>35</v>
      </c>
      <c r="I123" t="s">
        <v>36</v>
      </c>
      <c r="K123" t="s">
        <v>37</v>
      </c>
      <c r="O123">
        <v>0.84</v>
      </c>
      <c r="P123" s="14" t="s">
        <v>401</v>
      </c>
      <c r="Q123">
        <v>89.3</v>
      </c>
      <c r="R123">
        <v>1</v>
      </c>
      <c r="S123">
        <v>2</v>
      </c>
      <c r="T123" s="9">
        <v>0</v>
      </c>
      <c r="U123">
        <v>0</v>
      </c>
      <c r="V123">
        <v>0</v>
      </c>
      <c r="X123" s="42">
        <f t="shared" si="18"/>
        <v>5.74514535217741E-5</v>
      </c>
      <c r="Y123" s="16">
        <f t="shared" si="23"/>
        <v>0.99965529127886943</v>
      </c>
      <c r="AA123" s="25">
        <f>IF(P123="*","-",IFERROR(VLOOKUP(P123,'AESS-W1'!$P$5:$S$126,4,FALSE),"-"))</f>
        <v>5</v>
      </c>
      <c r="AB123" s="25">
        <f>IF(P123="*","-",IFERROR(VLOOKUP(P123,'AESS-W2'!$P$5:$S$107,4,FALSE),"-"))</f>
        <v>6</v>
      </c>
      <c r="AC123" s="25">
        <f>IF(P123="*","-",IFERROR(VLOOKUP(P123,'All MECSM samples'!$P$4:$AD$454,15,FALSE),"-"))</f>
        <v>6</v>
      </c>
      <c r="AD123" s="25"/>
      <c r="AE123">
        <v>0</v>
      </c>
      <c r="AF123">
        <v>0</v>
      </c>
      <c r="AH123">
        <f t="shared" si="19"/>
        <v>0</v>
      </c>
      <c r="AI123">
        <f t="shared" si="20"/>
        <v>0</v>
      </c>
      <c r="AJ123">
        <f t="shared" si="21"/>
        <v>0</v>
      </c>
      <c r="AK123">
        <f t="shared" si="22"/>
        <v>0</v>
      </c>
      <c r="AL123" s="11">
        <f>SUM(AH$5:AH123)/SUM(AK$5:AK123)</f>
        <v>0.86885245901639341</v>
      </c>
      <c r="AM123" s="11">
        <f>SUM(AI$5:AI123)/SUM(AK$5:AK123)</f>
        <v>0.42622950819672129</v>
      </c>
      <c r="AN123" s="11">
        <f>SUM(AJ$5:AJ123)/SUM(AL$5:AL123)</f>
        <v>0.21308252406026551</v>
      </c>
      <c r="AP123" t="s">
        <v>2081</v>
      </c>
      <c r="AQ123">
        <v>0</v>
      </c>
      <c r="AR123">
        <v>0</v>
      </c>
    </row>
    <row r="124" spans="1:44" x14ac:dyDescent="0.35">
      <c r="A124" t="s">
        <v>318</v>
      </c>
      <c r="B124">
        <v>2</v>
      </c>
      <c r="C124" t="s">
        <v>7</v>
      </c>
      <c r="D124" t="s">
        <v>8</v>
      </c>
      <c r="E124" t="s">
        <v>46</v>
      </c>
      <c r="G124" t="s">
        <v>47</v>
      </c>
      <c r="I124" t="s">
        <v>61</v>
      </c>
      <c r="K124" t="s">
        <v>84</v>
      </c>
      <c r="M124" t="s">
        <v>475</v>
      </c>
      <c r="O124">
        <v>0.87</v>
      </c>
      <c r="P124" s="14" t="s">
        <v>476</v>
      </c>
      <c r="Q124">
        <v>98.8</v>
      </c>
      <c r="R124">
        <v>1</v>
      </c>
      <c r="S124">
        <v>2</v>
      </c>
      <c r="T124" s="9">
        <v>0</v>
      </c>
      <c r="U124">
        <v>0</v>
      </c>
      <c r="V124">
        <v>0</v>
      </c>
      <c r="X124" s="42">
        <f t="shared" si="18"/>
        <v>5.74514535217741E-5</v>
      </c>
      <c r="Y124" s="16">
        <f t="shared" si="23"/>
        <v>0.99971274273239119</v>
      </c>
      <c r="AA124" s="25" t="str">
        <f>IF(P124="*","-",IFERROR(VLOOKUP(P124,'AESS-W1'!$P$5:$S$126,4,FALSE),"-"))</f>
        <v>-</v>
      </c>
      <c r="AB124" s="25" t="str">
        <f>IF(P124="*","-",IFERROR(VLOOKUP(P124,'AESS-W2'!$P$5:$S$107,4,FALSE),"-"))</f>
        <v>-</v>
      </c>
      <c r="AC124" s="25">
        <f>IF(P124="*","-",IFERROR(VLOOKUP(P124,'All MECSM samples'!$P$4:$AD$454,15,FALSE),"-"))</f>
        <v>259</v>
      </c>
      <c r="AD124" s="25"/>
      <c r="AE124">
        <v>47</v>
      </c>
      <c r="AF124">
        <v>690</v>
      </c>
      <c r="AH124">
        <f t="shared" si="19"/>
        <v>0</v>
      </c>
      <c r="AI124">
        <f t="shared" si="20"/>
        <v>0</v>
      </c>
      <c r="AJ124">
        <f t="shared" si="21"/>
        <v>0</v>
      </c>
      <c r="AK124">
        <f t="shared" si="22"/>
        <v>0</v>
      </c>
      <c r="AL124" s="11">
        <f>SUM(AH$5:AH124)/SUM(AK$5:AK124)</f>
        <v>0.86885245901639341</v>
      </c>
      <c r="AM124" s="11">
        <f>SUM(AI$5:AI124)/SUM(AK$5:AK124)</f>
        <v>0.42622950819672129</v>
      </c>
      <c r="AN124" s="11">
        <f>SUM(AJ$5:AJ124)/SUM(AL$5:AL124)</f>
        <v>0.21145137690543456</v>
      </c>
      <c r="AP124" t="s">
        <v>1973</v>
      </c>
      <c r="AQ124">
        <v>47</v>
      </c>
      <c r="AR124">
        <v>690</v>
      </c>
    </row>
    <row r="125" spans="1:44" x14ac:dyDescent="0.35">
      <c r="A125" t="s">
        <v>428</v>
      </c>
      <c r="B125">
        <v>2</v>
      </c>
      <c r="C125" t="s">
        <v>7</v>
      </c>
      <c r="D125" t="s">
        <v>8</v>
      </c>
      <c r="E125" t="s">
        <v>46</v>
      </c>
      <c r="O125">
        <v>0.59</v>
      </c>
      <c r="P125" s="14" t="s">
        <v>98</v>
      </c>
      <c r="Q125">
        <v>0</v>
      </c>
      <c r="R125">
        <v>1</v>
      </c>
      <c r="S125">
        <v>2</v>
      </c>
      <c r="T125" s="9">
        <v>0</v>
      </c>
      <c r="U125" s="36">
        <v>0</v>
      </c>
      <c r="V125">
        <v>0</v>
      </c>
      <c r="X125" s="42">
        <f t="shared" si="18"/>
        <v>5.74514535217741E-5</v>
      </c>
      <c r="Y125" s="16">
        <f t="shared" si="23"/>
        <v>0.99977019418591295</v>
      </c>
      <c r="AA125" s="25" t="str">
        <f>IF(P125="*","-",IFERROR(VLOOKUP(P125,'AESS-W1'!$P$5:$S$126,4,FALSE),"-"))</f>
        <v>-</v>
      </c>
      <c r="AB125" s="25" t="str">
        <f>IF(P125="*","-",IFERROR(VLOOKUP(P125,'AESS-W2'!$P$5:$S$107,4,FALSE),"-"))</f>
        <v>-</v>
      </c>
      <c r="AC125" s="25" t="str">
        <f>IF(P125="*","-",IFERROR(VLOOKUP(P125,'All MECSM samples'!$P$4:$AD$454,15,FALSE),"-"))</f>
        <v>-</v>
      </c>
      <c r="AD125" s="25"/>
      <c r="AE125">
        <v>0</v>
      </c>
      <c r="AF125">
        <v>0</v>
      </c>
      <c r="AH125">
        <f t="shared" si="19"/>
        <v>0</v>
      </c>
      <c r="AI125">
        <f t="shared" si="20"/>
        <v>0</v>
      </c>
      <c r="AJ125">
        <f t="shared" si="21"/>
        <v>0</v>
      </c>
      <c r="AK125">
        <f t="shared" si="22"/>
        <v>0</v>
      </c>
      <c r="AL125" s="11">
        <f>SUM(AH$5:AH125)/SUM(AK$5:AK125)</f>
        <v>0.86885245901639341</v>
      </c>
      <c r="AM125" s="11">
        <f>SUM(AI$5:AI125)/SUM(AK$5:AK125)</f>
        <v>0.42622950819672129</v>
      </c>
      <c r="AN125" s="11">
        <f>SUM(AJ$5:AJ125)/SUM(AL$5:AL125)</f>
        <v>0.2098450129050777</v>
      </c>
      <c r="AP125" t="s">
        <v>2082</v>
      </c>
      <c r="AQ125">
        <v>0</v>
      </c>
      <c r="AR125">
        <v>0</v>
      </c>
    </row>
    <row r="126" spans="1:44" x14ac:dyDescent="0.35">
      <c r="A126" t="s">
        <v>241</v>
      </c>
      <c r="B126">
        <v>2</v>
      </c>
      <c r="C126" t="s">
        <v>7</v>
      </c>
      <c r="D126" t="s">
        <v>8</v>
      </c>
      <c r="E126" t="s">
        <v>9</v>
      </c>
      <c r="G126" t="s">
        <v>172</v>
      </c>
      <c r="I126" t="s">
        <v>173</v>
      </c>
      <c r="K126" t="s">
        <v>590</v>
      </c>
      <c r="M126" t="s">
        <v>591</v>
      </c>
      <c r="O126">
        <v>1</v>
      </c>
      <c r="P126" s="14" t="s">
        <v>592</v>
      </c>
      <c r="Q126">
        <v>100</v>
      </c>
      <c r="R126">
        <v>1</v>
      </c>
      <c r="S126">
        <v>2</v>
      </c>
      <c r="T126" s="9">
        <v>0</v>
      </c>
      <c r="U126">
        <v>0</v>
      </c>
      <c r="V126">
        <v>0</v>
      </c>
      <c r="X126" s="42">
        <f t="shared" si="18"/>
        <v>5.74514535217741E-5</v>
      </c>
      <c r="Y126" s="16">
        <f t="shared" si="23"/>
        <v>0.99982764563943471</v>
      </c>
      <c r="AA126" s="25" t="str">
        <f>IF(P126="*","-",IFERROR(VLOOKUP(P126,'AESS-W1'!$P$5:$S$126,4,FALSE),"-"))</f>
        <v>-</v>
      </c>
      <c r="AB126" s="25" t="str">
        <f>IF(P126="*","-",IFERROR(VLOOKUP(P126,'AESS-W2'!$P$5:$S$107,4,FALSE),"-"))</f>
        <v>-</v>
      </c>
      <c r="AC126" s="25">
        <f>IF(P126="*","-",IFERROR(VLOOKUP(P126,'All MECSM samples'!$P$4:$AD$454,15,FALSE),"-"))</f>
        <v>2</v>
      </c>
      <c r="AD126" s="25"/>
      <c r="AE126">
        <v>86</v>
      </c>
      <c r="AF126">
        <v>1</v>
      </c>
      <c r="AH126">
        <f t="shared" si="19"/>
        <v>0</v>
      </c>
      <c r="AI126">
        <f t="shared" si="20"/>
        <v>0</v>
      </c>
      <c r="AJ126">
        <f t="shared" si="21"/>
        <v>0</v>
      </c>
      <c r="AK126">
        <f t="shared" si="22"/>
        <v>0</v>
      </c>
      <c r="AL126" s="11">
        <f>SUM(AH$5:AH126)/SUM(AK$5:AK126)</f>
        <v>0.86885245901639341</v>
      </c>
      <c r="AM126" s="11">
        <f>SUM(AI$5:AI126)/SUM(AK$5:AK126)</f>
        <v>0.42622950819672129</v>
      </c>
      <c r="AN126" s="11">
        <f>SUM(AJ$5:AJ126)/SUM(AL$5:AL126)</f>
        <v>0.20826287149612421</v>
      </c>
      <c r="AP126" t="s">
        <v>2083</v>
      </c>
      <c r="AQ126">
        <v>86</v>
      </c>
      <c r="AR126">
        <v>1</v>
      </c>
    </row>
    <row r="127" spans="1:44" x14ac:dyDescent="0.35">
      <c r="A127" t="s">
        <v>420</v>
      </c>
      <c r="B127">
        <v>2</v>
      </c>
      <c r="C127" t="s">
        <v>7</v>
      </c>
      <c r="D127" t="s">
        <v>8</v>
      </c>
      <c r="E127" t="s">
        <v>32</v>
      </c>
      <c r="G127" t="s">
        <v>35</v>
      </c>
      <c r="I127" t="s">
        <v>36</v>
      </c>
      <c r="K127" t="s">
        <v>37</v>
      </c>
      <c r="M127" t="s">
        <v>480</v>
      </c>
      <c r="O127">
        <v>0.51</v>
      </c>
      <c r="P127" s="14" t="s">
        <v>401</v>
      </c>
      <c r="Q127">
        <v>94.8</v>
      </c>
      <c r="R127">
        <v>1</v>
      </c>
      <c r="S127">
        <v>2</v>
      </c>
      <c r="T127" s="9">
        <v>0</v>
      </c>
      <c r="U127">
        <v>0</v>
      </c>
      <c r="V127">
        <v>0</v>
      </c>
      <c r="X127" s="42">
        <f t="shared" si="18"/>
        <v>5.74514535217741E-5</v>
      </c>
      <c r="Y127" s="16">
        <f t="shared" si="23"/>
        <v>0.99988509709295648</v>
      </c>
      <c r="AA127" s="25">
        <f>IF(P127="*","-",IFERROR(VLOOKUP(P127,'AESS-W1'!$P$5:$S$126,4,FALSE),"-"))</f>
        <v>5</v>
      </c>
      <c r="AB127" s="25">
        <f>IF(P127="*","-",IFERROR(VLOOKUP(P127,'AESS-W2'!$P$5:$S$107,4,FALSE),"-"))</f>
        <v>6</v>
      </c>
      <c r="AC127" s="25">
        <f>IF(P127="*","-",IFERROR(VLOOKUP(P127,'All MECSM samples'!$P$4:$AD$454,15,FALSE),"-"))</f>
        <v>6</v>
      </c>
      <c r="AD127" s="25"/>
      <c r="AE127">
        <v>3</v>
      </c>
      <c r="AF127">
        <v>46</v>
      </c>
      <c r="AH127">
        <f t="shared" si="19"/>
        <v>0</v>
      </c>
      <c r="AI127">
        <f t="shared" si="20"/>
        <v>0</v>
      </c>
      <c r="AJ127">
        <f t="shared" si="21"/>
        <v>0</v>
      </c>
      <c r="AK127">
        <f t="shared" si="22"/>
        <v>0</v>
      </c>
      <c r="AL127" s="11">
        <f>SUM(AH$5:AH127)/SUM(AK$5:AK127)</f>
        <v>0.86885245901639341</v>
      </c>
      <c r="AM127" s="11">
        <f>SUM(AI$5:AI127)/SUM(AK$5:AK127)</f>
        <v>0.42622950819672129</v>
      </c>
      <c r="AN127" s="11">
        <f>SUM(AJ$5:AJ127)/SUM(AL$5:AL127)</f>
        <v>0.20670440889461669</v>
      </c>
      <c r="AP127" t="s">
        <v>2084</v>
      </c>
      <c r="AQ127">
        <v>3</v>
      </c>
      <c r="AR127">
        <v>46</v>
      </c>
    </row>
    <row r="128" spans="1:44" x14ac:dyDescent="0.35">
      <c r="A128" t="s">
        <v>372</v>
      </c>
      <c r="B128">
        <v>2</v>
      </c>
      <c r="C128" t="s">
        <v>7</v>
      </c>
      <c r="D128" t="s">
        <v>8</v>
      </c>
      <c r="E128" t="s">
        <v>9</v>
      </c>
      <c r="G128" t="s">
        <v>10</v>
      </c>
      <c r="I128" t="s">
        <v>131</v>
      </c>
      <c r="K128" t="s">
        <v>150</v>
      </c>
      <c r="M128" t="s">
        <v>278</v>
      </c>
      <c r="O128">
        <v>0.75</v>
      </c>
      <c r="P128" s="14" t="s">
        <v>152</v>
      </c>
      <c r="Q128">
        <v>95.3</v>
      </c>
      <c r="R128">
        <v>1</v>
      </c>
      <c r="S128">
        <v>2</v>
      </c>
      <c r="T128" s="9">
        <v>0</v>
      </c>
      <c r="U128">
        <v>0</v>
      </c>
      <c r="V128">
        <v>0</v>
      </c>
      <c r="X128" s="42">
        <f t="shared" si="18"/>
        <v>5.74514535217741E-5</v>
      </c>
      <c r="Y128" s="16">
        <f t="shared" si="23"/>
        <v>0.99994254854647824</v>
      </c>
      <c r="AA128" s="25">
        <f>IF(P128="*","-",IFERROR(VLOOKUP(P128,'AESS-W1'!$P$5:$S$126,4,FALSE),"-"))</f>
        <v>77</v>
      </c>
      <c r="AB128" s="25">
        <f>IF(P128="*","-",IFERROR(VLOOKUP(P128,'AESS-W2'!$P$5:$S$107,4,FALSE),"-"))</f>
        <v>220</v>
      </c>
      <c r="AC128" s="25">
        <f>IF(P128="*","-",IFERROR(VLOOKUP(P128,'All MECSM samples'!$P$4:$AD$454,15,FALSE),"-"))</f>
        <v>577</v>
      </c>
      <c r="AD128" s="25"/>
      <c r="AE128">
        <v>17</v>
      </c>
      <c r="AF128">
        <v>20</v>
      </c>
      <c r="AH128">
        <f t="shared" si="19"/>
        <v>0</v>
      </c>
      <c r="AI128">
        <f t="shared" si="20"/>
        <v>0</v>
      </c>
      <c r="AJ128">
        <f t="shared" si="21"/>
        <v>0</v>
      </c>
      <c r="AK128">
        <f t="shared" si="22"/>
        <v>0</v>
      </c>
      <c r="AL128" s="11">
        <f>SUM(AH$5:AH128)/SUM(AK$5:AK128)</f>
        <v>0.86885245901639341</v>
      </c>
      <c r="AM128" s="11">
        <f>SUM(AI$5:AI128)/SUM(AK$5:AK128)</f>
        <v>0.42622950819672129</v>
      </c>
      <c r="AN128" s="11">
        <f>SUM(AJ$5:AJ128)/SUM(AL$5:AL128)</f>
        <v>0.20516909747257092</v>
      </c>
      <c r="AP128" t="s">
        <v>2085</v>
      </c>
      <c r="AQ128">
        <v>17</v>
      </c>
      <c r="AR128">
        <v>20</v>
      </c>
    </row>
    <row r="129" spans="1:44" x14ac:dyDescent="0.35">
      <c r="A129" t="s">
        <v>465</v>
      </c>
      <c r="B129">
        <v>2</v>
      </c>
      <c r="C129" t="s">
        <v>7</v>
      </c>
      <c r="D129" t="s">
        <v>8</v>
      </c>
      <c r="E129" t="s">
        <v>46</v>
      </c>
      <c r="G129" t="s">
        <v>47</v>
      </c>
      <c r="I129" t="s">
        <v>61</v>
      </c>
      <c r="K129" t="s">
        <v>157</v>
      </c>
      <c r="M129" t="s">
        <v>502</v>
      </c>
      <c r="O129">
        <v>1</v>
      </c>
      <c r="P129" s="14" t="s">
        <v>503</v>
      </c>
      <c r="Q129">
        <v>99.6</v>
      </c>
      <c r="R129">
        <v>1</v>
      </c>
      <c r="S129">
        <v>2</v>
      </c>
      <c r="T129" s="9">
        <v>0</v>
      </c>
      <c r="U129">
        <v>0</v>
      </c>
      <c r="V129">
        <v>0</v>
      </c>
      <c r="X129" s="42">
        <f>S129/S$1</f>
        <v>5.74514535217741E-5</v>
      </c>
      <c r="Y129" s="16">
        <f>Y128+X129</f>
        <v>1</v>
      </c>
      <c r="AA129" s="25" t="str">
        <f>IF(P129="*","-",IFERROR(VLOOKUP(P129,'AESS-W1'!$P$5:$S$126,4,FALSE),"-"))</f>
        <v>-</v>
      </c>
      <c r="AB129" s="25" t="str">
        <f>IF(P129="*","-",IFERROR(VLOOKUP(P129,'AESS-W2'!$P$5:$S$107,4,FALSE),"-"))</f>
        <v>-</v>
      </c>
      <c r="AC129" s="25">
        <f>IF(P129="*","-",IFERROR(VLOOKUP(P129,'All MECSM samples'!$P$4:$AD$454,15,FALSE),"-"))</f>
        <v>473</v>
      </c>
      <c r="AD129" s="25"/>
      <c r="AE129">
        <v>17</v>
      </c>
      <c r="AF129">
        <v>745</v>
      </c>
      <c r="AH129">
        <f t="shared" si="19"/>
        <v>0</v>
      </c>
      <c r="AI129">
        <f t="shared" si="20"/>
        <v>0</v>
      </c>
      <c r="AJ129">
        <f t="shared" si="21"/>
        <v>0</v>
      </c>
      <c r="AK129">
        <f t="shared" si="22"/>
        <v>0</v>
      </c>
      <c r="AL129" s="11">
        <f>SUM(AH$5:AH129)/SUM(AK$5:AK129)</f>
        <v>0.86885245901639341</v>
      </c>
      <c r="AM129" s="11">
        <f>SUM(AI$5:AI129)/SUM(AK$5:AK129)</f>
        <v>0.42622950819672129</v>
      </c>
      <c r="AN129" s="11">
        <f>SUM(AJ$5:AJ129)/SUM(AL$5:AL129)</f>
        <v>0.2036564251624014</v>
      </c>
      <c r="AP129" t="s">
        <v>1509</v>
      </c>
      <c r="AQ129">
        <v>17</v>
      </c>
      <c r="AR129">
        <v>745</v>
      </c>
    </row>
    <row r="130" spans="1:44" x14ac:dyDescent="0.35">
      <c r="A130" t="s">
        <v>386</v>
      </c>
      <c r="B130">
        <v>2</v>
      </c>
      <c r="C130" t="s">
        <v>7</v>
      </c>
      <c r="D130" t="s">
        <v>8</v>
      </c>
      <c r="E130" t="s">
        <v>32</v>
      </c>
      <c r="G130" t="s">
        <v>35</v>
      </c>
      <c r="I130" t="s">
        <v>36</v>
      </c>
      <c r="K130" t="s">
        <v>37</v>
      </c>
      <c r="O130">
        <v>0.97</v>
      </c>
      <c r="P130" s="14" t="s">
        <v>401</v>
      </c>
      <c r="Q130">
        <v>93.7</v>
      </c>
      <c r="R130">
        <v>1</v>
      </c>
      <c r="S130">
        <v>2</v>
      </c>
      <c r="T130" s="9">
        <v>0</v>
      </c>
      <c r="U130">
        <v>0</v>
      </c>
      <c r="V130">
        <v>0</v>
      </c>
      <c r="X130" s="42">
        <f>S130/S$1</f>
        <v>5.74514535217741E-5</v>
      </c>
      <c r="Y130" s="16">
        <f>Y129+X130</f>
        <v>1.0000574514535219</v>
      </c>
      <c r="AA130" s="25">
        <f>IF(P130="*","-",IFERROR(VLOOKUP(P130,'AESS-W1'!$P$5:$S$126,4,FALSE),"-"))</f>
        <v>5</v>
      </c>
      <c r="AB130" s="25">
        <f>IF(P130="*","-",IFERROR(VLOOKUP(P130,'AESS-W2'!$P$5:$S$107,4,FALSE),"-"))</f>
        <v>6</v>
      </c>
      <c r="AC130" s="25">
        <f>IF(P130="*","-",IFERROR(VLOOKUP(P130,'All MECSM samples'!$P$4:$AD$454,15,FALSE),"-"))</f>
        <v>6</v>
      </c>
      <c r="AE130">
        <v>3</v>
      </c>
      <c r="AF130">
        <v>46</v>
      </c>
      <c r="AI130">
        <f t="shared" si="20"/>
        <v>0</v>
      </c>
      <c r="AJ130">
        <f t="shared" si="21"/>
        <v>0</v>
      </c>
      <c r="AK130">
        <f t="shared" si="22"/>
        <v>0</v>
      </c>
      <c r="AL130" s="11">
        <f>SUM(AH$5:AH130)/SUM(AK$5:AK130)</f>
        <v>0.86885245901639341</v>
      </c>
      <c r="AM130" s="11">
        <f>SUM(AI$5:AI130)/SUM(AK$5:AK130)</f>
        <v>0.42622950819672129</v>
      </c>
      <c r="AN130" s="11">
        <f>SUM(AJ$5:AJ130)/SUM(AL$5:AL130)</f>
        <v>0.20216589488750047</v>
      </c>
      <c r="AP130" t="s">
        <v>2086</v>
      </c>
      <c r="AQ130">
        <v>3</v>
      </c>
      <c r="AR130">
        <v>46</v>
      </c>
    </row>
  </sheetData>
  <sortState ref="A5:V130">
    <sortCondition descending="1" ref="S5:S130"/>
  </sortState>
  <conditionalFormatting sqref="S5:S129">
    <cfRule type="expression" dxfId="26" priority="44" stopIfTrue="1">
      <formula>$S5=0</formula>
    </cfRule>
    <cfRule type="expression" dxfId="25" priority="45" stopIfTrue="1">
      <formula>$AE5=0</formula>
    </cfRule>
    <cfRule type="expression" dxfId="24" priority="46">
      <formula>$AE5&lt;90</formula>
    </cfRule>
  </conditionalFormatting>
  <conditionalFormatting sqref="AE5:AE130">
    <cfRule type="cellIs" dxfId="23" priority="1" operator="equal">
      <formula>100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27"/>
  <sheetViews>
    <sheetView zoomScale="102" zoomScaleNormal="102" workbookViewId="0">
      <selection activeCell="K32" sqref="K32"/>
    </sheetView>
  </sheetViews>
  <sheetFormatPr defaultRowHeight="14.5" x14ac:dyDescent="0.35"/>
  <sheetData>
    <row r="1" spans="1:30" x14ac:dyDescent="0.35">
      <c r="A1" t="s">
        <v>2158</v>
      </c>
    </row>
    <row r="3" spans="1:30" s="1" customFormat="1" ht="29" x14ac:dyDescent="0.35">
      <c r="B3" s="1" t="str">
        <f>'AE-W1'!S3</f>
        <v>W1 amplicon</v>
      </c>
      <c r="C3" s="1" t="str">
        <f>'AE-W1'!T3</f>
        <v>W1 extended</v>
      </c>
      <c r="D3" s="1" t="str">
        <f>'AE-W2'!$S$3</f>
        <v>W2 amplicon</v>
      </c>
      <c r="E3" s="1" t="str">
        <f>'AE-W2'!$S$3</f>
        <v>W2 amplicon</v>
      </c>
      <c r="F3" s="1" t="str">
        <f>'AE-W3'!S3</f>
        <v>W3 amplicon</v>
      </c>
      <c r="G3" s="1" t="str">
        <f>'AE-W3'!T3</f>
        <v>W3 extended</v>
      </c>
      <c r="I3" s="33">
        <v>0.98</v>
      </c>
      <c r="K3" s="1" t="s">
        <v>1963</v>
      </c>
      <c r="L3" s="1" t="s">
        <v>1964</v>
      </c>
      <c r="M3" s="1" t="s">
        <v>1965</v>
      </c>
      <c r="O3" s="33">
        <v>0.99</v>
      </c>
      <c r="Q3" s="1" t="s">
        <v>1963</v>
      </c>
      <c r="R3" s="1" t="s">
        <v>1964</v>
      </c>
      <c r="S3" s="1" t="s">
        <v>1965</v>
      </c>
      <c r="U3" s="33">
        <v>0.98</v>
      </c>
      <c r="V3" s="1" t="s">
        <v>1963</v>
      </c>
      <c r="W3" s="1" t="s">
        <v>1964</v>
      </c>
      <c r="X3" s="1" t="s">
        <v>1965</v>
      </c>
      <c r="AA3" s="33">
        <v>0.99</v>
      </c>
      <c r="AB3" s="1" t="s">
        <v>1963</v>
      </c>
      <c r="AC3" s="1" t="s">
        <v>1964</v>
      </c>
      <c r="AD3" s="1" t="s">
        <v>1965</v>
      </c>
    </row>
    <row r="4" spans="1:30" x14ac:dyDescent="0.35">
      <c r="A4" s="19">
        <v>0.98</v>
      </c>
      <c r="B4" s="8">
        <f>COUNTIF('AE-W1'!$S5:$S34,"&gt;0")</f>
        <v>30</v>
      </c>
      <c r="C4" s="8">
        <f>COUNTIFS('AE-W1'!$S5:$S34, "&gt;0",'AE-W1'!$T5:$T34,"&gt;0")</f>
        <v>30</v>
      </c>
      <c r="D4" s="8">
        <f>COUNTIF('AE-W2'!$S5:$S26,"&gt;0")</f>
        <v>22</v>
      </c>
      <c r="E4" s="8">
        <f>COUNTIFS('AE-W2'!$S5:$S26, "&gt;0",'AE-W2'!$T5:$T26,"&gt;0")</f>
        <v>22</v>
      </c>
      <c r="F4" s="8">
        <f>COUNTIF('AE-W3'!$S5:$S40,"&gt;0")</f>
        <v>36</v>
      </c>
      <c r="G4" s="8">
        <f>COUNTIFS('AE-W3'!$S5:$S40, "&gt;0",'AE-W3'!$T5:$T40,"&gt;0")</f>
        <v>36</v>
      </c>
      <c r="J4" t="s">
        <v>619</v>
      </c>
      <c r="K4">
        <f>$B4</f>
        <v>30</v>
      </c>
      <c r="L4">
        <f>$D4</f>
        <v>22</v>
      </c>
      <c r="M4">
        <f>$F4</f>
        <v>36</v>
      </c>
      <c r="P4" t="s">
        <v>619</v>
      </c>
      <c r="Q4">
        <f>$B5</f>
        <v>48</v>
      </c>
      <c r="R4">
        <f>$D5</f>
        <v>33</v>
      </c>
      <c r="S4">
        <f>$F5</f>
        <v>53</v>
      </c>
      <c r="U4" t="s">
        <v>619</v>
      </c>
      <c r="V4">
        <f>$B4</f>
        <v>30</v>
      </c>
      <c r="W4">
        <f>$D4</f>
        <v>22</v>
      </c>
      <c r="X4">
        <f>$F4</f>
        <v>36</v>
      </c>
      <c r="AA4" t="s">
        <v>619</v>
      </c>
      <c r="AB4">
        <f>$B5</f>
        <v>48</v>
      </c>
      <c r="AC4">
        <f>$D5</f>
        <v>33</v>
      </c>
      <c r="AD4">
        <f>$F5</f>
        <v>53</v>
      </c>
    </row>
    <row r="5" spans="1:30" x14ac:dyDescent="0.35">
      <c r="A5" s="19">
        <v>0.99</v>
      </c>
      <c r="B5" s="8">
        <f>COUNTIF('AE-W1'!$S5:$S53,"&gt;0")</f>
        <v>48</v>
      </c>
      <c r="C5" s="8">
        <f>COUNTIFS('AE-W1'!$S5:$S53, "&gt;0",'AE-W1'!$T5:$T53,"&gt;0")</f>
        <v>38</v>
      </c>
      <c r="D5" s="8">
        <f>COUNTIF('AE-W2'!$S5:$S37,"&gt;0")</f>
        <v>33</v>
      </c>
      <c r="E5" s="8">
        <f>COUNTIFS('AE-W2'!$S5:$S37, "&gt;0",'AE-W2'!$T5:$T37,"&gt;0")</f>
        <v>29</v>
      </c>
      <c r="F5" s="8">
        <f>COUNTIF('AE-W3'!$S5:$S58,"&gt;0")</f>
        <v>53</v>
      </c>
      <c r="G5" s="8">
        <f>COUNTIFS('AE-W3'!$S5:$S58, "&gt;0",'AE-W3'!$T5:$T58,"&gt;0")</f>
        <v>50</v>
      </c>
      <c r="J5" t="s">
        <v>620</v>
      </c>
      <c r="K5">
        <f>$C4</f>
        <v>30</v>
      </c>
      <c r="L5">
        <f>$E4</f>
        <v>22</v>
      </c>
      <c r="M5">
        <f>$G4</f>
        <v>36</v>
      </c>
      <c r="P5" t="s">
        <v>620</v>
      </c>
      <c r="Q5">
        <f>$C5</f>
        <v>38</v>
      </c>
      <c r="R5">
        <f>$E5</f>
        <v>29</v>
      </c>
      <c r="S5">
        <f>$G5</f>
        <v>50</v>
      </c>
      <c r="U5" t="s">
        <v>1954</v>
      </c>
      <c r="V5">
        <f>K12</f>
        <v>30</v>
      </c>
      <c r="W5">
        <f>L12</f>
        <v>22</v>
      </c>
      <c r="X5">
        <f>M12</f>
        <v>36</v>
      </c>
      <c r="AA5" t="s">
        <v>1954</v>
      </c>
      <c r="AB5">
        <f>Q12</f>
        <v>44</v>
      </c>
      <c r="AC5">
        <f>R12</f>
        <v>29</v>
      </c>
      <c r="AD5">
        <f>S12</f>
        <v>51</v>
      </c>
    </row>
    <row r="6" spans="1:30" x14ac:dyDescent="0.35">
      <c r="U6" t="s">
        <v>620</v>
      </c>
      <c r="V6">
        <f>$C4</f>
        <v>30</v>
      </c>
      <c r="W6">
        <f>$E4</f>
        <v>22</v>
      </c>
      <c r="X6">
        <f>$G4</f>
        <v>36</v>
      </c>
      <c r="AA6" t="s">
        <v>620</v>
      </c>
      <c r="AB6">
        <f>$C5</f>
        <v>38</v>
      </c>
      <c r="AC6">
        <f>$E5</f>
        <v>29</v>
      </c>
      <c r="AD6">
        <f>$G5</f>
        <v>50</v>
      </c>
    </row>
    <row r="7" spans="1:30" x14ac:dyDescent="0.35">
      <c r="U7" t="s">
        <v>1955</v>
      </c>
      <c r="V7">
        <f>K13</f>
        <v>30</v>
      </c>
      <c r="W7">
        <f>L13</f>
        <v>22</v>
      </c>
      <c r="X7">
        <f>M13</f>
        <v>36</v>
      </c>
      <c r="AA7" t="s">
        <v>1955</v>
      </c>
      <c r="AB7">
        <f>Q13</f>
        <v>39</v>
      </c>
      <c r="AC7">
        <f>R13</f>
        <v>29</v>
      </c>
      <c r="AD7">
        <f>S13</f>
        <v>51</v>
      </c>
    </row>
    <row r="9" spans="1:30" x14ac:dyDescent="0.35">
      <c r="P9" s="19"/>
      <c r="Q9" s="8"/>
      <c r="R9" s="8"/>
      <c r="S9" s="8"/>
      <c r="T9" s="8"/>
    </row>
    <row r="10" spans="1:30" x14ac:dyDescent="0.35">
      <c r="A10" t="s">
        <v>1083</v>
      </c>
      <c r="P10" s="19"/>
      <c r="Q10" s="8"/>
      <c r="R10" s="8"/>
      <c r="S10" s="8"/>
      <c r="T10" s="8"/>
    </row>
    <row r="11" spans="1:30" ht="29" x14ac:dyDescent="0.35">
      <c r="B11" s="1" t="str">
        <f t="shared" ref="B11:G11" si="0">B3</f>
        <v>W1 amplicon</v>
      </c>
      <c r="C11" s="1" t="str">
        <f t="shared" si="0"/>
        <v>W1 extended</v>
      </c>
      <c r="D11" s="1" t="str">
        <f t="shared" si="0"/>
        <v>W2 amplicon</v>
      </c>
      <c r="E11" s="1" t="str">
        <f t="shared" si="0"/>
        <v>W2 amplicon</v>
      </c>
      <c r="F11" s="1" t="str">
        <f t="shared" si="0"/>
        <v>W3 amplicon</v>
      </c>
      <c r="G11" s="1" t="str">
        <f t="shared" si="0"/>
        <v>W3 extended</v>
      </c>
      <c r="I11" s="33">
        <v>0.98</v>
      </c>
      <c r="J11" s="1"/>
      <c r="K11" s="1" t="s">
        <v>1963</v>
      </c>
      <c r="L11" s="1" t="s">
        <v>1964</v>
      </c>
      <c r="M11" s="1" t="s">
        <v>1965</v>
      </c>
      <c r="O11" s="33">
        <v>0.99</v>
      </c>
      <c r="P11" s="1"/>
      <c r="Q11" s="1" t="s">
        <v>1963</v>
      </c>
      <c r="R11" s="1" t="s">
        <v>1964</v>
      </c>
      <c r="S11" s="1" t="s">
        <v>1965</v>
      </c>
    </row>
    <row r="12" spans="1:30" x14ac:dyDescent="0.35">
      <c r="A12" s="19">
        <f>A4</f>
        <v>0.98</v>
      </c>
      <c r="B12">
        <f>B4-B18</f>
        <v>30</v>
      </c>
      <c r="C12">
        <f>C4+C21</f>
        <v>30</v>
      </c>
      <c r="D12">
        <f>D4-D18</f>
        <v>22</v>
      </c>
      <c r="E12">
        <f>E4+E21</f>
        <v>22</v>
      </c>
      <c r="F12">
        <f>F4-F18</f>
        <v>36</v>
      </c>
      <c r="G12">
        <f>G4+G21</f>
        <v>36</v>
      </c>
      <c r="J12" t="s">
        <v>619</v>
      </c>
      <c r="K12">
        <f>B12</f>
        <v>30</v>
      </c>
      <c r="L12">
        <f>D12</f>
        <v>22</v>
      </c>
      <c r="M12">
        <f>F12</f>
        <v>36</v>
      </c>
      <c r="P12" t="s">
        <v>619</v>
      </c>
      <c r="Q12">
        <f>$B13</f>
        <v>44</v>
      </c>
      <c r="R12">
        <f>$D13</f>
        <v>29</v>
      </c>
      <c r="S12">
        <f>$F13</f>
        <v>51</v>
      </c>
    </row>
    <row r="13" spans="1:30" x14ac:dyDescent="0.35">
      <c r="A13" s="19">
        <f>A5</f>
        <v>0.99</v>
      </c>
      <c r="B13">
        <f>B5-B18-B19</f>
        <v>44</v>
      </c>
      <c r="C13">
        <f>C5+C21+C22</f>
        <v>39</v>
      </c>
      <c r="D13">
        <f>D5-D18-D19</f>
        <v>29</v>
      </c>
      <c r="E13">
        <f>E5+E21+E22</f>
        <v>29</v>
      </c>
      <c r="F13">
        <f>F5-F18-F19</f>
        <v>51</v>
      </c>
      <c r="G13">
        <f>G5+G21+G22</f>
        <v>51</v>
      </c>
      <c r="J13" t="s">
        <v>620</v>
      </c>
      <c r="K13">
        <f>C12</f>
        <v>30</v>
      </c>
      <c r="L13">
        <f>E12</f>
        <v>22</v>
      </c>
      <c r="M13">
        <f>G12</f>
        <v>36</v>
      </c>
      <c r="P13" t="s">
        <v>620</v>
      </c>
      <c r="Q13">
        <f>$C13</f>
        <v>39</v>
      </c>
      <c r="R13">
        <f>$E13</f>
        <v>29</v>
      </c>
      <c r="S13">
        <f>$G13</f>
        <v>51</v>
      </c>
    </row>
    <row r="16" spans="1:30" x14ac:dyDescent="0.35">
      <c r="A16" t="s">
        <v>1084</v>
      </c>
      <c r="B16" t="str">
        <f t="shared" ref="B16:G16" si="1">B11</f>
        <v>W1 amplicon</v>
      </c>
      <c r="C16" t="str">
        <f t="shared" si="1"/>
        <v>W1 extended</v>
      </c>
      <c r="D16" t="str">
        <f t="shared" si="1"/>
        <v>W2 amplicon</v>
      </c>
      <c r="E16" t="str">
        <f t="shared" si="1"/>
        <v>W2 amplicon</v>
      </c>
      <c r="F16" t="str">
        <f t="shared" si="1"/>
        <v>W3 amplicon</v>
      </c>
      <c r="G16" t="str">
        <f t="shared" si="1"/>
        <v>W3 extended</v>
      </c>
    </row>
    <row r="17" spans="1:11" x14ac:dyDescent="0.35">
      <c r="A17" t="s">
        <v>1085</v>
      </c>
    </row>
    <row r="18" spans="1:11" x14ac:dyDescent="0.35">
      <c r="A18" s="19">
        <v>0.98</v>
      </c>
    </row>
    <row r="19" spans="1:11" x14ac:dyDescent="0.35">
      <c r="A19" s="19">
        <v>0.99</v>
      </c>
      <c r="B19">
        <v>4</v>
      </c>
      <c r="D19">
        <v>4</v>
      </c>
      <c r="F19">
        <v>2</v>
      </c>
    </row>
    <row r="20" spans="1:11" x14ac:dyDescent="0.35">
      <c r="A20" t="s">
        <v>1086</v>
      </c>
    </row>
    <row r="21" spans="1:11" x14ac:dyDescent="0.35">
      <c r="A21" s="19">
        <v>0.98</v>
      </c>
    </row>
    <row r="22" spans="1:11" x14ac:dyDescent="0.35">
      <c r="A22" s="19">
        <v>0.99</v>
      </c>
      <c r="C22">
        <v>1</v>
      </c>
      <c r="G22">
        <v>1</v>
      </c>
    </row>
    <row r="25" spans="1:11" x14ac:dyDescent="0.35">
      <c r="A25" s="19"/>
    </row>
    <row r="26" spans="1:11" x14ac:dyDescent="0.35">
      <c r="A26" s="19"/>
    </row>
    <row r="27" spans="1:11" x14ac:dyDescent="0.35">
      <c r="K27" t="s">
        <v>1079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29"/>
  <sheetViews>
    <sheetView zoomScaleNormal="100" workbookViewId="0">
      <selection activeCell="AC109" sqref="AC109"/>
    </sheetView>
  </sheetViews>
  <sheetFormatPr defaultRowHeight="14.5" x14ac:dyDescent="0.35"/>
  <cols>
    <col min="16" max="16" width="27.1796875" style="9" customWidth="1"/>
    <col min="19" max="24" width="10.1796875" customWidth="1"/>
    <col min="25" max="25" width="3.54296875" customWidth="1"/>
    <col min="26" max="26" width="9.1796875" style="40" customWidth="1"/>
    <col min="27" max="27" width="10.81640625" customWidth="1"/>
    <col min="28" max="28" width="5.1796875" customWidth="1"/>
    <col min="34" max="34" width="6" customWidth="1"/>
    <col min="35" max="36" width="8.81640625" style="9"/>
  </cols>
  <sheetData>
    <row r="1" spans="1:37" x14ac:dyDescent="0.35">
      <c r="S1">
        <f t="shared" ref="S1:X1" si="0">SUM(S4:S227)</f>
        <v>42924</v>
      </c>
      <c r="T1">
        <f t="shared" si="0"/>
        <v>19592</v>
      </c>
      <c r="U1">
        <f t="shared" si="0"/>
        <v>46029</v>
      </c>
      <c r="V1">
        <f t="shared" si="0"/>
        <v>15848</v>
      </c>
      <c r="W1">
        <f t="shared" si="0"/>
        <v>34899</v>
      </c>
      <c r="X1">
        <f t="shared" si="0"/>
        <v>23059</v>
      </c>
      <c r="Z1" s="34">
        <f>SUM(B4:B228)</f>
        <v>182351</v>
      </c>
    </row>
    <row r="3" spans="1:37" ht="43.5" x14ac:dyDescent="0.35">
      <c r="A3" t="s">
        <v>0</v>
      </c>
      <c r="B3" t="s">
        <v>1</v>
      </c>
      <c r="C3" t="s">
        <v>2</v>
      </c>
      <c r="O3" t="s">
        <v>1479</v>
      </c>
      <c r="P3" s="9" t="s">
        <v>3</v>
      </c>
      <c r="Q3" t="s">
        <v>4</v>
      </c>
      <c r="R3" t="s">
        <v>5</v>
      </c>
      <c r="S3" s="13" t="s">
        <v>2087</v>
      </c>
      <c r="T3" s="35" t="s">
        <v>2088</v>
      </c>
      <c r="U3" s="1" t="s">
        <v>2089</v>
      </c>
      <c r="V3" s="35" t="s">
        <v>2090</v>
      </c>
      <c r="W3" s="1" t="s">
        <v>2091</v>
      </c>
      <c r="X3" s="1" t="s">
        <v>2092</v>
      </c>
      <c r="Z3" s="41" t="s">
        <v>1480</v>
      </c>
      <c r="AA3" s="1" t="s">
        <v>618</v>
      </c>
      <c r="AB3" s="1"/>
      <c r="AC3" s="1" t="s">
        <v>2123</v>
      </c>
      <c r="AD3" s="1" t="s">
        <v>2133</v>
      </c>
      <c r="AE3" s="1" t="s">
        <v>2143</v>
      </c>
      <c r="AF3" s="1"/>
      <c r="AG3" s="1" t="s">
        <v>1482</v>
      </c>
      <c r="AI3" s="10" t="s">
        <v>1477</v>
      </c>
      <c r="AJ3" s="10" t="s">
        <v>1478</v>
      </c>
      <c r="AK3" s="10" t="s">
        <v>1481</v>
      </c>
    </row>
    <row r="4" spans="1:37" x14ac:dyDescent="0.35">
      <c r="A4" t="s">
        <v>6</v>
      </c>
      <c r="B4">
        <v>43603</v>
      </c>
      <c r="C4" t="s">
        <v>7</v>
      </c>
      <c r="D4" t="s">
        <v>8</v>
      </c>
      <c r="E4" t="s">
        <v>9</v>
      </c>
      <c r="G4" t="s">
        <v>10</v>
      </c>
      <c r="I4" t="s">
        <v>11</v>
      </c>
      <c r="K4" t="s">
        <v>12</v>
      </c>
      <c r="M4" t="s">
        <v>13</v>
      </c>
      <c r="O4">
        <v>0.91</v>
      </c>
      <c r="P4" s="9" t="s">
        <v>14</v>
      </c>
      <c r="Q4">
        <v>96.8</v>
      </c>
      <c r="R4">
        <v>1</v>
      </c>
      <c r="S4">
        <v>27333</v>
      </c>
      <c r="T4">
        <v>13574</v>
      </c>
      <c r="U4">
        <v>132</v>
      </c>
      <c r="V4">
        <v>0</v>
      </c>
      <c r="W4">
        <v>1554</v>
      </c>
      <c r="X4">
        <v>1010</v>
      </c>
      <c r="Z4" s="26">
        <f>B4/Z$1</f>
        <v>0.23911577123240343</v>
      </c>
      <c r="AA4" s="12">
        <f>Z4</f>
        <v>0.23911577123240343</v>
      </c>
      <c r="AB4" s="11"/>
      <c r="AC4">
        <v>100</v>
      </c>
      <c r="AD4">
        <v>77</v>
      </c>
      <c r="AE4">
        <v>100</v>
      </c>
      <c r="AG4" s="25">
        <f>IF(P4="*","-",IFERROR(VLOOKUP(P4,'All MECSM samples'!$P$4:$AD$454,15,FALSE),"-"))</f>
        <v>27497</v>
      </c>
      <c r="AI4" s="9">
        <f>IF(OR(AND(AC4&gt;=90, T4&gt;0), AND(AD4&gt;=90, V4&gt;0), AND(AE4&gt;=90, X4&gt;0)), 1, 0)</f>
        <v>1</v>
      </c>
      <c r="AJ4" s="9">
        <f>IF(OR(AC4&gt;=90,AD4&gt;=90,AE4&gt;=90),1,0)</f>
        <v>1</v>
      </c>
      <c r="AK4" s="11">
        <f>SUM(AI$4:AI4)/SUM(AJ$4:AJ4)</f>
        <v>1</v>
      </c>
    </row>
    <row r="5" spans="1:37" x14ac:dyDescent="0.35">
      <c r="A5" t="s">
        <v>15</v>
      </c>
      <c r="B5">
        <v>24970</v>
      </c>
      <c r="C5" t="s">
        <v>7</v>
      </c>
      <c r="D5" t="s">
        <v>8</v>
      </c>
      <c r="O5">
        <v>0.99</v>
      </c>
      <c r="P5" s="9" t="s">
        <v>16</v>
      </c>
      <c r="Q5">
        <v>87</v>
      </c>
      <c r="R5">
        <v>1</v>
      </c>
      <c r="S5">
        <v>24</v>
      </c>
      <c r="T5">
        <v>0</v>
      </c>
      <c r="U5">
        <v>17120</v>
      </c>
      <c r="V5">
        <v>7816</v>
      </c>
      <c r="W5">
        <v>10</v>
      </c>
      <c r="X5">
        <v>0</v>
      </c>
      <c r="Z5" s="26">
        <f>B5/Z$1</f>
        <v>0.13693371574600632</v>
      </c>
      <c r="AA5" s="12">
        <f t="shared" ref="AA5:AA68" si="1">AA4+Z5</f>
        <v>0.37604948697840979</v>
      </c>
      <c r="AB5" s="11"/>
      <c r="AC5">
        <v>84</v>
      </c>
      <c r="AD5">
        <v>100</v>
      </c>
      <c r="AE5">
        <v>25</v>
      </c>
      <c r="AG5" s="25">
        <f>IF(P5="*","-",IFERROR(VLOOKUP(P5,'All MECSM samples'!$P$4:$AD$454,15,FALSE),"-"))</f>
        <v>17201</v>
      </c>
      <c r="AI5" s="9">
        <f t="shared" ref="AI5:AI68" si="2">IF(OR(AND(AC5&gt;=90, T5&gt;0), AND(AD5&gt;=90, V5&gt;0), AND(AE5&gt;=90, X5&gt;0)), 1, 0)</f>
        <v>1</v>
      </c>
      <c r="AJ5" s="9">
        <f t="shared" ref="AJ5:AJ68" si="3">IF(OR(AC5&gt;=90,AD5&gt;=90,AE5&gt;=90),1,0)</f>
        <v>1</v>
      </c>
      <c r="AK5" s="11">
        <f>SUM(AI$4:AI5)/SUM(AJ$4:AJ5)</f>
        <v>1</v>
      </c>
    </row>
    <row r="6" spans="1:37" x14ac:dyDescent="0.35">
      <c r="A6" t="s">
        <v>17</v>
      </c>
      <c r="B6">
        <v>10514</v>
      </c>
      <c r="C6" t="s">
        <v>7</v>
      </c>
      <c r="D6" t="s">
        <v>8</v>
      </c>
      <c r="E6" t="s">
        <v>18</v>
      </c>
      <c r="G6" t="s">
        <v>19</v>
      </c>
      <c r="I6" t="s">
        <v>20</v>
      </c>
      <c r="K6" t="s">
        <v>21</v>
      </c>
      <c r="O6">
        <v>0.56999999999999995</v>
      </c>
      <c r="P6" s="9" t="s">
        <v>22</v>
      </c>
      <c r="Q6">
        <v>85.8</v>
      </c>
      <c r="R6">
        <v>1</v>
      </c>
      <c r="S6">
        <v>13</v>
      </c>
      <c r="T6">
        <v>0</v>
      </c>
      <c r="U6">
        <v>1171</v>
      </c>
      <c r="V6">
        <v>305</v>
      </c>
      <c r="W6">
        <v>5956</v>
      </c>
      <c r="X6">
        <v>3069</v>
      </c>
      <c r="Z6" s="26">
        <f t="shared" ref="Z6:Z69" si="4">B6/Z$1</f>
        <v>5.7658033133901103E-2</v>
      </c>
      <c r="AA6" s="12">
        <f t="shared" si="1"/>
        <v>0.4337075201123109</v>
      </c>
      <c r="AC6">
        <v>0</v>
      </c>
      <c r="AD6">
        <v>100</v>
      </c>
      <c r="AE6">
        <v>100</v>
      </c>
      <c r="AG6" s="25">
        <f>IF(P6="*","-",IFERROR(VLOOKUP(P6,'All MECSM samples'!$P$4:$AD$454,15,FALSE),"-"))</f>
        <v>5986</v>
      </c>
      <c r="AI6" s="9">
        <f t="shared" si="2"/>
        <v>1</v>
      </c>
      <c r="AJ6" s="9">
        <f t="shared" si="3"/>
        <v>1</v>
      </c>
      <c r="AK6" s="11">
        <f>SUM(AI$4:AI6)/SUM(AJ$4:AJ6)</f>
        <v>1</v>
      </c>
    </row>
    <row r="7" spans="1:37" x14ac:dyDescent="0.35">
      <c r="A7" t="s">
        <v>23</v>
      </c>
      <c r="B7">
        <v>10163</v>
      </c>
      <c r="C7" t="s">
        <v>7</v>
      </c>
      <c r="D7" t="s">
        <v>24</v>
      </c>
      <c r="E7" t="s">
        <v>25</v>
      </c>
      <c r="G7" t="s">
        <v>26</v>
      </c>
      <c r="I7" t="s">
        <v>27</v>
      </c>
      <c r="K7" t="s">
        <v>28</v>
      </c>
      <c r="M7" t="s">
        <v>29</v>
      </c>
      <c r="O7">
        <v>1</v>
      </c>
      <c r="P7" s="9" t="s">
        <v>30</v>
      </c>
      <c r="Q7">
        <v>100</v>
      </c>
      <c r="R7">
        <v>1</v>
      </c>
      <c r="S7">
        <v>5</v>
      </c>
      <c r="T7">
        <v>0</v>
      </c>
      <c r="U7">
        <v>29</v>
      </c>
      <c r="V7">
        <v>0</v>
      </c>
      <c r="W7">
        <v>7736</v>
      </c>
      <c r="X7">
        <v>2393</v>
      </c>
      <c r="Z7" s="26">
        <f t="shared" si="4"/>
        <v>5.5733173933787038E-2</v>
      </c>
      <c r="AA7" s="12">
        <f t="shared" si="1"/>
        <v>0.48944069404609791</v>
      </c>
      <c r="AC7">
        <v>0</v>
      </c>
      <c r="AD7">
        <v>32</v>
      </c>
      <c r="AE7">
        <v>100</v>
      </c>
      <c r="AG7" s="25">
        <f>IF(P7="*","-",IFERROR(VLOOKUP(P7,'All MECSM samples'!$P$4:$AD$454,15,FALSE),"-"))</f>
        <v>7783</v>
      </c>
      <c r="AI7" s="9">
        <f t="shared" si="2"/>
        <v>1</v>
      </c>
      <c r="AJ7" s="9">
        <f t="shared" si="3"/>
        <v>1</v>
      </c>
      <c r="AK7" s="11">
        <f>SUM(AI$4:AI7)/SUM(AJ$4:AJ7)</f>
        <v>1</v>
      </c>
    </row>
    <row r="8" spans="1:37" x14ac:dyDescent="0.35">
      <c r="A8" t="s">
        <v>34</v>
      </c>
      <c r="B8">
        <v>7081</v>
      </c>
      <c r="C8" t="s">
        <v>7</v>
      </c>
      <c r="D8" t="s">
        <v>8</v>
      </c>
      <c r="E8" t="s">
        <v>32</v>
      </c>
      <c r="O8">
        <v>0.99</v>
      </c>
      <c r="P8" s="9" t="s">
        <v>33</v>
      </c>
      <c r="Q8">
        <v>87.7</v>
      </c>
      <c r="R8">
        <v>1</v>
      </c>
      <c r="S8">
        <v>9</v>
      </c>
      <c r="T8">
        <v>0</v>
      </c>
      <c r="U8">
        <v>5845</v>
      </c>
      <c r="V8">
        <v>1220</v>
      </c>
      <c r="W8">
        <v>7</v>
      </c>
      <c r="X8">
        <v>0</v>
      </c>
      <c r="Z8" s="26">
        <f t="shared" si="4"/>
        <v>3.8831703692329626E-2</v>
      </c>
      <c r="AA8" s="12">
        <f t="shared" si="1"/>
        <v>0.52827239773842749</v>
      </c>
      <c r="AC8">
        <v>2</v>
      </c>
      <c r="AD8">
        <v>100</v>
      </c>
      <c r="AE8">
        <v>25</v>
      </c>
      <c r="AG8" s="25">
        <f>IF(P8="*","-",IFERROR(VLOOKUP(P8,'All MECSM samples'!$P$4:$AD$454,15,FALSE),"-"))</f>
        <v>5880</v>
      </c>
      <c r="AI8" s="9">
        <f t="shared" si="2"/>
        <v>1</v>
      </c>
      <c r="AJ8" s="9">
        <f t="shared" si="3"/>
        <v>1</v>
      </c>
      <c r="AK8" s="11">
        <f>SUM(AI$4:AI8)/SUM(AJ$4:AJ8)</f>
        <v>1</v>
      </c>
    </row>
    <row r="9" spans="1:37" x14ac:dyDescent="0.35">
      <c r="A9" t="s">
        <v>39</v>
      </c>
      <c r="B9">
        <v>6514</v>
      </c>
      <c r="C9" t="s">
        <v>7</v>
      </c>
      <c r="D9" t="s">
        <v>24</v>
      </c>
      <c r="E9" t="s">
        <v>25</v>
      </c>
      <c r="G9" t="s">
        <v>40</v>
      </c>
      <c r="I9" t="s">
        <v>41</v>
      </c>
      <c r="K9" t="s">
        <v>42</v>
      </c>
      <c r="M9" t="s">
        <v>43</v>
      </c>
      <c r="O9">
        <v>1</v>
      </c>
      <c r="P9" s="9" t="s">
        <v>44</v>
      </c>
      <c r="Q9">
        <v>97.2</v>
      </c>
      <c r="R9">
        <v>1</v>
      </c>
      <c r="S9">
        <v>1032</v>
      </c>
      <c r="T9">
        <v>192</v>
      </c>
      <c r="U9">
        <v>16</v>
      </c>
      <c r="V9">
        <v>0</v>
      </c>
      <c r="W9">
        <v>3332</v>
      </c>
      <c r="X9">
        <v>1942</v>
      </c>
      <c r="Z9" s="26">
        <f t="shared" si="4"/>
        <v>3.5722315753683828E-2</v>
      </c>
      <c r="AA9" s="12">
        <f t="shared" si="1"/>
        <v>0.56399471349211128</v>
      </c>
      <c r="AC9">
        <v>100</v>
      </c>
      <c r="AD9">
        <v>60</v>
      </c>
      <c r="AE9">
        <v>100</v>
      </c>
      <c r="AG9" s="25">
        <f>IF(P9="*","-",IFERROR(VLOOKUP(P9,'All MECSM samples'!$P$4:$AD$454,15,FALSE),"-"))</f>
        <v>11703</v>
      </c>
      <c r="AI9" s="9">
        <f t="shared" si="2"/>
        <v>1</v>
      </c>
      <c r="AJ9" s="9">
        <f t="shared" si="3"/>
        <v>1</v>
      </c>
      <c r="AK9" s="11">
        <f>SUM(AI$4:AI9)/SUM(AJ$4:AJ9)</f>
        <v>1</v>
      </c>
    </row>
    <row r="10" spans="1:37" x14ac:dyDescent="0.35">
      <c r="A10" t="s">
        <v>51</v>
      </c>
      <c r="B10">
        <v>6264</v>
      </c>
      <c r="C10" t="s">
        <v>7</v>
      </c>
      <c r="D10" t="s">
        <v>8</v>
      </c>
      <c r="E10" t="s">
        <v>32</v>
      </c>
      <c r="G10" t="s">
        <v>35</v>
      </c>
      <c r="I10" t="s">
        <v>36</v>
      </c>
      <c r="K10" t="s">
        <v>37</v>
      </c>
      <c r="O10">
        <v>0.67</v>
      </c>
      <c r="P10" s="9" t="s">
        <v>38</v>
      </c>
      <c r="Q10">
        <v>85.8</v>
      </c>
      <c r="R10">
        <v>1</v>
      </c>
      <c r="S10">
        <v>1270</v>
      </c>
      <c r="T10">
        <v>271</v>
      </c>
      <c r="U10">
        <v>9</v>
      </c>
      <c r="V10">
        <v>0</v>
      </c>
      <c r="W10">
        <v>3116</v>
      </c>
      <c r="X10">
        <v>1598</v>
      </c>
      <c r="Z10" s="26">
        <f t="shared" si="4"/>
        <v>3.4351333417420249E-2</v>
      </c>
      <c r="AA10" s="12">
        <f t="shared" si="1"/>
        <v>0.59834604690953153</v>
      </c>
      <c r="AC10">
        <v>100</v>
      </c>
      <c r="AD10">
        <v>0</v>
      </c>
      <c r="AE10">
        <v>100</v>
      </c>
      <c r="AG10" s="25">
        <f>IF(P10="*","-",IFERROR(VLOOKUP(P10,'All MECSM samples'!$P$4:$AD$454,15,FALSE),"-"))</f>
        <v>3129</v>
      </c>
      <c r="AI10" s="9">
        <f t="shared" si="2"/>
        <v>1</v>
      </c>
      <c r="AJ10" s="9">
        <f t="shared" si="3"/>
        <v>1</v>
      </c>
      <c r="AK10" s="11">
        <f>SUM(AI$4:AI10)/SUM(AJ$4:AJ10)</f>
        <v>1</v>
      </c>
    </row>
    <row r="11" spans="1:37" x14ac:dyDescent="0.35">
      <c r="A11" t="s">
        <v>31</v>
      </c>
      <c r="B11">
        <v>5520</v>
      </c>
      <c r="C11" t="s">
        <v>7</v>
      </c>
      <c r="D11" t="s">
        <v>8</v>
      </c>
      <c r="E11" t="s">
        <v>46</v>
      </c>
      <c r="G11" t="s">
        <v>47</v>
      </c>
      <c r="O11">
        <v>0.57999999999999996</v>
      </c>
      <c r="P11" s="9" t="s">
        <v>48</v>
      </c>
      <c r="Q11">
        <v>87</v>
      </c>
      <c r="R11">
        <v>1</v>
      </c>
      <c r="S11">
        <v>5</v>
      </c>
      <c r="T11">
        <v>0</v>
      </c>
      <c r="U11">
        <v>14</v>
      </c>
      <c r="V11">
        <v>0</v>
      </c>
      <c r="W11">
        <v>3285</v>
      </c>
      <c r="X11">
        <v>2216</v>
      </c>
      <c r="Z11" s="26">
        <f t="shared" si="4"/>
        <v>3.0271289984699835E-2</v>
      </c>
      <c r="AA11" s="12">
        <f t="shared" si="1"/>
        <v>0.62861733689423138</v>
      </c>
      <c r="AC11">
        <v>13</v>
      </c>
      <c r="AD11">
        <v>14</v>
      </c>
      <c r="AE11">
        <v>100</v>
      </c>
      <c r="AG11" s="25">
        <f>IF(P11="*","-",IFERROR(VLOOKUP(P11,'All MECSM samples'!$P$4:$AD$454,15,FALSE),"-"))</f>
        <v>3303</v>
      </c>
      <c r="AI11" s="9">
        <f t="shared" si="2"/>
        <v>1</v>
      </c>
      <c r="AJ11" s="9">
        <f t="shared" si="3"/>
        <v>1</v>
      </c>
      <c r="AK11" s="11">
        <f>SUM(AI$4:AI11)/SUM(AJ$4:AJ11)</f>
        <v>1</v>
      </c>
    </row>
    <row r="12" spans="1:37" x14ac:dyDescent="0.35">
      <c r="A12" t="s">
        <v>49</v>
      </c>
      <c r="B12">
        <v>4837</v>
      </c>
      <c r="C12" t="s">
        <v>7</v>
      </c>
      <c r="D12" t="s">
        <v>8</v>
      </c>
      <c r="O12">
        <v>1</v>
      </c>
      <c r="P12" s="9" t="s">
        <v>50</v>
      </c>
      <c r="Q12">
        <v>89.7</v>
      </c>
      <c r="R12">
        <v>1</v>
      </c>
      <c r="S12">
        <v>3</v>
      </c>
      <c r="T12">
        <v>0</v>
      </c>
      <c r="U12">
        <v>4057</v>
      </c>
      <c r="V12">
        <v>771</v>
      </c>
      <c r="W12">
        <v>6</v>
      </c>
      <c r="X12">
        <v>0</v>
      </c>
      <c r="Z12" s="26">
        <f t="shared" si="4"/>
        <v>2.6525766242027737E-2</v>
      </c>
      <c r="AA12" s="12">
        <f t="shared" si="1"/>
        <v>0.65514310313625912</v>
      </c>
      <c r="AC12">
        <v>6</v>
      </c>
      <c r="AD12">
        <v>100</v>
      </c>
      <c r="AE12">
        <v>57</v>
      </c>
      <c r="AG12" s="25">
        <f>IF(P12="*","-",IFERROR(VLOOKUP(P12,'All MECSM samples'!$P$4:$AD$454,15,FALSE),"-"))</f>
        <v>4081</v>
      </c>
      <c r="AI12" s="9">
        <f t="shared" si="2"/>
        <v>1</v>
      </c>
      <c r="AJ12" s="9">
        <f t="shared" si="3"/>
        <v>1</v>
      </c>
      <c r="AK12" s="11">
        <f>SUM(AI$4:AI12)/SUM(AJ$4:AJ12)</f>
        <v>1</v>
      </c>
    </row>
    <row r="13" spans="1:37" x14ac:dyDescent="0.35">
      <c r="A13" t="s">
        <v>77</v>
      </c>
      <c r="B13">
        <v>4611</v>
      </c>
      <c r="C13" t="s">
        <v>7</v>
      </c>
      <c r="D13" t="s">
        <v>8</v>
      </c>
      <c r="E13" t="s">
        <v>46</v>
      </c>
      <c r="G13" t="s">
        <v>64</v>
      </c>
      <c r="I13" t="s">
        <v>65</v>
      </c>
      <c r="K13" t="s">
        <v>66</v>
      </c>
      <c r="O13">
        <v>0.53</v>
      </c>
      <c r="P13" s="9" t="s">
        <v>67</v>
      </c>
      <c r="Q13">
        <v>88.5</v>
      </c>
      <c r="R13">
        <v>2</v>
      </c>
      <c r="S13">
        <v>3</v>
      </c>
      <c r="T13">
        <v>0</v>
      </c>
      <c r="U13">
        <v>7</v>
      </c>
      <c r="V13">
        <v>0</v>
      </c>
      <c r="W13">
        <v>533</v>
      </c>
      <c r="X13">
        <v>4068</v>
      </c>
      <c r="Z13" s="26">
        <f t="shared" si="4"/>
        <v>2.5286398210045462E-2</v>
      </c>
      <c r="AA13" s="12">
        <f t="shared" si="1"/>
        <v>0.68042950134630453</v>
      </c>
      <c r="AC13">
        <v>7</v>
      </c>
      <c r="AD13">
        <v>31</v>
      </c>
      <c r="AE13">
        <v>100</v>
      </c>
      <c r="AG13" s="25">
        <f>IF(P13="*","-",IFERROR(VLOOKUP(P13,'All MECSM samples'!$P$4:$AD$454,15,FALSE),"-"))</f>
        <v>945</v>
      </c>
      <c r="AI13" s="9">
        <f t="shared" si="2"/>
        <v>1</v>
      </c>
      <c r="AJ13" s="9">
        <f t="shared" si="3"/>
        <v>1</v>
      </c>
      <c r="AK13" s="11">
        <f>SUM(AI$4:AI13)/SUM(AJ$4:AJ13)</f>
        <v>1</v>
      </c>
    </row>
    <row r="14" spans="1:37" x14ac:dyDescent="0.35">
      <c r="A14" t="s">
        <v>63</v>
      </c>
      <c r="B14">
        <v>4258</v>
      </c>
      <c r="C14" t="s">
        <v>7</v>
      </c>
      <c r="D14" t="s">
        <v>24</v>
      </c>
      <c r="E14" t="s">
        <v>25</v>
      </c>
      <c r="G14" t="s">
        <v>40</v>
      </c>
      <c r="I14" t="s">
        <v>41</v>
      </c>
      <c r="K14" t="s">
        <v>52</v>
      </c>
      <c r="M14" t="s">
        <v>53</v>
      </c>
      <c r="O14">
        <v>1</v>
      </c>
      <c r="P14" s="9" t="s">
        <v>54</v>
      </c>
      <c r="Q14">
        <v>100</v>
      </c>
      <c r="R14">
        <v>7</v>
      </c>
      <c r="S14">
        <v>1238</v>
      </c>
      <c r="T14">
        <v>2733</v>
      </c>
      <c r="U14">
        <v>11</v>
      </c>
      <c r="V14">
        <v>0</v>
      </c>
      <c r="W14">
        <v>54</v>
      </c>
      <c r="X14">
        <v>222</v>
      </c>
      <c r="Z14" s="26">
        <f t="shared" si="4"/>
        <v>2.3350571151241287E-2</v>
      </c>
      <c r="AA14" s="12">
        <f t="shared" si="1"/>
        <v>0.70378007249754582</v>
      </c>
      <c r="AC14">
        <v>100</v>
      </c>
      <c r="AD14">
        <v>39</v>
      </c>
      <c r="AE14">
        <v>100</v>
      </c>
      <c r="AG14" s="25">
        <f>IF(P14="*","-",IFERROR(VLOOKUP(P14,'All MECSM samples'!$P$4:$AD$454,15,FALSE),"-"))</f>
        <v>2085</v>
      </c>
      <c r="AI14" s="9">
        <f t="shared" si="2"/>
        <v>1</v>
      </c>
      <c r="AJ14" s="9">
        <f t="shared" si="3"/>
        <v>1</v>
      </c>
      <c r="AK14" s="11">
        <f>SUM(AI$4:AI14)/SUM(AJ$4:AJ14)</f>
        <v>1</v>
      </c>
    </row>
    <row r="15" spans="1:37" x14ac:dyDescent="0.35">
      <c r="A15" t="s">
        <v>68</v>
      </c>
      <c r="B15">
        <v>3847</v>
      </c>
      <c r="C15" t="s">
        <v>7</v>
      </c>
      <c r="D15" t="s">
        <v>24</v>
      </c>
      <c r="E15" t="s">
        <v>25</v>
      </c>
      <c r="G15" t="s">
        <v>40</v>
      </c>
      <c r="I15" t="s">
        <v>56</v>
      </c>
      <c r="K15" t="s">
        <v>57</v>
      </c>
      <c r="M15" t="s">
        <v>58</v>
      </c>
      <c r="O15">
        <v>1</v>
      </c>
      <c r="P15" s="9" t="s">
        <v>59</v>
      </c>
      <c r="Q15">
        <v>99.6</v>
      </c>
      <c r="R15">
        <v>1</v>
      </c>
      <c r="S15">
        <v>3312</v>
      </c>
      <c r="T15">
        <v>476</v>
      </c>
      <c r="U15">
        <v>30</v>
      </c>
      <c r="V15">
        <v>0</v>
      </c>
      <c r="W15">
        <v>29</v>
      </c>
      <c r="X15">
        <v>0</v>
      </c>
      <c r="Z15" s="26">
        <f t="shared" si="4"/>
        <v>2.1096676190423963E-2</v>
      </c>
      <c r="AA15" s="12">
        <f t="shared" si="1"/>
        <v>0.72487674868796981</v>
      </c>
      <c r="AC15">
        <v>100</v>
      </c>
      <c r="AD15">
        <v>25</v>
      </c>
      <c r="AE15">
        <v>18</v>
      </c>
      <c r="AG15" s="25">
        <f>IF(P15="*","-",IFERROR(VLOOKUP(P15,'All MECSM samples'!$P$4:$AD$454,15,FALSE),"-"))</f>
        <v>10512</v>
      </c>
      <c r="AI15" s="9">
        <f t="shared" si="2"/>
        <v>1</v>
      </c>
      <c r="AJ15" s="9">
        <f t="shared" si="3"/>
        <v>1</v>
      </c>
      <c r="AK15" s="11">
        <f>SUM(AI$4:AI15)/SUM(AJ$4:AJ15)</f>
        <v>1</v>
      </c>
    </row>
    <row r="16" spans="1:37" x14ac:dyDescent="0.35">
      <c r="A16" t="s">
        <v>45</v>
      </c>
      <c r="B16">
        <v>3652</v>
      </c>
      <c r="C16" t="s">
        <v>7</v>
      </c>
      <c r="D16" t="s">
        <v>8</v>
      </c>
      <c r="E16" t="s">
        <v>46</v>
      </c>
      <c r="G16" t="s">
        <v>47</v>
      </c>
      <c r="I16" t="s">
        <v>61</v>
      </c>
      <c r="O16">
        <v>0.89</v>
      </c>
      <c r="P16" s="9" t="s">
        <v>62</v>
      </c>
      <c r="Q16">
        <v>90.9</v>
      </c>
      <c r="R16">
        <v>1</v>
      </c>
      <c r="S16">
        <v>6</v>
      </c>
      <c r="T16">
        <v>0</v>
      </c>
      <c r="U16">
        <v>2463</v>
      </c>
      <c r="V16">
        <v>1177</v>
      </c>
      <c r="W16">
        <v>6</v>
      </c>
      <c r="X16">
        <v>0</v>
      </c>
      <c r="Z16" s="26">
        <f t="shared" si="4"/>
        <v>2.0027309968138372E-2</v>
      </c>
      <c r="AA16" s="12">
        <f t="shared" si="1"/>
        <v>0.7449040586561082</v>
      </c>
      <c r="AC16">
        <v>17</v>
      </c>
      <c r="AD16">
        <v>100</v>
      </c>
      <c r="AE16">
        <v>43</v>
      </c>
      <c r="AG16" s="25">
        <f>IF(P16="*","-",IFERROR(VLOOKUP(P16,'All MECSM samples'!$P$4:$AD$454,15,FALSE),"-"))</f>
        <v>2474</v>
      </c>
      <c r="AI16" s="9">
        <f t="shared" si="2"/>
        <v>1</v>
      </c>
      <c r="AJ16" s="9">
        <f t="shared" si="3"/>
        <v>1</v>
      </c>
      <c r="AK16" s="11">
        <f>SUM(AI$4:AI16)/SUM(AJ$4:AJ16)</f>
        <v>1</v>
      </c>
    </row>
    <row r="17" spans="1:37" x14ac:dyDescent="0.35">
      <c r="A17" t="s">
        <v>55</v>
      </c>
      <c r="B17">
        <v>3390</v>
      </c>
      <c r="C17" t="s">
        <v>7</v>
      </c>
      <c r="D17" t="s">
        <v>8</v>
      </c>
      <c r="E17" t="s">
        <v>46</v>
      </c>
      <c r="G17" t="s">
        <v>47</v>
      </c>
      <c r="I17" t="s">
        <v>69</v>
      </c>
      <c r="K17" t="s">
        <v>70</v>
      </c>
      <c r="O17">
        <v>0.64</v>
      </c>
      <c r="P17" s="9" t="s">
        <v>71</v>
      </c>
      <c r="Q17">
        <v>90.5</v>
      </c>
      <c r="R17">
        <v>1</v>
      </c>
      <c r="S17">
        <v>6</v>
      </c>
      <c r="T17">
        <v>0</v>
      </c>
      <c r="U17">
        <v>2871</v>
      </c>
      <c r="V17">
        <v>506</v>
      </c>
      <c r="W17">
        <v>7</v>
      </c>
      <c r="X17">
        <v>0</v>
      </c>
      <c r="Z17" s="26">
        <f t="shared" si="4"/>
        <v>1.8590520479734141E-2</v>
      </c>
      <c r="AA17" s="12">
        <f t="shared" si="1"/>
        <v>0.76349457913584229</v>
      </c>
      <c r="AC17">
        <v>33</v>
      </c>
      <c r="AD17">
        <v>100</v>
      </c>
      <c r="AE17">
        <v>7</v>
      </c>
      <c r="AG17" s="25">
        <f>IF(P17="*","-",IFERROR(VLOOKUP(P17,'All MECSM samples'!$P$4:$AD$454,15,FALSE),"-"))</f>
        <v>2892</v>
      </c>
      <c r="AI17" s="9">
        <f t="shared" si="2"/>
        <v>1</v>
      </c>
      <c r="AJ17" s="9">
        <f t="shared" si="3"/>
        <v>1</v>
      </c>
      <c r="AK17" s="11">
        <f>SUM(AI$4:AI17)/SUM(AJ$4:AJ17)</f>
        <v>1</v>
      </c>
    </row>
    <row r="18" spans="1:37" x14ac:dyDescent="0.35">
      <c r="A18" t="s">
        <v>60</v>
      </c>
      <c r="B18">
        <v>3383</v>
      </c>
      <c r="C18" t="s">
        <v>7</v>
      </c>
      <c r="D18" t="s">
        <v>24</v>
      </c>
      <c r="E18" t="s">
        <v>25</v>
      </c>
      <c r="G18" t="s">
        <v>26</v>
      </c>
      <c r="I18" t="s">
        <v>27</v>
      </c>
      <c r="K18" t="s">
        <v>28</v>
      </c>
      <c r="M18" t="s">
        <v>29</v>
      </c>
      <c r="O18">
        <v>1</v>
      </c>
      <c r="P18" s="9" t="s">
        <v>73</v>
      </c>
      <c r="Q18">
        <v>99.6</v>
      </c>
      <c r="R18">
        <v>1</v>
      </c>
      <c r="S18">
        <v>1</v>
      </c>
      <c r="T18">
        <v>0</v>
      </c>
      <c r="U18">
        <v>3104</v>
      </c>
      <c r="V18">
        <v>271</v>
      </c>
      <c r="W18">
        <v>7</v>
      </c>
      <c r="X18">
        <v>0</v>
      </c>
      <c r="Z18" s="26">
        <f t="shared" si="4"/>
        <v>1.855213297431876E-2</v>
      </c>
      <c r="AA18" s="12">
        <f t="shared" si="1"/>
        <v>0.78204671211016108</v>
      </c>
      <c r="AC18">
        <v>5</v>
      </c>
      <c r="AD18">
        <v>100</v>
      </c>
      <c r="AE18">
        <v>46</v>
      </c>
      <c r="AG18" s="25">
        <f>IF(P18="*","-",IFERROR(VLOOKUP(P18,'All MECSM samples'!$P$4:$AD$454,15,FALSE),"-"))</f>
        <v>3131</v>
      </c>
      <c r="AI18" s="9">
        <f t="shared" si="2"/>
        <v>1</v>
      </c>
      <c r="AJ18" s="9">
        <f t="shared" si="3"/>
        <v>1</v>
      </c>
      <c r="AK18" s="11">
        <f>SUM(AI$4:AI18)/SUM(AJ$4:AJ18)</f>
        <v>1</v>
      </c>
    </row>
    <row r="19" spans="1:37" x14ac:dyDescent="0.35">
      <c r="A19" t="s">
        <v>97</v>
      </c>
      <c r="B19">
        <v>3012</v>
      </c>
      <c r="C19" t="s">
        <v>7</v>
      </c>
      <c r="D19" t="s">
        <v>24</v>
      </c>
      <c r="E19" t="s">
        <v>25</v>
      </c>
      <c r="G19" t="s">
        <v>26</v>
      </c>
      <c r="I19" t="s">
        <v>27</v>
      </c>
      <c r="K19" t="s">
        <v>28</v>
      </c>
      <c r="M19" t="s">
        <v>75</v>
      </c>
      <c r="O19">
        <v>1</v>
      </c>
      <c r="P19" s="9" t="s">
        <v>76</v>
      </c>
      <c r="Q19">
        <v>100</v>
      </c>
      <c r="R19">
        <v>7</v>
      </c>
      <c r="S19">
        <v>1</v>
      </c>
      <c r="T19">
        <v>0</v>
      </c>
      <c r="U19">
        <v>2685</v>
      </c>
      <c r="V19">
        <v>326</v>
      </c>
      <c r="W19">
        <v>0</v>
      </c>
      <c r="X19">
        <v>0</v>
      </c>
      <c r="Z19" s="26">
        <f t="shared" si="4"/>
        <v>1.6517595187303606E-2</v>
      </c>
      <c r="AA19" s="12">
        <f t="shared" si="1"/>
        <v>0.79856430729746464</v>
      </c>
      <c r="AC19">
        <v>5</v>
      </c>
      <c r="AD19">
        <v>100</v>
      </c>
      <c r="AE19">
        <v>10</v>
      </c>
      <c r="AG19" s="25">
        <f>IF(P19="*","-",IFERROR(VLOOKUP(P19,'All MECSM samples'!$P$4:$AD$454,15,FALSE),"-"))</f>
        <v>2705</v>
      </c>
      <c r="AI19" s="9">
        <f t="shared" si="2"/>
        <v>1</v>
      </c>
      <c r="AJ19" s="9">
        <f t="shared" si="3"/>
        <v>1</v>
      </c>
      <c r="AK19" s="11">
        <f>SUM(AI$4:AI19)/SUM(AJ$4:AJ19)</f>
        <v>1</v>
      </c>
    </row>
    <row r="20" spans="1:37" x14ac:dyDescent="0.35">
      <c r="A20" t="s">
        <v>72</v>
      </c>
      <c r="B20">
        <v>2920</v>
      </c>
      <c r="C20" t="s">
        <v>7</v>
      </c>
      <c r="D20" t="s">
        <v>8</v>
      </c>
      <c r="E20" t="s">
        <v>9</v>
      </c>
      <c r="G20" t="s">
        <v>78</v>
      </c>
      <c r="I20" t="s">
        <v>79</v>
      </c>
      <c r="K20" t="s">
        <v>80</v>
      </c>
      <c r="M20" t="s">
        <v>81</v>
      </c>
      <c r="O20">
        <v>0.62</v>
      </c>
      <c r="P20" s="9" t="s">
        <v>82</v>
      </c>
      <c r="Q20">
        <v>97.2</v>
      </c>
      <c r="R20">
        <v>1</v>
      </c>
      <c r="S20">
        <v>2340</v>
      </c>
      <c r="T20">
        <v>508</v>
      </c>
      <c r="U20">
        <v>41</v>
      </c>
      <c r="V20">
        <v>0</v>
      </c>
      <c r="W20">
        <v>31</v>
      </c>
      <c r="X20">
        <v>0</v>
      </c>
      <c r="Z20" s="26">
        <f t="shared" si="4"/>
        <v>1.601307368755861E-2</v>
      </c>
      <c r="AA20" s="12">
        <f t="shared" si="1"/>
        <v>0.81457738098502319</v>
      </c>
      <c r="AC20">
        <v>100</v>
      </c>
      <c r="AD20">
        <v>2</v>
      </c>
      <c r="AE20">
        <v>0</v>
      </c>
      <c r="AG20" s="25">
        <f>IF(P20="*","-",IFERROR(VLOOKUP(P20,'All MECSM samples'!$P$4:$AD$454,15,FALSE),"-"))</f>
        <v>14011</v>
      </c>
      <c r="AI20" s="9">
        <f t="shared" si="2"/>
        <v>1</v>
      </c>
      <c r="AJ20" s="9">
        <f t="shared" si="3"/>
        <v>1</v>
      </c>
      <c r="AK20" s="11">
        <f>SUM(AI$4:AI20)/SUM(AJ$4:AJ20)</f>
        <v>1</v>
      </c>
    </row>
    <row r="21" spans="1:37" x14ac:dyDescent="0.35">
      <c r="A21" t="s">
        <v>106</v>
      </c>
      <c r="B21">
        <v>2114</v>
      </c>
      <c r="C21" t="s">
        <v>7</v>
      </c>
      <c r="D21" t="s">
        <v>24</v>
      </c>
      <c r="E21" t="s">
        <v>25</v>
      </c>
      <c r="G21" t="s">
        <v>26</v>
      </c>
      <c r="I21" t="s">
        <v>27</v>
      </c>
      <c r="K21" t="s">
        <v>28</v>
      </c>
      <c r="M21" t="s">
        <v>29</v>
      </c>
      <c r="O21">
        <v>0.9</v>
      </c>
      <c r="P21" s="9" t="s">
        <v>88</v>
      </c>
      <c r="Q21">
        <v>100</v>
      </c>
      <c r="R21">
        <v>2</v>
      </c>
      <c r="S21">
        <v>2</v>
      </c>
      <c r="T21">
        <v>0</v>
      </c>
      <c r="U21">
        <v>1161</v>
      </c>
      <c r="V21">
        <v>100</v>
      </c>
      <c r="W21">
        <v>586</v>
      </c>
      <c r="X21">
        <v>265</v>
      </c>
      <c r="Z21" s="26">
        <f t="shared" si="4"/>
        <v>1.159302663544483E-2</v>
      </c>
      <c r="AA21" s="12">
        <f t="shared" si="1"/>
        <v>0.82617040762046801</v>
      </c>
      <c r="AC21">
        <v>40</v>
      </c>
      <c r="AD21">
        <v>100</v>
      </c>
      <c r="AE21">
        <v>100</v>
      </c>
      <c r="AG21" s="25">
        <f>IF(P21="*","-",IFERROR(VLOOKUP(P21,'All MECSM samples'!$P$4:$AD$454,15,FALSE),"-"))</f>
        <v>1168</v>
      </c>
      <c r="AI21" s="9">
        <f t="shared" si="2"/>
        <v>1</v>
      </c>
      <c r="AJ21" s="9">
        <f t="shared" si="3"/>
        <v>1</v>
      </c>
      <c r="AK21" s="11">
        <f>SUM(AI$4:AI21)/SUM(AJ$4:AJ21)</f>
        <v>1</v>
      </c>
    </row>
    <row r="22" spans="1:37" x14ac:dyDescent="0.35">
      <c r="A22" t="s">
        <v>74</v>
      </c>
      <c r="B22">
        <v>2099</v>
      </c>
      <c r="C22" t="s">
        <v>7</v>
      </c>
      <c r="D22" t="s">
        <v>8</v>
      </c>
      <c r="E22" t="s">
        <v>46</v>
      </c>
      <c r="G22" t="s">
        <v>47</v>
      </c>
      <c r="I22" t="s">
        <v>61</v>
      </c>
      <c r="O22">
        <v>0.85</v>
      </c>
      <c r="P22" s="9" t="s">
        <v>90</v>
      </c>
      <c r="Q22">
        <v>91.3</v>
      </c>
      <c r="R22">
        <v>1</v>
      </c>
      <c r="S22">
        <v>5</v>
      </c>
      <c r="T22">
        <v>0</v>
      </c>
      <c r="U22">
        <v>5</v>
      </c>
      <c r="V22">
        <v>0</v>
      </c>
      <c r="W22">
        <v>1124</v>
      </c>
      <c r="X22">
        <v>965</v>
      </c>
      <c r="Z22" s="26">
        <f t="shared" si="4"/>
        <v>1.1510767695269014E-2</v>
      </c>
      <c r="AA22" s="12">
        <f t="shared" si="1"/>
        <v>0.83768117531573705</v>
      </c>
      <c r="AC22">
        <v>9</v>
      </c>
      <c r="AD22">
        <v>9</v>
      </c>
      <c r="AE22">
        <v>100</v>
      </c>
      <c r="AG22" s="25">
        <f>IF(P22="*","-",IFERROR(VLOOKUP(P22,'All MECSM samples'!$P$4:$AD$454,15,FALSE),"-"))</f>
        <v>1132</v>
      </c>
      <c r="AI22" s="9">
        <f t="shared" si="2"/>
        <v>1</v>
      </c>
      <c r="AJ22" s="9">
        <f t="shared" si="3"/>
        <v>1</v>
      </c>
      <c r="AK22" s="11">
        <f>SUM(AI$4:AI22)/SUM(AJ$4:AJ22)</f>
        <v>1</v>
      </c>
    </row>
    <row r="23" spans="1:37" x14ac:dyDescent="0.35">
      <c r="A23" t="s">
        <v>99</v>
      </c>
      <c r="B23">
        <v>2067</v>
      </c>
      <c r="C23" t="s">
        <v>7</v>
      </c>
      <c r="D23" t="s">
        <v>8</v>
      </c>
      <c r="E23" t="s">
        <v>46</v>
      </c>
      <c r="G23" t="s">
        <v>47</v>
      </c>
      <c r="I23" t="s">
        <v>61</v>
      </c>
      <c r="K23" t="s">
        <v>84</v>
      </c>
      <c r="M23" t="s">
        <v>85</v>
      </c>
      <c r="O23">
        <v>0.87</v>
      </c>
      <c r="P23" s="9" t="s">
        <v>86</v>
      </c>
      <c r="Q23">
        <v>99.2</v>
      </c>
      <c r="R23">
        <v>1</v>
      </c>
      <c r="S23">
        <v>12</v>
      </c>
      <c r="T23">
        <v>0</v>
      </c>
      <c r="U23">
        <v>8</v>
      </c>
      <c r="V23">
        <v>0</v>
      </c>
      <c r="W23">
        <v>1293</v>
      </c>
      <c r="X23">
        <v>754</v>
      </c>
      <c r="Z23" s="26">
        <f t="shared" si="4"/>
        <v>1.1335281956227275E-2</v>
      </c>
      <c r="AA23" s="12">
        <f t="shared" si="1"/>
        <v>0.84901645727196429</v>
      </c>
      <c r="AC23">
        <v>64</v>
      </c>
      <c r="AD23">
        <v>8</v>
      </c>
      <c r="AE23">
        <v>100</v>
      </c>
      <c r="AG23" s="25">
        <f>IF(P23="*","-",IFERROR(VLOOKUP(P23,'All MECSM samples'!$P$4:$AD$454,15,FALSE),"-"))</f>
        <v>1299</v>
      </c>
      <c r="AI23" s="9">
        <f t="shared" si="2"/>
        <v>1</v>
      </c>
      <c r="AJ23" s="9">
        <f t="shared" si="3"/>
        <v>1</v>
      </c>
      <c r="AK23" s="11">
        <f>SUM(AI$4:AI23)/SUM(AJ$4:AJ23)</f>
        <v>1</v>
      </c>
    </row>
    <row r="24" spans="1:37" x14ac:dyDescent="0.35">
      <c r="A24" t="s">
        <v>135</v>
      </c>
      <c r="B24">
        <v>1955</v>
      </c>
      <c r="C24" t="s">
        <v>7</v>
      </c>
      <c r="D24" t="s">
        <v>8</v>
      </c>
      <c r="E24" t="s">
        <v>32</v>
      </c>
      <c r="G24" t="s">
        <v>35</v>
      </c>
      <c r="I24" t="s">
        <v>36</v>
      </c>
      <c r="K24" t="s">
        <v>37</v>
      </c>
      <c r="O24">
        <v>0.5</v>
      </c>
      <c r="P24" s="9" t="s">
        <v>112</v>
      </c>
      <c r="Q24">
        <v>85.8</v>
      </c>
      <c r="R24">
        <v>1</v>
      </c>
      <c r="S24">
        <v>4</v>
      </c>
      <c r="T24">
        <v>0</v>
      </c>
      <c r="U24">
        <v>2</v>
      </c>
      <c r="V24">
        <v>0</v>
      </c>
      <c r="W24">
        <v>931</v>
      </c>
      <c r="X24">
        <v>1018</v>
      </c>
      <c r="Z24" s="26">
        <f t="shared" si="4"/>
        <v>1.0721081869581192E-2</v>
      </c>
      <c r="AA24" s="12">
        <f t="shared" si="1"/>
        <v>0.85973753914154549</v>
      </c>
      <c r="AC24">
        <v>99</v>
      </c>
      <c r="AD24">
        <v>18</v>
      </c>
      <c r="AE24">
        <v>100</v>
      </c>
      <c r="AG24" s="25">
        <f>IF(P24="*","-",IFERROR(VLOOKUP(P24,'All MECSM samples'!$P$4:$AD$454,15,FALSE),"-"))</f>
        <v>943</v>
      </c>
      <c r="AI24" s="9">
        <f t="shared" si="2"/>
        <v>1</v>
      </c>
      <c r="AJ24" s="9">
        <f t="shared" si="3"/>
        <v>1</v>
      </c>
      <c r="AK24" s="11">
        <f>SUM(AI$4:AI24)/SUM(AJ$4:AJ24)</f>
        <v>1</v>
      </c>
    </row>
    <row r="25" spans="1:37" x14ac:dyDescent="0.35">
      <c r="A25" t="s">
        <v>91</v>
      </c>
      <c r="B25">
        <v>1734</v>
      </c>
      <c r="C25" t="s">
        <v>7</v>
      </c>
      <c r="D25" t="s">
        <v>8</v>
      </c>
      <c r="E25" t="s">
        <v>32</v>
      </c>
      <c r="G25" t="s">
        <v>35</v>
      </c>
      <c r="I25" t="s">
        <v>36</v>
      </c>
      <c r="O25">
        <v>0.61</v>
      </c>
      <c r="P25" s="9" t="s">
        <v>92</v>
      </c>
      <c r="Q25">
        <v>86.2</v>
      </c>
      <c r="R25">
        <v>2</v>
      </c>
      <c r="S25">
        <v>1059</v>
      </c>
      <c r="T25">
        <v>128</v>
      </c>
      <c r="U25">
        <v>29</v>
      </c>
      <c r="V25">
        <v>0</v>
      </c>
      <c r="W25">
        <v>389</v>
      </c>
      <c r="X25">
        <v>129</v>
      </c>
      <c r="Z25" s="26">
        <f t="shared" si="4"/>
        <v>9.5091334843241879E-3</v>
      </c>
      <c r="AA25" s="12">
        <f t="shared" si="1"/>
        <v>0.86924667262586963</v>
      </c>
      <c r="AC25">
        <v>100</v>
      </c>
      <c r="AD25">
        <v>2</v>
      </c>
      <c r="AE25">
        <v>100</v>
      </c>
      <c r="AG25" s="25">
        <f>IF(P25="*","-",IFERROR(VLOOKUP(P25,'All MECSM samples'!$P$4:$AD$454,15,FALSE),"-"))</f>
        <v>6717</v>
      </c>
      <c r="AI25" s="9">
        <f t="shared" si="2"/>
        <v>1</v>
      </c>
      <c r="AJ25" s="9">
        <f t="shared" si="3"/>
        <v>1</v>
      </c>
      <c r="AK25" s="11">
        <f>SUM(AI$4:AI25)/SUM(AJ$4:AJ25)</f>
        <v>1</v>
      </c>
    </row>
    <row r="26" spans="1:37" x14ac:dyDescent="0.35">
      <c r="A26" t="s">
        <v>145</v>
      </c>
      <c r="B26">
        <v>1557</v>
      </c>
      <c r="C26" t="s">
        <v>7</v>
      </c>
      <c r="D26" t="s">
        <v>8</v>
      </c>
      <c r="E26" t="s">
        <v>46</v>
      </c>
      <c r="G26" t="s">
        <v>47</v>
      </c>
      <c r="I26" t="s">
        <v>61</v>
      </c>
      <c r="K26" t="s">
        <v>94</v>
      </c>
      <c r="M26" t="s">
        <v>95</v>
      </c>
      <c r="O26">
        <v>1</v>
      </c>
      <c r="P26" s="9" t="s">
        <v>96</v>
      </c>
      <c r="Q26">
        <v>100</v>
      </c>
      <c r="R26">
        <v>3</v>
      </c>
      <c r="S26">
        <v>929</v>
      </c>
      <c r="T26">
        <v>304</v>
      </c>
      <c r="U26">
        <v>16</v>
      </c>
      <c r="V26">
        <v>0</v>
      </c>
      <c r="W26">
        <v>153</v>
      </c>
      <c r="X26">
        <v>155</v>
      </c>
      <c r="Z26" s="26">
        <f t="shared" si="4"/>
        <v>8.5384779902495742E-3</v>
      </c>
      <c r="AA26" s="12">
        <f t="shared" si="1"/>
        <v>0.87778515061611917</v>
      </c>
      <c r="AC26">
        <v>100</v>
      </c>
      <c r="AD26">
        <v>1</v>
      </c>
      <c r="AE26">
        <v>100</v>
      </c>
      <c r="AG26" s="25">
        <f>IF(P26="*","-",IFERROR(VLOOKUP(P26,'All MECSM samples'!$P$4:$AD$454,15,FALSE),"-"))</f>
        <v>2442</v>
      </c>
      <c r="AI26" s="9">
        <f t="shared" si="2"/>
        <v>1</v>
      </c>
      <c r="AJ26" s="9">
        <f t="shared" si="3"/>
        <v>1</v>
      </c>
      <c r="AK26" s="11">
        <f>SUM(AI$4:AI26)/SUM(AJ$4:AJ26)</f>
        <v>1</v>
      </c>
    </row>
    <row r="27" spans="1:37" x14ac:dyDescent="0.35">
      <c r="A27" t="s">
        <v>83</v>
      </c>
      <c r="B27">
        <v>1515</v>
      </c>
      <c r="C27" t="s">
        <v>7</v>
      </c>
      <c r="D27" t="s">
        <v>8</v>
      </c>
      <c r="E27" t="s">
        <v>9</v>
      </c>
      <c r="G27" t="s">
        <v>10</v>
      </c>
      <c r="I27" t="s">
        <v>107</v>
      </c>
      <c r="K27" t="s">
        <v>108</v>
      </c>
      <c r="M27" t="s">
        <v>109</v>
      </c>
      <c r="O27">
        <v>1</v>
      </c>
      <c r="P27" s="9" t="s">
        <v>110</v>
      </c>
      <c r="Q27">
        <v>100</v>
      </c>
      <c r="R27">
        <v>1</v>
      </c>
      <c r="S27">
        <v>19</v>
      </c>
      <c r="T27">
        <v>10</v>
      </c>
      <c r="U27">
        <v>2</v>
      </c>
      <c r="V27">
        <v>0</v>
      </c>
      <c r="W27">
        <v>860</v>
      </c>
      <c r="X27">
        <v>624</v>
      </c>
      <c r="Z27" s="26">
        <f t="shared" si="4"/>
        <v>8.3081529577572928E-3</v>
      </c>
      <c r="AA27" s="12">
        <f t="shared" si="1"/>
        <v>0.8860933035738765</v>
      </c>
      <c r="AC27">
        <v>75</v>
      </c>
      <c r="AD27">
        <v>19</v>
      </c>
      <c r="AE27">
        <v>100</v>
      </c>
      <c r="AG27" s="25">
        <f>IF(P27="*","-",IFERROR(VLOOKUP(P27,'All MECSM samples'!$P$4:$AD$454,15,FALSE),"-"))</f>
        <v>866</v>
      </c>
      <c r="AI27" s="9">
        <f t="shared" si="2"/>
        <v>1</v>
      </c>
      <c r="AJ27" s="9">
        <f t="shared" si="3"/>
        <v>1</v>
      </c>
      <c r="AK27" s="11">
        <f>SUM(AI$4:AI27)/SUM(AJ$4:AJ27)</f>
        <v>1</v>
      </c>
    </row>
    <row r="28" spans="1:37" x14ac:dyDescent="0.35">
      <c r="A28" t="s">
        <v>126</v>
      </c>
      <c r="B28">
        <v>1513</v>
      </c>
      <c r="C28" t="s">
        <v>7</v>
      </c>
      <c r="D28" t="s">
        <v>8</v>
      </c>
      <c r="O28">
        <v>0.95</v>
      </c>
      <c r="P28" s="9" t="s">
        <v>98</v>
      </c>
      <c r="Q28">
        <v>0</v>
      </c>
      <c r="R28">
        <v>1</v>
      </c>
      <c r="S28">
        <v>2</v>
      </c>
      <c r="T28">
        <v>0</v>
      </c>
      <c r="U28">
        <v>955</v>
      </c>
      <c r="V28">
        <v>556</v>
      </c>
      <c r="W28">
        <v>0</v>
      </c>
      <c r="X28">
        <v>0</v>
      </c>
      <c r="Z28" s="26">
        <f t="shared" si="4"/>
        <v>8.2971850990671836E-3</v>
      </c>
      <c r="AA28" s="12">
        <f t="shared" si="1"/>
        <v>0.89439048867294368</v>
      </c>
      <c r="AC28">
        <v>0</v>
      </c>
      <c r="AD28">
        <v>100</v>
      </c>
      <c r="AE28">
        <v>0</v>
      </c>
      <c r="AG28" s="25" t="str">
        <f>IF(P28="*","-",IFERROR(VLOOKUP(P28,'All MECSM samples'!$P$4:$AD$454,15,FALSE),"-"))</f>
        <v>-</v>
      </c>
      <c r="AI28" s="9">
        <f t="shared" si="2"/>
        <v>1</v>
      </c>
      <c r="AJ28" s="9">
        <f t="shared" si="3"/>
        <v>1</v>
      </c>
      <c r="AK28" s="11">
        <f>SUM(AI$4:AI28)/SUM(AJ$4:AJ28)</f>
        <v>1</v>
      </c>
    </row>
    <row r="29" spans="1:37" x14ac:dyDescent="0.35">
      <c r="A29" t="s">
        <v>89</v>
      </c>
      <c r="B29">
        <v>1507</v>
      </c>
      <c r="C29" t="s">
        <v>7</v>
      </c>
      <c r="D29" t="s">
        <v>8</v>
      </c>
      <c r="E29" t="s">
        <v>100</v>
      </c>
      <c r="G29" t="s">
        <v>101</v>
      </c>
      <c r="I29" t="s">
        <v>102</v>
      </c>
      <c r="K29" t="s">
        <v>103</v>
      </c>
      <c r="M29" t="s">
        <v>104</v>
      </c>
      <c r="O29">
        <v>1</v>
      </c>
      <c r="P29" s="9" t="s">
        <v>105</v>
      </c>
      <c r="Q29">
        <v>99.6</v>
      </c>
      <c r="R29">
        <v>1</v>
      </c>
      <c r="S29">
        <v>1</v>
      </c>
      <c r="T29">
        <v>0</v>
      </c>
      <c r="U29">
        <v>1089</v>
      </c>
      <c r="V29">
        <v>408</v>
      </c>
      <c r="W29">
        <v>9</v>
      </c>
      <c r="X29">
        <v>0</v>
      </c>
      <c r="Z29" s="26">
        <f t="shared" si="4"/>
        <v>8.2642815229968577E-3</v>
      </c>
      <c r="AA29" s="12">
        <f t="shared" si="1"/>
        <v>0.90265477019594054</v>
      </c>
      <c r="AC29">
        <v>0</v>
      </c>
      <c r="AD29">
        <v>100</v>
      </c>
      <c r="AE29">
        <v>0</v>
      </c>
      <c r="AG29" s="25">
        <f>IF(P29="*","-",IFERROR(VLOOKUP(P29,'All MECSM samples'!$P$4:$AD$454,15,FALSE),"-"))</f>
        <v>3639</v>
      </c>
      <c r="AI29" s="9">
        <f t="shared" si="2"/>
        <v>1</v>
      </c>
      <c r="AJ29" s="9">
        <f t="shared" si="3"/>
        <v>1</v>
      </c>
      <c r="AK29" s="11">
        <f>SUM(AI$4:AI29)/SUM(AJ$4:AJ29)</f>
        <v>1</v>
      </c>
    </row>
    <row r="30" spans="1:37" x14ac:dyDescent="0.35">
      <c r="A30" t="s">
        <v>87</v>
      </c>
      <c r="B30">
        <v>1165</v>
      </c>
      <c r="C30" t="s">
        <v>7</v>
      </c>
      <c r="D30" t="s">
        <v>8</v>
      </c>
      <c r="E30" t="s">
        <v>114</v>
      </c>
      <c r="G30" t="s">
        <v>115</v>
      </c>
      <c r="I30" t="s">
        <v>116</v>
      </c>
      <c r="K30" t="s">
        <v>117</v>
      </c>
      <c r="M30" t="s">
        <v>118</v>
      </c>
      <c r="O30">
        <v>1</v>
      </c>
      <c r="P30" s="9" t="s">
        <v>16</v>
      </c>
      <c r="Q30">
        <v>96.4</v>
      </c>
      <c r="R30">
        <v>1</v>
      </c>
      <c r="S30">
        <v>2</v>
      </c>
      <c r="T30">
        <v>0</v>
      </c>
      <c r="U30">
        <v>722</v>
      </c>
      <c r="V30">
        <v>440</v>
      </c>
      <c r="W30">
        <v>1</v>
      </c>
      <c r="X30">
        <v>0</v>
      </c>
      <c r="Z30" s="26">
        <f t="shared" si="4"/>
        <v>6.3887776869882805E-3</v>
      </c>
      <c r="AA30" s="12">
        <f t="shared" si="1"/>
        <v>0.90904354788292885</v>
      </c>
      <c r="AC30">
        <v>0</v>
      </c>
      <c r="AD30">
        <v>100</v>
      </c>
      <c r="AE30">
        <v>0</v>
      </c>
      <c r="AG30" s="25">
        <f>IF(P30="*","-",IFERROR(VLOOKUP(P30,'All MECSM samples'!$P$4:$AD$454,15,FALSE),"-"))</f>
        <v>17201</v>
      </c>
      <c r="AI30" s="9">
        <f t="shared" si="2"/>
        <v>1</v>
      </c>
      <c r="AJ30" s="9">
        <f t="shared" si="3"/>
        <v>1</v>
      </c>
      <c r="AK30" s="11">
        <f>SUM(AI$4:AI30)/SUM(AJ$4:AJ30)</f>
        <v>1</v>
      </c>
    </row>
    <row r="31" spans="1:37" x14ac:dyDescent="0.35">
      <c r="A31" t="s">
        <v>111</v>
      </c>
      <c r="B31">
        <v>1055</v>
      </c>
      <c r="C31" t="s">
        <v>7</v>
      </c>
      <c r="D31" t="s">
        <v>8</v>
      </c>
      <c r="E31" t="s">
        <v>120</v>
      </c>
      <c r="G31" t="s">
        <v>121</v>
      </c>
      <c r="I31" t="s">
        <v>122</v>
      </c>
      <c r="K31" t="s">
        <v>123</v>
      </c>
      <c r="M31" t="s">
        <v>124</v>
      </c>
      <c r="O31">
        <v>0.94</v>
      </c>
      <c r="P31" s="9" t="s">
        <v>125</v>
      </c>
      <c r="Q31">
        <v>89.7</v>
      </c>
      <c r="R31">
        <v>1</v>
      </c>
      <c r="S31">
        <v>796</v>
      </c>
      <c r="T31">
        <v>254</v>
      </c>
      <c r="U31">
        <v>3</v>
      </c>
      <c r="V31">
        <v>0</v>
      </c>
      <c r="W31">
        <v>2</v>
      </c>
      <c r="X31">
        <v>0</v>
      </c>
      <c r="Z31" s="26">
        <f t="shared" si="4"/>
        <v>5.7855454590323057E-3</v>
      </c>
      <c r="AA31" s="12">
        <f t="shared" si="1"/>
        <v>0.91482909334196116</v>
      </c>
      <c r="AC31">
        <v>100</v>
      </c>
      <c r="AD31">
        <v>31</v>
      </c>
      <c r="AE31">
        <v>6</v>
      </c>
      <c r="AG31" s="25">
        <f>IF(P31="*","-",IFERROR(VLOOKUP(P31,'All MECSM samples'!$P$4:$AD$454,15,FALSE),"-"))</f>
        <v>799</v>
      </c>
      <c r="AI31" s="9">
        <f t="shared" si="2"/>
        <v>1</v>
      </c>
      <c r="AJ31" s="9">
        <f t="shared" si="3"/>
        <v>1</v>
      </c>
      <c r="AK31" s="11">
        <f>SUM(AI$4:AI31)/SUM(AJ$4:AJ31)</f>
        <v>1</v>
      </c>
    </row>
    <row r="32" spans="1:37" x14ac:dyDescent="0.35">
      <c r="A32" t="s">
        <v>93</v>
      </c>
      <c r="B32">
        <v>977</v>
      </c>
      <c r="C32" t="s">
        <v>7</v>
      </c>
      <c r="D32" t="s">
        <v>8</v>
      </c>
      <c r="E32" t="s">
        <v>46</v>
      </c>
      <c r="G32" t="s">
        <v>47</v>
      </c>
      <c r="O32">
        <v>0.84</v>
      </c>
      <c r="P32" s="9" t="s">
        <v>127</v>
      </c>
      <c r="Q32">
        <v>88.9</v>
      </c>
      <c r="R32">
        <v>2</v>
      </c>
      <c r="S32">
        <v>1</v>
      </c>
      <c r="T32">
        <v>0</v>
      </c>
      <c r="U32">
        <v>129</v>
      </c>
      <c r="V32">
        <v>847</v>
      </c>
      <c r="W32">
        <v>0</v>
      </c>
      <c r="X32">
        <v>0</v>
      </c>
      <c r="Z32" s="26">
        <f t="shared" si="4"/>
        <v>5.3577989701180688E-3</v>
      </c>
      <c r="AA32" s="12">
        <f t="shared" si="1"/>
        <v>0.92018689231207929</v>
      </c>
      <c r="AC32">
        <v>15</v>
      </c>
      <c r="AD32">
        <v>100</v>
      </c>
      <c r="AE32">
        <v>40</v>
      </c>
      <c r="AG32" s="25">
        <f>IF(P32="*","-",IFERROR(VLOOKUP(P32,'All MECSM samples'!$P$4:$AD$454,15,FALSE),"-"))</f>
        <v>128</v>
      </c>
      <c r="AI32" s="9">
        <f t="shared" si="2"/>
        <v>1</v>
      </c>
      <c r="AJ32" s="9">
        <f t="shared" si="3"/>
        <v>1</v>
      </c>
      <c r="AK32" s="11">
        <f>SUM(AI$4:AI32)/SUM(AJ$4:AJ32)</f>
        <v>1</v>
      </c>
    </row>
    <row r="33" spans="1:37" x14ac:dyDescent="0.35">
      <c r="A33" t="s">
        <v>294</v>
      </c>
      <c r="B33">
        <v>844</v>
      </c>
      <c r="C33" t="s">
        <v>7</v>
      </c>
      <c r="D33" t="s">
        <v>8</v>
      </c>
      <c r="E33" t="s">
        <v>46</v>
      </c>
      <c r="G33" t="s">
        <v>47</v>
      </c>
      <c r="I33" t="s">
        <v>61</v>
      </c>
      <c r="O33">
        <v>0.8</v>
      </c>
      <c r="P33" s="9" t="s">
        <v>136</v>
      </c>
      <c r="Q33">
        <v>91.3</v>
      </c>
      <c r="R33">
        <v>2</v>
      </c>
      <c r="S33">
        <v>17</v>
      </c>
      <c r="T33">
        <v>0</v>
      </c>
      <c r="U33">
        <v>7</v>
      </c>
      <c r="V33">
        <v>0</v>
      </c>
      <c r="W33">
        <v>477</v>
      </c>
      <c r="X33">
        <v>343</v>
      </c>
      <c r="Z33" s="26">
        <f t="shared" si="4"/>
        <v>4.6284363672258449E-3</v>
      </c>
      <c r="AA33" s="12">
        <f t="shared" si="1"/>
        <v>0.92481532867930516</v>
      </c>
      <c r="AC33">
        <v>97</v>
      </c>
      <c r="AD33">
        <v>46</v>
      </c>
      <c r="AE33">
        <v>100</v>
      </c>
      <c r="AG33" s="25">
        <f>IF(P33="*","-",IFERROR(VLOOKUP(P33,'All MECSM samples'!$P$4:$AD$454,15,FALSE),"-"))</f>
        <v>780</v>
      </c>
      <c r="AI33" s="9">
        <f t="shared" si="2"/>
        <v>1</v>
      </c>
      <c r="AJ33" s="9">
        <f t="shared" si="3"/>
        <v>1</v>
      </c>
      <c r="AK33" s="11">
        <f>SUM(AI$4:AI33)/SUM(AJ$4:AJ33)</f>
        <v>1</v>
      </c>
    </row>
    <row r="34" spans="1:37" x14ac:dyDescent="0.35">
      <c r="A34" t="s">
        <v>153</v>
      </c>
      <c r="B34">
        <v>694</v>
      </c>
      <c r="C34" t="s">
        <v>7</v>
      </c>
      <c r="D34" t="s">
        <v>8</v>
      </c>
      <c r="E34" t="s">
        <v>9</v>
      </c>
      <c r="G34" t="s">
        <v>10</v>
      </c>
      <c r="I34" t="s">
        <v>131</v>
      </c>
      <c r="K34" t="s">
        <v>132</v>
      </c>
      <c r="M34" t="s">
        <v>133</v>
      </c>
      <c r="O34">
        <v>1</v>
      </c>
      <c r="P34" s="9" t="s">
        <v>134</v>
      </c>
      <c r="Q34">
        <v>100</v>
      </c>
      <c r="R34">
        <v>1</v>
      </c>
      <c r="S34">
        <v>219</v>
      </c>
      <c r="T34">
        <v>65</v>
      </c>
      <c r="U34">
        <v>17</v>
      </c>
      <c r="V34">
        <v>0</v>
      </c>
      <c r="W34">
        <v>254</v>
      </c>
      <c r="X34">
        <v>139</v>
      </c>
      <c r="Z34" s="26">
        <f t="shared" si="4"/>
        <v>3.805846965467697E-3</v>
      </c>
      <c r="AA34" s="12">
        <f t="shared" si="1"/>
        <v>0.92862117564477287</v>
      </c>
      <c r="AC34">
        <v>100</v>
      </c>
      <c r="AD34">
        <v>100</v>
      </c>
      <c r="AE34">
        <v>100</v>
      </c>
      <c r="AG34" s="25">
        <f>IF(P34="*","-",IFERROR(VLOOKUP(P34,'All MECSM samples'!$P$4:$AD$454,15,FALSE),"-"))</f>
        <v>255</v>
      </c>
      <c r="AI34" s="9">
        <f t="shared" si="2"/>
        <v>1</v>
      </c>
      <c r="AJ34" s="9">
        <f t="shared" si="3"/>
        <v>1</v>
      </c>
      <c r="AK34" s="11">
        <f>SUM(AI$4:AI34)/SUM(AJ$4:AJ34)</f>
        <v>1</v>
      </c>
    </row>
    <row r="35" spans="1:37" x14ac:dyDescent="0.35">
      <c r="A35" t="s">
        <v>272</v>
      </c>
      <c r="B35">
        <v>587</v>
      </c>
      <c r="C35" t="s">
        <v>7</v>
      </c>
      <c r="D35" t="s">
        <v>8</v>
      </c>
      <c r="E35" t="s">
        <v>9</v>
      </c>
      <c r="G35" t="s">
        <v>10</v>
      </c>
      <c r="I35" t="s">
        <v>107</v>
      </c>
      <c r="K35" t="s">
        <v>108</v>
      </c>
      <c r="M35" t="s">
        <v>109</v>
      </c>
      <c r="O35">
        <v>1</v>
      </c>
      <c r="P35" s="9" t="s">
        <v>129</v>
      </c>
      <c r="Q35">
        <v>99.2</v>
      </c>
      <c r="R35">
        <v>1</v>
      </c>
      <c r="S35">
        <v>108</v>
      </c>
      <c r="T35">
        <v>23</v>
      </c>
      <c r="U35">
        <v>4</v>
      </c>
      <c r="V35">
        <v>0</v>
      </c>
      <c r="W35">
        <v>429</v>
      </c>
      <c r="X35">
        <v>23</v>
      </c>
      <c r="Z35" s="26">
        <f t="shared" si="4"/>
        <v>3.2190665255468847E-3</v>
      </c>
      <c r="AA35" s="12">
        <f t="shared" si="1"/>
        <v>0.9318402421703198</v>
      </c>
      <c r="AC35">
        <v>100</v>
      </c>
      <c r="AD35">
        <v>0</v>
      </c>
      <c r="AE35">
        <v>100</v>
      </c>
      <c r="AG35" s="25">
        <f>IF(P35="*","-",IFERROR(VLOOKUP(P35,'All MECSM samples'!$P$4:$AD$454,15,FALSE),"-"))</f>
        <v>762</v>
      </c>
      <c r="AI35" s="9">
        <f t="shared" si="2"/>
        <v>1</v>
      </c>
      <c r="AJ35" s="9">
        <f t="shared" si="3"/>
        <v>1</v>
      </c>
      <c r="AK35" s="11">
        <f>SUM(AI$4:AI35)/SUM(AJ$4:AJ35)</f>
        <v>1</v>
      </c>
    </row>
    <row r="36" spans="1:37" x14ac:dyDescent="0.35">
      <c r="A36" t="s">
        <v>602</v>
      </c>
      <c r="B36">
        <v>586</v>
      </c>
      <c r="C36" t="s">
        <v>7</v>
      </c>
      <c r="D36" t="s">
        <v>8</v>
      </c>
      <c r="E36" t="s">
        <v>9</v>
      </c>
      <c r="G36" t="s">
        <v>138</v>
      </c>
      <c r="I36" t="s">
        <v>139</v>
      </c>
      <c r="K36" t="s">
        <v>140</v>
      </c>
      <c r="O36">
        <v>0.67</v>
      </c>
      <c r="P36" s="9" t="s">
        <v>141</v>
      </c>
      <c r="Q36">
        <v>90.1</v>
      </c>
      <c r="R36">
        <v>1</v>
      </c>
      <c r="S36">
        <v>6</v>
      </c>
      <c r="T36">
        <v>0</v>
      </c>
      <c r="U36">
        <v>5</v>
      </c>
      <c r="V36">
        <v>0</v>
      </c>
      <c r="W36">
        <v>290</v>
      </c>
      <c r="X36">
        <v>285</v>
      </c>
      <c r="Z36" s="26">
        <f t="shared" si="4"/>
        <v>3.2135825962018305E-3</v>
      </c>
      <c r="AA36" s="12">
        <f t="shared" si="1"/>
        <v>0.93505382476652166</v>
      </c>
      <c r="AC36">
        <v>100</v>
      </c>
      <c r="AD36">
        <v>0</v>
      </c>
      <c r="AE36">
        <v>100</v>
      </c>
      <c r="AG36" s="25">
        <f>IF(P36="*","-",IFERROR(VLOOKUP(P36,'All MECSM samples'!$P$4:$AD$454,15,FALSE),"-"))</f>
        <v>469</v>
      </c>
      <c r="AI36" s="9">
        <f t="shared" si="2"/>
        <v>1</v>
      </c>
      <c r="AJ36" s="9">
        <f t="shared" si="3"/>
        <v>1</v>
      </c>
      <c r="AK36" s="11">
        <f>SUM(AI$4:AI36)/SUM(AJ$4:AJ36)</f>
        <v>1</v>
      </c>
    </row>
    <row r="37" spans="1:37" x14ac:dyDescent="0.35">
      <c r="A37" t="s">
        <v>130</v>
      </c>
      <c r="B37">
        <v>566</v>
      </c>
      <c r="C37" t="s">
        <v>7</v>
      </c>
      <c r="D37" t="s">
        <v>8</v>
      </c>
      <c r="E37" t="s">
        <v>32</v>
      </c>
      <c r="G37" t="s">
        <v>35</v>
      </c>
      <c r="I37" t="s">
        <v>36</v>
      </c>
      <c r="K37" t="s">
        <v>143</v>
      </c>
      <c r="O37">
        <v>0.87</v>
      </c>
      <c r="P37" s="14" t="s">
        <v>144</v>
      </c>
      <c r="Q37">
        <v>91.7</v>
      </c>
      <c r="R37">
        <v>1</v>
      </c>
      <c r="S37">
        <v>53</v>
      </c>
      <c r="T37">
        <v>13</v>
      </c>
      <c r="U37">
        <v>111</v>
      </c>
      <c r="V37">
        <v>82</v>
      </c>
      <c r="W37">
        <v>119</v>
      </c>
      <c r="X37">
        <v>188</v>
      </c>
      <c r="Z37" s="26">
        <f t="shared" si="4"/>
        <v>3.103904009300744E-3</v>
      </c>
      <c r="AA37" s="12">
        <f t="shared" si="1"/>
        <v>0.93815772877582237</v>
      </c>
      <c r="AC37">
        <v>100</v>
      </c>
      <c r="AD37">
        <v>100</v>
      </c>
      <c r="AE37">
        <v>100</v>
      </c>
      <c r="AG37" s="25">
        <f>IF(P37="*","-",IFERROR(VLOOKUP(P37,'All MECSM samples'!$P$4:$AD$454,15,FALSE),"-"))</f>
        <v>1118</v>
      </c>
      <c r="AI37" s="9">
        <f t="shared" si="2"/>
        <v>1</v>
      </c>
      <c r="AJ37" s="9">
        <f t="shared" si="3"/>
        <v>1</v>
      </c>
      <c r="AK37" s="11">
        <f>SUM(AI$4:AI37)/SUM(AJ$4:AJ37)</f>
        <v>1</v>
      </c>
    </row>
    <row r="38" spans="1:37" x14ac:dyDescent="0.35">
      <c r="A38" t="s">
        <v>209</v>
      </c>
      <c r="B38">
        <v>485</v>
      </c>
      <c r="C38" t="s">
        <v>7</v>
      </c>
      <c r="D38" t="s">
        <v>8</v>
      </c>
      <c r="E38" t="s">
        <v>46</v>
      </c>
      <c r="G38" t="s">
        <v>64</v>
      </c>
      <c r="I38" t="s">
        <v>65</v>
      </c>
      <c r="K38" t="s">
        <v>66</v>
      </c>
      <c r="M38" t="s">
        <v>146</v>
      </c>
      <c r="O38">
        <v>0.95</v>
      </c>
      <c r="P38" s="9" t="s">
        <v>147</v>
      </c>
      <c r="Q38">
        <v>98</v>
      </c>
      <c r="R38">
        <v>4</v>
      </c>
      <c r="S38">
        <v>1</v>
      </c>
      <c r="T38">
        <v>0</v>
      </c>
      <c r="U38">
        <v>0</v>
      </c>
      <c r="V38">
        <v>0</v>
      </c>
      <c r="W38">
        <v>309</v>
      </c>
      <c r="X38">
        <v>175</v>
      </c>
      <c r="Z38" s="26">
        <f t="shared" si="4"/>
        <v>2.6597057323513446E-3</v>
      </c>
      <c r="AA38" s="12">
        <f t="shared" si="1"/>
        <v>0.94081743450817368</v>
      </c>
      <c r="AC38">
        <v>25</v>
      </c>
      <c r="AD38">
        <v>21</v>
      </c>
      <c r="AE38">
        <v>100</v>
      </c>
      <c r="AG38" s="25">
        <f>IF(P38="*","-",IFERROR(VLOOKUP(P38,'All MECSM samples'!$P$4:$AD$454,15,FALSE),"-"))</f>
        <v>313</v>
      </c>
      <c r="AI38" s="9">
        <f t="shared" si="2"/>
        <v>1</v>
      </c>
      <c r="AJ38" s="9">
        <f t="shared" si="3"/>
        <v>1</v>
      </c>
      <c r="AK38" s="11">
        <f>SUM(AI$4:AI38)/SUM(AJ$4:AJ38)</f>
        <v>1</v>
      </c>
    </row>
    <row r="39" spans="1:37" x14ac:dyDescent="0.35">
      <c r="A39" t="s">
        <v>113</v>
      </c>
      <c r="B39">
        <v>472</v>
      </c>
      <c r="C39" t="s">
        <v>7</v>
      </c>
      <c r="D39" t="s">
        <v>8</v>
      </c>
      <c r="O39">
        <v>0.92</v>
      </c>
      <c r="P39" s="9" t="s">
        <v>98</v>
      </c>
      <c r="Q39">
        <v>0</v>
      </c>
      <c r="R39">
        <v>1</v>
      </c>
      <c r="S39">
        <v>0</v>
      </c>
      <c r="T39">
        <v>0</v>
      </c>
      <c r="U39">
        <v>259</v>
      </c>
      <c r="V39">
        <v>211</v>
      </c>
      <c r="W39">
        <v>2</v>
      </c>
      <c r="X39">
        <v>0</v>
      </c>
      <c r="Z39" s="26">
        <f t="shared" si="4"/>
        <v>2.5884146508656381E-3</v>
      </c>
      <c r="AA39" s="12">
        <f t="shared" si="1"/>
        <v>0.94340584915903936</v>
      </c>
      <c r="AC39">
        <v>0</v>
      </c>
      <c r="AD39">
        <v>100</v>
      </c>
      <c r="AE39">
        <v>0</v>
      </c>
      <c r="AG39" s="25" t="str">
        <f>IF(P39="*","-",IFERROR(VLOOKUP(P39,'All MECSM samples'!$P$4:$AD$454,15,FALSE),"-"))</f>
        <v>-</v>
      </c>
      <c r="AI39" s="9">
        <f t="shared" si="2"/>
        <v>1</v>
      </c>
      <c r="AJ39" s="9">
        <f t="shared" si="3"/>
        <v>1</v>
      </c>
      <c r="AK39" s="11">
        <f>SUM(AI$4:AI39)/SUM(AJ$4:AJ39)</f>
        <v>1</v>
      </c>
    </row>
    <row r="40" spans="1:37" x14ac:dyDescent="0.35">
      <c r="A40" t="s">
        <v>193</v>
      </c>
      <c r="B40">
        <v>407</v>
      </c>
      <c r="C40" t="s">
        <v>7</v>
      </c>
      <c r="D40" t="s">
        <v>8</v>
      </c>
      <c r="E40" t="s">
        <v>9</v>
      </c>
      <c r="G40" t="s">
        <v>10</v>
      </c>
      <c r="O40">
        <v>0.5</v>
      </c>
      <c r="P40" s="9" t="s">
        <v>154</v>
      </c>
      <c r="Q40">
        <v>89.7</v>
      </c>
      <c r="R40">
        <v>1</v>
      </c>
      <c r="S40">
        <v>304</v>
      </c>
      <c r="T40">
        <v>98</v>
      </c>
      <c r="U40">
        <v>0</v>
      </c>
      <c r="V40">
        <v>0</v>
      </c>
      <c r="W40">
        <v>5</v>
      </c>
      <c r="X40">
        <v>0</v>
      </c>
      <c r="Z40" s="26">
        <f t="shared" si="4"/>
        <v>2.2319592434371077E-3</v>
      </c>
      <c r="AA40" s="12">
        <f t="shared" si="1"/>
        <v>0.94563780840247647</v>
      </c>
      <c r="AC40">
        <v>100</v>
      </c>
      <c r="AD40">
        <v>0</v>
      </c>
      <c r="AE40">
        <v>61</v>
      </c>
      <c r="AG40" s="25">
        <f>IF(P40="*","-",IFERROR(VLOOKUP(P40,'All MECSM samples'!$P$4:$AD$454,15,FALSE),"-"))</f>
        <v>305</v>
      </c>
      <c r="AI40" s="9">
        <f t="shared" si="2"/>
        <v>1</v>
      </c>
      <c r="AJ40" s="9">
        <f t="shared" si="3"/>
        <v>1</v>
      </c>
      <c r="AK40" s="11">
        <f>SUM(AI$4:AI40)/SUM(AJ$4:AJ40)</f>
        <v>1</v>
      </c>
    </row>
    <row r="41" spans="1:37" x14ac:dyDescent="0.35">
      <c r="A41" t="s">
        <v>128</v>
      </c>
      <c r="B41">
        <v>395</v>
      </c>
      <c r="C41" t="s">
        <v>7</v>
      </c>
      <c r="D41" t="s">
        <v>8</v>
      </c>
      <c r="E41" t="s">
        <v>9</v>
      </c>
      <c r="G41" t="s">
        <v>10</v>
      </c>
      <c r="I41" t="s">
        <v>131</v>
      </c>
      <c r="K41" t="s">
        <v>150</v>
      </c>
      <c r="M41" t="s">
        <v>151</v>
      </c>
      <c r="O41">
        <v>0.97</v>
      </c>
      <c r="P41" s="9" t="s">
        <v>152</v>
      </c>
      <c r="Q41">
        <v>98</v>
      </c>
      <c r="R41">
        <v>1</v>
      </c>
      <c r="S41">
        <v>7</v>
      </c>
      <c r="T41">
        <v>0</v>
      </c>
      <c r="U41">
        <v>217</v>
      </c>
      <c r="V41">
        <v>65</v>
      </c>
      <c r="W41">
        <v>81</v>
      </c>
      <c r="X41">
        <v>25</v>
      </c>
      <c r="Z41" s="26">
        <f t="shared" si="4"/>
        <v>2.1661520912964558E-3</v>
      </c>
      <c r="AA41" s="12">
        <f t="shared" si="1"/>
        <v>0.94780396049377291</v>
      </c>
      <c r="AC41">
        <v>44</v>
      </c>
      <c r="AD41">
        <v>100</v>
      </c>
      <c r="AE41">
        <v>100</v>
      </c>
      <c r="AG41" s="25">
        <f>IF(P41="*","-",IFERROR(VLOOKUP(P41,'All MECSM samples'!$P$4:$AD$454,15,FALSE),"-"))</f>
        <v>577</v>
      </c>
      <c r="AI41" s="9">
        <f t="shared" si="2"/>
        <v>1</v>
      </c>
      <c r="AJ41" s="9">
        <f t="shared" si="3"/>
        <v>1</v>
      </c>
      <c r="AK41" s="11">
        <f>SUM(AI$4:AI41)/SUM(AJ$4:AJ41)</f>
        <v>1</v>
      </c>
    </row>
    <row r="42" spans="1:37" x14ac:dyDescent="0.35">
      <c r="A42" t="s">
        <v>506</v>
      </c>
      <c r="B42">
        <v>365</v>
      </c>
      <c r="C42" t="s">
        <v>7</v>
      </c>
      <c r="D42" t="s">
        <v>8</v>
      </c>
      <c r="E42" t="s">
        <v>32</v>
      </c>
      <c r="O42">
        <v>0.87</v>
      </c>
      <c r="P42" s="9" t="s">
        <v>98</v>
      </c>
      <c r="Q42">
        <v>0</v>
      </c>
      <c r="R42">
        <v>1</v>
      </c>
      <c r="S42">
        <v>1</v>
      </c>
      <c r="T42">
        <v>0</v>
      </c>
      <c r="U42">
        <v>264</v>
      </c>
      <c r="V42">
        <v>100</v>
      </c>
      <c r="W42">
        <v>0</v>
      </c>
      <c r="X42">
        <v>0</v>
      </c>
      <c r="Z42" s="26">
        <f t="shared" si="4"/>
        <v>2.0016342109448262E-3</v>
      </c>
      <c r="AA42" s="12">
        <f t="shared" si="1"/>
        <v>0.9498055947047177</v>
      </c>
      <c r="AC42">
        <v>18</v>
      </c>
      <c r="AD42">
        <v>98</v>
      </c>
      <c r="AE42">
        <v>18</v>
      </c>
      <c r="AG42" s="25" t="str">
        <f>IF(P42="*","-",IFERROR(VLOOKUP(P42,'All MECSM samples'!$P$4:$AD$454,15,FALSE),"-"))</f>
        <v>-</v>
      </c>
      <c r="AI42" s="9">
        <f t="shared" si="2"/>
        <v>1</v>
      </c>
      <c r="AJ42" s="9">
        <f t="shared" si="3"/>
        <v>1</v>
      </c>
      <c r="AK42" s="11">
        <f>SUM(AI$4:AI42)/SUM(AJ$4:AJ42)</f>
        <v>1</v>
      </c>
    </row>
    <row r="43" spans="1:37" x14ac:dyDescent="0.35">
      <c r="A43" t="s">
        <v>349</v>
      </c>
      <c r="B43">
        <v>348</v>
      </c>
      <c r="C43" t="s">
        <v>7</v>
      </c>
      <c r="D43" t="s">
        <v>8</v>
      </c>
      <c r="E43" t="s">
        <v>46</v>
      </c>
      <c r="G43" t="s">
        <v>47</v>
      </c>
      <c r="I43" t="s">
        <v>61</v>
      </c>
      <c r="K43" t="s">
        <v>157</v>
      </c>
      <c r="O43">
        <v>0.77</v>
      </c>
      <c r="P43" s="9" t="s">
        <v>158</v>
      </c>
      <c r="Q43">
        <v>94.8</v>
      </c>
      <c r="R43">
        <v>1</v>
      </c>
      <c r="S43">
        <v>230</v>
      </c>
      <c r="T43">
        <v>115</v>
      </c>
      <c r="U43">
        <v>0</v>
      </c>
      <c r="V43">
        <v>0</v>
      </c>
      <c r="W43">
        <v>3</v>
      </c>
      <c r="X43">
        <v>0</v>
      </c>
      <c r="Z43" s="26">
        <f t="shared" si="4"/>
        <v>1.9084074120789027E-3</v>
      </c>
      <c r="AA43" s="12">
        <f t="shared" si="1"/>
        <v>0.95171400211679658</v>
      </c>
      <c r="AC43">
        <v>100</v>
      </c>
      <c r="AD43">
        <v>9</v>
      </c>
      <c r="AE43">
        <v>14</v>
      </c>
      <c r="AG43" s="25">
        <f>IF(P43="*","-",IFERROR(VLOOKUP(P43,'All MECSM samples'!$P$4:$AD$454,15,FALSE),"-"))</f>
        <v>231</v>
      </c>
      <c r="AI43" s="9">
        <f t="shared" si="2"/>
        <v>1</v>
      </c>
      <c r="AJ43" s="9">
        <f t="shared" si="3"/>
        <v>1</v>
      </c>
      <c r="AK43" s="11">
        <f>SUM(AI$4:AI43)/SUM(AJ$4:AJ43)</f>
        <v>1</v>
      </c>
    </row>
    <row r="44" spans="1:37" x14ac:dyDescent="0.35">
      <c r="A44" t="s">
        <v>189</v>
      </c>
      <c r="B44">
        <v>346</v>
      </c>
      <c r="C44" t="s">
        <v>7</v>
      </c>
      <c r="D44" t="s">
        <v>8</v>
      </c>
      <c r="E44" t="s">
        <v>46</v>
      </c>
      <c r="G44" t="s">
        <v>47</v>
      </c>
      <c r="I44" t="s">
        <v>160</v>
      </c>
      <c r="K44" t="s">
        <v>161</v>
      </c>
      <c r="M44" t="s">
        <v>162</v>
      </c>
      <c r="O44">
        <v>0.95</v>
      </c>
      <c r="P44" s="9" t="s">
        <v>163</v>
      </c>
      <c r="Q44">
        <v>96</v>
      </c>
      <c r="R44">
        <v>1</v>
      </c>
      <c r="S44">
        <v>4</v>
      </c>
      <c r="T44">
        <v>0</v>
      </c>
      <c r="U44">
        <v>43</v>
      </c>
      <c r="V44">
        <v>84</v>
      </c>
      <c r="W44">
        <v>116</v>
      </c>
      <c r="X44">
        <v>99</v>
      </c>
      <c r="Z44" s="26">
        <f t="shared" si="4"/>
        <v>1.8974395533887941E-3</v>
      </c>
      <c r="AA44" s="12">
        <f t="shared" si="1"/>
        <v>0.95361144167018541</v>
      </c>
      <c r="AC44">
        <v>9</v>
      </c>
      <c r="AD44">
        <v>54</v>
      </c>
      <c r="AE44">
        <v>100</v>
      </c>
      <c r="AG44" s="25">
        <f>IF(P44="*","-",IFERROR(VLOOKUP(P44,'All MECSM samples'!$P$4:$AD$454,15,FALSE),"-"))</f>
        <v>3869</v>
      </c>
      <c r="AI44" s="9">
        <f t="shared" si="2"/>
        <v>1</v>
      </c>
      <c r="AJ44" s="9">
        <f t="shared" si="3"/>
        <v>1</v>
      </c>
      <c r="AK44" s="11">
        <f>SUM(AI$4:AI44)/SUM(AJ$4:AJ44)</f>
        <v>1</v>
      </c>
    </row>
    <row r="45" spans="1:37" x14ac:dyDescent="0.35">
      <c r="A45" t="s">
        <v>137</v>
      </c>
      <c r="B45">
        <v>292</v>
      </c>
      <c r="C45" t="s">
        <v>7</v>
      </c>
      <c r="D45" t="s">
        <v>8</v>
      </c>
      <c r="E45" t="s">
        <v>165</v>
      </c>
      <c r="G45" t="s">
        <v>166</v>
      </c>
      <c r="I45" t="s">
        <v>167</v>
      </c>
      <c r="K45" t="s">
        <v>168</v>
      </c>
      <c r="M45" t="s">
        <v>169</v>
      </c>
      <c r="O45">
        <v>1</v>
      </c>
      <c r="P45" s="9" t="s">
        <v>170</v>
      </c>
      <c r="Q45">
        <v>99.6</v>
      </c>
      <c r="R45">
        <v>1</v>
      </c>
      <c r="S45">
        <v>205</v>
      </c>
      <c r="T45">
        <v>82</v>
      </c>
      <c r="U45">
        <v>2</v>
      </c>
      <c r="V45">
        <v>0</v>
      </c>
      <c r="W45">
        <v>3</v>
      </c>
      <c r="X45">
        <v>0</v>
      </c>
      <c r="Z45" s="26">
        <f t="shared" si="4"/>
        <v>1.6013073687558609E-3</v>
      </c>
      <c r="AA45" s="12">
        <f t="shared" si="1"/>
        <v>0.95521274903894127</v>
      </c>
      <c r="AC45">
        <v>100</v>
      </c>
      <c r="AD45">
        <v>16</v>
      </c>
      <c r="AE45">
        <v>100</v>
      </c>
      <c r="AG45" s="25">
        <f>IF(P45="*","-",IFERROR(VLOOKUP(P45,'All MECSM samples'!$P$4:$AD$454,15,FALSE),"-"))</f>
        <v>205</v>
      </c>
      <c r="AI45" s="9">
        <f t="shared" si="2"/>
        <v>1</v>
      </c>
      <c r="AJ45" s="9">
        <f t="shared" si="3"/>
        <v>1</v>
      </c>
      <c r="AK45" s="11">
        <f>SUM(AI$4:AI45)/SUM(AJ$4:AJ45)</f>
        <v>1</v>
      </c>
    </row>
    <row r="46" spans="1:37" x14ac:dyDescent="0.35">
      <c r="A46" t="s">
        <v>119</v>
      </c>
      <c r="B46">
        <v>271</v>
      </c>
      <c r="C46" t="s">
        <v>7</v>
      </c>
      <c r="D46" t="s">
        <v>8</v>
      </c>
      <c r="E46" t="s">
        <v>9</v>
      </c>
      <c r="G46" t="s">
        <v>172</v>
      </c>
      <c r="I46" t="s">
        <v>173</v>
      </c>
      <c r="K46" t="s">
        <v>174</v>
      </c>
      <c r="M46" t="s">
        <v>175</v>
      </c>
      <c r="O46">
        <v>0.99</v>
      </c>
      <c r="P46" s="9" t="s">
        <v>176</v>
      </c>
      <c r="Q46">
        <v>100</v>
      </c>
      <c r="R46">
        <v>2</v>
      </c>
      <c r="S46">
        <v>6</v>
      </c>
      <c r="T46">
        <v>0</v>
      </c>
      <c r="U46">
        <v>1</v>
      </c>
      <c r="V46">
        <v>0</v>
      </c>
      <c r="W46">
        <v>138</v>
      </c>
      <c r="X46">
        <v>126</v>
      </c>
      <c r="Z46" s="26">
        <f t="shared" si="4"/>
        <v>1.4861448525097202E-3</v>
      </c>
      <c r="AA46" s="12">
        <f t="shared" si="1"/>
        <v>0.95669889389145102</v>
      </c>
      <c r="AC46">
        <v>56</v>
      </c>
      <c r="AD46">
        <v>0</v>
      </c>
      <c r="AE46">
        <v>100</v>
      </c>
      <c r="AG46" s="25">
        <f>IF(P46="*","-",IFERROR(VLOOKUP(P46,'All MECSM samples'!$P$4:$AD$454,15,FALSE),"-"))</f>
        <v>1109</v>
      </c>
      <c r="AI46" s="9">
        <f t="shared" si="2"/>
        <v>1</v>
      </c>
      <c r="AJ46" s="9">
        <f t="shared" si="3"/>
        <v>1</v>
      </c>
      <c r="AK46" s="11">
        <f>SUM(AI$4:AI46)/SUM(AJ$4:AJ46)</f>
        <v>1</v>
      </c>
    </row>
    <row r="47" spans="1:37" x14ac:dyDescent="0.35">
      <c r="A47" t="s">
        <v>181</v>
      </c>
      <c r="B47">
        <v>265</v>
      </c>
      <c r="C47" t="s">
        <v>7</v>
      </c>
      <c r="D47" t="s">
        <v>8</v>
      </c>
      <c r="E47" t="s">
        <v>46</v>
      </c>
      <c r="G47" t="s">
        <v>47</v>
      </c>
      <c r="I47" t="s">
        <v>61</v>
      </c>
      <c r="K47" t="s">
        <v>178</v>
      </c>
      <c r="M47" t="s">
        <v>179</v>
      </c>
      <c r="O47">
        <v>0.9</v>
      </c>
      <c r="P47" s="9" t="s">
        <v>180</v>
      </c>
      <c r="Q47">
        <v>97.6</v>
      </c>
      <c r="R47">
        <v>1</v>
      </c>
      <c r="S47">
        <v>0</v>
      </c>
      <c r="T47">
        <v>0</v>
      </c>
      <c r="U47">
        <v>1</v>
      </c>
      <c r="V47">
        <v>0</v>
      </c>
      <c r="W47">
        <v>146</v>
      </c>
      <c r="X47">
        <v>118</v>
      </c>
      <c r="Z47" s="26">
        <f t="shared" si="4"/>
        <v>1.4532412764393945E-3</v>
      </c>
      <c r="AA47" s="12">
        <f t="shared" si="1"/>
        <v>0.95815213516789044</v>
      </c>
      <c r="AC47">
        <v>14</v>
      </c>
      <c r="AD47">
        <v>21</v>
      </c>
      <c r="AE47">
        <v>100</v>
      </c>
      <c r="AG47" s="25">
        <f>IF(P47="*","-",IFERROR(VLOOKUP(P47,'All MECSM samples'!$P$4:$AD$454,15,FALSE),"-"))</f>
        <v>148</v>
      </c>
      <c r="AI47" s="9">
        <f t="shared" si="2"/>
        <v>1</v>
      </c>
      <c r="AJ47" s="9">
        <f t="shared" si="3"/>
        <v>1</v>
      </c>
      <c r="AK47" s="11">
        <f>SUM(AI$4:AI47)/SUM(AJ$4:AJ47)</f>
        <v>1</v>
      </c>
    </row>
    <row r="48" spans="1:37" x14ac:dyDescent="0.35">
      <c r="A48" t="s">
        <v>171</v>
      </c>
      <c r="B48">
        <v>259</v>
      </c>
      <c r="C48" t="s">
        <v>7</v>
      </c>
      <c r="D48" t="s">
        <v>8</v>
      </c>
      <c r="E48" t="s">
        <v>46</v>
      </c>
      <c r="G48" t="s">
        <v>47</v>
      </c>
      <c r="I48" t="s">
        <v>61</v>
      </c>
      <c r="K48" t="s">
        <v>182</v>
      </c>
      <c r="M48" t="s">
        <v>183</v>
      </c>
      <c r="O48">
        <v>0.95</v>
      </c>
      <c r="P48" s="9" t="s">
        <v>184</v>
      </c>
      <c r="Q48">
        <v>99.2</v>
      </c>
      <c r="R48">
        <v>1</v>
      </c>
      <c r="S48">
        <v>4</v>
      </c>
      <c r="T48">
        <v>0</v>
      </c>
      <c r="U48">
        <v>188</v>
      </c>
      <c r="V48">
        <v>67</v>
      </c>
      <c r="W48">
        <v>0</v>
      </c>
      <c r="X48">
        <v>0</v>
      </c>
      <c r="Z48" s="26">
        <f t="shared" si="4"/>
        <v>1.4203377003690685E-3</v>
      </c>
      <c r="AA48" s="12">
        <f t="shared" si="1"/>
        <v>0.95957247286825953</v>
      </c>
      <c r="AC48">
        <v>7</v>
      </c>
      <c r="AD48">
        <v>100</v>
      </c>
      <c r="AE48">
        <v>8</v>
      </c>
      <c r="AG48" s="25">
        <f>IF(P48="*","-",IFERROR(VLOOKUP(P48,'All MECSM samples'!$P$4:$AD$454,15,FALSE),"-"))</f>
        <v>1186</v>
      </c>
      <c r="AI48" s="9">
        <f t="shared" si="2"/>
        <v>1</v>
      </c>
      <c r="AJ48" s="9">
        <f t="shared" si="3"/>
        <v>1</v>
      </c>
      <c r="AK48" s="11">
        <f>SUM(AI$4:AI48)/SUM(AJ$4:AJ48)</f>
        <v>1</v>
      </c>
    </row>
    <row r="49" spans="1:37" x14ac:dyDescent="0.35">
      <c r="A49" t="s">
        <v>197</v>
      </c>
      <c r="B49">
        <v>257</v>
      </c>
      <c r="C49" t="s">
        <v>7</v>
      </c>
      <c r="D49" t="s">
        <v>8</v>
      </c>
      <c r="E49" t="s">
        <v>46</v>
      </c>
      <c r="G49" t="s">
        <v>47</v>
      </c>
      <c r="I49" t="s">
        <v>61</v>
      </c>
      <c r="K49" t="s">
        <v>178</v>
      </c>
      <c r="M49" t="s">
        <v>186</v>
      </c>
      <c r="O49">
        <v>1</v>
      </c>
      <c r="P49" s="9" t="s">
        <v>187</v>
      </c>
      <c r="Q49">
        <v>98.8</v>
      </c>
      <c r="R49">
        <v>1</v>
      </c>
      <c r="S49">
        <v>0</v>
      </c>
      <c r="T49">
        <v>0</v>
      </c>
      <c r="U49">
        <v>2</v>
      </c>
      <c r="V49">
        <v>0</v>
      </c>
      <c r="W49">
        <v>181</v>
      </c>
      <c r="X49">
        <v>74</v>
      </c>
      <c r="Z49" s="26">
        <f t="shared" si="4"/>
        <v>1.4093698416789598E-3</v>
      </c>
      <c r="AA49" s="12">
        <f t="shared" si="1"/>
        <v>0.96098184270993847</v>
      </c>
      <c r="AC49">
        <v>16</v>
      </c>
      <c r="AD49">
        <v>12</v>
      </c>
      <c r="AE49">
        <v>100</v>
      </c>
      <c r="AG49" s="25">
        <f>IF(P49="*","-",IFERROR(VLOOKUP(P49,'All MECSM samples'!$P$4:$AD$454,15,FALSE),"-"))</f>
        <v>520</v>
      </c>
      <c r="AI49" s="9">
        <f t="shared" si="2"/>
        <v>1</v>
      </c>
      <c r="AJ49" s="9">
        <f t="shared" si="3"/>
        <v>1</v>
      </c>
      <c r="AK49" s="11">
        <f>SUM(AI$4:AI49)/SUM(AJ$4:AJ49)</f>
        <v>1</v>
      </c>
    </row>
    <row r="50" spans="1:37" x14ac:dyDescent="0.35">
      <c r="A50" t="s">
        <v>230</v>
      </c>
      <c r="B50">
        <v>244</v>
      </c>
      <c r="C50" t="s">
        <v>7</v>
      </c>
      <c r="D50" t="s">
        <v>8</v>
      </c>
      <c r="E50" t="s">
        <v>120</v>
      </c>
      <c r="G50" t="s">
        <v>121</v>
      </c>
      <c r="I50" t="s">
        <v>122</v>
      </c>
      <c r="K50" t="s">
        <v>123</v>
      </c>
      <c r="M50" t="s">
        <v>219</v>
      </c>
      <c r="O50">
        <v>1</v>
      </c>
      <c r="P50" s="9" t="s">
        <v>220</v>
      </c>
      <c r="Q50">
        <v>98.8</v>
      </c>
      <c r="R50">
        <v>1</v>
      </c>
      <c r="S50">
        <v>2</v>
      </c>
      <c r="T50">
        <v>0</v>
      </c>
      <c r="U50">
        <v>93</v>
      </c>
      <c r="V50">
        <v>48</v>
      </c>
      <c r="W50">
        <v>51</v>
      </c>
      <c r="X50">
        <v>50</v>
      </c>
      <c r="Z50" s="26">
        <f t="shared" si="4"/>
        <v>1.3380787601932538E-3</v>
      </c>
      <c r="AA50" s="12">
        <f t="shared" si="1"/>
        <v>0.96231992147013168</v>
      </c>
      <c r="AC50">
        <v>15</v>
      </c>
      <c r="AD50">
        <v>100</v>
      </c>
      <c r="AE50">
        <v>64</v>
      </c>
      <c r="AG50" s="25">
        <f>IF(P50="*","-",IFERROR(VLOOKUP(P50,'All MECSM samples'!$P$4:$AD$454,15,FALSE),"-"))</f>
        <v>81</v>
      </c>
      <c r="AI50" s="9">
        <f t="shared" si="2"/>
        <v>1</v>
      </c>
      <c r="AJ50" s="9">
        <f t="shared" si="3"/>
        <v>1</v>
      </c>
      <c r="AK50" s="11">
        <f>SUM(AI$4:AI50)/SUM(AJ$4:AJ50)</f>
        <v>1</v>
      </c>
    </row>
    <row r="51" spans="1:37" x14ac:dyDescent="0.35">
      <c r="A51" t="s">
        <v>149</v>
      </c>
      <c r="B51">
        <v>232</v>
      </c>
      <c r="C51" t="s">
        <v>7</v>
      </c>
      <c r="D51" t="s">
        <v>8</v>
      </c>
      <c r="O51">
        <v>0.94</v>
      </c>
      <c r="P51" s="9" t="s">
        <v>98</v>
      </c>
      <c r="Q51">
        <v>0</v>
      </c>
      <c r="R51">
        <v>1</v>
      </c>
      <c r="S51">
        <v>161</v>
      </c>
      <c r="T51">
        <v>70</v>
      </c>
      <c r="U51">
        <v>1</v>
      </c>
      <c r="V51">
        <v>0</v>
      </c>
      <c r="W51">
        <v>0</v>
      </c>
      <c r="X51">
        <v>0</v>
      </c>
      <c r="Z51" s="26">
        <f t="shared" si="4"/>
        <v>1.2722716080526019E-3</v>
      </c>
      <c r="AA51" s="12">
        <f t="shared" si="1"/>
        <v>0.96359219307818433</v>
      </c>
      <c r="AC51">
        <v>100</v>
      </c>
      <c r="AD51">
        <v>0</v>
      </c>
      <c r="AE51">
        <v>25</v>
      </c>
      <c r="AG51" s="25" t="str">
        <f>IF(P51="*","-",IFERROR(VLOOKUP(P51,'All MECSM samples'!$P$4:$AD$454,15,FALSE),"-"))</f>
        <v>-</v>
      </c>
      <c r="AI51" s="9">
        <f t="shared" si="2"/>
        <v>1</v>
      </c>
      <c r="AJ51" s="9">
        <f t="shared" si="3"/>
        <v>1</v>
      </c>
      <c r="AK51" s="11">
        <f>SUM(AI$4:AI51)/SUM(AJ$4:AJ51)</f>
        <v>1</v>
      </c>
    </row>
    <row r="52" spans="1:37" x14ac:dyDescent="0.35">
      <c r="A52" t="s">
        <v>148</v>
      </c>
      <c r="B52">
        <v>219</v>
      </c>
      <c r="C52" t="s">
        <v>7</v>
      </c>
      <c r="D52" t="s">
        <v>8</v>
      </c>
      <c r="E52" t="s">
        <v>46</v>
      </c>
      <c r="G52" t="s">
        <v>47</v>
      </c>
      <c r="I52" t="s">
        <v>61</v>
      </c>
      <c r="K52" t="s">
        <v>190</v>
      </c>
      <c r="M52" t="s">
        <v>191</v>
      </c>
      <c r="O52">
        <v>0.85</v>
      </c>
      <c r="P52" s="9" t="s">
        <v>192</v>
      </c>
      <c r="Q52">
        <v>96</v>
      </c>
      <c r="R52">
        <v>1</v>
      </c>
      <c r="S52">
        <v>169</v>
      </c>
      <c r="T52">
        <v>47</v>
      </c>
      <c r="U52">
        <v>2</v>
      </c>
      <c r="V52">
        <v>0</v>
      </c>
      <c r="W52">
        <v>1</v>
      </c>
      <c r="X52">
        <v>0</v>
      </c>
      <c r="Z52" s="26">
        <f t="shared" si="4"/>
        <v>1.2009805265668957E-3</v>
      </c>
      <c r="AA52" s="12">
        <f t="shared" si="1"/>
        <v>0.96479317360475125</v>
      </c>
      <c r="AC52">
        <v>100</v>
      </c>
      <c r="AD52">
        <v>0</v>
      </c>
      <c r="AE52">
        <v>45</v>
      </c>
      <c r="AG52" s="25">
        <f>IF(P52="*","-",IFERROR(VLOOKUP(P52,'All MECSM samples'!$P$4:$AD$454,15,FALSE),"-"))</f>
        <v>245</v>
      </c>
      <c r="AI52" s="9">
        <f t="shared" si="2"/>
        <v>1</v>
      </c>
      <c r="AJ52" s="9">
        <f t="shared" si="3"/>
        <v>1</v>
      </c>
      <c r="AK52" s="11">
        <f>SUM(AI$4:AI52)/SUM(AJ$4:AJ52)</f>
        <v>1</v>
      </c>
    </row>
    <row r="53" spans="1:37" x14ac:dyDescent="0.35">
      <c r="A53" t="s">
        <v>159</v>
      </c>
      <c r="B53">
        <v>212</v>
      </c>
      <c r="C53" t="s">
        <v>7</v>
      </c>
      <c r="D53" t="s">
        <v>8</v>
      </c>
      <c r="E53" t="s">
        <v>32</v>
      </c>
      <c r="G53" t="s">
        <v>35</v>
      </c>
      <c r="I53" t="s">
        <v>36</v>
      </c>
      <c r="K53" t="s">
        <v>37</v>
      </c>
      <c r="M53" t="s">
        <v>201</v>
      </c>
      <c r="O53">
        <v>0.54</v>
      </c>
      <c r="P53" s="9" t="s">
        <v>202</v>
      </c>
      <c r="Q53">
        <v>86.2</v>
      </c>
      <c r="R53">
        <v>1</v>
      </c>
      <c r="S53">
        <v>175</v>
      </c>
      <c r="T53">
        <v>33</v>
      </c>
      <c r="U53">
        <v>0</v>
      </c>
      <c r="V53">
        <v>0</v>
      </c>
      <c r="W53">
        <v>4</v>
      </c>
      <c r="X53">
        <v>0</v>
      </c>
      <c r="Z53" s="26">
        <f t="shared" si="4"/>
        <v>1.1625930211515154E-3</v>
      </c>
      <c r="AA53" s="12">
        <f t="shared" si="1"/>
        <v>0.96595576662590277</v>
      </c>
      <c r="AC53">
        <v>100</v>
      </c>
      <c r="AD53">
        <v>0</v>
      </c>
      <c r="AE53">
        <v>8</v>
      </c>
      <c r="AG53" s="25">
        <f>IF(P53="*","-",IFERROR(VLOOKUP(P53,'All MECSM samples'!$P$4:$AD$454,15,FALSE),"-"))</f>
        <v>611</v>
      </c>
      <c r="AI53" s="9">
        <f t="shared" si="2"/>
        <v>1</v>
      </c>
      <c r="AJ53" s="9">
        <f t="shared" si="3"/>
        <v>1</v>
      </c>
      <c r="AK53" s="11">
        <f>SUM(AI$4:AI53)/SUM(AJ$4:AJ53)</f>
        <v>1</v>
      </c>
    </row>
    <row r="54" spans="1:37" x14ac:dyDescent="0.35">
      <c r="A54" t="s">
        <v>142</v>
      </c>
      <c r="B54">
        <v>210</v>
      </c>
      <c r="C54" t="s">
        <v>7</v>
      </c>
      <c r="D54" t="s">
        <v>8</v>
      </c>
      <c r="E54" t="s">
        <v>32</v>
      </c>
      <c r="G54" t="s">
        <v>35</v>
      </c>
      <c r="I54" t="s">
        <v>36</v>
      </c>
      <c r="K54" t="s">
        <v>194</v>
      </c>
      <c r="M54" t="s">
        <v>195</v>
      </c>
      <c r="O54">
        <v>0.6</v>
      </c>
      <c r="P54" s="9" t="s">
        <v>196</v>
      </c>
      <c r="Q54">
        <v>92.5</v>
      </c>
      <c r="R54">
        <v>1</v>
      </c>
      <c r="S54">
        <v>0</v>
      </c>
      <c r="T54">
        <v>0</v>
      </c>
      <c r="U54">
        <v>0</v>
      </c>
      <c r="V54">
        <v>0</v>
      </c>
      <c r="W54">
        <v>32</v>
      </c>
      <c r="X54">
        <v>178</v>
      </c>
      <c r="Z54" s="26">
        <f t="shared" si="4"/>
        <v>1.1516251624614068E-3</v>
      </c>
      <c r="AA54" s="12">
        <f t="shared" si="1"/>
        <v>0.96710739178836413</v>
      </c>
      <c r="AC54">
        <v>0</v>
      </c>
      <c r="AD54">
        <v>0</v>
      </c>
      <c r="AE54">
        <v>100</v>
      </c>
      <c r="AG54" s="25">
        <f>IF(P54="*","-",IFERROR(VLOOKUP(P54,'All MECSM samples'!$P$4:$AD$454,15,FALSE),"-"))</f>
        <v>35</v>
      </c>
      <c r="AI54" s="9">
        <f t="shared" si="2"/>
        <v>1</v>
      </c>
      <c r="AJ54" s="9">
        <f t="shared" si="3"/>
        <v>1</v>
      </c>
      <c r="AK54" s="11">
        <f>SUM(AI$4:AI54)/SUM(AJ$4:AJ54)</f>
        <v>1</v>
      </c>
    </row>
    <row r="55" spans="1:37" x14ac:dyDescent="0.35">
      <c r="A55" t="s">
        <v>203</v>
      </c>
      <c r="B55">
        <v>208</v>
      </c>
      <c r="C55" t="s">
        <v>7</v>
      </c>
      <c r="D55" t="s">
        <v>8</v>
      </c>
      <c r="E55" t="s">
        <v>46</v>
      </c>
      <c r="G55" t="s">
        <v>47</v>
      </c>
      <c r="I55" t="s">
        <v>61</v>
      </c>
      <c r="K55" t="s">
        <v>210</v>
      </c>
      <c r="M55" t="s">
        <v>211</v>
      </c>
      <c r="O55">
        <v>1</v>
      </c>
      <c r="P55" s="9" t="s">
        <v>212</v>
      </c>
      <c r="Q55">
        <v>96.8</v>
      </c>
      <c r="R55">
        <v>1</v>
      </c>
      <c r="S55">
        <v>53</v>
      </c>
      <c r="T55">
        <v>21</v>
      </c>
      <c r="U55">
        <v>4</v>
      </c>
      <c r="V55">
        <v>0</v>
      </c>
      <c r="W55">
        <v>61</v>
      </c>
      <c r="X55">
        <v>69</v>
      </c>
      <c r="Z55" s="26">
        <f t="shared" si="4"/>
        <v>1.1406573037712983E-3</v>
      </c>
      <c r="AA55" s="12">
        <f t="shared" si="1"/>
        <v>0.96824804909213547</v>
      </c>
      <c r="AC55">
        <v>100</v>
      </c>
      <c r="AD55">
        <v>0</v>
      </c>
      <c r="AE55">
        <v>100</v>
      </c>
      <c r="AG55" s="25">
        <f>IF(P55="*","-",IFERROR(VLOOKUP(P55,'All MECSM samples'!$P$4:$AD$454,15,FALSE),"-"))</f>
        <v>439</v>
      </c>
      <c r="AI55" s="9">
        <f t="shared" si="2"/>
        <v>1</v>
      </c>
      <c r="AJ55" s="9">
        <f t="shared" si="3"/>
        <v>1</v>
      </c>
      <c r="AK55" s="11">
        <f>SUM(AI$4:AI55)/SUM(AJ$4:AJ55)</f>
        <v>1</v>
      </c>
    </row>
    <row r="56" spans="1:37" x14ac:dyDescent="0.35">
      <c r="A56" t="s">
        <v>164</v>
      </c>
      <c r="B56">
        <v>203</v>
      </c>
      <c r="C56" t="s">
        <v>7</v>
      </c>
      <c r="D56" t="s">
        <v>24</v>
      </c>
      <c r="E56" t="s">
        <v>25</v>
      </c>
      <c r="G56" t="s">
        <v>40</v>
      </c>
      <c r="I56" t="s">
        <v>56</v>
      </c>
      <c r="K56" t="s">
        <v>204</v>
      </c>
      <c r="M56" t="s">
        <v>205</v>
      </c>
      <c r="O56">
        <v>1</v>
      </c>
      <c r="P56" s="9" t="s">
        <v>206</v>
      </c>
      <c r="Q56">
        <v>98.4</v>
      </c>
      <c r="R56">
        <v>2</v>
      </c>
      <c r="S56">
        <v>67</v>
      </c>
      <c r="T56">
        <v>135</v>
      </c>
      <c r="U56">
        <v>0</v>
      </c>
      <c r="V56">
        <v>0</v>
      </c>
      <c r="W56">
        <v>1</v>
      </c>
      <c r="X56">
        <v>0</v>
      </c>
      <c r="Z56" s="26">
        <f t="shared" si="4"/>
        <v>1.1132376570460265E-3</v>
      </c>
      <c r="AA56" s="12">
        <f t="shared" si="1"/>
        <v>0.96936128674918154</v>
      </c>
      <c r="AC56">
        <v>100</v>
      </c>
      <c r="AD56">
        <v>0</v>
      </c>
      <c r="AE56">
        <v>0</v>
      </c>
      <c r="AG56" s="25">
        <f>IF(P56="*","-",IFERROR(VLOOKUP(P56,'All MECSM samples'!$P$4:$AD$454,15,FALSE),"-"))</f>
        <v>465</v>
      </c>
      <c r="AI56" s="9">
        <f t="shared" si="2"/>
        <v>1</v>
      </c>
      <c r="AJ56" s="9">
        <f t="shared" si="3"/>
        <v>1</v>
      </c>
      <c r="AK56" s="11">
        <f>SUM(AI$4:AI56)/SUM(AJ$4:AJ56)</f>
        <v>1</v>
      </c>
    </row>
    <row r="57" spans="1:37" x14ac:dyDescent="0.35">
      <c r="A57" t="s">
        <v>207</v>
      </c>
      <c r="B57">
        <v>193</v>
      </c>
      <c r="C57" t="s">
        <v>7</v>
      </c>
      <c r="D57" t="s">
        <v>8</v>
      </c>
      <c r="E57" t="s">
        <v>46</v>
      </c>
      <c r="G57" t="s">
        <v>47</v>
      </c>
      <c r="I57" t="s">
        <v>61</v>
      </c>
      <c r="O57">
        <v>0.75</v>
      </c>
      <c r="P57" s="9" t="s">
        <v>208</v>
      </c>
      <c r="Q57">
        <v>92.1</v>
      </c>
      <c r="R57">
        <v>2</v>
      </c>
      <c r="S57">
        <v>0</v>
      </c>
      <c r="T57">
        <v>0</v>
      </c>
      <c r="U57">
        <v>133</v>
      </c>
      <c r="V57">
        <v>60</v>
      </c>
      <c r="W57">
        <v>0</v>
      </c>
      <c r="X57">
        <v>0</v>
      </c>
      <c r="Z57" s="26">
        <f t="shared" si="4"/>
        <v>1.0583983635954835E-3</v>
      </c>
      <c r="AA57" s="12">
        <f t="shared" si="1"/>
        <v>0.97041968511277699</v>
      </c>
      <c r="AC57">
        <v>40</v>
      </c>
      <c r="AD57">
        <v>93</v>
      </c>
      <c r="AE57">
        <v>43</v>
      </c>
      <c r="AG57" s="25">
        <f>IF(P57="*","-",IFERROR(VLOOKUP(P57,'All MECSM samples'!$P$4:$AD$454,15,FALSE),"-"))</f>
        <v>132</v>
      </c>
      <c r="AI57" s="9">
        <f t="shared" si="2"/>
        <v>1</v>
      </c>
      <c r="AJ57" s="9">
        <f t="shared" si="3"/>
        <v>1</v>
      </c>
      <c r="AK57" s="11">
        <f>SUM(AI$4:AI57)/SUM(AJ$4:AJ57)</f>
        <v>1</v>
      </c>
    </row>
    <row r="58" spans="1:37" x14ac:dyDescent="0.35">
      <c r="A58" t="s">
        <v>237</v>
      </c>
      <c r="B58">
        <v>192</v>
      </c>
      <c r="C58" t="s">
        <v>7</v>
      </c>
      <c r="D58" t="s">
        <v>8</v>
      </c>
      <c r="E58" t="s">
        <v>32</v>
      </c>
      <c r="O58">
        <v>1</v>
      </c>
      <c r="P58" s="9" t="s">
        <v>217</v>
      </c>
      <c r="Q58">
        <v>87</v>
      </c>
      <c r="R58">
        <v>3</v>
      </c>
      <c r="S58">
        <v>125</v>
      </c>
      <c r="T58">
        <v>58</v>
      </c>
      <c r="U58">
        <v>8</v>
      </c>
      <c r="V58">
        <v>0</v>
      </c>
      <c r="W58">
        <v>1</v>
      </c>
      <c r="X58">
        <v>0</v>
      </c>
      <c r="Z58" s="26">
        <f t="shared" si="4"/>
        <v>1.0529144342504291E-3</v>
      </c>
      <c r="AA58" s="12">
        <f t="shared" si="1"/>
        <v>0.97147259954702736</v>
      </c>
      <c r="AC58">
        <v>100</v>
      </c>
      <c r="AD58">
        <v>2</v>
      </c>
      <c r="AE58">
        <v>2</v>
      </c>
      <c r="AG58" s="25">
        <f>IF(P58="*","-",IFERROR(VLOOKUP(P58,'All MECSM samples'!$P$4:$AD$454,15,FALSE),"-"))</f>
        <v>257</v>
      </c>
      <c r="AI58" s="9">
        <f t="shared" si="2"/>
        <v>1</v>
      </c>
      <c r="AJ58" s="9">
        <f t="shared" si="3"/>
        <v>1</v>
      </c>
      <c r="AK58" s="11">
        <f>SUM(AI$4:AI58)/SUM(AJ$4:AJ58)</f>
        <v>1</v>
      </c>
    </row>
    <row r="59" spans="1:37" x14ac:dyDescent="0.35">
      <c r="A59" t="s">
        <v>255</v>
      </c>
      <c r="B59">
        <v>192</v>
      </c>
      <c r="C59" t="s">
        <v>7</v>
      </c>
      <c r="D59" t="s">
        <v>8</v>
      </c>
      <c r="E59" t="s">
        <v>165</v>
      </c>
      <c r="G59" t="s">
        <v>166</v>
      </c>
      <c r="I59" t="s">
        <v>167</v>
      </c>
      <c r="K59" t="s">
        <v>168</v>
      </c>
      <c r="M59" t="s">
        <v>198</v>
      </c>
      <c r="O59">
        <v>0.68</v>
      </c>
      <c r="P59" s="9" t="s">
        <v>199</v>
      </c>
      <c r="Q59">
        <v>91.7</v>
      </c>
      <c r="R59">
        <v>1</v>
      </c>
      <c r="S59">
        <v>128</v>
      </c>
      <c r="T59">
        <v>62</v>
      </c>
      <c r="U59">
        <v>2</v>
      </c>
      <c r="V59">
        <v>0</v>
      </c>
      <c r="W59">
        <v>0</v>
      </c>
      <c r="X59">
        <v>0</v>
      </c>
      <c r="Z59" s="26">
        <f t="shared" si="4"/>
        <v>1.0529144342504291E-3</v>
      </c>
      <c r="AA59" s="12">
        <f t="shared" si="1"/>
        <v>0.97252551398127773</v>
      </c>
      <c r="AC59">
        <v>100</v>
      </c>
      <c r="AD59">
        <v>1</v>
      </c>
      <c r="AE59">
        <v>0</v>
      </c>
      <c r="AG59" s="25">
        <f>IF(P59="*","-",IFERROR(VLOOKUP(P59,'All MECSM samples'!$P$4:$AD$454,15,FALSE),"-"))</f>
        <v>128</v>
      </c>
      <c r="AI59" s="9">
        <f t="shared" si="2"/>
        <v>1</v>
      </c>
      <c r="AJ59" s="9">
        <f t="shared" si="3"/>
        <v>1</v>
      </c>
      <c r="AK59" s="11">
        <f>SUM(AI$4:AI59)/SUM(AJ$4:AJ59)</f>
        <v>1</v>
      </c>
    </row>
    <row r="60" spans="1:37" x14ac:dyDescent="0.35">
      <c r="A60" t="s">
        <v>156</v>
      </c>
      <c r="B60">
        <v>184</v>
      </c>
      <c r="C60" t="s">
        <v>7</v>
      </c>
      <c r="D60" t="s">
        <v>8</v>
      </c>
      <c r="E60" t="s">
        <v>114</v>
      </c>
      <c r="G60" t="s">
        <v>115</v>
      </c>
      <c r="I60" t="s">
        <v>116</v>
      </c>
      <c r="K60" t="s">
        <v>117</v>
      </c>
      <c r="M60" t="s">
        <v>118</v>
      </c>
      <c r="O60">
        <v>1</v>
      </c>
      <c r="P60" s="9" t="s">
        <v>215</v>
      </c>
      <c r="Q60">
        <v>100</v>
      </c>
      <c r="R60">
        <v>1</v>
      </c>
      <c r="S60">
        <v>0</v>
      </c>
      <c r="T60">
        <v>0</v>
      </c>
      <c r="U60">
        <v>107</v>
      </c>
      <c r="V60">
        <v>77</v>
      </c>
      <c r="W60">
        <v>0</v>
      </c>
      <c r="X60">
        <v>0</v>
      </c>
      <c r="Z60" s="26">
        <f t="shared" si="4"/>
        <v>1.0090429994899946E-3</v>
      </c>
      <c r="AA60" s="12">
        <f t="shared" si="1"/>
        <v>0.97353455698076774</v>
      </c>
      <c r="AC60">
        <v>0</v>
      </c>
      <c r="AD60">
        <v>100</v>
      </c>
      <c r="AE60">
        <v>0</v>
      </c>
      <c r="AG60" s="25">
        <f>IF(P60="*","-",IFERROR(VLOOKUP(P60,'All MECSM samples'!$P$4:$AD$454,15,FALSE),"-"))</f>
        <v>109</v>
      </c>
      <c r="AI60" s="9">
        <f t="shared" si="2"/>
        <v>1</v>
      </c>
      <c r="AJ60" s="9">
        <f t="shared" si="3"/>
        <v>1</v>
      </c>
      <c r="AK60" s="11">
        <f>SUM(AI$4:AI60)/SUM(AJ$4:AJ60)</f>
        <v>1</v>
      </c>
    </row>
    <row r="61" spans="1:37" x14ac:dyDescent="0.35">
      <c r="A61" t="s">
        <v>546</v>
      </c>
      <c r="B61">
        <v>175</v>
      </c>
      <c r="C61" t="s">
        <v>7</v>
      </c>
      <c r="D61" t="s">
        <v>8</v>
      </c>
      <c r="E61" t="s">
        <v>9</v>
      </c>
      <c r="G61" t="s">
        <v>10</v>
      </c>
      <c r="I61" t="s">
        <v>131</v>
      </c>
      <c r="K61" t="s">
        <v>150</v>
      </c>
      <c r="M61" t="s">
        <v>151</v>
      </c>
      <c r="O61">
        <v>0.99</v>
      </c>
      <c r="P61" s="9" t="s">
        <v>152</v>
      </c>
      <c r="Q61">
        <v>97.6</v>
      </c>
      <c r="R61">
        <v>1</v>
      </c>
      <c r="S61">
        <v>84</v>
      </c>
      <c r="T61">
        <v>33</v>
      </c>
      <c r="U61">
        <v>4</v>
      </c>
      <c r="V61">
        <v>0</v>
      </c>
      <c r="W61">
        <v>29</v>
      </c>
      <c r="X61">
        <v>25</v>
      </c>
      <c r="Z61" s="26">
        <f t="shared" si="4"/>
        <v>9.5968763538450573E-4</v>
      </c>
      <c r="AA61" s="12">
        <f t="shared" si="1"/>
        <v>0.97449424461615219</v>
      </c>
      <c r="AC61">
        <v>90</v>
      </c>
      <c r="AD61">
        <v>38</v>
      </c>
      <c r="AE61">
        <v>90</v>
      </c>
      <c r="AG61" s="25">
        <f>IF(P61="*","-",IFERROR(VLOOKUP(P61,'All MECSM samples'!$P$4:$AD$454,15,FALSE),"-"))</f>
        <v>577</v>
      </c>
      <c r="AI61" s="9">
        <f t="shared" si="2"/>
        <v>1</v>
      </c>
      <c r="AJ61" s="9">
        <f t="shared" si="3"/>
        <v>1</v>
      </c>
      <c r="AK61" s="11">
        <f>SUM(AI$4:AI61)/SUM(AJ$4:AJ61)</f>
        <v>1</v>
      </c>
    </row>
    <row r="62" spans="1:37" x14ac:dyDescent="0.35">
      <c r="A62" t="s">
        <v>216</v>
      </c>
      <c r="B62">
        <v>175</v>
      </c>
      <c r="C62" t="s">
        <v>7</v>
      </c>
      <c r="D62" t="s">
        <v>8</v>
      </c>
      <c r="E62" t="s">
        <v>9</v>
      </c>
      <c r="G62" t="s">
        <v>10</v>
      </c>
      <c r="K62" t="s">
        <v>227</v>
      </c>
      <c r="M62" t="s">
        <v>228</v>
      </c>
      <c r="O62">
        <v>1</v>
      </c>
      <c r="P62" s="9" t="s">
        <v>229</v>
      </c>
      <c r="Q62">
        <v>97.2</v>
      </c>
      <c r="R62">
        <v>1</v>
      </c>
      <c r="S62">
        <v>25</v>
      </c>
      <c r="T62">
        <v>3</v>
      </c>
      <c r="U62">
        <v>47</v>
      </c>
      <c r="V62">
        <v>19</v>
      </c>
      <c r="W62">
        <v>25</v>
      </c>
      <c r="X62">
        <v>56</v>
      </c>
      <c r="Z62" s="26">
        <f t="shared" si="4"/>
        <v>9.5968763538450573E-4</v>
      </c>
      <c r="AA62" s="12">
        <f t="shared" si="1"/>
        <v>0.97545393225153665</v>
      </c>
      <c r="AC62">
        <v>100</v>
      </c>
      <c r="AD62">
        <v>69</v>
      </c>
      <c r="AE62">
        <v>100</v>
      </c>
      <c r="AG62" s="25">
        <f>IF(P62="*","-",IFERROR(VLOOKUP(P62,'All MECSM samples'!$P$4:$AD$454,15,FALSE),"-"))</f>
        <v>1516</v>
      </c>
      <c r="AI62" s="9">
        <f t="shared" si="2"/>
        <v>1</v>
      </c>
      <c r="AJ62" s="9">
        <f t="shared" si="3"/>
        <v>1</v>
      </c>
      <c r="AK62" s="11">
        <f>SUM(AI$4:AI62)/SUM(AJ$4:AJ62)</f>
        <v>1</v>
      </c>
    </row>
    <row r="63" spans="1:37" x14ac:dyDescent="0.35">
      <c r="A63" t="s">
        <v>307</v>
      </c>
      <c r="B63">
        <v>157</v>
      </c>
      <c r="C63" t="s">
        <v>7</v>
      </c>
      <c r="D63" t="s">
        <v>8</v>
      </c>
      <c r="E63" t="s">
        <v>46</v>
      </c>
      <c r="O63">
        <v>0.96</v>
      </c>
      <c r="P63" s="9" t="s">
        <v>222</v>
      </c>
      <c r="Q63">
        <v>92.5</v>
      </c>
      <c r="R63">
        <v>5</v>
      </c>
      <c r="S63">
        <v>0</v>
      </c>
      <c r="T63">
        <v>0</v>
      </c>
      <c r="U63">
        <v>2</v>
      </c>
      <c r="V63">
        <v>0</v>
      </c>
      <c r="W63">
        <v>106</v>
      </c>
      <c r="X63">
        <v>49</v>
      </c>
      <c r="Z63" s="26">
        <f t="shared" si="4"/>
        <v>8.6097690717352798E-4</v>
      </c>
      <c r="AA63" s="12">
        <f t="shared" si="1"/>
        <v>0.97631490915871022</v>
      </c>
      <c r="AC63">
        <v>11</v>
      </c>
      <c r="AD63">
        <v>13</v>
      </c>
      <c r="AE63">
        <v>100</v>
      </c>
      <c r="AG63" s="25">
        <f>IF(P63="*","-",IFERROR(VLOOKUP(P63,'All MECSM samples'!$P$4:$AD$454,15,FALSE),"-"))</f>
        <v>106</v>
      </c>
      <c r="AI63" s="9">
        <f t="shared" si="2"/>
        <v>1</v>
      </c>
      <c r="AJ63" s="9">
        <f t="shared" si="3"/>
        <v>1</v>
      </c>
      <c r="AK63" s="11">
        <f>SUM(AI$4:AI63)/SUM(AJ$4:AJ63)</f>
        <v>1</v>
      </c>
    </row>
    <row r="64" spans="1:37" x14ac:dyDescent="0.35">
      <c r="A64" t="s">
        <v>177</v>
      </c>
      <c r="B64">
        <v>149</v>
      </c>
      <c r="C64" t="s">
        <v>7</v>
      </c>
      <c r="D64" t="s">
        <v>8</v>
      </c>
      <c r="E64" t="s">
        <v>120</v>
      </c>
      <c r="G64" t="s">
        <v>121</v>
      </c>
      <c r="I64" t="s">
        <v>122</v>
      </c>
      <c r="K64" t="s">
        <v>123</v>
      </c>
      <c r="O64">
        <v>0.69</v>
      </c>
      <c r="P64" s="9" t="s">
        <v>224</v>
      </c>
      <c r="Q64">
        <v>87.4</v>
      </c>
      <c r="R64">
        <v>2</v>
      </c>
      <c r="S64">
        <v>0</v>
      </c>
      <c r="T64">
        <v>0</v>
      </c>
      <c r="U64">
        <v>70</v>
      </c>
      <c r="V64">
        <v>79</v>
      </c>
      <c r="W64">
        <v>0</v>
      </c>
      <c r="X64">
        <v>0</v>
      </c>
      <c r="Z64" s="26">
        <f t="shared" si="4"/>
        <v>8.1710547241309339E-4</v>
      </c>
      <c r="AA64" s="12">
        <f t="shared" si="1"/>
        <v>0.97713201463112331</v>
      </c>
      <c r="AC64">
        <v>0</v>
      </c>
      <c r="AD64">
        <v>100</v>
      </c>
      <c r="AE64">
        <v>0</v>
      </c>
      <c r="AG64" s="25">
        <f>IF(P64="*","-",IFERROR(VLOOKUP(P64,'All MECSM samples'!$P$4:$AD$454,15,FALSE),"-"))</f>
        <v>54</v>
      </c>
      <c r="AI64" s="9">
        <f t="shared" si="2"/>
        <v>1</v>
      </c>
      <c r="AJ64" s="9">
        <f t="shared" si="3"/>
        <v>1</v>
      </c>
      <c r="AK64" s="11">
        <f>SUM(AI$4:AI64)/SUM(AJ$4:AJ64)</f>
        <v>1</v>
      </c>
    </row>
    <row r="65" spans="1:37" x14ac:dyDescent="0.35">
      <c r="A65" t="s">
        <v>185</v>
      </c>
      <c r="B65">
        <v>148</v>
      </c>
      <c r="C65" t="s">
        <v>7</v>
      </c>
      <c r="D65" t="s">
        <v>8</v>
      </c>
      <c r="E65" t="s">
        <v>120</v>
      </c>
      <c r="G65" t="s">
        <v>121</v>
      </c>
      <c r="I65" t="s">
        <v>122</v>
      </c>
      <c r="K65" t="s">
        <v>123</v>
      </c>
      <c r="M65" t="s">
        <v>124</v>
      </c>
      <c r="O65">
        <v>1</v>
      </c>
      <c r="P65" s="9" t="s">
        <v>125</v>
      </c>
      <c r="Q65">
        <v>99.6</v>
      </c>
      <c r="R65">
        <v>1</v>
      </c>
      <c r="S65">
        <v>109</v>
      </c>
      <c r="T65">
        <v>34</v>
      </c>
      <c r="U65">
        <v>2</v>
      </c>
      <c r="V65">
        <v>0</v>
      </c>
      <c r="W65">
        <v>3</v>
      </c>
      <c r="X65">
        <v>0</v>
      </c>
      <c r="Z65" s="26">
        <f t="shared" si="4"/>
        <v>8.1162154306803911E-4</v>
      </c>
      <c r="AA65" s="12">
        <f t="shared" si="1"/>
        <v>0.97794363617419133</v>
      </c>
      <c r="AC65">
        <v>100</v>
      </c>
      <c r="AD65">
        <v>17</v>
      </c>
      <c r="AE65">
        <v>22</v>
      </c>
      <c r="AG65" s="25">
        <f>IF(P65="*","-",IFERROR(VLOOKUP(P65,'All MECSM samples'!$P$4:$AD$454,15,FALSE),"-"))</f>
        <v>799</v>
      </c>
      <c r="AI65" s="9">
        <f t="shared" si="2"/>
        <v>1</v>
      </c>
      <c r="AJ65" s="9">
        <f t="shared" si="3"/>
        <v>1</v>
      </c>
      <c r="AK65" s="11">
        <f>SUM(AI$4:AI65)/SUM(AJ$4:AJ65)</f>
        <v>1</v>
      </c>
    </row>
    <row r="66" spans="1:37" x14ac:dyDescent="0.35">
      <c r="A66" t="s">
        <v>234</v>
      </c>
      <c r="B66">
        <v>125</v>
      </c>
      <c r="C66" t="s">
        <v>7</v>
      </c>
      <c r="D66" t="s">
        <v>8</v>
      </c>
      <c r="E66" t="s">
        <v>9</v>
      </c>
      <c r="G66" t="s">
        <v>10</v>
      </c>
      <c r="K66" t="s">
        <v>227</v>
      </c>
      <c r="M66" t="s">
        <v>228</v>
      </c>
      <c r="O66">
        <v>0.99</v>
      </c>
      <c r="P66" s="9" t="s">
        <v>229</v>
      </c>
      <c r="Q66">
        <v>94.9</v>
      </c>
      <c r="R66">
        <v>1</v>
      </c>
      <c r="S66">
        <v>7</v>
      </c>
      <c r="T66">
        <v>0</v>
      </c>
      <c r="U66">
        <v>2</v>
      </c>
      <c r="V66">
        <v>0</v>
      </c>
      <c r="W66">
        <v>82</v>
      </c>
      <c r="X66">
        <v>34</v>
      </c>
      <c r="Z66" s="26">
        <f t="shared" si="4"/>
        <v>6.8549116813178984E-4</v>
      </c>
      <c r="AA66" s="12">
        <f t="shared" si="1"/>
        <v>0.9786291273423231</v>
      </c>
      <c r="AC66">
        <v>99</v>
      </c>
      <c r="AD66">
        <v>18</v>
      </c>
      <c r="AE66">
        <v>100</v>
      </c>
      <c r="AG66" s="25">
        <f>IF(P66="*","-",IFERROR(VLOOKUP(P66,'All MECSM samples'!$P$4:$AD$454,15,FALSE),"-"))</f>
        <v>1516</v>
      </c>
      <c r="AI66" s="9">
        <f t="shared" si="2"/>
        <v>1</v>
      </c>
      <c r="AJ66" s="9">
        <f t="shared" si="3"/>
        <v>1</v>
      </c>
      <c r="AK66" s="11">
        <f>SUM(AI$4:AI66)/SUM(AJ$4:AJ66)</f>
        <v>1</v>
      </c>
    </row>
    <row r="67" spans="1:37" x14ac:dyDescent="0.35">
      <c r="A67" t="s">
        <v>213</v>
      </c>
      <c r="B67">
        <v>120</v>
      </c>
      <c r="C67" t="s">
        <v>7</v>
      </c>
      <c r="D67" t="s">
        <v>8</v>
      </c>
      <c r="E67" t="s">
        <v>32</v>
      </c>
      <c r="G67" t="s">
        <v>35</v>
      </c>
      <c r="I67" t="s">
        <v>36</v>
      </c>
      <c r="K67" t="s">
        <v>37</v>
      </c>
      <c r="M67" t="s">
        <v>231</v>
      </c>
      <c r="O67">
        <v>1</v>
      </c>
      <c r="P67" s="9" t="s">
        <v>232</v>
      </c>
      <c r="Q67">
        <v>100</v>
      </c>
      <c r="R67">
        <v>1</v>
      </c>
      <c r="S67">
        <v>104</v>
      </c>
      <c r="T67">
        <v>16</v>
      </c>
      <c r="U67">
        <v>0</v>
      </c>
      <c r="V67">
        <v>0</v>
      </c>
      <c r="W67">
        <v>0</v>
      </c>
      <c r="X67">
        <v>0</v>
      </c>
      <c r="Z67" s="26">
        <f t="shared" si="4"/>
        <v>6.580715214065182E-4</v>
      </c>
      <c r="AA67" s="12">
        <f t="shared" si="1"/>
        <v>0.97928719886372961</v>
      </c>
      <c r="AC67">
        <v>100</v>
      </c>
      <c r="AD67">
        <v>0</v>
      </c>
      <c r="AE67">
        <v>0</v>
      </c>
      <c r="AG67" s="25">
        <f>IF(P67="*","-",IFERROR(VLOOKUP(P67,'All MECSM samples'!$P$4:$AD$454,15,FALSE),"-"))</f>
        <v>465</v>
      </c>
      <c r="AI67" s="9">
        <f t="shared" si="2"/>
        <v>1</v>
      </c>
      <c r="AJ67" s="9">
        <f t="shared" si="3"/>
        <v>1</v>
      </c>
      <c r="AK67" s="11">
        <f>SUM(AI$4:AI67)/SUM(AJ$4:AJ67)</f>
        <v>1</v>
      </c>
    </row>
    <row r="68" spans="1:37" x14ac:dyDescent="0.35">
      <c r="A68" t="s">
        <v>603</v>
      </c>
      <c r="B68">
        <v>118</v>
      </c>
      <c r="C68" t="s">
        <v>7</v>
      </c>
      <c r="D68" t="s">
        <v>8</v>
      </c>
      <c r="E68" t="s">
        <v>9</v>
      </c>
      <c r="G68" t="s">
        <v>10</v>
      </c>
      <c r="I68" t="s">
        <v>11</v>
      </c>
      <c r="K68" t="s">
        <v>249</v>
      </c>
      <c r="M68" t="s">
        <v>250</v>
      </c>
      <c r="O68">
        <v>0.94</v>
      </c>
      <c r="P68" s="9" t="s">
        <v>251</v>
      </c>
      <c r="Q68">
        <v>96.8</v>
      </c>
      <c r="R68">
        <v>1</v>
      </c>
      <c r="S68">
        <v>4</v>
      </c>
      <c r="T68">
        <v>0</v>
      </c>
      <c r="U68">
        <v>2</v>
      </c>
      <c r="V68">
        <v>0</v>
      </c>
      <c r="W68">
        <v>61</v>
      </c>
      <c r="X68">
        <v>51</v>
      </c>
      <c r="Z68" s="26">
        <f t="shared" si="4"/>
        <v>6.4710366271640953E-4</v>
      </c>
      <c r="AA68" s="52">
        <f t="shared" si="1"/>
        <v>0.97993430252644598</v>
      </c>
      <c r="AC68">
        <v>10</v>
      </c>
      <c r="AD68">
        <v>25</v>
      </c>
      <c r="AE68">
        <v>100</v>
      </c>
      <c r="AG68" s="25">
        <f>IF(P68="*","-",IFERROR(VLOOKUP(P68,'All MECSM samples'!$P$4:$AD$454,15,FALSE),"-"))</f>
        <v>523</v>
      </c>
      <c r="AI68" s="9">
        <f t="shared" si="2"/>
        <v>1</v>
      </c>
      <c r="AJ68" s="9">
        <f t="shared" si="3"/>
        <v>1</v>
      </c>
      <c r="AK68" s="11">
        <f>SUM(AI$4:AI68)/SUM(AJ$4:AJ68)</f>
        <v>1</v>
      </c>
    </row>
    <row r="69" spans="1:37" x14ac:dyDescent="0.35">
      <c r="A69" t="s">
        <v>188</v>
      </c>
      <c r="B69">
        <v>118</v>
      </c>
      <c r="C69" t="s">
        <v>7</v>
      </c>
      <c r="D69" t="s">
        <v>8</v>
      </c>
      <c r="E69" t="s">
        <v>18</v>
      </c>
      <c r="G69" t="s">
        <v>19</v>
      </c>
      <c r="I69" t="s">
        <v>20</v>
      </c>
      <c r="K69" t="s">
        <v>21</v>
      </c>
      <c r="M69" t="s">
        <v>235</v>
      </c>
      <c r="O69">
        <v>0.51</v>
      </c>
      <c r="P69" s="9" t="s">
        <v>236</v>
      </c>
      <c r="Q69">
        <v>88.1</v>
      </c>
      <c r="R69">
        <v>1</v>
      </c>
      <c r="S69">
        <v>4</v>
      </c>
      <c r="T69">
        <v>0</v>
      </c>
      <c r="U69">
        <v>0</v>
      </c>
      <c r="V69">
        <v>0</v>
      </c>
      <c r="W69">
        <v>61</v>
      </c>
      <c r="X69">
        <v>53</v>
      </c>
      <c r="Z69" s="26">
        <f t="shared" si="4"/>
        <v>6.4710366271640953E-4</v>
      </c>
      <c r="AA69" s="12">
        <f t="shared" ref="AA69:AA132" si="5">AA68+Z69</f>
        <v>0.98058140618916234</v>
      </c>
      <c r="AC69">
        <v>48</v>
      </c>
      <c r="AD69">
        <v>0</v>
      </c>
      <c r="AE69">
        <v>100</v>
      </c>
      <c r="AG69" s="25">
        <f>IF(P69="*","-",IFERROR(VLOOKUP(P69,'All MECSM samples'!$P$4:$AD$454,15,FALSE),"-"))</f>
        <v>61</v>
      </c>
      <c r="AI69" s="9">
        <f t="shared" ref="AI69:AI132" si="6">IF(OR(AND(AC69&gt;=90, T69&gt;0), AND(AD69&gt;=90, V69&gt;0), AND(AE69&gt;=90, X69&gt;0)), 1, 0)</f>
        <v>1</v>
      </c>
      <c r="AJ69" s="9">
        <f t="shared" ref="AJ69:AJ132" si="7">IF(OR(AC69&gt;=90,AD69&gt;=90,AE69&gt;=90),1,0)</f>
        <v>1</v>
      </c>
      <c r="AK69" s="11">
        <f>SUM(AI$4:AI69)/SUM(AJ$4:AJ69)</f>
        <v>1</v>
      </c>
    </row>
    <row r="70" spans="1:37" x14ac:dyDescent="0.35">
      <c r="A70" t="s">
        <v>223</v>
      </c>
      <c r="B70">
        <v>116</v>
      </c>
      <c r="C70" t="s">
        <v>7</v>
      </c>
      <c r="D70" t="s">
        <v>8</v>
      </c>
      <c r="E70" t="s">
        <v>46</v>
      </c>
      <c r="G70" t="s">
        <v>47</v>
      </c>
      <c r="I70" t="s">
        <v>61</v>
      </c>
      <c r="K70" t="s">
        <v>238</v>
      </c>
      <c r="M70" t="s">
        <v>239</v>
      </c>
      <c r="O70">
        <v>1</v>
      </c>
      <c r="P70" s="9" t="s">
        <v>240</v>
      </c>
      <c r="Q70">
        <v>98.4</v>
      </c>
      <c r="R70">
        <v>1</v>
      </c>
      <c r="S70">
        <v>0</v>
      </c>
      <c r="T70">
        <v>0</v>
      </c>
      <c r="U70">
        <v>0</v>
      </c>
      <c r="V70">
        <v>0</v>
      </c>
      <c r="W70">
        <v>53</v>
      </c>
      <c r="X70">
        <v>63</v>
      </c>
      <c r="Z70" s="26">
        <f t="shared" ref="Z70:Z133" si="8">B70/Z$1</f>
        <v>6.3613580402630096E-4</v>
      </c>
      <c r="AA70" s="12">
        <f t="shared" si="5"/>
        <v>0.98121754199318867</v>
      </c>
      <c r="AC70">
        <v>3</v>
      </c>
      <c r="AD70">
        <v>0</v>
      </c>
      <c r="AE70">
        <v>100</v>
      </c>
      <c r="AG70" s="25">
        <f>IF(P70="*","-",IFERROR(VLOOKUP(P70,'All MECSM samples'!$P$4:$AD$454,15,FALSE),"-"))</f>
        <v>53</v>
      </c>
      <c r="AI70" s="9">
        <f t="shared" si="6"/>
        <v>1</v>
      </c>
      <c r="AJ70" s="9">
        <f t="shared" si="7"/>
        <v>1</v>
      </c>
      <c r="AK70" s="11">
        <f>SUM(AI$4:AI70)/SUM(AJ$4:AJ70)</f>
        <v>1</v>
      </c>
    </row>
    <row r="71" spans="1:37" x14ac:dyDescent="0.35">
      <c r="A71" t="s">
        <v>530</v>
      </c>
      <c r="B71">
        <v>114</v>
      </c>
      <c r="C71" t="s">
        <v>7</v>
      </c>
      <c r="D71" t="s">
        <v>8</v>
      </c>
      <c r="E71" t="s">
        <v>46</v>
      </c>
      <c r="G71" t="s">
        <v>47</v>
      </c>
      <c r="I71" t="s">
        <v>160</v>
      </c>
      <c r="K71" t="s">
        <v>161</v>
      </c>
      <c r="M71" t="s">
        <v>162</v>
      </c>
      <c r="O71">
        <v>0.84</v>
      </c>
      <c r="P71" s="9" t="s">
        <v>163</v>
      </c>
      <c r="Q71">
        <v>95.3</v>
      </c>
      <c r="R71">
        <v>1</v>
      </c>
      <c r="S71">
        <v>1</v>
      </c>
      <c r="T71">
        <v>0</v>
      </c>
      <c r="U71">
        <v>63</v>
      </c>
      <c r="V71">
        <v>30</v>
      </c>
      <c r="W71">
        <v>15</v>
      </c>
      <c r="X71">
        <v>5</v>
      </c>
      <c r="Z71" s="26">
        <f t="shared" si="8"/>
        <v>6.2516794533619229E-4</v>
      </c>
      <c r="AA71" s="12">
        <f t="shared" si="5"/>
        <v>0.98184270993852485</v>
      </c>
      <c r="AC71">
        <v>9</v>
      </c>
      <c r="AD71">
        <v>93</v>
      </c>
      <c r="AE71">
        <v>92</v>
      </c>
      <c r="AG71" s="25">
        <f>IF(P71="*","-",IFERROR(VLOOKUP(P71,'All MECSM samples'!$P$4:$AD$454,15,FALSE),"-"))</f>
        <v>3869</v>
      </c>
      <c r="AI71" s="9">
        <f t="shared" si="6"/>
        <v>1</v>
      </c>
      <c r="AJ71" s="9">
        <f t="shared" si="7"/>
        <v>1</v>
      </c>
      <c r="AK71" s="11">
        <f>SUM(AI$4:AI71)/SUM(AJ$4:AJ71)</f>
        <v>1</v>
      </c>
    </row>
    <row r="72" spans="1:37" x14ac:dyDescent="0.35">
      <c r="A72" t="s">
        <v>214</v>
      </c>
      <c r="B72">
        <v>112</v>
      </c>
      <c r="C72" t="s">
        <v>7</v>
      </c>
      <c r="D72" t="s">
        <v>8</v>
      </c>
      <c r="E72" t="s">
        <v>9</v>
      </c>
      <c r="G72" t="s">
        <v>243</v>
      </c>
      <c r="I72" t="s">
        <v>244</v>
      </c>
      <c r="K72" t="s">
        <v>245</v>
      </c>
      <c r="M72" t="s">
        <v>246</v>
      </c>
      <c r="O72">
        <v>0.98</v>
      </c>
      <c r="P72" s="9" t="s">
        <v>247</v>
      </c>
      <c r="Q72">
        <v>99.2</v>
      </c>
      <c r="R72">
        <v>1</v>
      </c>
      <c r="S72">
        <v>71</v>
      </c>
      <c r="T72">
        <v>18</v>
      </c>
      <c r="U72">
        <v>10</v>
      </c>
      <c r="V72">
        <v>0</v>
      </c>
      <c r="W72">
        <v>13</v>
      </c>
      <c r="X72">
        <v>0</v>
      </c>
      <c r="Z72" s="26">
        <f t="shared" si="8"/>
        <v>6.1420008664608361E-4</v>
      </c>
      <c r="AA72" s="12">
        <f t="shared" si="5"/>
        <v>0.98245691002517088</v>
      </c>
      <c r="AC72">
        <v>100</v>
      </c>
      <c r="AD72">
        <v>0</v>
      </c>
      <c r="AE72">
        <v>4</v>
      </c>
      <c r="AG72" s="25">
        <f>IF(P72="*","-",IFERROR(VLOOKUP(P72,'All MECSM samples'!$P$4:$AD$454,15,FALSE),"-"))</f>
        <v>7416</v>
      </c>
      <c r="AI72" s="9">
        <f t="shared" si="6"/>
        <v>1</v>
      </c>
      <c r="AJ72" s="9">
        <f t="shared" si="7"/>
        <v>1</v>
      </c>
      <c r="AK72" s="11">
        <f>SUM(AI$4:AI72)/SUM(AJ$4:AJ72)</f>
        <v>1</v>
      </c>
    </row>
    <row r="73" spans="1:37" x14ac:dyDescent="0.35">
      <c r="A73" t="s">
        <v>200</v>
      </c>
      <c r="B73">
        <v>101</v>
      </c>
      <c r="C73" t="s">
        <v>7</v>
      </c>
      <c r="D73" t="s">
        <v>8</v>
      </c>
      <c r="E73" t="s">
        <v>46</v>
      </c>
      <c r="G73" t="s">
        <v>47</v>
      </c>
      <c r="O73">
        <v>0.65</v>
      </c>
      <c r="P73" s="9" t="s">
        <v>163</v>
      </c>
      <c r="Q73">
        <v>91.7</v>
      </c>
      <c r="R73">
        <v>1</v>
      </c>
      <c r="S73">
        <v>0</v>
      </c>
      <c r="T73">
        <v>0</v>
      </c>
      <c r="U73">
        <v>58</v>
      </c>
      <c r="V73">
        <v>41</v>
      </c>
      <c r="W73">
        <v>2</v>
      </c>
      <c r="X73">
        <v>0</v>
      </c>
      <c r="Z73" s="26">
        <f t="shared" si="8"/>
        <v>5.5387686385048617E-4</v>
      </c>
      <c r="AA73" s="12">
        <f t="shared" si="5"/>
        <v>0.98301078688902133</v>
      </c>
      <c r="AC73">
        <v>3</v>
      </c>
      <c r="AD73">
        <v>100</v>
      </c>
      <c r="AE73">
        <v>8</v>
      </c>
      <c r="AG73" s="25">
        <f>IF(P73="*","-",IFERROR(VLOOKUP(P73,'All MECSM samples'!$P$4:$AD$454,15,FALSE),"-"))</f>
        <v>3869</v>
      </c>
      <c r="AI73" s="9">
        <f t="shared" si="6"/>
        <v>1</v>
      </c>
      <c r="AJ73" s="9">
        <f t="shared" si="7"/>
        <v>1</v>
      </c>
      <c r="AK73" s="11">
        <f>SUM(AI$4:AI73)/SUM(AJ$4:AJ73)</f>
        <v>1</v>
      </c>
    </row>
    <row r="74" spans="1:37" x14ac:dyDescent="0.35">
      <c r="A74" t="s">
        <v>218</v>
      </c>
      <c r="B74">
        <v>92</v>
      </c>
      <c r="C74" t="s">
        <v>7</v>
      </c>
      <c r="D74" t="s">
        <v>8</v>
      </c>
      <c r="E74" t="s">
        <v>9</v>
      </c>
      <c r="G74" t="s">
        <v>10</v>
      </c>
      <c r="I74" t="s">
        <v>131</v>
      </c>
      <c r="K74" t="s">
        <v>150</v>
      </c>
      <c r="M74" t="s">
        <v>151</v>
      </c>
      <c r="O74">
        <v>0.57999999999999996</v>
      </c>
      <c r="P74" s="9" t="s">
        <v>152</v>
      </c>
      <c r="Q74">
        <v>92.5</v>
      </c>
      <c r="R74">
        <v>2</v>
      </c>
      <c r="S74">
        <v>59</v>
      </c>
      <c r="T74">
        <v>32</v>
      </c>
      <c r="U74">
        <v>1</v>
      </c>
      <c r="V74">
        <v>0</v>
      </c>
      <c r="W74">
        <v>0</v>
      </c>
      <c r="X74">
        <v>0</v>
      </c>
      <c r="Z74" s="26">
        <f t="shared" si="8"/>
        <v>5.045214997449973E-4</v>
      </c>
      <c r="AA74" s="12">
        <f t="shared" si="5"/>
        <v>0.98351530838876633</v>
      </c>
      <c r="AC74">
        <v>100</v>
      </c>
      <c r="AD74">
        <v>18</v>
      </c>
      <c r="AE74">
        <v>18</v>
      </c>
      <c r="AG74" s="25">
        <f>IF(P74="*","-",IFERROR(VLOOKUP(P74,'All MECSM samples'!$P$4:$AD$454,15,FALSE),"-"))</f>
        <v>577</v>
      </c>
      <c r="AI74" s="9">
        <f t="shared" si="6"/>
        <v>1</v>
      </c>
      <c r="AJ74" s="9">
        <f t="shared" si="7"/>
        <v>1</v>
      </c>
      <c r="AK74" s="11">
        <f>SUM(AI$4:AI74)/SUM(AJ$4:AJ74)</f>
        <v>1</v>
      </c>
    </row>
    <row r="75" spans="1:37" x14ac:dyDescent="0.35">
      <c r="A75" t="s">
        <v>267</v>
      </c>
      <c r="B75">
        <v>86</v>
      </c>
      <c r="C75" t="s">
        <v>7</v>
      </c>
      <c r="D75" t="s">
        <v>8</v>
      </c>
      <c r="E75" t="s">
        <v>46</v>
      </c>
      <c r="G75" t="s">
        <v>47</v>
      </c>
      <c r="O75">
        <v>0.67</v>
      </c>
      <c r="P75" s="9" t="s">
        <v>254</v>
      </c>
      <c r="Q75">
        <v>89.7</v>
      </c>
      <c r="R75">
        <v>2</v>
      </c>
      <c r="S75">
        <v>0</v>
      </c>
      <c r="T75">
        <v>0</v>
      </c>
      <c r="U75">
        <v>50</v>
      </c>
      <c r="V75">
        <v>35</v>
      </c>
      <c r="W75">
        <v>1</v>
      </c>
      <c r="X75">
        <v>0</v>
      </c>
      <c r="Z75" s="26">
        <f t="shared" si="8"/>
        <v>4.7161792367467138E-4</v>
      </c>
      <c r="AA75" s="12">
        <f t="shared" si="5"/>
        <v>0.983986926312441</v>
      </c>
      <c r="AC75">
        <v>0</v>
      </c>
      <c r="AD75">
        <v>100</v>
      </c>
      <c r="AE75">
        <v>0</v>
      </c>
      <c r="AG75" s="25">
        <f>IF(P75="*","-",IFERROR(VLOOKUP(P75,'All MECSM samples'!$P$4:$AD$454,15,FALSE),"-"))</f>
        <v>50</v>
      </c>
      <c r="AI75" s="9">
        <f t="shared" si="6"/>
        <v>1</v>
      </c>
      <c r="AJ75" s="9">
        <f t="shared" si="7"/>
        <v>1</v>
      </c>
      <c r="AK75" s="11">
        <f>SUM(AI$4:AI75)/SUM(AJ$4:AJ75)</f>
        <v>1</v>
      </c>
    </row>
    <row r="76" spans="1:37" x14ac:dyDescent="0.35">
      <c r="A76" t="s">
        <v>253</v>
      </c>
      <c r="B76">
        <v>83</v>
      </c>
      <c r="C76" t="s">
        <v>7</v>
      </c>
      <c r="D76" t="s">
        <v>8</v>
      </c>
      <c r="E76" t="s">
        <v>9</v>
      </c>
      <c r="G76" t="s">
        <v>10</v>
      </c>
      <c r="I76" t="s">
        <v>131</v>
      </c>
      <c r="K76" t="s">
        <v>150</v>
      </c>
      <c r="M76" t="s">
        <v>278</v>
      </c>
      <c r="O76">
        <v>0.75</v>
      </c>
      <c r="P76" s="9" t="s">
        <v>152</v>
      </c>
      <c r="Q76">
        <v>95.3</v>
      </c>
      <c r="R76">
        <v>1</v>
      </c>
      <c r="S76">
        <v>54</v>
      </c>
      <c r="T76">
        <v>24</v>
      </c>
      <c r="U76">
        <v>3</v>
      </c>
      <c r="V76">
        <v>0</v>
      </c>
      <c r="W76">
        <v>2</v>
      </c>
      <c r="X76">
        <v>0</v>
      </c>
      <c r="Z76" s="26">
        <f t="shared" si="8"/>
        <v>4.5516613563950843E-4</v>
      </c>
      <c r="AA76" s="12">
        <f t="shared" si="5"/>
        <v>0.98444209244808056</v>
      </c>
      <c r="AC76">
        <v>100</v>
      </c>
      <c r="AD76">
        <v>11</v>
      </c>
      <c r="AE76">
        <v>17</v>
      </c>
      <c r="AG76" s="25">
        <f>IF(P76="*","-",IFERROR(VLOOKUP(P76,'All MECSM samples'!$P$4:$AD$454,15,FALSE),"-"))</f>
        <v>577</v>
      </c>
      <c r="AI76" s="9">
        <f t="shared" si="6"/>
        <v>1</v>
      </c>
      <c r="AJ76" s="9">
        <f t="shared" si="7"/>
        <v>1</v>
      </c>
      <c r="AK76" s="11">
        <f>SUM(AI$4:AI76)/SUM(AJ$4:AJ76)</f>
        <v>1</v>
      </c>
    </row>
    <row r="77" spans="1:37" x14ac:dyDescent="0.35">
      <c r="A77" t="s">
        <v>226</v>
      </c>
      <c r="B77">
        <v>79</v>
      </c>
      <c r="C77" t="s">
        <v>7</v>
      </c>
      <c r="D77" t="s">
        <v>8</v>
      </c>
      <c r="E77" t="s">
        <v>258</v>
      </c>
      <c r="G77" t="s">
        <v>258</v>
      </c>
      <c r="H77" t="s">
        <v>259</v>
      </c>
      <c r="I77" t="s">
        <v>260</v>
      </c>
      <c r="J77" t="s">
        <v>261</v>
      </c>
      <c r="K77" t="s">
        <v>262</v>
      </c>
      <c r="O77">
        <v>0.59</v>
      </c>
      <c r="P77" s="9" t="s">
        <v>263</v>
      </c>
      <c r="Q77">
        <v>88.5</v>
      </c>
      <c r="R77">
        <v>1</v>
      </c>
      <c r="S77">
        <v>51</v>
      </c>
      <c r="T77">
        <v>0</v>
      </c>
      <c r="U77">
        <v>14</v>
      </c>
      <c r="V77">
        <v>0</v>
      </c>
      <c r="W77">
        <v>14</v>
      </c>
      <c r="X77">
        <v>0</v>
      </c>
      <c r="Z77" s="26">
        <f t="shared" si="8"/>
        <v>4.3323041825929113E-4</v>
      </c>
      <c r="AA77" s="12">
        <f t="shared" si="5"/>
        <v>0.98487532286633983</v>
      </c>
      <c r="AC77">
        <v>47</v>
      </c>
      <c r="AD77">
        <v>31</v>
      </c>
      <c r="AE77">
        <v>23</v>
      </c>
      <c r="AG77" s="25">
        <f>IF(P77="*","-",IFERROR(VLOOKUP(P77,'All MECSM samples'!$P$4:$AD$454,15,FALSE),"-"))</f>
        <v>9732</v>
      </c>
      <c r="AI77" s="9">
        <f t="shared" si="6"/>
        <v>0</v>
      </c>
      <c r="AJ77" s="9">
        <f t="shared" si="7"/>
        <v>0</v>
      </c>
      <c r="AK77" s="11">
        <f>SUM(AI$4:AI77)/SUM(AJ$4:AJ77)</f>
        <v>1</v>
      </c>
    </row>
    <row r="78" spans="1:37" x14ac:dyDescent="0.35">
      <c r="A78" t="s">
        <v>221</v>
      </c>
      <c r="B78">
        <v>78</v>
      </c>
      <c r="C78" t="s">
        <v>7</v>
      </c>
      <c r="D78" t="s">
        <v>8</v>
      </c>
      <c r="E78" t="s">
        <v>46</v>
      </c>
      <c r="G78" t="s">
        <v>47</v>
      </c>
      <c r="I78" t="s">
        <v>61</v>
      </c>
      <c r="O78">
        <v>0.73</v>
      </c>
      <c r="P78" s="9" t="s">
        <v>98</v>
      </c>
      <c r="Q78">
        <v>0</v>
      </c>
      <c r="R78">
        <v>1</v>
      </c>
      <c r="S78">
        <v>43</v>
      </c>
      <c r="T78">
        <v>35</v>
      </c>
      <c r="U78">
        <v>0</v>
      </c>
      <c r="V78">
        <v>0</v>
      </c>
      <c r="W78">
        <v>0</v>
      </c>
      <c r="X78">
        <v>0</v>
      </c>
      <c r="Z78" s="26">
        <f t="shared" si="8"/>
        <v>4.2774648891423685E-4</v>
      </c>
      <c r="AA78" s="12">
        <f t="shared" si="5"/>
        <v>0.98530306935525402</v>
      </c>
      <c r="AC78">
        <v>100</v>
      </c>
      <c r="AD78">
        <v>9</v>
      </c>
      <c r="AE78">
        <v>9</v>
      </c>
      <c r="AG78" s="25" t="str">
        <f>IF(P78="*","-",IFERROR(VLOOKUP(P78,'All MECSM samples'!$P$4:$AD$454,15,FALSE),"-"))</f>
        <v>-</v>
      </c>
      <c r="AI78" s="9">
        <f t="shared" si="6"/>
        <v>1</v>
      </c>
      <c r="AJ78" s="9">
        <f t="shared" si="7"/>
        <v>1</v>
      </c>
      <c r="AK78" s="11">
        <f>SUM(AI$4:AI78)/SUM(AJ$4:AJ78)</f>
        <v>1</v>
      </c>
    </row>
    <row r="79" spans="1:37" x14ac:dyDescent="0.35">
      <c r="A79" t="s">
        <v>225</v>
      </c>
      <c r="B79">
        <v>77</v>
      </c>
      <c r="C79" t="s">
        <v>7</v>
      </c>
      <c r="D79" t="s">
        <v>8</v>
      </c>
      <c r="E79" t="s">
        <v>32</v>
      </c>
      <c r="O79">
        <v>0.96</v>
      </c>
      <c r="P79" s="9" t="s">
        <v>285</v>
      </c>
      <c r="Q79">
        <v>88.1</v>
      </c>
      <c r="R79">
        <v>4</v>
      </c>
      <c r="S79">
        <v>38</v>
      </c>
      <c r="T79">
        <v>37</v>
      </c>
      <c r="U79">
        <v>2</v>
      </c>
      <c r="V79">
        <v>0</v>
      </c>
      <c r="W79">
        <v>0</v>
      </c>
      <c r="X79">
        <v>0</v>
      </c>
      <c r="Z79" s="26">
        <f t="shared" si="8"/>
        <v>4.2226255956918251E-4</v>
      </c>
      <c r="AA79" s="12">
        <f t="shared" si="5"/>
        <v>0.98572533191482326</v>
      </c>
      <c r="AC79">
        <v>100</v>
      </c>
      <c r="AD79">
        <v>0</v>
      </c>
      <c r="AE79">
        <v>0</v>
      </c>
      <c r="AG79" s="25">
        <f>IF(P79="*","-",IFERROR(VLOOKUP(P79,'All MECSM samples'!$P$4:$AD$454,15,FALSE),"-"))</f>
        <v>242</v>
      </c>
      <c r="AI79" s="9">
        <f t="shared" si="6"/>
        <v>1</v>
      </c>
      <c r="AJ79" s="9">
        <f t="shared" si="7"/>
        <v>1</v>
      </c>
      <c r="AK79" s="11">
        <f>SUM(AI$4:AI79)/SUM(AJ$4:AJ79)</f>
        <v>1</v>
      </c>
    </row>
    <row r="80" spans="1:37" x14ac:dyDescent="0.35">
      <c r="A80" t="s">
        <v>286</v>
      </c>
      <c r="B80">
        <v>75</v>
      </c>
      <c r="C80" t="s">
        <v>7</v>
      </c>
      <c r="D80" t="s">
        <v>8</v>
      </c>
      <c r="E80" t="s">
        <v>46</v>
      </c>
      <c r="G80" t="s">
        <v>47</v>
      </c>
      <c r="I80" t="s">
        <v>61</v>
      </c>
      <c r="K80" t="s">
        <v>190</v>
      </c>
      <c r="M80" t="s">
        <v>191</v>
      </c>
      <c r="O80">
        <v>0.99</v>
      </c>
      <c r="P80" s="9" t="s">
        <v>192</v>
      </c>
      <c r="Q80">
        <v>100</v>
      </c>
      <c r="R80">
        <v>1</v>
      </c>
      <c r="S80">
        <v>4</v>
      </c>
      <c r="T80">
        <v>0</v>
      </c>
      <c r="U80">
        <v>1</v>
      </c>
      <c r="V80">
        <v>0</v>
      </c>
      <c r="W80">
        <v>46</v>
      </c>
      <c r="X80">
        <v>24</v>
      </c>
      <c r="Z80" s="26">
        <f t="shared" si="8"/>
        <v>4.1129470087907389E-4</v>
      </c>
      <c r="AA80" s="12">
        <f t="shared" si="5"/>
        <v>0.98613662661570234</v>
      </c>
      <c r="AC80">
        <v>91</v>
      </c>
      <c r="AD80">
        <v>0</v>
      </c>
      <c r="AE80">
        <v>100</v>
      </c>
      <c r="AG80" s="25">
        <f>IF(P80="*","-",IFERROR(VLOOKUP(P80,'All MECSM samples'!$P$4:$AD$454,15,FALSE),"-"))</f>
        <v>245</v>
      </c>
      <c r="AI80" s="9">
        <f t="shared" si="6"/>
        <v>1</v>
      </c>
      <c r="AJ80" s="9">
        <f t="shared" si="7"/>
        <v>1</v>
      </c>
      <c r="AK80" s="11">
        <f>SUM(AI$4:AI80)/SUM(AJ$4:AJ80)</f>
        <v>1</v>
      </c>
    </row>
    <row r="81" spans="1:37" x14ac:dyDescent="0.35">
      <c r="A81" t="s">
        <v>284</v>
      </c>
      <c r="B81">
        <v>72</v>
      </c>
      <c r="C81" t="s">
        <v>7</v>
      </c>
      <c r="D81" t="s">
        <v>8</v>
      </c>
      <c r="O81">
        <v>1</v>
      </c>
      <c r="P81" s="9" t="s">
        <v>256</v>
      </c>
      <c r="Q81">
        <v>90.1</v>
      </c>
      <c r="R81">
        <v>1</v>
      </c>
      <c r="S81">
        <v>0</v>
      </c>
      <c r="T81">
        <v>0</v>
      </c>
      <c r="U81">
        <v>44</v>
      </c>
      <c r="V81">
        <v>28</v>
      </c>
      <c r="W81">
        <v>0</v>
      </c>
      <c r="X81">
        <v>0</v>
      </c>
      <c r="Z81" s="26">
        <f t="shared" si="8"/>
        <v>3.9484291284391093E-4</v>
      </c>
      <c r="AA81" s="12">
        <f t="shared" si="5"/>
        <v>0.9865314695285462</v>
      </c>
      <c r="AC81">
        <v>2</v>
      </c>
      <c r="AD81">
        <v>100</v>
      </c>
      <c r="AE81">
        <v>1</v>
      </c>
      <c r="AG81" s="25">
        <f>IF(P81="*","-",IFERROR(VLOOKUP(P81,'All MECSM samples'!$P$4:$AD$454,15,FALSE),"-"))</f>
        <v>44</v>
      </c>
      <c r="AI81" s="9">
        <f t="shared" si="6"/>
        <v>1</v>
      </c>
      <c r="AJ81" s="9">
        <f t="shared" si="7"/>
        <v>1</v>
      </c>
      <c r="AK81" s="11">
        <f>SUM(AI$4:AI81)/SUM(AJ$4:AJ81)</f>
        <v>1</v>
      </c>
    </row>
    <row r="82" spans="1:37" x14ac:dyDescent="0.35">
      <c r="A82" t="s">
        <v>242</v>
      </c>
      <c r="B82">
        <v>72</v>
      </c>
      <c r="C82" t="s">
        <v>7</v>
      </c>
      <c r="D82" t="s">
        <v>8</v>
      </c>
      <c r="E82" t="s">
        <v>46</v>
      </c>
      <c r="G82" t="s">
        <v>47</v>
      </c>
      <c r="I82" t="s">
        <v>61</v>
      </c>
      <c r="K82" t="s">
        <v>268</v>
      </c>
      <c r="M82" t="s">
        <v>269</v>
      </c>
      <c r="O82">
        <v>0.99</v>
      </c>
      <c r="P82" s="9" t="s">
        <v>270</v>
      </c>
      <c r="Q82">
        <v>95.7</v>
      </c>
      <c r="R82">
        <v>1</v>
      </c>
      <c r="S82">
        <v>0</v>
      </c>
      <c r="T82">
        <v>0</v>
      </c>
      <c r="U82">
        <v>0</v>
      </c>
      <c r="V82">
        <v>0</v>
      </c>
      <c r="W82">
        <v>32</v>
      </c>
      <c r="X82">
        <v>40</v>
      </c>
      <c r="Z82" s="26">
        <f t="shared" si="8"/>
        <v>3.9484291284391093E-4</v>
      </c>
      <c r="AA82" s="12">
        <f t="shared" si="5"/>
        <v>0.98692631244139006</v>
      </c>
      <c r="AC82">
        <v>69</v>
      </c>
      <c r="AD82">
        <v>0</v>
      </c>
      <c r="AE82">
        <v>100</v>
      </c>
      <c r="AG82" s="25">
        <f>IF(P82="*","-",IFERROR(VLOOKUP(P82,'All MECSM samples'!$P$4:$AD$454,15,FALSE),"-"))</f>
        <v>51</v>
      </c>
      <c r="AI82" s="9">
        <f t="shared" si="6"/>
        <v>1</v>
      </c>
      <c r="AJ82" s="9">
        <f t="shared" si="7"/>
        <v>1</v>
      </c>
      <c r="AK82" s="11">
        <f>SUM(AI$4:AI82)/SUM(AJ$4:AJ82)</f>
        <v>1</v>
      </c>
    </row>
    <row r="83" spans="1:37" x14ac:dyDescent="0.35">
      <c r="A83" t="s">
        <v>275</v>
      </c>
      <c r="B83">
        <v>66</v>
      </c>
      <c r="C83" t="s">
        <v>7</v>
      </c>
      <c r="D83" t="s">
        <v>8</v>
      </c>
      <c r="E83" t="s">
        <v>120</v>
      </c>
      <c r="G83" t="s">
        <v>121</v>
      </c>
      <c r="I83" t="s">
        <v>122</v>
      </c>
      <c r="K83" t="s">
        <v>123</v>
      </c>
      <c r="O83">
        <v>0.99</v>
      </c>
      <c r="P83" s="9" t="s">
        <v>276</v>
      </c>
      <c r="Q83">
        <v>93.7</v>
      </c>
      <c r="R83">
        <v>1</v>
      </c>
      <c r="S83">
        <v>0</v>
      </c>
      <c r="T83">
        <v>0</v>
      </c>
      <c r="U83">
        <v>29</v>
      </c>
      <c r="V83">
        <v>37</v>
      </c>
      <c r="W83">
        <v>0</v>
      </c>
      <c r="X83">
        <v>0</v>
      </c>
      <c r="Z83" s="26">
        <f t="shared" si="8"/>
        <v>3.6193933677358502E-4</v>
      </c>
      <c r="AA83" s="12">
        <f t="shared" si="5"/>
        <v>0.98728825177816359</v>
      </c>
      <c r="AC83">
        <v>0</v>
      </c>
      <c r="AD83">
        <v>100</v>
      </c>
      <c r="AE83">
        <v>0</v>
      </c>
      <c r="AG83" s="25">
        <f>IF(P83="*","-",IFERROR(VLOOKUP(P83,'All MECSM samples'!$P$4:$AD$454,15,FALSE),"-"))</f>
        <v>18</v>
      </c>
      <c r="AI83" s="9">
        <f t="shared" si="6"/>
        <v>1</v>
      </c>
      <c r="AJ83" s="9">
        <f t="shared" si="7"/>
        <v>1</v>
      </c>
      <c r="AK83" s="11">
        <f>SUM(AI$4:AI83)/SUM(AJ$4:AJ83)</f>
        <v>1</v>
      </c>
    </row>
    <row r="84" spans="1:37" x14ac:dyDescent="0.35">
      <c r="A84" t="s">
        <v>581</v>
      </c>
      <c r="B84">
        <v>65</v>
      </c>
      <c r="C84" t="s">
        <v>7</v>
      </c>
      <c r="D84" t="s">
        <v>8</v>
      </c>
      <c r="E84" t="s">
        <v>165</v>
      </c>
      <c r="G84" t="s">
        <v>166</v>
      </c>
      <c r="I84" t="s">
        <v>167</v>
      </c>
      <c r="K84" t="s">
        <v>168</v>
      </c>
      <c r="M84" t="s">
        <v>198</v>
      </c>
      <c r="O84">
        <v>0.9</v>
      </c>
      <c r="P84" s="9" t="s">
        <v>199</v>
      </c>
      <c r="Q84">
        <v>91.7</v>
      </c>
      <c r="R84">
        <v>1</v>
      </c>
      <c r="S84">
        <v>60</v>
      </c>
      <c r="T84">
        <v>5</v>
      </c>
      <c r="U84">
        <v>0</v>
      </c>
      <c r="V84">
        <v>0</v>
      </c>
      <c r="W84">
        <v>0</v>
      </c>
      <c r="X84">
        <v>0</v>
      </c>
      <c r="Z84" s="26">
        <f t="shared" si="8"/>
        <v>3.5645540742853068E-4</v>
      </c>
      <c r="AA84" s="12">
        <f t="shared" si="5"/>
        <v>0.98764470718559216</v>
      </c>
      <c r="AC84">
        <v>93</v>
      </c>
      <c r="AD84">
        <v>1</v>
      </c>
      <c r="AE84">
        <v>0</v>
      </c>
      <c r="AG84" s="25">
        <f>IF(P84="*","-",IFERROR(VLOOKUP(P84,'All MECSM samples'!$P$4:$AD$454,15,FALSE),"-"))</f>
        <v>128</v>
      </c>
      <c r="AI84" s="9">
        <f t="shared" si="6"/>
        <v>1</v>
      </c>
      <c r="AJ84" s="9">
        <f t="shared" si="7"/>
        <v>1</v>
      </c>
      <c r="AK84" s="11">
        <f>SUM(AI$4:AI84)/SUM(AJ$4:AJ84)</f>
        <v>1</v>
      </c>
    </row>
    <row r="85" spans="1:37" x14ac:dyDescent="0.35">
      <c r="A85" t="s">
        <v>257</v>
      </c>
      <c r="B85">
        <v>65</v>
      </c>
      <c r="C85" t="s">
        <v>7</v>
      </c>
      <c r="D85" t="s">
        <v>8</v>
      </c>
      <c r="E85" t="s">
        <v>46</v>
      </c>
      <c r="G85" t="s">
        <v>47</v>
      </c>
      <c r="I85" t="s">
        <v>69</v>
      </c>
      <c r="K85" t="s">
        <v>70</v>
      </c>
      <c r="O85">
        <v>0.55000000000000004</v>
      </c>
      <c r="P85" s="36" t="s">
        <v>610</v>
      </c>
      <c r="Q85">
        <v>89.7</v>
      </c>
      <c r="R85">
        <v>2</v>
      </c>
      <c r="S85">
        <v>0</v>
      </c>
      <c r="T85">
        <v>0</v>
      </c>
      <c r="U85">
        <v>6</v>
      </c>
      <c r="V85">
        <v>0</v>
      </c>
      <c r="W85">
        <v>33</v>
      </c>
      <c r="X85">
        <v>26</v>
      </c>
      <c r="Z85" s="26">
        <f t="shared" si="8"/>
        <v>3.5645540742853068E-4</v>
      </c>
      <c r="AA85" s="12">
        <f t="shared" si="5"/>
        <v>0.98800116259302073</v>
      </c>
      <c r="AC85">
        <v>15</v>
      </c>
      <c r="AD85">
        <v>100</v>
      </c>
      <c r="AE85">
        <v>100</v>
      </c>
      <c r="AG85" s="25">
        <f>IF(P85="*","-",IFERROR(VLOOKUP(P85,'All MECSM samples'!$P$4:$AD$454,15,FALSE),"-"))</f>
        <v>33</v>
      </c>
      <c r="AI85" s="9">
        <f t="shared" si="6"/>
        <v>1</v>
      </c>
      <c r="AJ85" s="9">
        <f t="shared" si="7"/>
        <v>1</v>
      </c>
      <c r="AK85" s="11">
        <f>SUM(AI$4:AI85)/SUM(AJ$4:AJ85)</f>
        <v>1</v>
      </c>
    </row>
    <row r="86" spans="1:37" x14ac:dyDescent="0.35">
      <c r="A86" t="s">
        <v>287</v>
      </c>
      <c r="B86">
        <v>61</v>
      </c>
      <c r="C86" t="s">
        <v>7</v>
      </c>
      <c r="D86" t="s">
        <v>24</v>
      </c>
      <c r="E86" t="s">
        <v>25</v>
      </c>
      <c r="G86" t="s">
        <v>26</v>
      </c>
      <c r="I86" t="s">
        <v>27</v>
      </c>
      <c r="K86" t="s">
        <v>28</v>
      </c>
      <c r="M86" t="s">
        <v>29</v>
      </c>
      <c r="O86">
        <v>1</v>
      </c>
      <c r="P86" s="36" t="s">
        <v>283</v>
      </c>
      <c r="Q86">
        <v>99.6</v>
      </c>
      <c r="R86">
        <v>1</v>
      </c>
      <c r="S86">
        <v>10</v>
      </c>
      <c r="T86">
        <v>0</v>
      </c>
      <c r="U86">
        <v>18</v>
      </c>
      <c r="V86">
        <v>0</v>
      </c>
      <c r="W86">
        <v>33</v>
      </c>
      <c r="X86">
        <v>0</v>
      </c>
      <c r="Z86" s="26">
        <f t="shared" si="8"/>
        <v>3.3451969004831344E-4</v>
      </c>
      <c r="AA86" s="12">
        <f t="shared" si="5"/>
        <v>0.98833568228306901</v>
      </c>
      <c r="AC86">
        <v>0</v>
      </c>
      <c r="AD86">
        <v>14</v>
      </c>
      <c r="AE86">
        <v>100</v>
      </c>
      <c r="AG86" s="25">
        <f>IF(P86="*","-",IFERROR(VLOOKUP(P86,'All MECSM samples'!$P$4:$AD$454,15,FALSE),"-"))</f>
        <v>22906</v>
      </c>
      <c r="AI86" s="9">
        <f t="shared" si="6"/>
        <v>0</v>
      </c>
      <c r="AJ86" s="9">
        <f t="shared" si="7"/>
        <v>1</v>
      </c>
      <c r="AK86" s="11">
        <f>SUM(AI$4:AI86)/SUM(AJ$4:AJ86)</f>
        <v>0.98780487804878048</v>
      </c>
    </row>
    <row r="87" spans="1:37" x14ac:dyDescent="0.35">
      <c r="A87" t="s">
        <v>248</v>
      </c>
      <c r="B87">
        <v>60</v>
      </c>
      <c r="C87" t="s">
        <v>7</v>
      </c>
      <c r="D87" t="s">
        <v>8</v>
      </c>
      <c r="E87" t="s">
        <v>46</v>
      </c>
      <c r="G87" t="s">
        <v>64</v>
      </c>
      <c r="I87" t="s">
        <v>65</v>
      </c>
      <c r="K87" t="s">
        <v>66</v>
      </c>
      <c r="O87">
        <v>0.83</v>
      </c>
      <c r="P87" s="9" t="s">
        <v>281</v>
      </c>
      <c r="Q87">
        <v>89.3</v>
      </c>
      <c r="R87">
        <v>1</v>
      </c>
      <c r="S87">
        <v>5</v>
      </c>
      <c r="T87">
        <v>0</v>
      </c>
      <c r="U87">
        <v>0</v>
      </c>
      <c r="V87">
        <v>0</v>
      </c>
      <c r="W87">
        <v>28</v>
      </c>
      <c r="X87">
        <v>27</v>
      </c>
      <c r="Z87" s="26">
        <f t="shared" si="8"/>
        <v>3.290357607032591E-4</v>
      </c>
      <c r="AA87" s="12">
        <f t="shared" si="5"/>
        <v>0.98866471804377232</v>
      </c>
      <c r="AC87">
        <v>24</v>
      </c>
      <c r="AD87">
        <v>0</v>
      </c>
      <c r="AE87">
        <v>100</v>
      </c>
      <c r="AG87" s="25">
        <f>IF(P87="*","-",IFERROR(VLOOKUP(P87,'All MECSM samples'!$P$4:$AD$454,15,FALSE),"-"))</f>
        <v>28</v>
      </c>
      <c r="AI87" s="9">
        <f t="shared" si="6"/>
        <v>1</v>
      </c>
      <c r="AJ87" s="9">
        <f t="shared" si="7"/>
        <v>1</v>
      </c>
      <c r="AK87" s="11">
        <f>SUM(AI$4:AI87)/SUM(AJ$4:AJ87)</f>
        <v>0.98795180722891562</v>
      </c>
    </row>
    <row r="88" spans="1:37" x14ac:dyDescent="0.35">
      <c r="A88" t="s">
        <v>336</v>
      </c>
      <c r="B88">
        <v>58</v>
      </c>
      <c r="C88" t="s">
        <v>7</v>
      </c>
      <c r="D88" t="s">
        <v>8</v>
      </c>
      <c r="E88" t="s">
        <v>46</v>
      </c>
      <c r="G88" t="s">
        <v>47</v>
      </c>
      <c r="I88" t="s">
        <v>61</v>
      </c>
      <c r="K88" t="s">
        <v>190</v>
      </c>
      <c r="M88" t="s">
        <v>273</v>
      </c>
      <c r="O88">
        <v>0.92</v>
      </c>
      <c r="P88" s="9" t="s">
        <v>614</v>
      </c>
      <c r="Q88">
        <v>97.2</v>
      </c>
      <c r="R88">
        <v>1</v>
      </c>
      <c r="S88">
        <v>11</v>
      </c>
      <c r="T88">
        <v>6</v>
      </c>
      <c r="U88">
        <v>0</v>
      </c>
      <c r="V88">
        <v>0</v>
      </c>
      <c r="W88">
        <v>29</v>
      </c>
      <c r="X88">
        <v>12</v>
      </c>
      <c r="Z88" s="26">
        <f t="shared" si="8"/>
        <v>3.1806790201315048E-4</v>
      </c>
      <c r="AA88" s="12">
        <f t="shared" si="5"/>
        <v>0.98898278594578548</v>
      </c>
      <c r="AC88">
        <v>54</v>
      </c>
      <c r="AD88">
        <v>15</v>
      </c>
      <c r="AE88">
        <v>100</v>
      </c>
      <c r="AG88" s="25">
        <f>IF(P88="*","-",IFERROR(VLOOKUP(P88,'All MECSM samples'!$P$4:$AD$454,15,FALSE),"-"))</f>
        <v>32</v>
      </c>
      <c r="AI88" s="9">
        <f t="shared" si="6"/>
        <v>1</v>
      </c>
      <c r="AJ88" s="9">
        <f t="shared" si="7"/>
        <v>1</v>
      </c>
      <c r="AK88" s="11">
        <f>SUM(AI$4:AI88)/SUM(AJ$4:AJ88)</f>
        <v>0.98809523809523814</v>
      </c>
    </row>
    <row r="89" spans="1:37" x14ac:dyDescent="0.35">
      <c r="A89" t="s">
        <v>266</v>
      </c>
      <c r="B89">
        <v>58</v>
      </c>
      <c r="C89" t="s">
        <v>7</v>
      </c>
      <c r="D89" t="s">
        <v>8</v>
      </c>
      <c r="E89" t="s">
        <v>120</v>
      </c>
      <c r="G89" t="s">
        <v>121</v>
      </c>
      <c r="I89" t="s">
        <v>122</v>
      </c>
      <c r="K89" t="s">
        <v>123</v>
      </c>
      <c r="O89">
        <v>0.63</v>
      </c>
      <c r="P89" s="9" t="s">
        <v>324</v>
      </c>
      <c r="Q89">
        <v>86.6</v>
      </c>
      <c r="R89">
        <v>2</v>
      </c>
      <c r="S89">
        <v>0</v>
      </c>
      <c r="T89">
        <v>0</v>
      </c>
      <c r="U89">
        <v>1</v>
      </c>
      <c r="V89">
        <v>0</v>
      </c>
      <c r="W89">
        <v>22</v>
      </c>
      <c r="X89">
        <v>35</v>
      </c>
      <c r="Z89" s="26">
        <f t="shared" si="8"/>
        <v>3.1806790201315048E-4</v>
      </c>
      <c r="AA89" s="12">
        <f t="shared" si="5"/>
        <v>0.98930085384779864</v>
      </c>
      <c r="AC89">
        <v>0</v>
      </c>
      <c r="AD89">
        <v>21</v>
      </c>
      <c r="AE89">
        <v>100</v>
      </c>
      <c r="AG89" s="25">
        <f>IF(P89="*","-",IFERROR(VLOOKUP(P89,'All MECSM samples'!$P$4:$AD$454,15,FALSE),"-"))</f>
        <v>22</v>
      </c>
      <c r="AI89" s="9">
        <f t="shared" si="6"/>
        <v>1</v>
      </c>
      <c r="AJ89" s="9">
        <f t="shared" si="7"/>
        <v>1</v>
      </c>
      <c r="AK89" s="11">
        <f>SUM(AI$4:AI89)/SUM(AJ$4:AJ89)</f>
        <v>0.9882352941176471</v>
      </c>
    </row>
    <row r="90" spans="1:37" x14ac:dyDescent="0.35">
      <c r="A90" t="s">
        <v>265</v>
      </c>
      <c r="B90">
        <v>52</v>
      </c>
      <c r="C90" t="s">
        <v>7</v>
      </c>
      <c r="D90" t="s">
        <v>8</v>
      </c>
      <c r="E90" t="s">
        <v>290</v>
      </c>
      <c r="G90" t="s">
        <v>291</v>
      </c>
      <c r="M90" t="s">
        <v>292</v>
      </c>
      <c r="O90">
        <v>0.69</v>
      </c>
      <c r="P90" s="9" t="s">
        <v>293</v>
      </c>
      <c r="Q90">
        <v>96</v>
      </c>
      <c r="R90">
        <v>1</v>
      </c>
      <c r="S90">
        <v>0</v>
      </c>
      <c r="T90">
        <v>0</v>
      </c>
      <c r="U90">
        <v>31</v>
      </c>
      <c r="V90">
        <v>21</v>
      </c>
      <c r="W90">
        <v>0</v>
      </c>
      <c r="X90">
        <v>0</v>
      </c>
      <c r="Z90" s="26">
        <f t="shared" si="8"/>
        <v>2.8516432594282457E-4</v>
      </c>
      <c r="AA90" s="52">
        <f t="shared" si="5"/>
        <v>0.98958601817374148</v>
      </c>
      <c r="AC90">
        <v>0</v>
      </c>
      <c r="AD90">
        <v>100</v>
      </c>
      <c r="AE90">
        <v>0</v>
      </c>
      <c r="AG90" s="25">
        <f>IF(P90="*","-",IFERROR(VLOOKUP(P90,'All MECSM samples'!$P$4:$AD$454,15,FALSE),"-"))</f>
        <v>31</v>
      </c>
      <c r="AI90" s="9">
        <f t="shared" si="6"/>
        <v>1</v>
      </c>
      <c r="AJ90" s="9">
        <f t="shared" si="7"/>
        <v>1</v>
      </c>
      <c r="AK90" s="11">
        <f>SUM(AI$4:AI90)/SUM(AJ$4:AJ90)</f>
        <v>0.98837209302325579</v>
      </c>
    </row>
    <row r="91" spans="1:37" x14ac:dyDescent="0.35">
      <c r="A91" t="s">
        <v>295</v>
      </c>
      <c r="B91">
        <v>52</v>
      </c>
      <c r="C91" t="s">
        <v>7</v>
      </c>
      <c r="D91" t="s">
        <v>8</v>
      </c>
      <c r="E91" t="s">
        <v>46</v>
      </c>
      <c r="G91" t="s">
        <v>47</v>
      </c>
      <c r="I91" t="s">
        <v>61</v>
      </c>
      <c r="O91">
        <v>0.94</v>
      </c>
      <c r="P91" s="9" t="s">
        <v>302</v>
      </c>
      <c r="Q91">
        <v>92.1</v>
      </c>
      <c r="R91">
        <v>1</v>
      </c>
      <c r="S91">
        <v>23</v>
      </c>
      <c r="T91">
        <v>23</v>
      </c>
      <c r="U91">
        <v>4</v>
      </c>
      <c r="V91">
        <v>0</v>
      </c>
      <c r="W91">
        <v>2</v>
      </c>
      <c r="X91">
        <v>0</v>
      </c>
      <c r="Z91" s="26">
        <f t="shared" si="8"/>
        <v>2.8516432594282457E-4</v>
      </c>
      <c r="AA91" s="12">
        <f t="shared" si="5"/>
        <v>0.98987118249968431</v>
      </c>
      <c r="AC91">
        <v>100</v>
      </c>
      <c r="AD91">
        <v>18</v>
      </c>
      <c r="AE91">
        <v>22</v>
      </c>
      <c r="AG91" s="25">
        <f>IF(P91="*","-",IFERROR(VLOOKUP(P91,'All MECSM samples'!$P$4:$AD$454,15,FALSE),"-"))</f>
        <v>469</v>
      </c>
      <c r="AI91" s="9">
        <f t="shared" si="6"/>
        <v>1</v>
      </c>
      <c r="AJ91" s="9">
        <f t="shared" si="7"/>
        <v>1</v>
      </c>
      <c r="AK91" s="11">
        <f>SUM(AI$4:AI91)/SUM(AJ$4:AJ91)</f>
        <v>0.9885057471264368</v>
      </c>
    </row>
    <row r="92" spans="1:37" x14ac:dyDescent="0.35">
      <c r="A92" t="s">
        <v>233</v>
      </c>
      <c r="B92">
        <v>52</v>
      </c>
      <c r="C92" t="s">
        <v>7</v>
      </c>
      <c r="D92" t="s">
        <v>8</v>
      </c>
      <c r="E92" t="s">
        <v>46</v>
      </c>
      <c r="G92" t="s">
        <v>47</v>
      </c>
      <c r="I92" t="s">
        <v>61</v>
      </c>
      <c r="O92">
        <v>0.52</v>
      </c>
      <c r="P92" s="9" t="s">
        <v>288</v>
      </c>
      <c r="Q92">
        <v>88.2</v>
      </c>
      <c r="R92">
        <v>1</v>
      </c>
      <c r="S92">
        <v>2</v>
      </c>
      <c r="T92">
        <v>0</v>
      </c>
      <c r="U92">
        <v>0</v>
      </c>
      <c r="V92">
        <v>0</v>
      </c>
      <c r="W92">
        <v>39</v>
      </c>
      <c r="X92">
        <v>11</v>
      </c>
      <c r="Z92" s="26">
        <f t="shared" si="8"/>
        <v>2.8516432594282457E-4</v>
      </c>
      <c r="AA92" s="12">
        <f t="shared" si="5"/>
        <v>0.99015634682562714</v>
      </c>
      <c r="AC92">
        <v>23</v>
      </c>
      <c r="AD92">
        <v>0</v>
      </c>
      <c r="AE92">
        <v>100</v>
      </c>
      <c r="AG92" s="25">
        <f>IF(P92="*","-",IFERROR(VLOOKUP(P92,'All MECSM samples'!$P$4:$AD$454,15,FALSE),"-"))</f>
        <v>50</v>
      </c>
      <c r="AI92" s="9">
        <f t="shared" si="6"/>
        <v>1</v>
      </c>
      <c r="AJ92" s="9">
        <f t="shared" si="7"/>
        <v>1</v>
      </c>
      <c r="AK92" s="11">
        <f>SUM(AI$4:AI92)/SUM(AJ$4:AJ92)</f>
        <v>0.98863636363636365</v>
      </c>
    </row>
    <row r="93" spans="1:37" x14ac:dyDescent="0.35">
      <c r="A93" t="s">
        <v>264</v>
      </c>
      <c r="B93">
        <v>51</v>
      </c>
      <c r="C93" t="s">
        <v>7</v>
      </c>
      <c r="D93" t="s">
        <v>8</v>
      </c>
      <c r="O93">
        <v>0.99</v>
      </c>
      <c r="P93" s="9" t="s">
        <v>98</v>
      </c>
      <c r="Q93">
        <v>0</v>
      </c>
      <c r="R93">
        <v>1</v>
      </c>
      <c r="S93">
        <v>0</v>
      </c>
      <c r="T93">
        <v>0</v>
      </c>
      <c r="U93">
        <v>0</v>
      </c>
      <c r="V93">
        <v>0</v>
      </c>
      <c r="W93">
        <v>11</v>
      </c>
      <c r="X93">
        <v>40</v>
      </c>
      <c r="Z93" s="26">
        <f t="shared" si="8"/>
        <v>2.7968039659777023E-4</v>
      </c>
      <c r="AA93" s="12">
        <f t="shared" si="5"/>
        <v>0.9904360272222249</v>
      </c>
      <c r="AC93">
        <v>25</v>
      </c>
      <c r="AD93">
        <v>0</v>
      </c>
      <c r="AE93">
        <v>100</v>
      </c>
      <c r="AG93" s="25" t="str">
        <f>IF(P93="*","-",IFERROR(VLOOKUP(P93,'All MECSM samples'!$P$4:$AD$454,15,FALSE),"-"))</f>
        <v>-</v>
      </c>
      <c r="AI93" s="9">
        <f t="shared" si="6"/>
        <v>1</v>
      </c>
      <c r="AJ93" s="9">
        <f t="shared" si="7"/>
        <v>1</v>
      </c>
      <c r="AK93" s="11">
        <f>SUM(AI$4:AI93)/SUM(AJ$4:AJ93)</f>
        <v>0.9887640449438202</v>
      </c>
    </row>
    <row r="94" spans="1:37" x14ac:dyDescent="0.35">
      <c r="A94" t="s">
        <v>313</v>
      </c>
      <c r="B94">
        <v>45</v>
      </c>
      <c r="C94" t="s">
        <v>7</v>
      </c>
      <c r="D94" t="s">
        <v>8</v>
      </c>
      <c r="E94" t="s">
        <v>46</v>
      </c>
      <c r="G94" t="s">
        <v>47</v>
      </c>
      <c r="I94" t="s">
        <v>61</v>
      </c>
      <c r="O94">
        <v>0.84</v>
      </c>
      <c r="P94" s="36" t="s">
        <v>321</v>
      </c>
      <c r="Q94">
        <v>90.5</v>
      </c>
      <c r="R94">
        <v>1</v>
      </c>
      <c r="S94">
        <v>18</v>
      </c>
      <c r="T94">
        <v>0</v>
      </c>
      <c r="U94">
        <v>0</v>
      </c>
      <c r="V94">
        <v>0</v>
      </c>
      <c r="W94">
        <v>14</v>
      </c>
      <c r="X94">
        <v>13</v>
      </c>
      <c r="Z94" s="26">
        <f t="shared" si="8"/>
        <v>2.4677682052744431E-4</v>
      </c>
      <c r="AA94" s="12">
        <f t="shared" si="5"/>
        <v>0.99068280404275233</v>
      </c>
      <c r="AC94">
        <v>100</v>
      </c>
      <c r="AD94">
        <v>31</v>
      </c>
      <c r="AE94">
        <v>97</v>
      </c>
      <c r="AG94" s="25">
        <f>IF(P94="*","-",IFERROR(VLOOKUP(P94,'All MECSM samples'!$P$4:$AD$454,15,FALSE),"-"))</f>
        <v>276</v>
      </c>
      <c r="AI94" s="9">
        <f t="shared" si="6"/>
        <v>1</v>
      </c>
      <c r="AJ94" s="9">
        <f t="shared" si="7"/>
        <v>1</v>
      </c>
      <c r="AK94" s="11">
        <f>SUM(AI$4:AI94)/SUM(AJ$4:AJ94)</f>
        <v>0.98888888888888893</v>
      </c>
    </row>
    <row r="95" spans="1:37" x14ac:dyDescent="0.35">
      <c r="A95" t="s">
        <v>282</v>
      </c>
      <c r="B95">
        <v>45</v>
      </c>
      <c r="C95" t="s">
        <v>7</v>
      </c>
      <c r="D95" t="s">
        <v>8</v>
      </c>
      <c r="E95" t="s">
        <v>9</v>
      </c>
      <c r="G95" t="s">
        <v>138</v>
      </c>
      <c r="I95" t="s">
        <v>296</v>
      </c>
      <c r="K95" t="s">
        <v>297</v>
      </c>
      <c r="M95" t="s">
        <v>298</v>
      </c>
      <c r="O95">
        <v>1</v>
      </c>
      <c r="P95" s="9" t="s">
        <v>299</v>
      </c>
      <c r="Q95">
        <v>100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45</v>
      </c>
      <c r="Z95" s="26">
        <f t="shared" si="8"/>
        <v>2.4677682052744431E-4</v>
      </c>
      <c r="AA95" s="12">
        <f t="shared" si="5"/>
        <v>0.99092958086327976</v>
      </c>
      <c r="AC95">
        <v>100</v>
      </c>
      <c r="AD95">
        <v>0</v>
      </c>
      <c r="AE95">
        <v>100</v>
      </c>
      <c r="AG95" s="25" t="str">
        <f>IF(P95="*","-",IFERROR(VLOOKUP(P95,'All MECSM samples'!$P$4:$AD$454,15,FALSE),"-"))</f>
        <v>-</v>
      </c>
      <c r="AI95" s="9">
        <f t="shared" si="6"/>
        <v>1</v>
      </c>
      <c r="AJ95" s="9">
        <f t="shared" si="7"/>
        <v>1</v>
      </c>
      <c r="AK95" s="11">
        <f>SUM(AI$4:AI95)/SUM(AJ$4:AJ95)</f>
        <v>0.98901098901098905</v>
      </c>
    </row>
    <row r="96" spans="1:37" x14ac:dyDescent="0.35">
      <c r="A96" t="s">
        <v>320</v>
      </c>
      <c r="B96">
        <v>44</v>
      </c>
      <c r="C96" t="s">
        <v>7</v>
      </c>
      <c r="D96" t="s">
        <v>8</v>
      </c>
      <c r="E96" t="s">
        <v>32</v>
      </c>
      <c r="G96" t="s">
        <v>35</v>
      </c>
      <c r="I96" t="s">
        <v>36</v>
      </c>
      <c r="K96" t="s">
        <v>37</v>
      </c>
      <c r="M96" t="s">
        <v>304</v>
      </c>
      <c r="O96">
        <v>0.88</v>
      </c>
      <c r="P96" s="9" t="s">
        <v>305</v>
      </c>
      <c r="Q96">
        <v>98</v>
      </c>
      <c r="R96">
        <v>1</v>
      </c>
      <c r="S96">
        <v>27</v>
      </c>
      <c r="T96">
        <v>6</v>
      </c>
      <c r="U96">
        <v>4</v>
      </c>
      <c r="V96">
        <v>0</v>
      </c>
      <c r="W96">
        <v>7</v>
      </c>
      <c r="X96">
        <v>0</v>
      </c>
      <c r="Z96" s="26">
        <f t="shared" si="8"/>
        <v>2.4129289118239E-4</v>
      </c>
      <c r="AA96" s="12">
        <f t="shared" si="5"/>
        <v>0.99117087375446211</v>
      </c>
      <c r="AC96">
        <v>100</v>
      </c>
      <c r="AD96">
        <v>0</v>
      </c>
      <c r="AE96">
        <v>0</v>
      </c>
      <c r="AG96" s="25">
        <f>IF(P96="*","-",IFERROR(VLOOKUP(P96,'All MECSM samples'!$P$4:$AD$454,15,FALSE),"-"))</f>
        <v>2600</v>
      </c>
      <c r="AI96" s="9">
        <f t="shared" si="6"/>
        <v>1</v>
      </c>
      <c r="AJ96" s="9">
        <f t="shared" si="7"/>
        <v>1</v>
      </c>
      <c r="AK96" s="11">
        <f>SUM(AI$4:AI96)/SUM(AJ$4:AJ96)</f>
        <v>0.98913043478260865</v>
      </c>
    </row>
    <row r="97" spans="1:37" x14ac:dyDescent="0.35">
      <c r="A97" t="s">
        <v>301</v>
      </c>
      <c r="B97">
        <v>42</v>
      </c>
      <c r="C97" t="s">
        <v>7</v>
      </c>
      <c r="D97" t="s">
        <v>8</v>
      </c>
      <c r="E97" t="s">
        <v>258</v>
      </c>
      <c r="G97" t="s">
        <v>258</v>
      </c>
      <c r="H97" t="s">
        <v>259</v>
      </c>
      <c r="I97" t="s">
        <v>260</v>
      </c>
      <c r="J97" t="s">
        <v>261</v>
      </c>
      <c r="K97" t="s">
        <v>262</v>
      </c>
      <c r="O97">
        <v>0.5</v>
      </c>
      <c r="P97" s="9" t="s">
        <v>328</v>
      </c>
      <c r="Q97">
        <v>89.7</v>
      </c>
      <c r="R97">
        <v>1</v>
      </c>
      <c r="S97">
        <v>0</v>
      </c>
      <c r="T97">
        <v>0</v>
      </c>
      <c r="U97">
        <v>20</v>
      </c>
      <c r="V97">
        <v>21</v>
      </c>
      <c r="W97">
        <v>1</v>
      </c>
      <c r="X97">
        <v>0</v>
      </c>
      <c r="Z97" s="26">
        <f t="shared" si="8"/>
        <v>2.3032503249228138E-4</v>
      </c>
      <c r="AA97" s="12">
        <f t="shared" si="5"/>
        <v>0.99140119878695443</v>
      </c>
      <c r="AC97">
        <v>10</v>
      </c>
      <c r="AD97">
        <v>100</v>
      </c>
      <c r="AE97">
        <v>25</v>
      </c>
      <c r="AG97" s="25">
        <f>IF(P97="*","-",IFERROR(VLOOKUP(P97,'All MECSM samples'!$P$4:$AD$454,15,FALSE),"-"))</f>
        <v>3418</v>
      </c>
      <c r="AI97" s="9">
        <f t="shared" si="6"/>
        <v>1</v>
      </c>
      <c r="AJ97" s="9">
        <f t="shared" si="7"/>
        <v>1</v>
      </c>
      <c r="AK97" s="11">
        <f>SUM(AI$4:AI97)/SUM(AJ$4:AJ97)</f>
        <v>0.989247311827957</v>
      </c>
    </row>
    <row r="98" spans="1:37" x14ac:dyDescent="0.35">
      <c r="A98" t="s">
        <v>271</v>
      </c>
      <c r="B98">
        <v>41</v>
      </c>
      <c r="C98" t="s">
        <v>7</v>
      </c>
      <c r="D98" t="s">
        <v>8</v>
      </c>
      <c r="E98" t="s">
        <v>46</v>
      </c>
      <c r="G98" t="s">
        <v>47</v>
      </c>
      <c r="I98" t="s">
        <v>160</v>
      </c>
      <c r="K98" t="s">
        <v>161</v>
      </c>
      <c r="M98" t="s">
        <v>162</v>
      </c>
      <c r="O98">
        <v>0.57999999999999996</v>
      </c>
      <c r="P98" s="9" t="s">
        <v>163</v>
      </c>
      <c r="Q98">
        <v>89.7</v>
      </c>
      <c r="R98">
        <v>1</v>
      </c>
      <c r="S98">
        <v>15</v>
      </c>
      <c r="T98">
        <v>0</v>
      </c>
      <c r="U98">
        <v>14</v>
      </c>
      <c r="V98">
        <v>0</v>
      </c>
      <c r="W98">
        <v>12</v>
      </c>
      <c r="X98">
        <v>0</v>
      </c>
      <c r="Z98" s="26">
        <f t="shared" si="8"/>
        <v>2.2484110314722704E-4</v>
      </c>
      <c r="AA98" s="12">
        <f t="shared" si="5"/>
        <v>0.99162603989010167</v>
      </c>
      <c r="AC98">
        <v>4</v>
      </c>
      <c r="AD98">
        <v>4</v>
      </c>
      <c r="AE98">
        <v>22</v>
      </c>
      <c r="AG98" s="25">
        <f>IF(P98="*","-",IFERROR(VLOOKUP(P98,'All MECSM samples'!$P$4:$AD$454,15,FALSE),"-"))</f>
        <v>3869</v>
      </c>
      <c r="AI98" s="9">
        <f t="shared" si="6"/>
        <v>0</v>
      </c>
      <c r="AJ98" s="9">
        <f t="shared" si="7"/>
        <v>0</v>
      </c>
      <c r="AK98" s="11">
        <f>SUM(AI$4:AI98)/SUM(AJ$4:AJ98)</f>
        <v>0.989247311827957</v>
      </c>
    </row>
    <row r="99" spans="1:37" x14ac:dyDescent="0.35">
      <c r="A99" t="s">
        <v>311</v>
      </c>
      <c r="B99">
        <v>41</v>
      </c>
      <c r="C99" t="s">
        <v>7</v>
      </c>
      <c r="D99" t="s">
        <v>8</v>
      </c>
      <c r="E99" t="s">
        <v>46</v>
      </c>
      <c r="G99" t="s">
        <v>47</v>
      </c>
      <c r="I99" t="s">
        <v>61</v>
      </c>
      <c r="K99" t="s">
        <v>190</v>
      </c>
      <c r="M99" t="s">
        <v>273</v>
      </c>
      <c r="O99">
        <v>0.54</v>
      </c>
      <c r="P99" s="9" t="s">
        <v>90</v>
      </c>
      <c r="Q99">
        <v>94.9</v>
      </c>
      <c r="R99">
        <v>2</v>
      </c>
      <c r="S99">
        <v>32</v>
      </c>
      <c r="T99">
        <v>9</v>
      </c>
      <c r="U99">
        <v>0</v>
      </c>
      <c r="V99">
        <v>0</v>
      </c>
      <c r="W99">
        <v>0</v>
      </c>
      <c r="X99">
        <v>0</v>
      </c>
      <c r="Z99" s="26">
        <f t="shared" si="8"/>
        <v>2.2484110314722704E-4</v>
      </c>
      <c r="AA99" s="12">
        <f t="shared" si="5"/>
        <v>0.99185088099324892</v>
      </c>
      <c r="AC99">
        <v>100</v>
      </c>
      <c r="AD99">
        <v>7</v>
      </c>
      <c r="AE99">
        <v>29</v>
      </c>
      <c r="AG99" s="25">
        <f>IF(P99="*","-",IFERROR(VLOOKUP(P99,'All MECSM samples'!$P$4:$AD$454,15,FALSE),"-"))</f>
        <v>1132</v>
      </c>
      <c r="AI99" s="9">
        <f t="shared" si="6"/>
        <v>1</v>
      </c>
      <c r="AJ99" s="9">
        <f t="shared" si="7"/>
        <v>1</v>
      </c>
      <c r="AK99" s="11">
        <f>SUM(AI$4:AI99)/SUM(AJ$4:AJ99)</f>
        <v>0.98936170212765961</v>
      </c>
    </row>
    <row r="100" spans="1:37" x14ac:dyDescent="0.35">
      <c r="A100" t="s">
        <v>280</v>
      </c>
      <c r="B100">
        <v>38</v>
      </c>
      <c r="C100" t="s">
        <v>7</v>
      </c>
      <c r="D100" t="s">
        <v>8</v>
      </c>
      <c r="E100" t="s">
        <v>46</v>
      </c>
      <c r="G100" t="s">
        <v>47</v>
      </c>
      <c r="I100" t="s">
        <v>61</v>
      </c>
      <c r="K100" t="s">
        <v>238</v>
      </c>
      <c r="M100" t="s">
        <v>239</v>
      </c>
      <c r="O100">
        <v>1</v>
      </c>
      <c r="P100" s="9" t="s">
        <v>787</v>
      </c>
      <c r="Q100">
        <v>98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17</v>
      </c>
      <c r="X100">
        <v>21</v>
      </c>
      <c r="Z100" s="26">
        <f t="shared" si="8"/>
        <v>2.0838931511206409E-4</v>
      </c>
      <c r="AA100" s="12">
        <f t="shared" si="5"/>
        <v>0.99205927030836094</v>
      </c>
      <c r="AC100">
        <v>25</v>
      </c>
      <c r="AD100">
        <v>0</v>
      </c>
      <c r="AE100">
        <v>100</v>
      </c>
      <c r="AG100" s="25">
        <f>IF(P100="*","-",IFERROR(VLOOKUP(P100,'All MECSM samples'!$P$4:$AD$454,15,FALSE),"-"))</f>
        <v>17</v>
      </c>
      <c r="AI100" s="9">
        <f t="shared" si="6"/>
        <v>1</v>
      </c>
      <c r="AJ100" s="9">
        <f t="shared" si="7"/>
        <v>1</v>
      </c>
      <c r="AK100" s="11">
        <f>SUM(AI$4:AI100)/SUM(AJ$4:AJ100)</f>
        <v>0.98947368421052628</v>
      </c>
    </row>
    <row r="101" spans="1:37" x14ac:dyDescent="0.35">
      <c r="A101" t="s">
        <v>327</v>
      </c>
      <c r="B101">
        <v>37</v>
      </c>
      <c r="C101" t="s">
        <v>7</v>
      </c>
      <c r="D101" t="s">
        <v>8</v>
      </c>
      <c r="E101" t="s">
        <v>9</v>
      </c>
      <c r="G101" t="s">
        <v>10</v>
      </c>
      <c r="I101" t="s">
        <v>107</v>
      </c>
      <c r="K101" t="s">
        <v>308</v>
      </c>
      <c r="M101" t="s">
        <v>309</v>
      </c>
      <c r="O101">
        <v>1</v>
      </c>
      <c r="P101" s="9" t="s">
        <v>310</v>
      </c>
      <c r="Q101">
        <v>98.8</v>
      </c>
      <c r="R101">
        <v>2</v>
      </c>
      <c r="S101">
        <v>25</v>
      </c>
      <c r="T101">
        <v>8</v>
      </c>
      <c r="U101">
        <v>0</v>
      </c>
      <c r="V101">
        <v>0</v>
      </c>
      <c r="W101">
        <v>4</v>
      </c>
      <c r="X101">
        <v>0</v>
      </c>
      <c r="Z101" s="26">
        <f t="shared" si="8"/>
        <v>2.0290538576700978E-4</v>
      </c>
      <c r="AA101" s="12">
        <f t="shared" si="5"/>
        <v>0.992262175694128</v>
      </c>
      <c r="AC101">
        <v>100</v>
      </c>
      <c r="AD101">
        <v>0</v>
      </c>
      <c r="AE101">
        <v>1</v>
      </c>
      <c r="AG101" s="25" t="str">
        <f>IF(P101="*","-",IFERROR(VLOOKUP(P101,'All MECSM samples'!$P$4:$AD$454,15,FALSE),"-"))</f>
        <v>-</v>
      </c>
      <c r="AI101" s="9">
        <f t="shared" si="6"/>
        <v>1</v>
      </c>
      <c r="AJ101" s="9">
        <f t="shared" si="7"/>
        <v>1</v>
      </c>
      <c r="AK101" s="11">
        <f>SUM(AI$4:AI101)/SUM(AJ$4:AJ101)</f>
        <v>0.98958333333333337</v>
      </c>
    </row>
    <row r="102" spans="1:37" x14ac:dyDescent="0.35">
      <c r="A102" t="s">
        <v>356</v>
      </c>
      <c r="B102">
        <v>35</v>
      </c>
      <c r="C102" t="s">
        <v>7</v>
      </c>
      <c r="D102" t="s">
        <v>8</v>
      </c>
      <c r="E102" t="s">
        <v>32</v>
      </c>
      <c r="G102" t="s">
        <v>35</v>
      </c>
      <c r="I102" t="s">
        <v>36</v>
      </c>
      <c r="K102" t="s">
        <v>37</v>
      </c>
      <c r="M102" t="s">
        <v>231</v>
      </c>
      <c r="O102">
        <v>0.95</v>
      </c>
      <c r="P102" s="9" t="s">
        <v>312</v>
      </c>
      <c r="Q102">
        <v>97.2</v>
      </c>
      <c r="R102">
        <v>1</v>
      </c>
      <c r="S102">
        <v>29</v>
      </c>
      <c r="T102">
        <v>0</v>
      </c>
      <c r="U102">
        <v>2</v>
      </c>
      <c r="V102">
        <v>0</v>
      </c>
      <c r="W102">
        <v>4</v>
      </c>
      <c r="X102">
        <v>0</v>
      </c>
      <c r="Z102" s="26">
        <f t="shared" si="8"/>
        <v>1.9193752707690113E-4</v>
      </c>
      <c r="AA102" s="12">
        <f t="shared" si="5"/>
        <v>0.99245411322120491</v>
      </c>
      <c r="AC102">
        <v>75</v>
      </c>
      <c r="AD102">
        <v>0</v>
      </c>
      <c r="AE102">
        <v>0</v>
      </c>
      <c r="AG102" s="25">
        <f>IF(P102="*","-",IFERROR(VLOOKUP(P102,'All MECSM samples'!$P$4:$AD$454,15,FALSE),"-"))</f>
        <v>1018</v>
      </c>
      <c r="AI102" s="9">
        <f t="shared" si="6"/>
        <v>0</v>
      </c>
      <c r="AJ102" s="9">
        <f t="shared" si="7"/>
        <v>0</v>
      </c>
      <c r="AK102" s="11">
        <f>SUM(AI$4:AI102)/SUM(AJ$4:AJ102)</f>
        <v>0.98958333333333337</v>
      </c>
    </row>
    <row r="103" spans="1:37" x14ac:dyDescent="0.35">
      <c r="A103" t="s">
        <v>323</v>
      </c>
      <c r="B103">
        <v>35</v>
      </c>
      <c r="C103" t="s">
        <v>7</v>
      </c>
      <c r="D103" t="s">
        <v>8</v>
      </c>
      <c r="E103" t="s">
        <v>32</v>
      </c>
      <c r="O103">
        <v>0.99</v>
      </c>
      <c r="P103" s="9" t="s">
        <v>314</v>
      </c>
      <c r="Q103">
        <v>87</v>
      </c>
      <c r="R103">
        <v>1</v>
      </c>
      <c r="S103">
        <v>13</v>
      </c>
      <c r="T103">
        <v>0</v>
      </c>
      <c r="U103">
        <v>18</v>
      </c>
      <c r="V103">
        <v>0</v>
      </c>
      <c r="W103">
        <v>4</v>
      </c>
      <c r="X103">
        <v>0</v>
      </c>
      <c r="Z103" s="26">
        <f t="shared" si="8"/>
        <v>1.9193752707690113E-4</v>
      </c>
      <c r="AA103" s="12">
        <f t="shared" si="5"/>
        <v>0.99264605074828183</v>
      </c>
      <c r="AC103">
        <v>4</v>
      </c>
      <c r="AD103">
        <v>39</v>
      </c>
      <c r="AE103">
        <v>21</v>
      </c>
      <c r="AG103" s="25">
        <f>IF(P103="*","-",IFERROR(VLOOKUP(P103,'All MECSM samples'!$P$4:$AD$454,15,FALSE),"-"))</f>
        <v>4137</v>
      </c>
      <c r="AI103" s="9">
        <f t="shared" si="6"/>
        <v>0</v>
      </c>
      <c r="AJ103" s="9">
        <f t="shared" si="7"/>
        <v>0</v>
      </c>
      <c r="AK103" s="11">
        <f>SUM(AI$4:AI103)/SUM(AJ$4:AJ103)</f>
        <v>0.98958333333333337</v>
      </c>
    </row>
    <row r="104" spans="1:37" x14ac:dyDescent="0.35">
      <c r="A104" t="s">
        <v>318</v>
      </c>
      <c r="B104">
        <v>33</v>
      </c>
      <c r="C104" t="s">
        <v>7</v>
      </c>
      <c r="D104" t="s">
        <v>8</v>
      </c>
      <c r="E104" t="s">
        <v>46</v>
      </c>
      <c r="G104" t="s">
        <v>47</v>
      </c>
      <c r="I104" t="s">
        <v>61</v>
      </c>
      <c r="K104" t="s">
        <v>94</v>
      </c>
      <c r="M104" t="s">
        <v>316</v>
      </c>
      <c r="O104">
        <v>1</v>
      </c>
      <c r="P104" s="9" t="s">
        <v>317</v>
      </c>
      <c r="Q104">
        <v>100</v>
      </c>
      <c r="R104">
        <v>1</v>
      </c>
      <c r="S104">
        <v>18</v>
      </c>
      <c r="T104">
        <v>0</v>
      </c>
      <c r="U104">
        <v>9</v>
      </c>
      <c r="V104">
        <v>0</v>
      </c>
      <c r="W104">
        <v>6</v>
      </c>
      <c r="X104">
        <v>0</v>
      </c>
      <c r="Z104" s="26">
        <f t="shared" si="8"/>
        <v>1.8096966838679251E-4</v>
      </c>
      <c r="AA104" s="12">
        <f t="shared" si="5"/>
        <v>0.99282702041666859</v>
      </c>
      <c r="AC104">
        <v>29</v>
      </c>
      <c r="AD104">
        <v>9</v>
      </c>
      <c r="AE104">
        <v>13</v>
      </c>
      <c r="AG104" s="25">
        <f>IF(P104="*","-",IFERROR(VLOOKUP(P104,'All MECSM samples'!$P$4:$AD$454,15,FALSE),"-"))</f>
        <v>2300</v>
      </c>
      <c r="AI104" s="9">
        <f t="shared" si="6"/>
        <v>0</v>
      </c>
      <c r="AJ104" s="9">
        <f t="shared" si="7"/>
        <v>0</v>
      </c>
      <c r="AK104" s="11">
        <f>SUM(AI$4:AI104)/SUM(AJ$4:AJ104)</f>
        <v>0.98958333333333337</v>
      </c>
    </row>
    <row r="105" spans="1:37" x14ac:dyDescent="0.35">
      <c r="A105" t="s">
        <v>300</v>
      </c>
      <c r="B105">
        <v>33</v>
      </c>
      <c r="C105" t="s">
        <v>7</v>
      </c>
      <c r="D105" t="s">
        <v>8</v>
      </c>
      <c r="E105" t="s">
        <v>9</v>
      </c>
      <c r="G105" t="s">
        <v>138</v>
      </c>
      <c r="I105" t="s">
        <v>345</v>
      </c>
      <c r="O105">
        <v>0.63</v>
      </c>
      <c r="P105" s="9" t="s">
        <v>625</v>
      </c>
      <c r="Q105">
        <v>92.1</v>
      </c>
      <c r="R105">
        <v>3</v>
      </c>
      <c r="S105">
        <v>20</v>
      </c>
      <c r="T105">
        <v>11</v>
      </c>
      <c r="U105">
        <v>1</v>
      </c>
      <c r="V105">
        <v>0</v>
      </c>
      <c r="W105">
        <v>1</v>
      </c>
      <c r="X105">
        <v>0</v>
      </c>
      <c r="Z105" s="26">
        <f t="shared" si="8"/>
        <v>1.8096966838679251E-4</v>
      </c>
      <c r="AA105" s="12">
        <f t="shared" si="5"/>
        <v>0.99300799008505536</v>
      </c>
      <c r="AC105">
        <v>100</v>
      </c>
      <c r="AD105">
        <v>0</v>
      </c>
      <c r="AE105">
        <v>0</v>
      </c>
      <c r="AG105" s="25">
        <f>IF(P105="*","-",IFERROR(VLOOKUP(P105,'All MECSM samples'!$P$4:$AD$454,15,FALSE),"-"))</f>
        <v>137</v>
      </c>
      <c r="AI105" s="9">
        <f t="shared" si="6"/>
        <v>1</v>
      </c>
      <c r="AJ105" s="9">
        <f t="shared" si="7"/>
        <v>1</v>
      </c>
      <c r="AK105" s="11">
        <f>SUM(AI$4:AI105)/SUM(AJ$4:AJ105)</f>
        <v>0.98969072164948457</v>
      </c>
    </row>
    <row r="106" spans="1:37" x14ac:dyDescent="0.35">
      <c r="A106" t="s">
        <v>277</v>
      </c>
      <c r="B106">
        <v>33</v>
      </c>
      <c r="C106" t="s">
        <v>7</v>
      </c>
      <c r="D106" t="s">
        <v>8</v>
      </c>
      <c r="E106" t="s">
        <v>46</v>
      </c>
      <c r="G106" t="s">
        <v>47</v>
      </c>
      <c r="I106" t="s">
        <v>61</v>
      </c>
      <c r="K106" t="s">
        <v>190</v>
      </c>
      <c r="O106">
        <v>0.5</v>
      </c>
      <c r="P106" s="9" t="s">
        <v>319</v>
      </c>
      <c r="Q106">
        <v>89.3</v>
      </c>
      <c r="R106">
        <v>1</v>
      </c>
      <c r="S106">
        <v>9</v>
      </c>
      <c r="T106">
        <v>0</v>
      </c>
      <c r="U106">
        <v>10</v>
      </c>
      <c r="V106">
        <v>0</v>
      </c>
      <c r="W106">
        <v>14</v>
      </c>
      <c r="X106">
        <v>0</v>
      </c>
      <c r="Z106" s="26">
        <f t="shared" si="8"/>
        <v>1.8096966838679251E-4</v>
      </c>
      <c r="AA106" s="12">
        <f t="shared" si="5"/>
        <v>0.99318895975344212</v>
      </c>
      <c r="AC106">
        <v>39</v>
      </c>
      <c r="AD106">
        <v>15</v>
      </c>
      <c r="AE106">
        <v>16</v>
      </c>
      <c r="AG106" s="25">
        <f>IF(P106="*","-",IFERROR(VLOOKUP(P106,'All MECSM samples'!$P$4:$AD$454,15,FALSE),"-"))</f>
        <v>5160</v>
      </c>
      <c r="AI106" s="9">
        <f t="shared" si="6"/>
        <v>0</v>
      </c>
      <c r="AJ106" s="9">
        <f t="shared" si="7"/>
        <v>0</v>
      </c>
      <c r="AK106" s="11">
        <f>SUM(AI$4:AI106)/SUM(AJ$4:AJ106)</f>
        <v>0.98969072164948457</v>
      </c>
    </row>
    <row r="107" spans="1:37" x14ac:dyDescent="0.35">
      <c r="A107" t="s">
        <v>325</v>
      </c>
      <c r="B107">
        <v>31</v>
      </c>
      <c r="C107" t="s">
        <v>7</v>
      </c>
      <c r="D107" t="s">
        <v>8</v>
      </c>
      <c r="E107" t="s">
        <v>32</v>
      </c>
      <c r="O107">
        <v>0.99</v>
      </c>
      <c r="P107" s="9" t="s">
        <v>326</v>
      </c>
      <c r="Q107">
        <v>88.9</v>
      </c>
      <c r="R107">
        <v>2</v>
      </c>
      <c r="S107">
        <v>30</v>
      </c>
      <c r="T107">
        <v>0</v>
      </c>
      <c r="U107">
        <v>1</v>
      </c>
      <c r="V107">
        <v>0</v>
      </c>
      <c r="W107">
        <v>0</v>
      </c>
      <c r="X107">
        <v>0</v>
      </c>
      <c r="Z107" s="26">
        <f t="shared" si="8"/>
        <v>1.7000180969668386E-4</v>
      </c>
      <c r="AA107" s="12">
        <f t="shared" si="5"/>
        <v>0.99335896156313885</v>
      </c>
      <c r="AC107">
        <v>97</v>
      </c>
      <c r="AD107">
        <v>0</v>
      </c>
      <c r="AE107">
        <v>0</v>
      </c>
      <c r="AG107" s="25">
        <f>IF(P107="*","-",IFERROR(VLOOKUP(P107,'All MECSM samples'!$P$4:$AD$454,15,FALSE),"-"))</f>
        <v>31</v>
      </c>
      <c r="AI107" s="9">
        <f t="shared" si="6"/>
        <v>0</v>
      </c>
      <c r="AJ107" s="9">
        <f t="shared" si="7"/>
        <v>1</v>
      </c>
      <c r="AK107" s="11">
        <f>SUM(AI$4:AI107)/SUM(AJ$4:AJ107)</f>
        <v>0.97959183673469385</v>
      </c>
    </row>
    <row r="108" spans="1:37" x14ac:dyDescent="0.35">
      <c r="A108" t="s">
        <v>289</v>
      </c>
      <c r="B108">
        <v>28</v>
      </c>
      <c r="C108" t="s">
        <v>7</v>
      </c>
      <c r="D108" t="s">
        <v>8</v>
      </c>
      <c r="E108" t="s">
        <v>46</v>
      </c>
      <c r="G108" t="s">
        <v>47</v>
      </c>
      <c r="I108" t="s">
        <v>61</v>
      </c>
      <c r="K108" t="s">
        <v>210</v>
      </c>
      <c r="M108" t="s">
        <v>211</v>
      </c>
      <c r="O108">
        <v>0.94</v>
      </c>
      <c r="P108" s="9" t="s">
        <v>360</v>
      </c>
      <c r="Q108">
        <v>94.5</v>
      </c>
      <c r="R108">
        <v>1</v>
      </c>
      <c r="S108">
        <v>0</v>
      </c>
      <c r="T108">
        <v>0</v>
      </c>
      <c r="U108">
        <v>2</v>
      </c>
      <c r="V108">
        <v>0</v>
      </c>
      <c r="W108">
        <v>2</v>
      </c>
      <c r="X108">
        <v>24</v>
      </c>
      <c r="Z108" s="26">
        <f t="shared" si="8"/>
        <v>1.535500216615209E-4</v>
      </c>
      <c r="AA108" s="12">
        <f t="shared" si="5"/>
        <v>0.99351251158480036</v>
      </c>
      <c r="AC108">
        <v>12</v>
      </c>
      <c r="AD108">
        <v>0</v>
      </c>
      <c r="AE108">
        <v>100</v>
      </c>
      <c r="AG108" s="25">
        <f>IF(P108="*","-",IFERROR(VLOOKUP(P108,'All MECSM samples'!$P$4:$AD$454,15,FALSE),"-"))</f>
        <v>1108</v>
      </c>
      <c r="AI108" s="9">
        <f t="shared" si="6"/>
        <v>1</v>
      </c>
      <c r="AJ108" s="9">
        <f t="shared" si="7"/>
        <v>1</v>
      </c>
      <c r="AK108" s="11">
        <f>SUM(AI$4:AI108)/SUM(AJ$4:AJ108)</f>
        <v>0.97979797979797978</v>
      </c>
    </row>
    <row r="109" spans="1:37" x14ac:dyDescent="0.35">
      <c r="A109" t="s">
        <v>241</v>
      </c>
      <c r="B109">
        <v>27</v>
      </c>
      <c r="C109" t="s">
        <v>7</v>
      </c>
      <c r="D109" t="s">
        <v>8</v>
      </c>
      <c r="E109" t="s">
        <v>46</v>
      </c>
      <c r="O109">
        <v>0.96</v>
      </c>
      <c r="P109" s="105" t="s">
        <v>330</v>
      </c>
      <c r="Q109">
        <v>90.9</v>
      </c>
      <c r="R109">
        <v>1</v>
      </c>
      <c r="S109">
        <v>10</v>
      </c>
      <c r="T109">
        <v>0</v>
      </c>
      <c r="U109">
        <v>10</v>
      </c>
      <c r="V109">
        <v>0</v>
      </c>
      <c r="W109">
        <v>7</v>
      </c>
      <c r="X109">
        <v>0</v>
      </c>
      <c r="Z109" s="26">
        <f t="shared" si="8"/>
        <v>1.4806609231646659E-4</v>
      </c>
      <c r="AA109" s="12">
        <f t="shared" si="5"/>
        <v>0.9936605776771168</v>
      </c>
      <c r="AC109">
        <v>26</v>
      </c>
      <c r="AD109">
        <v>12</v>
      </c>
      <c r="AE109">
        <v>30</v>
      </c>
      <c r="AG109" s="25">
        <f>IF(P109="*","-",IFERROR(VLOOKUP(P109,'All MECSM samples'!$P$4:$AD$454,15,FALSE),"-"))</f>
        <v>3140</v>
      </c>
      <c r="AI109" s="9">
        <f t="shared" si="6"/>
        <v>0</v>
      </c>
      <c r="AJ109" s="9">
        <f t="shared" si="7"/>
        <v>0</v>
      </c>
      <c r="AK109" s="11">
        <f>SUM(AI$4:AI109)/SUM(AJ$4:AJ109)</f>
        <v>0.97979797979797978</v>
      </c>
    </row>
    <row r="110" spans="1:37" x14ac:dyDescent="0.35">
      <c r="A110" t="s">
        <v>427</v>
      </c>
      <c r="B110">
        <v>27</v>
      </c>
      <c r="C110" t="s">
        <v>7</v>
      </c>
      <c r="D110" t="s">
        <v>8</v>
      </c>
      <c r="E110" t="s">
        <v>9</v>
      </c>
      <c r="G110" t="s">
        <v>172</v>
      </c>
      <c r="I110" t="s">
        <v>173</v>
      </c>
      <c r="K110" t="s">
        <v>174</v>
      </c>
      <c r="M110" t="s">
        <v>175</v>
      </c>
      <c r="O110">
        <v>0.88</v>
      </c>
      <c r="P110" s="9" t="s">
        <v>332</v>
      </c>
      <c r="Q110">
        <v>98.4</v>
      </c>
      <c r="R110">
        <v>1</v>
      </c>
      <c r="S110">
        <v>18</v>
      </c>
      <c r="T110">
        <v>0</v>
      </c>
      <c r="U110">
        <v>4</v>
      </c>
      <c r="V110">
        <v>0</v>
      </c>
      <c r="W110">
        <v>5</v>
      </c>
      <c r="X110">
        <v>0</v>
      </c>
      <c r="Z110" s="26">
        <f t="shared" si="8"/>
        <v>1.4806609231646659E-4</v>
      </c>
      <c r="AA110" s="12">
        <f t="shared" si="5"/>
        <v>0.99380864376943323</v>
      </c>
      <c r="AC110">
        <v>16</v>
      </c>
      <c r="AD110">
        <v>0</v>
      </c>
      <c r="AE110">
        <v>22</v>
      </c>
      <c r="AG110" s="25">
        <f>IF(P110="*","-",IFERROR(VLOOKUP(P110,'All MECSM samples'!$P$4:$AD$454,15,FALSE),"-"))</f>
        <v>4692</v>
      </c>
      <c r="AI110" s="9">
        <f t="shared" si="6"/>
        <v>0</v>
      </c>
      <c r="AJ110" s="9">
        <f t="shared" si="7"/>
        <v>0</v>
      </c>
      <c r="AK110" s="11">
        <f>SUM(AI$4:AI110)/SUM(AJ$4:AJ110)</f>
        <v>0.97979797979797978</v>
      </c>
    </row>
    <row r="111" spans="1:37" x14ac:dyDescent="0.35">
      <c r="A111" t="s">
        <v>333</v>
      </c>
      <c r="B111">
        <v>25</v>
      </c>
      <c r="C111" t="s">
        <v>7</v>
      </c>
      <c r="D111" t="s">
        <v>8</v>
      </c>
      <c r="E111" t="s">
        <v>46</v>
      </c>
      <c r="G111" t="s">
        <v>47</v>
      </c>
      <c r="I111" t="s">
        <v>61</v>
      </c>
      <c r="M111" t="s">
        <v>334</v>
      </c>
      <c r="O111">
        <v>0.66</v>
      </c>
      <c r="P111" s="9" t="s">
        <v>335</v>
      </c>
      <c r="Q111">
        <v>96</v>
      </c>
      <c r="R111">
        <v>1</v>
      </c>
      <c r="S111">
        <v>1</v>
      </c>
      <c r="T111">
        <v>0</v>
      </c>
      <c r="U111">
        <v>0</v>
      </c>
      <c r="V111">
        <v>0</v>
      </c>
      <c r="W111">
        <v>17</v>
      </c>
      <c r="X111">
        <v>7</v>
      </c>
      <c r="Z111" s="26">
        <f t="shared" si="8"/>
        <v>1.3709823362635795E-4</v>
      </c>
      <c r="AA111" s="12">
        <f t="shared" si="5"/>
        <v>0.99394574200305963</v>
      </c>
      <c r="AC111">
        <v>26</v>
      </c>
      <c r="AD111">
        <v>22</v>
      </c>
      <c r="AE111">
        <v>100</v>
      </c>
      <c r="AG111" s="25">
        <f>IF(P111="*","-",IFERROR(VLOOKUP(P111,'All MECSM samples'!$P$4:$AD$454,15,FALSE),"-"))</f>
        <v>23</v>
      </c>
      <c r="AI111" s="9">
        <f t="shared" si="6"/>
        <v>1</v>
      </c>
      <c r="AJ111" s="9">
        <f t="shared" si="7"/>
        <v>1</v>
      </c>
      <c r="AK111" s="11">
        <f>SUM(AI$4:AI111)/SUM(AJ$4:AJ111)</f>
        <v>0.98</v>
      </c>
    </row>
    <row r="112" spans="1:37" x14ac:dyDescent="0.35">
      <c r="A112" t="s">
        <v>340</v>
      </c>
      <c r="B112">
        <v>25</v>
      </c>
      <c r="C112" t="s">
        <v>7</v>
      </c>
      <c r="D112" t="s">
        <v>8</v>
      </c>
      <c r="E112" t="s">
        <v>32</v>
      </c>
      <c r="O112">
        <v>0.98</v>
      </c>
      <c r="P112" s="9" t="s">
        <v>341</v>
      </c>
      <c r="Q112">
        <v>86.6</v>
      </c>
      <c r="R112">
        <v>1</v>
      </c>
      <c r="S112">
        <v>15</v>
      </c>
      <c r="T112">
        <v>0</v>
      </c>
      <c r="U112">
        <v>5</v>
      </c>
      <c r="V112">
        <v>0</v>
      </c>
      <c r="W112">
        <v>5</v>
      </c>
      <c r="X112">
        <v>0</v>
      </c>
      <c r="Z112" s="26">
        <f t="shared" si="8"/>
        <v>1.3709823362635795E-4</v>
      </c>
      <c r="AA112" s="12">
        <f t="shared" si="5"/>
        <v>0.99408284023668603</v>
      </c>
      <c r="AC112">
        <v>35</v>
      </c>
      <c r="AD112">
        <v>1</v>
      </c>
      <c r="AE112">
        <v>3</v>
      </c>
      <c r="AG112" s="25">
        <f>IF(P112="*","-",IFERROR(VLOOKUP(P112,'All MECSM samples'!$P$4:$AD$454,15,FALSE),"-"))</f>
        <v>1251</v>
      </c>
      <c r="AI112" s="9">
        <f t="shared" si="6"/>
        <v>0</v>
      </c>
      <c r="AJ112" s="9">
        <f t="shared" si="7"/>
        <v>0</v>
      </c>
      <c r="AK112" s="11">
        <f>SUM(AI$4:AI112)/SUM(AJ$4:AJ112)</f>
        <v>0.98</v>
      </c>
    </row>
    <row r="113" spans="1:37" x14ac:dyDescent="0.35">
      <c r="A113" t="s">
        <v>473</v>
      </c>
      <c r="B113">
        <v>25</v>
      </c>
      <c r="C113" t="s">
        <v>7</v>
      </c>
      <c r="D113" t="s">
        <v>8</v>
      </c>
      <c r="E113" t="s">
        <v>258</v>
      </c>
      <c r="G113" t="s">
        <v>258</v>
      </c>
      <c r="O113">
        <v>0.51</v>
      </c>
      <c r="P113" s="9" t="s">
        <v>328</v>
      </c>
      <c r="Q113">
        <v>90.1</v>
      </c>
      <c r="R113">
        <v>1</v>
      </c>
      <c r="S113">
        <v>18</v>
      </c>
      <c r="T113">
        <v>0</v>
      </c>
      <c r="U113">
        <v>2</v>
      </c>
      <c r="V113">
        <v>0</v>
      </c>
      <c r="W113">
        <v>5</v>
      </c>
      <c r="X113">
        <v>0</v>
      </c>
      <c r="Z113" s="26">
        <f t="shared" si="8"/>
        <v>1.3709823362635795E-4</v>
      </c>
      <c r="AA113" s="12">
        <f t="shared" si="5"/>
        <v>0.99421993847031243</v>
      </c>
      <c r="AC113">
        <v>50</v>
      </c>
      <c r="AD113">
        <v>13</v>
      </c>
      <c r="AE113">
        <v>0</v>
      </c>
      <c r="AG113" s="25">
        <f>IF(P113="*","-",IFERROR(VLOOKUP(P113,'All MECSM samples'!$P$4:$AD$454,15,FALSE),"-"))</f>
        <v>3418</v>
      </c>
      <c r="AI113" s="9">
        <f t="shared" si="6"/>
        <v>0</v>
      </c>
      <c r="AJ113" s="9">
        <f t="shared" si="7"/>
        <v>0</v>
      </c>
      <c r="AK113" s="11">
        <f>SUM(AI$4:AI113)/SUM(AJ$4:AJ113)</f>
        <v>0.98</v>
      </c>
    </row>
    <row r="114" spans="1:37" x14ac:dyDescent="0.35">
      <c r="A114" t="s">
        <v>306</v>
      </c>
      <c r="B114">
        <v>25</v>
      </c>
      <c r="C114" t="s">
        <v>7</v>
      </c>
      <c r="D114" t="s">
        <v>24</v>
      </c>
      <c r="E114" t="s">
        <v>25</v>
      </c>
      <c r="G114" t="s">
        <v>40</v>
      </c>
      <c r="I114" t="s">
        <v>56</v>
      </c>
      <c r="K114" t="s">
        <v>466</v>
      </c>
      <c r="M114" t="s">
        <v>467</v>
      </c>
      <c r="O114">
        <v>0.91</v>
      </c>
      <c r="P114" s="9" t="s">
        <v>468</v>
      </c>
      <c r="Q114">
        <v>96.5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6</v>
      </c>
      <c r="X114">
        <v>19</v>
      </c>
      <c r="Z114" s="26">
        <f t="shared" si="8"/>
        <v>1.3709823362635795E-4</v>
      </c>
      <c r="AA114" s="12">
        <f t="shared" si="5"/>
        <v>0.99435703670393882</v>
      </c>
      <c r="AC114">
        <v>5</v>
      </c>
      <c r="AD114">
        <v>0</v>
      </c>
      <c r="AE114">
        <v>100</v>
      </c>
      <c r="AG114" s="25">
        <f>IF(P114="*","-",IFERROR(VLOOKUP(P114,'All MECSM samples'!$P$4:$AD$454,15,FALSE),"-"))</f>
        <v>6</v>
      </c>
      <c r="AI114" s="9">
        <f t="shared" si="6"/>
        <v>1</v>
      </c>
      <c r="AJ114" s="9">
        <f t="shared" si="7"/>
        <v>1</v>
      </c>
      <c r="AK114" s="11">
        <f>SUM(AI$4:AI114)/SUM(AJ$4:AJ114)</f>
        <v>0.98019801980198018</v>
      </c>
    </row>
    <row r="115" spans="1:37" x14ac:dyDescent="0.35">
      <c r="A115" t="s">
        <v>338</v>
      </c>
      <c r="B115">
        <v>25</v>
      </c>
      <c r="C115" t="s">
        <v>7</v>
      </c>
      <c r="D115" t="s">
        <v>8</v>
      </c>
      <c r="E115" t="s">
        <v>46</v>
      </c>
      <c r="G115" t="s">
        <v>47</v>
      </c>
      <c r="I115" t="s">
        <v>61</v>
      </c>
      <c r="O115">
        <v>0.97</v>
      </c>
      <c r="P115" s="36" t="s">
        <v>339</v>
      </c>
      <c r="Q115">
        <v>93.7</v>
      </c>
      <c r="R115">
        <v>2</v>
      </c>
      <c r="S115">
        <v>25</v>
      </c>
      <c r="T115">
        <v>0</v>
      </c>
      <c r="U115">
        <v>0</v>
      </c>
      <c r="V115">
        <v>0</v>
      </c>
      <c r="W115">
        <v>0</v>
      </c>
      <c r="X115">
        <v>0</v>
      </c>
      <c r="Z115" s="26">
        <f t="shared" si="8"/>
        <v>1.3709823362635795E-4</v>
      </c>
      <c r="AA115" s="12">
        <f t="shared" si="5"/>
        <v>0.99449413493756522</v>
      </c>
      <c r="AC115">
        <v>100</v>
      </c>
      <c r="AD115">
        <v>15</v>
      </c>
      <c r="AE115">
        <v>27</v>
      </c>
      <c r="AG115" s="25">
        <f>IF(P115="*","-",IFERROR(VLOOKUP(P115,'All MECSM samples'!$P$4:$AD$454,15,FALSE),"-"))</f>
        <v>25</v>
      </c>
      <c r="AI115" s="9">
        <f t="shared" si="6"/>
        <v>0</v>
      </c>
      <c r="AJ115" s="9">
        <f t="shared" si="7"/>
        <v>1</v>
      </c>
      <c r="AK115" s="11">
        <f>SUM(AI$4:AI115)/SUM(AJ$4:AJ115)</f>
        <v>0.97058823529411764</v>
      </c>
    </row>
    <row r="116" spans="1:37" x14ac:dyDescent="0.35">
      <c r="A116" t="s">
        <v>342</v>
      </c>
      <c r="B116">
        <v>24</v>
      </c>
      <c r="C116" t="s">
        <v>7</v>
      </c>
      <c r="D116" t="s">
        <v>8</v>
      </c>
      <c r="E116" t="s">
        <v>46</v>
      </c>
      <c r="O116">
        <v>0.55000000000000004</v>
      </c>
      <c r="P116" s="9" t="s">
        <v>343</v>
      </c>
      <c r="Q116">
        <v>86.6</v>
      </c>
      <c r="R116">
        <v>3</v>
      </c>
      <c r="S116">
        <v>11</v>
      </c>
      <c r="T116">
        <v>0</v>
      </c>
      <c r="U116">
        <v>9</v>
      </c>
      <c r="V116">
        <v>0</v>
      </c>
      <c r="W116">
        <v>4</v>
      </c>
      <c r="X116">
        <v>0</v>
      </c>
      <c r="Z116" s="26">
        <f t="shared" si="8"/>
        <v>1.3161430428130364E-4</v>
      </c>
      <c r="AA116" s="12">
        <f t="shared" si="5"/>
        <v>0.99462574924184655</v>
      </c>
      <c r="AC116">
        <v>66</v>
      </c>
      <c r="AD116">
        <v>0</v>
      </c>
      <c r="AE116">
        <v>0</v>
      </c>
      <c r="AG116" s="25">
        <f>IF(P116="*","-",IFERROR(VLOOKUP(P116,'All MECSM samples'!$P$4:$AD$454,15,FALSE),"-"))</f>
        <v>1254</v>
      </c>
      <c r="AI116" s="9">
        <f t="shared" si="6"/>
        <v>0</v>
      </c>
      <c r="AJ116" s="9">
        <f t="shared" si="7"/>
        <v>0</v>
      </c>
      <c r="AK116" s="11">
        <f>SUM(AI$4:AI116)/SUM(AJ$4:AJ116)</f>
        <v>0.97058823529411764</v>
      </c>
    </row>
    <row r="117" spans="1:37" x14ac:dyDescent="0.35">
      <c r="A117" t="s">
        <v>465</v>
      </c>
      <c r="B117">
        <v>24</v>
      </c>
      <c r="C117" t="s">
        <v>7</v>
      </c>
      <c r="D117" t="s">
        <v>24</v>
      </c>
      <c r="E117" t="s">
        <v>25</v>
      </c>
      <c r="G117" t="s">
        <v>26</v>
      </c>
      <c r="I117" t="s">
        <v>27</v>
      </c>
      <c r="O117">
        <v>0.53</v>
      </c>
      <c r="P117" s="36" t="s">
        <v>337</v>
      </c>
      <c r="Q117">
        <v>85.8</v>
      </c>
      <c r="R117">
        <v>1</v>
      </c>
      <c r="S117">
        <v>23</v>
      </c>
      <c r="T117">
        <v>0</v>
      </c>
      <c r="U117">
        <v>1</v>
      </c>
      <c r="V117">
        <v>0</v>
      </c>
      <c r="W117">
        <v>0</v>
      </c>
      <c r="X117">
        <v>0</v>
      </c>
      <c r="Z117" s="26">
        <f t="shared" si="8"/>
        <v>1.3161430428130364E-4</v>
      </c>
      <c r="AA117" s="12">
        <f t="shared" si="5"/>
        <v>0.99475736354612787</v>
      </c>
      <c r="AC117">
        <v>100</v>
      </c>
      <c r="AD117">
        <v>0</v>
      </c>
      <c r="AE117">
        <v>0</v>
      </c>
      <c r="AG117" s="25">
        <f>IF(P117="*","-",IFERROR(VLOOKUP(P117,'All MECSM samples'!$P$4:$AD$454,15,FALSE),"-"))</f>
        <v>24</v>
      </c>
      <c r="AI117" s="9">
        <f t="shared" si="6"/>
        <v>0</v>
      </c>
      <c r="AJ117" s="9">
        <f t="shared" si="7"/>
        <v>1</v>
      </c>
      <c r="AK117" s="11">
        <f>SUM(AI$4:AI117)/SUM(AJ$4:AJ117)</f>
        <v>0.96116504854368934</v>
      </c>
    </row>
    <row r="118" spans="1:37" x14ac:dyDescent="0.35">
      <c r="A118" t="s">
        <v>344</v>
      </c>
      <c r="B118">
        <v>24</v>
      </c>
      <c r="C118" t="s">
        <v>7</v>
      </c>
      <c r="D118" t="s">
        <v>8</v>
      </c>
      <c r="E118" t="s">
        <v>120</v>
      </c>
      <c r="G118" t="s">
        <v>121</v>
      </c>
      <c r="I118" t="s">
        <v>122</v>
      </c>
      <c r="K118" t="s">
        <v>123</v>
      </c>
      <c r="M118" t="s">
        <v>124</v>
      </c>
      <c r="O118">
        <v>0.59</v>
      </c>
      <c r="P118" s="9" t="s">
        <v>125</v>
      </c>
      <c r="Q118">
        <v>93.7</v>
      </c>
      <c r="R118">
        <v>1</v>
      </c>
      <c r="S118">
        <v>0</v>
      </c>
      <c r="T118">
        <v>0</v>
      </c>
      <c r="U118">
        <v>2</v>
      </c>
      <c r="V118">
        <v>0</v>
      </c>
      <c r="W118">
        <v>8</v>
      </c>
      <c r="X118">
        <v>14</v>
      </c>
      <c r="Z118" s="26">
        <f t="shared" si="8"/>
        <v>1.3161430428130364E-4</v>
      </c>
      <c r="AA118" s="12">
        <f t="shared" si="5"/>
        <v>0.9948889778504092</v>
      </c>
      <c r="AC118">
        <v>8</v>
      </c>
      <c r="AD118">
        <v>22</v>
      </c>
      <c r="AE118">
        <v>97</v>
      </c>
      <c r="AG118" s="25">
        <f>IF(P118="*","-",IFERROR(VLOOKUP(P118,'All MECSM samples'!$P$4:$AD$454,15,FALSE),"-"))</f>
        <v>799</v>
      </c>
      <c r="AI118" s="9">
        <f t="shared" si="6"/>
        <v>1</v>
      </c>
      <c r="AJ118" s="9">
        <f t="shared" si="7"/>
        <v>1</v>
      </c>
      <c r="AK118" s="11">
        <f>SUM(AI$4:AI118)/SUM(AJ$4:AJ118)</f>
        <v>0.96153846153846156</v>
      </c>
    </row>
    <row r="119" spans="1:37" x14ac:dyDescent="0.35">
      <c r="A119" t="s">
        <v>303</v>
      </c>
      <c r="B119">
        <v>23</v>
      </c>
      <c r="C119" t="s">
        <v>7</v>
      </c>
      <c r="D119" t="s">
        <v>8</v>
      </c>
      <c r="E119" t="s">
        <v>9</v>
      </c>
      <c r="G119" t="s">
        <v>172</v>
      </c>
      <c r="I119" t="s">
        <v>347</v>
      </c>
      <c r="O119">
        <v>0.56000000000000005</v>
      </c>
      <c r="P119" s="9" t="s">
        <v>348</v>
      </c>
      <c r="Q119">
        <v>92.9</v>
      </c>
      <c r="R119">
        <v>2</v>
      </c>
      <c r="S119">
        <v>14</v>
      </c>
      <c r="T119">
        <v>0</v>
      </c>
      <c r="U119">
        <v>5</v>
      </c>
      <c r="V119">
        <v>0</v>
      </c>
      <c r="W119">
        <v>4</v>
      </c>
      <c r="X119">
        <v>0</v>
      </c>
      <c r="Z119" s="26">
        <f t="shared" si="8"/>
        <v>1.2613037493624932E-4</v>
      </c>
      <c r="AA119" s="12">
        <f t="shared" si="5"/>
        <v>0.99501510822534545</v>
      </c>
      <c r="AC119">
        <v>0</v>
      </c>
      <c r="AD119">
        <v>0</v>
      </c>
      <c r="AE119">
        <v>0</v>
      </c>
      <c r="AG119" s="25">
        <f>IF(P119="*","-",IFERROR(VLOOKUP(P119,'All MECSM samples'!$P$4:$AD$454,15,FALSE),"-"))</f>
        <v>5401</v>
      </c>
      <c r="AI119" s="9">
        <f t="shared" si="6"/>
        <v>0</v>
      </c>
      <c r="AJ119" s="9">
        <f t="shared" si="7"/>
        <v>0</v>
      </c>
      <c r="AK119" s="11">
        <f>SUM(AI$4:AI119)/SUM(AJ$4:AJ119)</f>
        <v>0.96153846153846156</v>
      </c>
    </row>
    <row r="120" spans="1:37" x14ac:dyDescent="0.35">
      <c r="A120" t="s">
        <v>329</v>
      </c>
      <c r="B120">
        <v>23</v>
      </c>
      <c r="C120" t="s">
        <v>7</v>
      </c>
      <c r="D120" t="s">
        <v>8</v>
      </c>
      <c r="E120" t="s">
        <v>46</v>
      </c>
      <c r="G120" t="s">
        <v>47</v>
      </c>
      <c r="I120" t="s">
        <v>61</v>
      </c>
      <c r="O120">
        <v>0.85</v>
      </c>
      <c r="P120" s="9" t="s">
        <v>370</v>
      </c>
      <c r="Q120">
        <v>88.5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16</v>
      </c>
      <c r="X120">
        <v>7</v>
      </c>
      <c r="Z120" s="26">
        <f t="shared" si="8"/>
        <v>1.2613037493624932E-4</v>
      </c>
      <c r="AA120" s="12">
        <f t="shared" si="5"/>
        <v>0.9951412386002817</v>
      </c>
      <c r="AC120">
        <v>18</v>
      </c>
      <c r="AD120">
        <v>19</v>
      </c>
      <c r="AE120">
        <v>100</v>
      </c>
      <c r="AG120" s="25">
        <f>IF(P120="*","-",IFERROR(VLOOKUP(P120,'All MECSM samples'!$P$4:$AD$454,15,FALSE),"-"))</f>
        <v>16</v>
      </c>
      <c r="AI120" s="9">
        <f t="shared" si="6"/>
        <v>1</v>
      </c>
      <c r="AJ120" s="9">
        <f t="shared" si="7"/>
        <v>1</v>
      </c>
      <c r="AK120" s="11">
        <f>SUM(AI$4:AI120)/SUM(AJ$4:AJ120)</f>
        <v>0.96190476190476193</v>
      </c>
    </row>
    <row r="121" spans="1:37" x14ac:dyDescent="0.35">
      <c r="A121" t="s">
        <v>353</v>
      </c>
      <c r="B121">
        <v>22</v>
      </c>
      <c r="C121" t="s">
        <v>7</v>
      </c>
      <c r="D121" t="s">
        <v>8</v>
      </c>
      <c r="E121" t="s">
        <v>46</v>
      </c>
      <c r="O121">
        <v>0.72</v>
      </c>
      <c r="P121" s="9" t="s">
        <v>354</v>
      </c>
      <c r="Q121">
        <v>87.4</v>
      </c>
      <c r="R121">
        <v>1</v>
      </c>
      <c r="S121">
        <v>8</v>
      </c>
      <c r="T121">
        <v>0</v>
      </c>
      <c r="U121">
        <v>4</v>
      </c>
      <c r="V121">
        <v>0</v>
      </c>
      <c r="W121">
        <v>10</v>
      </c>
      <c r="X121">
        <v>0</v>
      </c>
      <c r="Z121" s="26">
        <f t="shared" si="8"/>
        <v>1.20646445591195E-4</v>
      </c>
      <c r="AA121" s="12">
        <f t="shared" si="5"/>
        <v>0.99526188504587287</v>
      </c>
      <c r="AC121">
        <v>97</v>
      </c>
      <c r="AD121">
        <v>15</v>
      </c>
      <c r="AE121">
        <v>84</v>
      </c>
      <c r="AG121" s="25">
        <f>IF(P121="*","-",IFERROR(VLOOKUP(P121,'All MECSM samples'!$P$4:$AD$454,15,FALSE),"-"))</f>
        <v>905</v>
      </c>
      <c r="AI121" s="9">
        <f t="shared" si="6"/>
        <v>0</v>
      </c>
      <c r="AJ121" s="9">
        <f t="shared" si="7"/>
        <v>1</v>
      </c>
      <c r="AK121" s="11">
        <f>SUM(AI$4:AI121)/SUM(AJ$4:AJ121)</f>
        <v>0.95283018867924529</v>
      </c>
    </row>
    <row r="122" spans="1:37" x14ac:dyDescent="0.35">
      <c r="A122" t="s">
        <v>331</v>
      </c>
      <c r="B122">
        <v>21</v>
      </c>
      <c r="C122" t="s">
        <v>7</v>
      </c>
      <c r="D122" t="s">
        <v>8</v>
      </c>
      <c r="E122" t="s">
        <v>46</v>
      </c>
      <c r="G122" t="s">
        <v>47</v>
      </c>
      <c r="I122" t="s">
        <v>61</v>
      </c>
      <c r="K122" t="s">
        <v>210</v>
      </c>
      <c r="M122" t="s">
        <v>211</v>
      </c>
      <c r="O122">
        <v>0.63</v>
      </c>
      <c r="P122" s="9" t="s">
        <v>362</v>
      </c>
      <c r="Q122">
        <v>96</v>
      </c>
      <c r="R122">
        <v>1</v>
      </c>
      <c r="S122">
        <v>6</v>
      </c>
      <c r="T122">
        <v>0</v>
      </c>
      <c r="U122">
        <v>1</v>
      </c>
      <c r="V122">
        <v>0</v>
      </c>
      <c r="W122">
        <v>11</v>
      </c>
      <c r="X122">
        <v>3</v>
      </c>
      <c r="Z122" s="26">
        <f t="shared" si="8"/>
        <v>1.1516251624614069E-4</v>
      </c>
      <c r="AA122" s="12">
        <f t="shared" si="5"/>
        <v>0.99537704756211898</v>
      </c>
      <c r="AC122">
        <v>8</v>
      </c>
      <c r="AD122">
        <v>0</v>
      </c>
      <c r="AE122">
        <v>100</v>
      </c>
      <c r="AG122" s="25">
        <f>IF(P122="*","-",IFERROR(VLOOKUP(P122,'All MECSM samples'!$P$4:$AD$454,15,FALSE),"-"))</f>
        <v>1842</v>
      </c>
      <c r="AI122" s="9">
        <f t="shared" si="6"/>
        <v>1</v>
      </c>
      <c r="AJ122" s="9">
        <f t="shared" si="7"/>
        <v>1</v>
      </c>
      <c r="AK122" s="11">
        <f>SUM(AI$4:AI122)/SUM(AJ$4:AJ122)</f>
        <v>0.95327102803738317</v>
      </c>
    </row>
    <row r="123" spans="1:37" x14ac:dyDescent="0.35">
      <c r="A123" t="s">
        <v>428</v>
      </c>
      <c r="B123">
        <v>21</v>
      </c>
      <c r="C123" t="s">
        <v>7</v>
      </c>
      <c r="D123" t="s">
        <v>8</v>
      </c>
      <c r="E123" t="s">
        <v>46</v>
      </c>
      <c r="G123" t="s">
        <v>47</v>
      </c>
      <c r="I123" t="s">
        <v>61</v>
      </c>
      <c r="K123" t="s">
        <v>210</v>
      </c>
      <c r="M123" t="s">
        <v>211</v>
      </c>
      <c r="O123">
        <v>0.98</v>
      </c>
      <c r="P123" s="36" t="s">
        <v>360</v>
      </c>
      <c r="Q123">
        <v>95.3</v>
      </c>
      <c r="R123">
        <v>1</v>
      </c>
      <c r="S123">
        <v>11</v>
      </c>
      <c r="T123">
        <v>0</v>
      </c>
      <c r="U123">
        <v>9</v>
      </c>
      <c r="V123">
        <v>0</v>
      </c>
      <c r="W123">
        <v>1</v>
      </c>
      <c r="X123">
        <v>0</v>
      </c>
      <c r="Z123" s="26">
        <f t="shared" si="8"/>
        <v>1.1516251624614069E-4</v>
      </c>
      <c r="AA123" s="12">
        <f t="shared" si="5"/>
        <v>0.99549221007836508</v>
      </c>
      <c r="AC123">
        <v>100</v>
      </c>
      <c r="AD123">
        <v>25</v>
      </c>
      <c r="AE123">
        <v>10</v>
      </c>
      <c r="AG123" s="25">
        <f>IF(P123="*","-",IFERROR(VLOOKUP(P123,'All MECSM samples'!$P$4:$AD$454,15,FALSE),"-"))</f>
        <v>1108</v>
      </c>
      <c r="AI123" s="9">
        <f t="shared" si="6"/>
        <v>0</v>
      </c>
      <c r="AJ123" s="9">
        <f t="shared" si="7"/>
        <v>1</v>
      </c>
      <c r="AK123" s="11">
        <f>SUM(AI$4:AI123)/SUM(AJ$4:AJ123)</f>
        <v>0.94444444444444442</v>
      </c>
    </row>
    <row r="124" spans="1:37" x14ac:dyDescent="0.35">
      <c r="A124" t="s">
        <v>400</v>
      </c>
      <c r="B124">
        <v>20</v>
      </c>
      <c r="C124" t="s">
        <v>7</v>
      </c>
      <c r="D124" t="s">
        <v>8</v>
      </c>
      <c r="E124" t="s">
        <v>46</v>
      </c>
      <c r="G124" t="s">
        <v>364</v>
      </c>
      <c r="I124" t="s">
        <v>365</v>
      </c>
      <c r="K124" t="s">
        <v>366</v>
      </c>
      <c r="M124" t="s">
        <v>367</v>
      </c>
      <c r="O124">
        <v>1</v>
      </c>
      <c r="P124" s="9" t="s">
        <v>368</v>
      </c>
      <c r="Q124">
        <v>100</v>
      </c>
      <c r="R124">
        <v>4</v>
      </c>
      <c r="S124">
        <v>0</v>
      </c>
      <c r="T124">
        <v>0</v>
      </c>
      <c r="U124">
        <v>13</v>
      </c>
      <c r="V124">
        <v>0</v>
      </c>
      <c r="W124">
        <v>7</v>
      </c>
      <c r="X124">
        <v>0</v>
      </c>
      <c r="Z124" s="26">
        <f t="shared" si="8"/>
        <v>1.0967858690108637E-4</v>
      </c>
      <c r="AA124" s="12">
        <f t="shared" si="5"/>
        <v>0.99560188866526622</v>
      </c>
      <c r="AC124">
        <v>0</v>
      </c>
      <c r="AD124">
        <v>0</v>
      </c>
      <c r="AE124">
        <v>0</v>
      </c>
      <c r="AG124" s="25">
        <f>IF(P124="*","-",IFERROR(VLOOKUP(P124,'All MECSM samples'!$P$4:$AD$454,15,FALSE),"-"))</f>
        <v>13</v>
      </c>
      <c r="AI124" s="9">
        <f t="shared" si="6"/>
        <v>0</v>
      </c>
      <c r="AJ124" s="9">
        <f t="shared" si="7"/>
        <v>0</v>
      </c>
      <c r="AK124" s="11">
        <f>SUM(AI$4:AI124)/SUM(AJ$4:AJ124)</f>
        <v>0.94444444444444442</v>
      </c>
    </row>
    <row r="125" spans="1:37" x14ac:dyDescent="0.35">
      <c r="A125" t="s">
        <v>315</v>
      </c>
      <c r="B125">
        <v>20</v>
      </c>
      <c r="C125" t="s">
        <v>7</v>
      </c>
      <c r="D125" t="s">
        <v>8</v>
      </c>
      <c r="E125" t="s">
        <v>18</v>
      </c>
      <c r="G125" t="s">
        <v>19</v>
      </c>
      <c r="I125" t="s">
        <v>20</v>
      </c>
      <c r="K125" t="s">
        <v>21</v>
      </c>
      <c r="M125" t="s">
        <v>357</v>
      </c>
      <c r="O125">
        <v>1</v>
      </c>
      <c r="P125" s="9" t="s">
        <v>358</v>
      </c>
      <c r="Q125">
        <v>98.8</v>
      </c>
      <c r="R125">
        <v>1</v>
      </c>
      <c r="S125">
        <v>0</v>
      </c>
      <c r="T125">
        <v>20</v>
      </c>
      <c r="U125">
        <v>0</v>
      </c>
      <c r="V125">
        <v>0</v>
      </c>
      <c r="W125">
        <v>0</v>
      </c>
      <c r="X125">
        <v>0</v>
      </c>
      <c r="Z125" s="26">
        <f t="shared" si="8"/>
        <v>1.0967858690108637E-4</v>
      </c>
      <c r="AA125" s="12">
        <f t="shared" si="5"/>
        <v>0.99571156725216736</v>
      </c>
      <c r="AC125">
        <v>100</v>
      </c>
      <c r="AD125">
        <v>0</v>
      </c>
      <c r="AE125">
        <v>0</v>
      </c>
      <c r="AG125" s="25" t="str">
        <f>IF(P125="*","-",IFERROR(VLOOKUP(P125,'All MECSM samples'!$P$4:$AD$454,15,FALSE),"-"))</f>
        <v>-</v>
      </c>
      <c r="AI125" s="9">
        <f t="shared" si="6"/>
        <v>1</v>
      </c>
      <c r="AJ125" s="9">
        <f t="shared" si="7"/>
        <v>1</v>
      </c>
      <c r="AK125" s="11">
        <f>SUM(AI$4:AI125)/SUM(AJ$4:AJ125)</f>
        <v>0.94495412844036697</v>
      </c>
    </row>
    <row r="126" spans="1:37" x14ac:dyDescent="0.35">
      <c r="A126" t="s">
        <v>359</v>
      </c>
      <c r="B126">
        <v>19</v>
      </c>
      <c r="C126" t="s">
        <v>7</v>
      </c>
      <c r="D126" t="s">
        <v>8</v>
      </c>
      <c r="E126" t="s">
        <v>258</v>
      </c>
      <c r="G126" t="s">
        <v>258</v>
      </c>
      <c r="H126" t="s">
        <v>351</v>
      </c>
      <c r="O126">
        <v>0.56000000000000005</v>
      </c>
      <c r="P126" s="36" t="s">
        <v>352</v>
      </c>
      <c r="Q126">
        <v>89.3</v>
      </c>
      <c r="R126">
        <v>3</v>
      </c>
      <c r="S126">
        <v>11</v>
      </c>
      <c r="T126">
        <v>0</v>
      </c>
      <c r="U126">
        <v>0</v>
      </c>
      <c r="V126">
        <v>0</v>
      </c>
      <c r="W126">
        <v>8</v>
      </c>
      <c r="X126">
        <v>0</v>
      </c>
      <c r="Z126" s="26">
        <f t="shared" si="8"/>
        <v>1.0419465755603204E-4</v>
      </c>
      <c r="AA126" s="12">
        <f t="shared" si="5"/>
        <v>0.99581576190972343</v>
      </c>
      <c r="AC126">
        <v>100</v>
      </c>
      <c r="AD126">
        <v>0</v>
      </c>
      <c r="AE126">
        <v>0</v>
      </c>
      <c r="AG126" s="25">
        <f>IF(P126="*","-",IFERROR(VLOOKUP(P126,'All MECSM samples'!$P$4:$AD$454,15,FALSE),"-"))</f>
        <v>18</v>
      </c>
      <c r="AI126" s="9">
        <f t="shared" si="6"/>
        <v>0</v>
      </c>
      <c r="AJ126" s="9">
        <f t="shared" si="7"/>
        <v>1</v>
      </c>
      <c r="AK126" s="11">
        <f>SUM(AI$4:AI126)/SUM(AJ$4:AJ126)</f>
        <v>0.9363636363636364</v>
      </c>
    </row>
    <row r="127" spans="1:37" x14ac:dyDescent="0.35">
      <c r="A127" t="s">
        <v>350</v>
      </c>
      <c r="B127">
        <v>19</v>
      </c>
      <c r="C127" t="s">
        <v>7</v>
      </c>
      <c r="D127" t="s">
        <v>8</v>
      </c>
      <c r="E127" t="s">
        <v>46</v>
      </c>
      <c r="G127" t="s">
        <v>47</v>
      </c>
      <c r="I127" t="s">
        <v>61</v>
      </c>
      <c r="K127" t="s">
        <v>178</v>
      </c>
      <c r="M127" t="s">
        <v>186</v>
      </c>
      <c r="O127">
        <v>0.79</v>
      </c>
      <c r="P127" s="36" t="s">
        <v>187</v>
      </c>
      <c r="Q127">
        <v>92.9</v>
      </c>
      <c r="R127">
        <v>1</v>
      </c>
      <c r="S127">
        <v>0</v>
      </c>
      <c r="T127">
        <v>0</v>
      </c>
      <c r="U127">
        <v>1</v>
      </c>
      <c r="V127">
        <v>0</v>
      </c>
      <c r="W127">
        <v>12</v>
      </c>
      <c r="X127">
        <v>6</v>
      </c>
      <c r="Z127" s="26">
        <f t="shared" si="8"/>
        <v>1.0419465755603204E-4</v>
      </c>
      <c r="AA127" s="12">
        <f t="shared" si="5"/>
        <v>0.9959199565672795</v>
      </c>
      <c r="AC127">
        <v>11</v>
      </c>
      <c r="AD127">
        <v>0</v>
      </c>
      <c r="AE127">
        <v>100</v>
      </c>
      <c r="AG127" s="25">
        <f>IF(P127="*","-",IFERROR(VLOOKUP(P127,'All MECSM samples'!$P$4:$AD$454,15,FALSE),"-"))</f>
        <v>520</v>
      </c>
      <c r="AI127" s="9">
        <f t="shared" si="6"/>
        <v>1</v>
      </c>
      <c r="AJ127" s="9">
        <f t="shared" si="7"/>
        <v>1</v>
      </c>
      <c r="AK127" s="11">
        <f>SUM(AI$4:AI127)/SUM(AJ$4:AJ127)</f>
        <v>0.93693693693693691</v>
      </c>
    </row>
    <row r="128" spans="1:37" x14ac:dyDescent="0.35">
      <c r="A128" t="s">
        <v>346</v>
      </c>
      <c r="B128">
        <v>18</v>
      </c>
      <c r="C128" t="s">
        <v>7</v>
      </c>
      <c r="D128" t="s">
        <v>8</v>
      </c>
      <c r="E128" t="s">
        <v>32</v>
      </c>
      <c r="G128" t="s">
        <v>35</v>
      </c>
      <c r="I128" t="s">
        <v>36</v>
      </c>
      <c r="K128" t="s">
        <v>143</v>
      </c>
      <c r="O128">
        <v>0.67</v>
      </c>
      <c r="P128" s="9" t="s">
        <v>373</v>
      </c>
      <c r="Q128">
        <v>91.3</v>
      </c>
      <c r="R128">
        <v>1</v>
      </c>
      <c r="S128">
        <v>16</v>
      </c>
      <c r="T128">
        <v>0</v>
      </c>
      <c r="U128">
        <v>1</v>
      </c>
      <c r="V128">
        <v>0</v>
      </c>
      <c r="W128">
        <v>1</v>
      </c>
      <c r="X128">
        <v>0</v>
      </c>
      <c r="Z128" s="26">
        <f t="shared" si="8"/>
        <v>9.8710728210977733E-5</v>
      </c>
      <c r="AA128" s="12">
        <f t="shared" si="5"/>
        <v>0.99601866729549049</v>
      </c>
      <c r="AC128">
        <v>77</v>
      </c>
      <c r="AD128">
        <v>4</v>
      </c>
      <c r="AE128">
        <v>32</v>
      </c>
      <c r="AG128" s="25">
        <f>IF(P128="*","-",IFERROR(VLOOKUP(P128,'All MECSM samples'!$P$4:$AD$454,15,FALSE),"-"))</f>
        <v>164</v>
      </c>
      <c r="AI128" s="9">
        <f t="shared" si="6"/>
        <v>0</v>
      </c>
      <c r="AJ128" s="9">
        <f t="shared" si="7"/>
        <v>0</v>
      </c>
      <c r="AK128" s="11">
        <f>SUM(AI$4:AI128)/SUM(AJ$4:AJ128)</f>
        <v>0.93693693693693691</v>
      </c>
    </row>
    <row r="129" spans="1:37" x14ac:dyDescent="0.35">
      <c r="A129" t="s">
        <v>554</v>
      </c>
      <c r="B129">
        <v>18</v>
      </c>
      <c r="C129" t="s">
        <v>7</v>
      </c>
      <c r="D129" t="s">
        <v>8</v>
      </c>
      <c r="E129" t="s">
        <v>258</v>
      </c>
      <c r="G129" t="s">
        <v>258</v>
      </c>
      <c r="O129">
        <v>0.5</v>
      </c>
      <c r="P129" s="9" t="s">
        <v>328</v>
      </c>
      <c r="Q129">
        <v>88.9</v>
      </c>
      <c r="R129">
        <v>1</v>
      </c>
      <c r="S129">
        <v>11</v>
      </c>
      <c r="T129">
        <v>0</v>
      </c>
      <c r="U129">
        <v>4</v>
      </c>
      <c r="V129">
        <v>0</v>
      </c>
      <c r="W129">
        <v>3</v>
      </c>
      <c r="X129">
        <v>0</v>
      </c>
      <c r="Z129" s="26">
        <f t="shared" si="8"/>
        <v>9.8710728210977733E-5</v>
      </c>
      <c r="AA129" s="12">
        <f t="shared" si="5"/>
        <v>0.99611737802370148</v>
      </c>
      <c r="AC129">
        <v>96</v>
      </c>
      <c r="AD129">
        <v>33</v>
      </c>
      <c r="AE129">
        <v>23</v>
      </c>
      <c r="AG129" s="25">
        <f>IF(P129="*","-",IFERROR(VLOOKUP(P129,'All MECSM samples'!$P$4:$AD$454,15,FALSE),"-"))</f>
        <v>3418</v>
      </c>
      <c r="AI129" s="9">
        <f t="shared" si="6"/>
        <v>0</v>
      </c>
      <c r="AJ129" s="9">
        <f t="shared" si="7"/>
        <v>1</v>
      </c>
      <c r="AK129" s="11">
        <f>SUM(AI$4:AI129)/SUM(AJ$4:AJ129)</f>
        <v>0.9285714285714286</v>
      </c>
    </row>
    <row r="130" spans="1:37" x14ac:dyDescent="0.35">
      <c r="A130" t="s">
        <v>443</v>
      </c>
      <c r="B130">
        <v>17</v>
      </c>
      <c r="C130" t="s">
        <v>7</v>
      </c>
      <c r="D130" t="s">
        <v>8</v>
      </c>
      <c r="E130" t="s">
        <v>32</v>
      </c>
      <c r="O130">
        <v>0.99</v>
      </c>
      <c r="P130" s="105" t="s">
        <v>375</v>
      </c>
      <c r="Q130">
        <v>86.2</v>
      </c>
      <c r="R130">
        <v>2</v>
      </c>
      <c r="S130">
        <v>5</v>
      </c>
      <c r="T130">
        <v>0</v>
      </c>
      <c r="U130">
        <v>6</v>
      </c>
      <c r="V130">
        <v>0</v>
      </c>
      <c r="W130">
        <v>6</v>
      </c>
      <c r="X130">
        <v>0</v>
      </c>
      <c r="Z130" s="26">
        <f t="shared" si="8"/>
        <v>9.3226798865923409E-5</v>
      </c>
      <c r="AA130" s="12">
        <f t="shared" si="5"/>
        <v>0.9962106048225674</v>
      </c>
      <c r="AC130">
        <v>21</v>
      </c>
      <c r="AD130">
        <v>0</v>
      </c>
      <c r="AE130">
        <v>4</v>
      </c>
      <c r="AG130" s="25">
        <f>IF(P130="*","-",IFERROR(VLOOKUP(P130,'All MECSM samples'!$P$4:$AD$454,15,FALSE),"-"))</f>
        <v>2087</v>
      </c>
      <c r="AI130" s="9">
        <f t="shared" si="6"/>
        <v>0</v>
      </c>
      <c r="AJ130" s="9">
        <f t="shared" si="7"/>
        <v>0</v>
      </c>
      <c r="AK130" s="11">
        <f>SUM(AI$4:AI130)/SUM(AJ$4:AJ130)</f>
        <v>0.9285714285714286</v>
      </c>
    </row>
    <row r="131" spans="1:37" x14ac:dyDescent="0.35">
      <c r="A131" t="s">
        <v>382</v>
      </c>
      <c r="B131">
        <v>16</v>
      </c>
      <c r="C131" t="s">
        <v>7</v>
      </c>
      <c r="D131" t="s">
        <v>8</v>
      </c>
      <c r="E131" t="s">
        <v>9</v>
      </c>
      <c r="G131" t="s">
        <v>138</v>
      </c>
      <c r="I131" t="s">
        <v>345</v>
      </c>
      <c r="K131" t="s">
        <v>377</v>
      </c>
      <c r="M131" t="s">
        <v>378</v>
      </c>
      <c r="O131">
        <v>1</v>
      </c>
      <c r="P131" s="105" t="s">
        <v>379</v>
      </c>
      <c r="Q131">
        <v>100</v>
      </c>
      <c r="R131">
        <v>1</v>
      </c>
      <c r="S131">
        <v>5</v>
      </c>
      <c r="T131">
        <v>0</v>
      </c>
      <c r="U131">
        <v>7</v>
      </c>
      <c r="V131">
        <v>0</v>
      </c>
      <c r="W131">
        <v>4</v>
      </c>
      <c r="X131">
        <v>0</v>
      </c>
      <c r="Z131" s="26">
        <f t="shared" si="8"/>
        <v>8.7742869520869099E-5</v>
      </c>
      <c r="AA131" s="12">
        <f t="shared" si="5"/>
        <v>0.99629834769208825</v>
      </c>
      <c r="AC131">
        <v>3</v>
      </c>
      <c r="AD131">
        <v>0</v>
      </c>
      <c r="AE131">
        <v>3</v>
      </c>
      <c r="AG131" s="25">
        <f>IF(P131="*","-",IFERROR(VLOOKUP(P131,'All MECSM samples'!$P$4:$AD$454,15,FALSE),"-"))</f>
        <v>3448</v>
      </c>
      <c r="AI131" s="9">
        <f t="shared" si="6"/>
        <v>0</v>
      </c>
      <c r="AJ131" s="9">
        <f t="shared" si="7"/>
        <v>0</v>
      </c>
      <c r="AK131" s="11">
        <f>SUM(AI$4:AI131)/SUM(AJ$4:AJ131)</f>
        <v>0.9285714285714286</v>
      </c>
    </row>
    <row r="132" spans="1:37" x14ac:dyDescent="0.35">
      <c r="A132" t="s">
        <v>420</v>
      </c>
      <c r="B132">
        <v>16</v>
      </c>
      <c r="C132" t="s">
        <v>7</v>
      </c>
      <c r="D132" t="s">
        <v>8</v>
      </c>
      <c r="E132" t="s">
        <v>46</v>
      </c>
      <c r="G132" t="s">
        <v>47</v>
      </c>
      <c r="I132" t="s">
        <v>61</v>
      </c>
      <c r="O132">
        <v>1</v>
      </c>
      <c r="P132" s="105" t="s">
        <v>381</v>
      </c>
      <c r="Q132">
        <v>94.9</v>
      </c>
      <c r="R132">
        <v>1</v>
      </c>
      <c r="S132">
        <v>5</v>
      </c>
      <c r="T132">
        <v>0</v>
      </c>
      <c r="U132">
        <v>6</v>
      </c>
      <c r="V132">
        <v>0</v>
      </c>
      <c r="W132">
        <v>5</v>
      </c>
      <c r="X132">
        <v>0</v>
      </c>
      <c r="Z132" s="26">
        <f t="shared" si="8"/>
        <v>8.7742869520869099E-5</v>
      </c>
      <c r="AA132" s="12">
        <f t="shared" si="5"/>
        <v>0.99638609056160909</v>
      </c>
      <c r="AC132">
        <v>52</v>
      </c>
      <c r="AD132">
        <v>22</v>
      </c>
      <c r="AE132">
        <v>42</v>
      </c>
      <c r="AG132" s="25">
        <f>IF(P132="*","-",IFERROR(VLOOKUP(P132,'All MECSM samples'!$P$4:$AD$454,15,FALSE),"-"))</f>
        <v>932</v>
      </c>
      <c r="AI132" s="9">
        <f t="shared" si="6"/>
        <v>0</v>
      </c>
      <c r="AJ132" s="9">
        <f t="shared" si="7"/>
        <v>0</v>
      </c>
      <c r="AK132" s="11">
        <f>SUM(AI$4:AI132)/SUM(AJ$4:AJ132)</f>
        <v>0.9285714285714286</v>
      </c>
    </row>
    <row r="133" spans="1:37" x14ac:dyDescent="0.35">
      <c r="A133" t="s">
        <v>380</v>
      </c>
      <c r="B133">
        <v>15</v>
      </c>
      <c r="C133" t="s">
        <v>7</v>
      </c>
      <c r="D133" t="s">
        <v>8</v>
      </c>
      <c r="E133" t="s">
        <v>100</v>
      </c>
      <c r="G133" t="s">
        <v>101</v>
      </c>
      <c r="I133" t="s">
        <v>102</v>
      </c>
      <c r="K133" t="s">
        <v>103</v>
      </c>
      <c r="M133" t="s">
        <v>383</v>
      </c>
      <c r="O133">
        <v>0.81</v>
      </c>
      <c r="P133" s="105" t="s">
        <v>384</v>
      </c>
      <c r="Q133">
        <v>95.7</v>
      </c>
      <c r="R133">
        <v>1</v>
      </c>
      <c r="S133">
        <v>6</v>
      </c>
      <c r="T133">
        <v>0</v>
      </c>
      <c r="U133">
        <v>5</v>
      </c>
      <c r="V133">
        <v>0</v>
      </c>
      <c r="W133">
        <v>4</v>
      </c>
      <c r="X133">
        <v>0</v>
      </c>
      <c r="Z133" s="26">
        <f t="shared" si="8"/>
        <v>8.2258940175814775E-5</v>
      </c>
      <c r="AA133" s="12">
        <f t="shared" ref="AA133:AA196" si="9">AA132+Z133</f>
        <v>0.99646834950178487</v>
      </c>
      <c r="AC133">
        <v>12</v>
      </c>
      <c r="AD133">
        <v>0</v>
      </c>
      <c r="AE133">
        <v>0</v>
      </c>
      <c r="AG133" s="25">
        <f>IF(P133="*","-",IFERROR(VLOOKUP(P133,'All MECSM samples'!$P$4:$AD$454,15,FALSE),"-"))</f>
        <v>1015</v>
      </c>
      <c r="AI133" s="9">
        <f t="shared" ref="AI133:AI196" si="10">IF(OR(AND(AC133&gt;=90, T133&gt;0), AND(AD133&gt;=90, V133&gt;0), AND(AE133&gt;=90, X133&gt;0)), 1, 0)</f>
        <v>0</v>
      </c>
      <c r="AJ133" s="9">
        <f t="shared" ref="AJ133:AJ196" si="11">IF(OR(AC133&gt;=90,AD133&gt;=90,AE133&gt;=90),1,0)</f>
        <v>0</v>
      </c>
      <c r="AK133" s="11">
        <f>SUM(AI$4:AI133)/SUM(AJ$4:AJ133)</f>
        <v>0.9285714285714286</v>
      </c>
    </row>
    <row r="134" spans="1:37" x14ac:dyDescent="0.35">
      <c r="A134" t="s">
        <v>421</v>
      </c>
      <c r="B134">
        <v>15</v>
      </c>
      <c r="C134" t="s">
        <v>7</v>
      </c>
      <c r="D134" t="s">
        <v>8</v>
      </c>
      <c r="E134" t="s">
        <v>32</v>
      </c>
      <c r="O134">
        <v>1</v>
      </c>
      <c r="P134" s="105" t="s">
        <v>144</v>
      </c>
      <c r="Q134">
        <v>85.8</v>
      </c>
      <c r="R134">
        <v>1</v>
      </c>
      <c r="S134">
        <v>5</v>
      </c>
      <c r="T134">
        <v>0</v>
      </c>
      <c r="U134">
        <v>6</v>
      </c>
      <c r="V134">
        <v>0</v>
      </c>
      <c r="W134">
        <v>4</v>
      </c>
      <c r="X134">
        <v>0</v>
      </c>
      <c r="Z134" s="26">
        <f t="shared" ref="Z134:Z197" si="12">B134/Z$1</f>
        <v>8.2258940175814775E-5</v>
      </c>
      <c r="AA134" s="12">
        <f t="shared" si="9"/>
        <v>0.99655060844196064</v>
      </c>
      <c r="AC134">
        <v>0</v>
      </c>
      <c r="AD134">
        <v>0</v>
      </c>
      <c r="AE134">
        <v>0</v>
      </c>
      <c r="AG134" s="25">
        <f>IF(P134="*","-",IFERROR(VLOOKUP(P134,'All MECSM samples'!$P$4:$AD$454,15,FALSE),"-"))</f>
        <v>1118</v>
      </c>
      <c r="AI134" s="9">
        <f t="shared" si="10"/>
        <v>0</v>
      </c>
      <c r="AJ134" s="9">
        <f t="shared" si="11"/>
        <v>0</v>
      </c>
      <c r="AK134" s="11">
        <f>SUM(AI$4:AI134)/SUM(AJ$4:AJ134)</f>
        <v>0.9285714285714286</v>
      </c>
    </row>
    <row r="135" spans="1:37" x14ac:dyDescent="0.35">
      <c r="A135" t="s">
        <v>479</v>
      </c>
      <c r="B135">
        <v>14</v>
      </c>
      <c r="C135" t="s">
        <v>7</v>
      </c>
      <c r="D135" t="s">
        <v>8</v>
      </c>
      <c r="E135" t="s">
        <v>394</v>
      </c>
      <c r="G135" t="s">
        <v>395</v>
      </c>
      <c r="I135" t="s">
        <v>396</v>
      </c>
      <c r="K135" t="s">
        <v>397</v>
      </c>
      <c r="M135" t="s">
        <v>398</v>
      </c>
      <c r="O135">
        <v>0.99</v>
      </c>
      <c r="P135" s="9" t="s">
        <v>399</v>
      </c>
      <c r="Q135">
        <v>94.8</v>
      </c>
      <c r="R135">
        <v>1</v>
      </c>
      <c r="S135">
        <v>6</v>
      </c>
      <c r="T135">
        <v>0</v>
      </c>
      <c r="U135">
        <v>3</v>
      </c>
      <c r="V135">
        <v>0</v>
      </c>
      <c r="W135">
        <v>5</v>
      </c>
      <c r="X135">
        <v>0</v>
      </c>
      <c r="Z135" s="26">
        <f t="shared" si="12"/>
        <v>7.6775010830760452E-5</v>
      </c>
      <c r="AA135" s="12">
        <f t="shared" si="9"/>
        <v>0.99662738345279145</v>
      </c>
      <c r="AC135">
        <v>0</v>
      </c>
      <c r="AD135">
        <v>0</v>
      </c>
      <c r="AE135">
        <v>0</v>
      </c>
      <c r="AG135" s="25">
        <f>IF(P135="*","-",IFERROR(VLOOKUP(P135,'All MECSM samples'!$P$4:$AD$454,15,FALSE),"-"))</f>
        <v>2033</v>
      </c>
      <c r="AI135" s="9">
        <f t="shared" si="10"/>
        <v>0</v>
      </c>
      <c r="AJ135" s="9">
        <f t="shared" si="11"/>
        <v>0</v>
      </c>
      <c r="AK135" s="11">
        <f>SUM(AI$4:AI135)/SUM(AJ$4:AJ135)</f>
        <v>0.9285714285714286</v>
      </c>
    </row>
    <row r="136" spans="1:37" x14ac:dyDescent="0.35">
      <c r="A136" t="s">
        <v>355</v>
      </c>
      <c r="B136">
        <v>14</v>
      </c>
      <c r="C136" t="s">
        <v>7</v>
      </c>
      <c r="D136" t="s">
        <v>8</v>
      </c>
      <c r="E136" t="s">
        <v>387</v>
      </c>
      <c r="G136" t="s">
        <v>388</v>
      </c>
      <c r="I136" t="s">
        <v>389</v>
      </c>
      <c r="K136" t="s">
        <v>390</v>
      </c>
      <c r="M136" t="s">
        <v>391</v>
      </c>
      <c r="O136">
        <v>1</v>
      </c>
      <c r="P136" s="9" t="s">
        <v>392</v>
      </c>
      <c r="Q136">
        <v>100</v>
      </c>
      <c r="R136">
        <v>1</v>
      </c>
      <c r="S136">
        <v>14</v>
      </c>
      <c r="T136">
        <v>0</v>
      </c>
      <c r="U136">
        <v>0</v>
      </c>
      <c r="V136">
        <v>0</v>
      </c>
      <c r="W136">
        <v>0</v>
      </c>
      <c r="X136">
        <v>0</v>
      </c>
      <c r="Z136" s="26">
        <f t="shared" si="12"/>
        <v>7.6775010830760452E-5</v>
      </c>
      <c r="AA136" s="12">
        <f t="shared" si="9"/>
        <v>0.99670415846362226</v>
      </c>
      <c r="AC136">
        <v>0</v>
      </c>
      <c r="AD136">
        <v>1</v>
      </c>
      <c r="AE136">
        <v>3</v>
      </c>
      <c r="AG136" s="25">
        <f>IF(P136="*","-",IFERROR(VLOOKUP(P136,'All MECSM samples'!$P$4:$AD$454,15,FALSE),"-"))</f>
        <v>17</v>
      </c>
      <c r="AI136" s="9">
        <f t="shared" si="10"/>
        <v>0</v>
      </c>
      <c r="AJ136" s="9">
        <f t="shared" si="11"/>
        <v>0</v>
      </c>
      <c r="AK136" s="11">
        <f>SUM(AI$4:AI136)/SUM(AJ$4:AJ136)</f>
        <v>0.9285714285714286</v>
      </c>
    </row>
    <row r="137" spans="1:37" x14ac:dyDescent="0.35">
      <c r="A137" t="s">
        <v>363</v>
      </c>
      <c r="B137">
        <v>14</v>
      </c>
      <c r="C137" t="s">
        <v>7</v>
      </c>
      <c r="D137" t="s">
        <v>8</v>
      </c>
      <c r="E137" t="s">
        <v>32</v>
      </c>
      <c r="G137" t="s">
        <v>35</v>
      </c>
      <c r="I137" t="s">
        <v>36</v>
      </c>
      <c r="K137" t="s">
        <v>37</v>
      </c>
      <c r="O137">
        <v>0.97</v>
      </c>
      <c r="P137" s="105" t="s">
        <v>401</v>
      </c>
      <c r="Q137">
        <v>93.7</v>
      </c>
      <c r="R137">
        <v>1</v>
      </c>
      <c r="S137">
        <v>5</v>
      </c>
      <c r="T137">
        <v>0</v>
      </c>
      <c r="U137">
        <v>6</v>
      </c>
      <c r="V137">
        <v>0</v>
      </c>
      <c r="W137">
        <v>3</v>
      </c>
      <c r="X137">
        <v>0</v>
      </c>
      <c r="Z137" s="26">
        <f t="shared" si="12"/>
        <v>7.6775010830760452E-5</v>
      </c>
      <c r="AA137" s="12">
        <f t="shared" si="9"/>
        <v>0.99678093347445307</v>
      </c>
      <c r="AC137">
        <v>2</v>
      </c>
      <c r="AD137">
        <v>0</v>
      </c>
      <c r="AE137">
        <v>0</v>
      </c>
      <c r="AG137" s="25">
        <f>IF(P137="*","-",IFERROR(VLOOKUP(P137,'All MECSM samples'!$P$4:$AD$454,15,FALSE),"-"))</f>
        <v>6</v>
      </c>
      <c r="AI137" s="9">
        <f t="shared" si="10"/>
        <v>0</v>
      </c>
      <c r="AJ137" s="9">
        <f t="shared" si="11"/>
        <v>0</v>
      </c>
      <c r="AK137" s="11">
        <f>SUM(AI$4:AI137)/SUM(AJ$4:AJ137)</f>
        <v>0.9285714285714286</v>
      </c>
    </row>
    <row r="138" spans="1:37" x14ac:dyDescent="0.35">
      <c r="A138" t="s">
        <v>415</v>
      </c>
      <c r="B138">
        <v>13</v>
      </c>
      <c r="C138" t="s">
        <v>7</v>
      </c>
      <c r="D138" t="s">
        <v>8</v>
      </c>
      <c r="E138" t="s">
        <v>46</v>
      </c>
      <c r="G138" t="s">
        <v>47</v>
      </c>
      <c r="I138" t="s">
        <v>61</v>
      </c>
      <c r="K138" t="s">
        <v>403</v>
      </c>
      <c r="O138">
        <v>0.5</v>
      </c>
      <c r="P138" s="36" t="s">
        <v>321</v>
      </c>
      <c r="Q138">
        <v>90.1</v>
      </c>
      <c r="R138">
        <v>1</v>
      </c>
      <c r="S138">
        <v>1</v>
      </c>
      <c r="T138">
        <v>0</v>
      </c>
      <c r="U138">
        <v>3</v>
      </c>
      <c r="V138">
        <v>0</v>
      </c>
      <c r="W138">
        <v>9</v>
      </c>
      <c r="X138">
        <v>0</v>
      </c>
      <c r="Z138" s="26">
        <f t="shared" si="12"/>
        <v>7.1291081485706141E-5</v>
      </c>
      <c r="AA138" s="12">
        <f t="shared" si="9"/>
        <v>0.9968522245559388</v>
      </c>
      <c r="AC138">
        <v>44</v>
      </c>
      <c r="AD138">
        <v>43</v>
      </c>
      <c r="AE138">
        <v>100</v>
      </c>
      <c r="AG138" s="25">
        <f>IF(P138="*","-",IFERROR(VLOOKUP(P138,'All MECSM samples'!$P$4:$AD$454,15,FALSE),"-"))</f>
        <v>276</v>
      </c>
      <c r="AI138" s="9">
        <f t="shared" si="10"/>
        <v>0</v>
      </c>
      <c r="AJ138" s="9">
        <f t="shared" si="11"/>
        <v>1</v>
      </c>
      <c r="AK138" s="11">
        <f>SUM(AI$4:AI138)/SUM(AJ$4:AJ138)</f>
        <v>0.92035398230088494</v>
      </c>
    </row>
    <row r="139" spans="1:37" x14ac:dyDescent="0.35">
      <c r="A139" t="s">
        <v>402</v>
      </c>
      <c r="B139">
        <v>13</v>
      </c>
      <c r="C139" t="s">
        <v>7</v>
      </c>
      <c r="D139" t="s">
        <v>8</v>
      </c>
      <c r="E139" t="s">
        <v>46</v>
      </c>
      <c r="G139" t="s">
        <v>47</v>
      </c>
      <c r="I139" t="s">
        <v>61</v>
      </c>
      <c r="K139" t="s">
        <v>190</v>
      </c>
      <c r="M139" t="s">
        <v>273</v>
      </c>
      <c r="O139">
        <v>0.72</v>
      </c>
      <c r="P139" s="9" t="s">
        <v>628</v>
      </c>
      <c r="Q139">
        <v>94.9</v>
      </c>
      <c r="R139">
        <v>1</v>
      </c>
      <c r="S139">
        <v>1</v>
      </c>
      <c r="T139">
        <v>0</v>
      </c>
      <c r="U139">
        <v>0</v>
      </c>
      <c r="V139">
        <v>0</v>
      </c>
      <c r="W139">
        <v>11</v>
      </c>
      <c r="X139">
        <v>1</v>
      </c>
      <c r="Z139" s="26">
        <f t="shared" si="12"/>
        <v>7.1291081485706141E-5</v>
      </c>
      <c r="AA139" s="12">
        <f t="shared" si="9"/>
        <v>0.99692351563742454</v>
      </c>
      <c r="AC139">
        <v>9</v>
      </c>
      <c r="AD139">
        <v>8</v>
      </c>
      <c r="AE139">
        <v>15</v>
      </c>
      <c r="AG139" s="25">
        <f>IF(P139="*","-",IFERROR(VLOOKUP(P139,'All MECSM samples'!$P$4:$AD$454,15,FALSE),"-"))</f>
        <v>469</v>
      </c>
      <c r="AI139" s="9">
        <f t="shared" si="10"/>
        <v>0</v>
      </c>
      <c r="AJ139" s="9">
        <f t="shared" si="11"/>
        <v>0</v>
      </c>
      <c r="AK139" s="11">
        <f>SUM(AI$4:AI139)/SUM(AJ$4:AJ139)</f>
        <v>0.92035398230088494</v>
      </c>
    </row>
    <row r="140" spans="1:37" x14ac:dyDescent="0.35">
      <c r="A140" t="s">
        <v>393</v>
      </c>
      <c r="B140">
        <v>13</v>
      </c>
      <c r="C140" t="s">
        <v>7</v>
      </c>
      <c r="D140" t="s">
        <v>8</v>
      </c>
      <c r="E140" t="s">
        <v>165</v>
      </c>
      <c r="G140" t="s">
        <v>166</v>
      </c>
      <c r="I140" t="s">
        <v>167</v>
      </c>
      <c r="K140" t="s">
        <v>168</v>
      </c>
      <c r="M140" t="s">
        <v>405</v>
      </c>
      <c r="O140">
        <v>0.88</v>
      </c>
      <c r="P140" s="9" t="s">
        <v>406</v>
      </c>
      <c r="Q140">
        <v>91.7</v>
      </c>
      <c r="R140">
        <v>1</v>
      </c>
      <c r="S140">
        <v>1</v>
      </c>
      <c r="T140">
        <v>0</v>
      </c>
      <c r="U140">
        <v>7</v>
      </c>
      <c r="V140">
        <v>0</v>
      </c>
      <c r="W140">
        <v>5</v>
      </c>
      <c r="X140">
        <v>0</v>
      </c>
      <c r="Z140" s="26">
        <f t="shared" si="12"/>
        <v>7.1291081485706141E-5</v>
      </c>
      <c r="AA140" s="12">
        <f t="shared" si="9"/>
        <v>0.99699480671891028</v>
      </c>
      <c r="AC140">
        <v>5</v>
      </c>
      <c r="AD140">
        <v>21</v>
      </c>
      <c r="AE140">
        <v>91</v>
      </c>
      <c r="AG140" s="25">
        <f>IF(P140="*","-",IFERROR(VLOOKUP(P140,'All MECSM samples'!$P$4:$AD$454,15,FALSE),"-"))</f>
        <v>774</v>
      </c>
      <c r="AI140" s="9">
        <f t="shared" si="10"/>
        <v>0</v>
      </c>
      <c r="AJ140" s="9">
        <f t="shared" si="11"/>
        <v>1</v>
      </c>
      <c r="AK140" s="11">
        <f>SUM(AI$4:AI140)/SUM(AJ$4:AJ140)</f>
        <v>0.91228070175438591</v>
      </c>
    </row>
    <row r="141" spans="1:37" x14ac:dyDescent="0.35">
      <c r="A141" t="s">
        <v>513</v>
      </c>
      <c r="B141">
        <v>12</v>
      </c>
      <c r="C141" t="s">
        <v>7</v>
      </c>
      <c r="D141" t="s">
        <v>24</v>
      </c>
      <c r="E141" t="s">
        <v>25</v>
      </c>
      <c r="G141" t="s">
        <v>26</v>
      </c>
      <c r="I141" t="s">
        <v>27</v>
      </c>
      <c r="K141" t="s">
        <v>28</v>
      </c>
      <c r="M141" t="s">
        <v>29</v>
      </c>
      <c r="O141">
        <v>1</v>
      </c>
      <c r="P141" s="9" t="s">
        <v>408</v>
      </c>
      <c r="Q141">
        <v>99.6</v>
      </c>
      <c r="R141">
        <v>1</v>
      </c>
      <c r="S141">
        <v>2</v>
      </c>
      <c r="T141">
        <v>0</v>
      </c>
      <c r="U141">
        <v>8</v>
      </c>
      <c r="V141">
        <v>0</v>
      </c>
      <c r="W141">
        <v>2</v>
      </c>
      <c r="X141">
        <v>0</v>
      </c>
      <c r="Z141" s="26">
        <f t="shared" si="12"/>
        <v>6.5807152140651818E-5</v>
      </c>
      <c r="AA141" s="12">
        <f t="shared" si="9"/>
        <v>0.99706061387105094</v>
      </c>
      <c r="AC141">
        <v>0</v>
      </c>
      <c r="AD141">
        <v>0</v>
      </c>
      <c r="AE141">
        <v>32</v>
      </c>
      <c r="AG141" s="25" t="str">
        <f>IF(P141="*","-",IFERROR(VLOOKUP(P141,'All MECSM samples'!$P$4:$AD$454,15,FALSE),"-"))</f>
        <v>-</v>
      </c>
      <c r="AI141" s="9">
        <f t="shared" si="10"/>
        <v>0</v>
      </c>
      <c r="AJ141" s="9">
        <f t="shared" si="11"/>
        <v>0</v>
      </c>
      <c r="AK141" s="11">
        <f>SUM(AI$4:AI141)/SUM(AJ$4:AJ141)</f>
        <v>0.91228070175438591</v>
      </c>
    </row>
    <row r="142" spans="1:37" x14ac:dyDescent="0.35">
      <c r="A142" t="s">
        <v>369</v>
      </c>
      <c r="B142">
        <v>12</v>
      </c>
      <c r="C142" t="s">
        <v>7</v>
      </c>
      <c r="D142" t="s">
        <v>8</v>
      </c>
      <c r="E142" t="s">
        <v>46</v>
      </c>
      <c r="O142">
        <v>0.84</v>
      </c>
      <c r="P142" s="9" t="s">
        <v>335</v>
      </c>
      <c r="Q142">
        <v>88.5</v>
      </c>
      <c r="R142">
        <v>1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12</v>
      </c>
      <c r="Z142" s="26">
        <f t="shared" si="12"/>
        <v>6.5807152140651818E-5</v>
      </c>
      <c r="AA142" s="12">
        <f t="shared" si="9"/>
        <v>0.9971264210231916</v>
      </c>
      <c r="AC142">
        <v>0</v>
      </c>
      <c r="AD142">
        <v>0</v>
      </c>
      <c r="AE142">
        <v>0</v>
      </c>
      <c r="AG142" s="25">
        <f>IF(P142="*","-",IFERROR(VLOOKUP(P142,'All MECSM samples'!$P$4:$AD$454,15,FALSE),"-"))</f>
        <v>23</v>
      </c>
      <c r="AI142" s="9">
        <f t="shared" si="10"/>
        <v>0</v>
      </c>
      <c r="AJ142" s="9">
        <f t="shared" si="11"/>
        <v>0</v>
      </c>
      <c r="AK142" s="11">
        <f>SUM(AI$4:AI142)/SUM(AJ$4:AJ142)</f>
        <v>0.91228070175438591</v>
      </c>
    </row>
    <row r="143" spans="1:37" x14ac:dyDescent="0.35">
      <c r="A143" t="s">
        <v>372</v>
      </c>
      <c r="B143">
        <v>12</v>
      </c>
      <c r="C143" t="s">
        <v>7</v>
      </c>
      <c r="D143" t="s">
        <v>8</v>
      </c>
      <c r="E143" t="s">
        <v>46</v>
      </c>
      <c r="G143" t="s">
        <v>364</v>
      </c>
      <c r="I143" t="s">
        <v>365</v>
      </c>
      <c r="K143" t="s">
        <v>366</v>
      </c>
      <c r="M143" t="s">
        <v>367</v>
      </c>
      <c r="O143">
        <v>0.97</v>
      </c>
      <c r="P143" s="36" t="s">
        <v>414</v>
      </c>
      <c r="Q143">
        <v>100</v>
      </c>
      <c r="R143">
        <v>4</v>
      </c>
      <c r="S143">
        <v>0</v>
      </c>
      <c r="T143">
        <v>0</v>
      </c>
      <c r="U143">
        <v>7</v>
      </c>
      <c r="V143">
        <v>0</v>
      </c>
      <c r="W143">
        <v>5</v>
      </c>
      <c r="X143">
        <v>0</v>
      </c>
      <c r="Z143" s="26">
        <f t="shared" si="12"/>
        <v>6.5807152140651818E-5</v>
      </c>
      <c r="AA143" s="12">
        <f t="shared" si="9"/>
        <v>0.99719222817533226</v>
      </c>
      <c r="AC143">
        <v>0</v>
      </c>
      <c r="AD143">
        <v>16</v>
      </c>
      <c r="AE143">
        <v>100</v>
      </c>
      <c r="AG143" s="25">
        <f>IF(P143="*","-",IFERROR(VLOOKUP(P143,'All MECSM samples'!$P$4:$AD$454,15,FALSE),"-"))</f>
        <v>30</v>
      </c>
      <c r="AI143" s="9">
        <f t="shared" si="10"/>
        <v>0</v>
      </c>
      <c r="AJ143" s="9">
        <f t="shared" si="11"/>
        <v>1</v>
      </c>
      <c r="AK143" s="11">
        <f>SUM(AI$4:AI143)/SUM(AJ$4:AJ143)</f>
        <v>0.90434782608695652</v>
      </c>
    </row>
    <row r="144" spans="1:37" x14ac:dyDescent="0.35">
      <c r="A144" t="s">
        <v>422</v>
      </c>
      <c r="B144">
        <v>12</v>
      </c>
      <c r="C144" t="s">
        <v>7</v>
      </c>
      <c r="D144" t="s">
        <v>8</v>
      </c>
      <c r="E144" t="s">
        <v>46</v>
      </c>
      <c r="G144" t="s">
        <v>364</v>
      </c>
      <c r="I144" t="s">
        <v>416</v>
      </c>
      <c r="K144" t="s">
        <v>417</v>
      </c>
      <c r="M144" t="s">
        <v>418</v>
      </c>
      <c r="O144">
        <v>1</v>
      </c>
      <c r="P144" s="9" t="s">
        <v>419</v>
      </c>
      <c r="Q144">
        <v>99.2</v>
      </c>
      <c r="R144">
        <v>1</v>
      </c>
      <c r="S144">
        <v>1</v>
      </c>
      <c r="T144">
        <v>0</v>
      </c>
      <c r="U144">
        <v>1</v>
      </c>
      <c r="V144">
        <v>0</v>
      </c>
      <c r="W144">
        <v>10</v>
      </c>
      <c r="X144">
        <v>0</v>
      </c>
      <c r="Z144" s="26">
        <f t="shared" si="12"/>
        <v>6.5807152140651818E-5</v>
      </c>
      <c r="AA144" s="12">
        <f t="shared" si="9"/>
        <v>0.99725803532747292</v>
      </c>
      <c r="AC144">
        <v>85</v>
      </c>
      <c r="AD144">
        <v>5</v>
      </c>
      <c r="AE144">
        <v>10</v>
      </c>
      <c r="AG144" s="25">
        <f>IF(P144="*","-",IFERROR(VLOOKUP(P144,'All MECSM samples'!$P$4:$AD$454,15,FALSE),"-"))</f>
        <v>22</v>
      </c>
      <c r="AI144" s="9">
        <f t="shared" si="10"/>
        <v>0</v>
      </c>
      <c r="AJ144" s="9">
        <f t="shared" si="11"/>
        <v>0</v>
      </c>
      <c r="AK144" s="11">
        <f>SUM(AI$4:AI144)/SUM(AJ$4:AJ144)</f>
        <v>0.90434782608695652</v>
      </c>
    </row>
    <row r="145" spans="1:37" x14ac:dyDescent="0.35">
      <c r="A145" t="s">
        <v>477</v>
      </c>
      <c r="B145">
        <v>12</v>
      </c>
      <c r="C145" t="s">
        <v>7</v>
      </c>
      <c r="D145" t="s">
        <v>8</v>
      </c>
      <c r="E145" t="s">
        <v>9</v>
      </c>
      <c r="G145" t="s">
        <v>138</v>
      </c>
      <c r="I145" t="s">
        <v>410</v>
      </c>
      <c r="K145" t="s">
        <v>411</v>
      </c>
      <c r="O145">
        <v>1</v>
      </c>
      <c r="P145" s="105" t="s">
        <v>412</v>
      </c>
      <c r="Q145">
        <v>99.2</v>
      </c>
      <c r="R145">
        <v>7</v>
      </c>
      <c r="S145">
        <v>5</v>
      </c>
      <c r="T145">
        <v>0</v>
      </c>
      <c r="U145">
        <v>4</v>
      </c>
      <c r="V145">
        <v>0</v>
      </c>
      <c r="W145">
        <v>3</v>
      </c>
      <c r="X145">
        <v>0</v>
      </c>
      <c r="Z145" s="26">
        <f t="shared" si="12"/>
        <v>6.5807152140651818E-5</v>
      </c>
      <c r="AA145" s="12">
        <f t="shared" si="9"/>
        <v>0.99732384247961359</v>
      </c>
      <c r="AC145">
        <v>22</v>
      </c>
      <c r="AD145">
        <v>49</v>
      </c>
      <c r="AE145">
        <v>97</v>
      </c>
      <c r="AG145" s="25">
        <f>IF(P145="*","-",IFERROR(VLOOKUP(P145,'All MECSM samples'!$P$4:$AD$454,15,FALSE),"-"))</f>
        <v>1524</v>
      </c>
      <c r="AI145" s="9">
        <f t="shared" si="10"/>
        <v>0</v>
      </c>
      <c r="AJ145" s="9">
        <f t="shared" si="11"/>
        <v>1</v>
      </c>
      <c r="AK145" s="11">
        <f>SUM(AI$4:AI145)/SUM(AJ$4:AJ145)</f>
        <v>0.89655172413793105</v>
      </c>
    </row>
    <row r="146" spans="1:37" x14ac:dyDescent="0.35">
      <c r="A146" t="s">
        <v>386</v>
      </c>
      <c r="B146">
        <v>12</v>
      </c>
      <c r="C146" t="s">
        <v>7</v>
      </c>
      <c r="D146" t="s">
        <v>8</v>
      </c>
      <c r="E146" t="s">
        <v>32</v>
      </c>
      <c r="G146" t="s">
        <v>35</v>
      </c>
      <c r="I146" t="s">
        <v>36</v>
      </c>
      <c r="K146" t="s">
        <v>37</v>
      </c>
      <c r="O146">
        <v>0.85</v>
      </c>
      <c r="P146" s="105" t="s">
        <v>401</v>
      </c>
      <c r="Q146">
        <v>89.7</v>
      </c>
      <c r="R146">
        <v>1</v>
      </c>
      <c r="S146">
        <v>5</v>
      </c>
      <c r="T146">
        <v>0</v>
      </c>
      <c r="U146">
        <v>4</v>
      </c>
      <c r="V146">
        <v>0</v>
      </c>
      <c r="W146">
        <v>3</v>
      </c>
      <c r="X146">
        <v>0</v>
      </c>
      <c r="Z146" s="26">
        <f t="shared" si="12"/>
        <v>6.5807152140651818E-5</v>
      </c>
      <c r="AA146" s="12">
        <f t="shared" si="9"/>
        <v>0.99738964963175425</v>
      </c>
      <c r="AC146">
        <v>0</v>
      </c>
      <c r="AD146">
        <v>0</v>
      </c>
      <c r="AE146">
        <v>0</v>
      </c>
      <c r="AG146" s="25">
        <f>IF(P146="*","-",IFERROR(VLOOKUP(P146,'All MECSM samples'!$P$4:$AD$454,15,FALSE),"-"))</f>
        <v>6</v>
      </c>
      <c r="AI146" s="9">
        <f t="shared" si="10"/>
        <v>0</v>
      </c>
      <c r="AJ146" s="9">
        <f t="shared" si="11"/>
        <v>0</v>
      </c>
      <c r="AK146" s="11">
        <f>SUM(AI$4:AI146)/SUM(AJ$4:AJ146)</f>
        <v>0.89655172413793105</v>
      </c>
    </row>
    <row r="147" spans="1:37" x14ac:dyDescent="0.35">
      <c r="A147" t="s">
        <v>424</v>
      </c>
      <c r="B147">
        <v>11</v>
      </c>
      <c r="C147" t="s">
        <v>7</v>
      </c>
      <c r="D147" t="s">
        <v>8</v>
      </c>
      <c r="O147">
        <v>1</v>
      </c>
      <c r="P147" s="36" t="s">
        <v>423</v>
      </c>
      <c r="Q147">
        <v>89.7</v>
      </c>
      <c r="R147">
        <v>3</v>
      </c>
      <c r="S147">
        <v>0</v>
      </c>
      <c r="T147">
        <v>0</v>
      </c>
      <c r="U147">
        <v>0</v>
      </c>
      <c r="V147">
        <v>0</v>
      </c>
      <c r="W147">
        <v>11</v>
      </c>
      <c r="X147">
        <v>0</v>
      </c>
      <c r="Z147" s="26">
        <f t="shared" si="12"/>
        <v>6.0323222795597501E-5</v>
      </c>
      <c r="AA147" s="12">
        <f t="shared" si="9"/>
        <v>0.99744997285454984</v>
      </c>
      <c r="AC147">
        <v>16</v>
      </c>
      <c r="AD147">
        <v>8</v>
      </c>
      <c r="AE147">
        <v>100</v>
      </c>
      <c r="AG147" s="25">
        <f>IF(P147="*","-",IFERROR(VLOOKUP(P147,'All MECSM samples'!$P$4:$AD$454,15,FALSE),"-"))</f>
        <v>16</v>
      </c>
      <c r="AI147" s="9">
        <f t="shared" si="10"/>
        <v>0</v>
      </c>
      <c r="AJ147" s="9">
        <f t="shared" si="11"/>
        <v>1</v>
      </c>
      <c r="AK147" s="11">
        <f>SUM(AI$4:AI147)/SUM(AJ$4:AJ147)</f>
        <v>0.88888888888888884</v>
      </c>
    </row>
    <row r="148" spans="1:37" x14ac:dyDescent="0.35">
      <c r="A148" t="s">
        <v>376</v>
      </c>
      <c r="B148">
        <v>11</v>
      </c>
      <c r="C148" t="s">
        <v>7</v>
      </c>
      <c r="D148" t="s">
        <v>8</v>
      </c>
      <c r="E148" t="s">
        <v>9</v>
      </c>
      <c r="G148" t="s">
        <v>10</v>
      </c>
      <c r="I148" t="s">
        <v>131</v>
      </c>
      <c r="K148" t="s">
        <v>150</v>
      </c>
      <c r="O148">
        <v>0.97</v>
      </c>
      <c r="P148" s="36" t="s">
        <v>152</v>
      </c>
      <c r="Q148">
        <v>94.5</v>
      </c>
      <c r="R148">
        <v>1</v>
      </c>
      <c r="S148">
        <v>9</v>
      </c>
      <c r="T148">
        <v>0</v>
      </c>
      <c r="U148">
        <v>1</v>
      </c>
      <c r="V148">
        <v>0</v>
      </c>
      <c r="W148">
        <v>1</v>
      </c>
      <c r="X148">
        <v>0</v>
      </c>
      <c r="Z148" s="26">
        <f t="shared" si="12"/>
        <v>6.0323222795597501E-5</v>
      </c>
      <c r="AA148" s="12">
        <f t="shared" si="9"/>
        <v>0.99751029607734543</v>
      </c>
      <c r="AC148">
        <v>99</v>
      </c>
      <c r="AD148">
        <v>13</v>
      </c>
      <c r="AE148">
        <v>100</v>
      </c>
      <c r="AG148" s="25">
        <f>IF(P148="*","-",IFERROR(VLOOKUP(P148,'All MECSM samples'!$P$4:$AD$454,15,FALSE),"-"))</f>
        <v>577</v>
      </c>
      <c r="AI148" s="9">
        <f t="shared" si="10"/>
        <v>0</v>
      </c>
      <c r="AJ148" s="9">
        <f t="shared" si="11"/>
        <v>1</v>
      </c>
      <c r="AK148" s="11">
        <f>SUM(AI$4:AI148)/SUM(AJ$4:AJ148)</f>
        <v>0.88135593220338981</v>
      </c>
    </row>
    <row r="149" spans="1:37" x14ac:dyDescent="0.35">
      <c r="A149" t="s">
        <v>322</v>
      </c>
      <c r="B149">
        <v>11</v>
      </c>
      <c r="C149" t="s">
        <v>7</v>
      </c>
      <c r="D149" t="s">
        <v>8</v>
      </c>
      <c r="E149" t="s">
        <v>32</v>
      </c>
      <c r="G149" t="s">
        <v>35</v>
      </c>
      <c r="I149" t="s">
        <v>36</v>
      </c>
      <c r="K149" t="s">
        <v>37</v>
      </c>
      <c r="M149" t="s">
        <v>425</v>
      </c>
      <c r="O149">
        <v>0.99</v>
      </c>
      <c r="P149" s="9" t="s">
        <v>426</v>
      </c>
      <c r="Q149">
        <v>93.3</v>
      </c>
      <c r="R149">
        <v>1</v>
      </c>
      <c r="S149">
        <v>0</v>
      </c>
      <c r="T149">
        <v>0</v>
      </c>
      <c r="U149">
        <v>9</v>
      </c>
      <c r="V149">
        <v>0</v>
      </c>
      <c r="W149">
        <v>2</v>
      </c>
      <c r="X149">
        <v>0</v>
      </c>
      <c r="Z149" s="26">
        <f t="shared" si="12"/>
        <v>6.0323222795597501E-5</v>
      </c>
      <c r="AA149" s="12">
        <f t="shared" si="9"/>
        <v>0.99757061930014101</v>
      </c>
      <c r="AC149">
        <v>2</v>
      </c>
      <c r="AD149">
        <v>10</v>
      </c>
      <c r="AE149">
        <v>94</v>
      </c>
      <c r="AG149" s="25">
        <f>IF(P149="*","-",IFERROR(VLOOKUP(P149,'All MECSM samples'!$P$4:$AD$454,15,FALSE),"-"))</f>
        <v>9</v>
      </c>
      <c r="AI149" s="9">
        <f t="shared" si="10"/>
        <v>0</v>
      </c>
      <c r="AJ149" s="9">
        <f t="shared" si="11"/>
        <v>1</v>
      </c>
      <c r="AK149" s="11">
        <f>SUM(AI$4:AI149)/SUM(AJ$4:AJ149)</f>
        <v>0.87394957983193278</v>
      </c>
    </row>
    <row r="150" spans="1:37" x14ac:dyDescent="0.35">
      <c r="A150" t="s">
        <v>413</v>
      </c>
      <c r="B150">
        <v>10</v>
      </c>
      <c r="C150" t="s">
        <v>7</v>
      </c>
      <c r="D150" t="s">
        <v>8</v>
      </c>
      <c r="E150" t="s">
        <v>32</v>
      </c>
      <c r="G150" t="s">
        <v>35</v>
      </c>
      <c r="I150" t="s">
        <v>36</v>
      </c>
      <c r="O150">
        <v>0.72</v>
      </c>
      <c r="P150" s="9" t="s">
        <v>92</v>
      </c>
      <c r="Q150">
        <v>86.2</v>
      </c>
      <c r="R150">
        <v>1</v>
      </c>
      <c r="S150">
        <v>5</v>
      </c>
      <c r="T150">
        <v>0</v>
      </c>
      <c r="U150">
        <v>0</v>
      </c>
      <c r="V150">
        <v>0</v>
      </c>
      <c r="W150">
        <v>5</v>
      </c>
      <c r="X150">
        <v>0</v>
      </c>
      <c r="Z150" s="26">
        <f t="shared" si="12"/>
        <v>5.4839293450543184E-5</v>
      </c>
      <c r="AA150" s="12">
        <f t="shared" si="9"/>
        <v>0.99762545859359153</v>
      </c>
      <c r="AC150">
        <v>48</v>
      </c>
      <c r="AD150">
        <v>1</v>
      </c>
      <c r="AE150">
        <v>2</v>
      </c>
      <c r="AG150" s="25">
        <f>IF(P150="*","-",IFERROR(VLOOKUP(P150,'All MECSM samples'!$P$4:$AD$454,15,FALSE),"-"))</f>
        <v>6717</v>
      </c>
      <c r="AI150" s="9">
        <f t="shared" si="10"/>
        <v>0</v>
      </c>
      <c r="AJ150" s="9">
        <f t="shared" si="11"/>
        <v>0</v>
      </c>
      <c r="AK150" s="11">
        <f>SUM(AI$4:AI150)/SUM(AJ$4:AJ150)</f>
        <v>0.87394957983193278</v>
      </c>
    </row>
    <row r="151" spans="1:37" x14ac:dyDescent="0.35">
      <c r="A151" t="s">
        <v>361</v>
      </c>
      <c r="B151">
        <v>10</v>
      </c>
      <c r="C151" t="s">
        <v>7</v>
      </c>
      <c r="D151" t="s">
        <v>8</v>
      </c>
      <c r="E151" t="s">
        <v>120</v>
      </c>
      <c r="G151" t="s">
        <v>121</v>
      </c>
      <c r="I151" t="s">
        <v>122</v>
      </c>
      <c r="K151" t="s">
        <v>123</v>
      </c>
      <c r="O151">
        <v>0.65</v>
      </c>
      <c r="P151" s="9" t="s">
        <v>220</v>
      </c>
      <c r="Q151">
        <v>87.7</v>
      </c>
      <c r="R151">
        <v>1</v>
      </c>
      <c r="S151">
        <v>0</v>
      </c>
      <c r="T151">
        <v>0</v>
      </c>
      <c r="U151">
        <v>4</v>
      </c>
      <c r="V151">
        <v>0</v>
      </c>
      <c r="W151">
        <v>6</v>
      </c>
      <c r="X151">
        <v>0</v>
      </c>
      <c r="Z151" s="26">
        <f t="shared" si="12"/>
        <v>5.4839293450543184E-5</v>
      </c>
      <c r="AA151" s="12">
        <f t="shared" si="9"/>
        <v>0.99768029788704204</v>
      </c>
      <c r="AC151">
        <v>0</v>
      </c>
      <c r="AD151">
        <v>0</v>
      </c>
      <c r="AE151">
        <v>0</v>
      </c>
      <c r="AG151" s="25">
        <f>IF(P151="*","-",IFERROR(VLOOKUP(P151,'All MECSM samples'!$P$4:$AD$454,15,FALSE),"-"))</f>
        <v>81</v>
      </c>
      <c r="AI151" s="9">
        <f t="shared" si="10"/>
        <v>0</v>
      </c>
      <c r="AJ151" s="9">
        <f t="shared" si="11"/>
        <v>0</v>
      </c>
      <c r="AK151" s="11">
        <f>SUM(AI$4:AI151)/SUM(AJ$4:AJ151)</f>
        <v>0.87394957983193278</v>
      </c>
    </row>
    <row r="152" spans="1:37" x14ac:dyDescent="0.35">
      <c r="A152" t="s">
        <v>374</v>
      </c>
      <c r="B152">
        <v>10</v>
      </c>
      <c r="C152" t="s">
        <v>7</v>
      </c>
      <c r="D152" t="s">
        <v>8</v>
      </c>
      <c r="E152" t="s">
        <v>394</v>
      </c>
      <c r="G152" t="s">
        <v>395</v>
      </c>
      <c r="I152" t="s">
        <v>396</v>
      </c>
      <c r="K152" t="s">
        <v>397</v>
      </c>
      <c r="M152" t="s">
        <v>398</v>
      </c>
      <c r="O152">
        <v>0.9</v>
      </c>
      <c r="P152" s="9" t="s">
        <v>399</v>
      </c>
      <c r="Q152">
        <v>92.9</v>
      </c>
      <c r="R152">
        <v>1</v>
      </c>
      <c r="S152">
        <v>1</v>
      </c>
      <c r="T152">
        <v>0</v>
      </c>
      <c r="U152">
        <v>2</v>
      </c>
      <c r="V152">
        <v>0</v>
      </c>
      <c r="W152">
        <v>7</v>
      </c>
      <c r="X152">
        <v>0</v>
      </c>
      <c r="Z152" s="26">
        <f t="shared" si="12"/>
        <v>5.4839293450543184E-5</v>
      </c>
      <c r="AA152" s="12">
        <f t="shared" si="9"/>
        <v>0.99773513718049256</v>
      </c>
      <c r="AC152">
        <v>0</v>
      </c>
      <c r="AD152">
        <v>87</v>
      </c>
      <c r="AE152">
        <v>67</v>
      </c>
      <c r="AG152" s="25">
        <f>IF(P152="*","-",IFERROR(VLOOKUP(P152,'All MECSM samples'!$P$4:$AD$454,15,FALSE),"-"))</f>
        <v>2033</v>
      </c>
      <c r="AI152" s="9">
        <f t="shared" si="10"/>
        <v>0</v>
      </c>
      <c r="AJ152" s="9">
        <f t="shared" si="11"/>
        <v>0</v>
      </c>
      <c r="AK152" s="11">
        <f>SUM(AI$4:AI152)/SUM(AJ$4:AJ152)</f>
        <v>0.87394957983193278</v>
      </c>
    </row>
    <row r="153" spans="1:37" x14ac:dyDescent="0.35">
      <c r="A153" t="s">
        <v>252</v>
      </c>
      <c r="B153">
        <v>10</v>
      </c>
      <c r="C153" t="s">
        <v>7</v>
      </c>
      <c r="D153" t="s">
        <v>8</v>
      </c>
      <c r="E153" t="s">
        <v>32</v>
      </c>
      <c r="O153">
        <v>0.98</v>
      </c>
      <c r="P153" s="9" t="s">
        <v>436</v>
      </c>
      <c r="Q153">
        <v>88.1</v>
      </c>
      <c r="R153">
        <v>2</v>
      </c>
      <c r="S153">
        <v>3</v>
      </c>
      <c r="T153">
        <v>0</v>
      </c>
      <c r="U153">
        <v>2</v>
      </c>
      <c r="V153">
        <v>0</v>
      </c>
      <c r="W153">
        <v>5</v>
      </c>
      <c r="X153">
        <v>0</v>
      </c>
      <c r="Z153" s="26">
        <f t="shared" si="12"/>
        <v>5.4839293450543184E-5</v>
      </c>
      <c r="AA153" s="12">
        <f t="shared" si="9"/>
        <v>0.99778997647394307</v>
      </c>
      <c r="AC153">
        <v>0</v>
      </c>
      <c r="AD153">
        <v>0</v>
      </c>
      <c r="AE153">
        <v>7</v>
      </c>
      <c r="AG153" s="25">
        <f>IF(P153="*","-",IFERROR(VLOOKUP(P153,'All MECSM samples'!$P$4:$AD$454,15,FALSE),"-"))</f>
        <v>1534</v>
      </c>
      <c r="AI153" s="9">
        <f t="shared" si="10"/>
        <v>0</v>
      </c>
      <c r="AJ153" s="9">
        <f t="shared" si="11"/>
        <v>0</v>
      </c>
      <c r="AK153" s="11">
        <f>SUM(AI$4:AI153)/SUM(AJ$4:AJ153)</f>
        <v>0.87394957983193278</v>
      </c>
    </row>
    <row r="154" spans="1:37" x14ac:dyDescent="0.35">
      <c r="A154" t="s">
        <v>442</v>
      </c>
      <c r="B154">
        <v>10</v>
      </c>
      <c r="C154" t="s">
        <v>7</v>
      </c>
      <c r="D154" t="s">
        <v>8</v>
      </c>
      <c r="E154" t="s">
        <v>46</v>
      </c>
      <c r="G154" t="s">
        <v>47</v>
      </c>
      <c r="I154" t="s">
        <v>61</v>
      </c>
      <c r="K154" t="s">
        <v>157</v>
      </c>
      <c r="M154" t="s">
        <v>440</v>
      </c>
      <c r="O154">
        <v>0.61</v>
      </c>
      <c r="P154" s="36" t="s">
        <v>441</v>
      </c>
      <c r="Q154">
        <v>96.8</v>
      </c>
      <c r="R154">
        <v>1</v>
      </c>
      <c r="S154">
        <v>4</v>
      </c>
      <c r="T154">
        <v>0</v>
      </c>
      <c r="U154">
        <v>2</v>
      </c>
      <c r="V154">
        <v>0</v>
      </c>
      <c r="W154">
        <v>4</v>
      </c>
      <c r="X154">
        <v>0</v>
      </c>
      <c r="Z154" s="26">
        <f t="shared" si="12"/>
        <v>5.4839293450543184E-5</v>
      </c>
      <c r="AA154" s="12">
        <f t="shared" si="9"/>
        <v>0.99784481576739359</v>
      </c>
      <c r="AC154">
        <v>3</v>
      </c>
      <c r="AD154">
        <v>8</v>
      </c>
      <c r="AE154">
        <v>100</v>
      </c>
      <c r="AG154" s="25">
        <f>IF(P154="*","-",IFERROR(VLOOKUP(P154,'All MECSM samples'!$P$4:$AD$454,15,FALSE),"-"))</f>
        <v>767</v>
      </c>
      <c r="AI154" s="9">
        <f t="shared" si="10"/>
        <v>0</v>
      </c>
      <c r="AJ154" s="9">
        <f t="shared" si="11"/>
        <v>1</v>
      </c>
      <c r="AK154" s="11">
        <f>SUM(AI$4:AI154)/SUM(AJ$4:AJ154)</f>
        <v>0.8666666666666667</v>
      </c>
    </row>
    <row r="155" spans="1:37" x14ac:dyDescent="0.35">
      <c r="A155" t="s">
        <v>519</v>
      </c>
      <c r="B155">
        <v>10</v>
      </c>
      <c r="C155" t="s">
        <v>7</v>
      </c>
      <c r="D155" t="s">
        <v>8</v>
      </c>
      <c r="E155" t="s">
        <v>46</v>
      </c>
      <c r="G155" t="s">
        <v>47</v>
      </c>
      <c r="O155">
        <v>0.61</v>
      </c>
      <c r="P155" s="9" t="s">
        <v>438</v>
      </c>
      <c r="Q155">
        <v>89.7</v>
      </c>
      <c r="R155">
        <v>1</v>
      </c>
      <c r="S155">
        <v>0</v>
      </c>
      <c r="T155">
        <v>0</v>
      </c>
      <c r="U155">
        <v>9</v>
      </c>
      <c r="V155">
        <v>0</v>
      </c>
      <c r="W155">
        <v>1</v>
      </c>
      <c r="X155">
        <v>0</v>
      </c>
      <c r="Z155" s="26">
        <f t="shared" si="12"/>
        <v>5.4839293450543184E-5</v>
      </c>
      <c r="AA155" s="12">
        <f t="shared" si="9"/>
        <v>0.9978996550608441</v>
      </c>
      <c r="AC155">
        <v>15</v>
      </c>
      <c r="AD155">
        <v>1</v>
      </c>
      <c r="AE155">
        <v>78</v>
      </c>
      <c r="AG155" s="25">
        <f>IF(P155="*","-",IFERROR(VLOOKUP(P155,'All MECSM samples'!$P$4:$AD$454,15,FALSE),"-"))</f>
        <v>60</v>
      </c>
      <c r="AI155" s="9">
        <f t="shared" si="10"/>
        <v>0</v>
      </c>
      <c r="AJ155" s="9">
        <f t="shared" si="11"/>
        <v>0</v>
      </c>
      <c r="AK155" s="11">
        <f>SUM(AI$4:AI155)/SUM(AJ$4:AJ155)</f>
        <v>0.8666666666666667</v>
      </c>
    </row>
    <row r="156" spans="1:37" x14ac:dyDescent="0.35">
      <c r="A156" t="s">
        <v>448</v>
      </c>
      <c r="B156">
        <v>10</v>
      </c>
      <c r="C156" t="s">
        <v>7</v>
      </c>
      <c r="D156" t="s">
        <v>8</v>
      </c>
      <c r="E156" t="s">
        <v>46</v>
      </c>
      <c r="G156" t="s">
        <v>47</v>
      </c>
      <c r="I156" t="s">
        <v>61</v>
      </c>
      <c r="O156">
        <v>0.55000000000000004</v>
      </c>
      <c r="P156" s="9" t="s">
        <v>434</v>
      </c>
      <c r="Q156">
        <v>88.5</v>
      </c>
      <c r="R156">
        <v>6</v>
      </c>
      <c r="S156">
        <v>3</v>
      </c>
      <c r="T156">
        <v>0</v>
      </c>
      <c r="U156">
        <v>0</v>
      </c>
      <c r="V156">
        <v>0</v>
      </c>
      <c r="W156">
        <v>7</v>
      </c>
      <c r="X156">
        <v>0</v>
      </c>
      <c r="Z156" s="26">
        <f t="shared" si="12"/>
        <v>5.4839293450543184E-5</v>
      </c>
      <c r="AA156" s="12">
        <f t="shared" si="9"/>
        <v>0.99795449435429462</v>
      </c>
      <c r="AC156">
        <v>57</v>
      </c>
      <c r="AD156">
        <v>0</v>
      </c>
      <c r="AE156">
        <v>0</v>
      </c>
      <c r="AG156" s="25">
        <f>IF(P156="*","-",IFERROR(VLOOKUP(P156,'All MECSM samples'!$P$4:$AD$454,15,FALSE),"-"))</f>
        <v>29</v>
      </c>
      <c r="AI156" s="9">
        <f t="shared" si="10"/>
        <v>0</v>
      </c>
      <c r="AJ156" s="9">
        <f t="shared" si="11"/>
        <v>0</v>
      </c>
      <c r="AK156" s="11">
        <f>SUM(AI$4:AI156)/SUM(AJ$4:AJ156)</f>
        <v>0.8666666666666667</v>
      </c>
    </row>
    <row r="157" spans="1:37" x14ac:dyDescent="0.35">
      <c r="A157" t="s">
        <v>432</v>
      </c>
      <c r="B157">
        <v>9</v>
      </c>
      <c r="C157" t="s">
        <v>7</v>
      </c>
      <c r="D157" t="s">
        <v>8</v>
      </c>
      <c r="E157" t="s">
        <v>451</v>
      </c>
      <c r="G157" t="s">
        <v>451</v>
      </c>
      <c r="I157" t="s">
        <v>452</v>
      </c>
      <c r="K157" t="s">
        <v>453</v>
      </c>
      <c r="M157" t="s">
        <v>454</v>
      </c>
      <c r="O157">
        <v>1</v>
      </c>
      <c r="P157" s="36" t="s">
        <v>455</v>
      </c>
      <c r="Q157">
        <v>99.2</v>
      </c>
      <c r="R157">
        <v>1</v>
      </c>
      <c r="S157">
        <v>3</v>
      </c>
      <c r="T157">
        <v>0</v>
      </c>
      <c r="U157">
        <v>5</v>
      </c>
      <c r="V157">
        <v>0</v>
      </c>
      <c r="W157">
        <v>1</v>
      </c>
      <c r="X157">
        <v>0</v>
      </c>
      <c r="Z157" s="26">
        <f t="shared" si="12"/>
        <v>4.9355364105488867E-5</v>
      </c>
      <c r="AA157" s="12">
        <f t="shared" si="9"/>
        <v>0.99800384971840006</v>
      </c>
      <c r="AC157">
        <v>40</v>
      </c>
      <c r="AD157">
        <v>100</v>
      </c>
      <c r="AE157">
        <v>40</v>
      </c>
      <c r="AG157" s="25">
        <f>IF(P157="*","-",IFERROR(VLOOKUP(P157,'All MECSM samples'!$P$4:$AD$454,15,FALSE),"-"))</f>
        <v>562</v>
      </c>
      <c r="AI157" s="9">
        <f t="shared" si="10"/>
        <v>0</v>
      </c>
      <c r="AJ157" s="9">
        <f t="shared" si="11"/>
        <v>1</v>
      </c>
      <c r="AK157" s="11">
        <f>SUM(AI$4:AI157)/SUM(AJ$4:AJ157)</f>
        <v>0.85950413223140498</v>
      </c>
    </row>
    <row r="158" spans="1:37" x14ac:dyDescent="0.35">
      <c r="A158" t="s">
        <v>385</v>
      </c>
      <c r="B158">
        <v>9</v>
      </c>
      <c r="C158" t="s">
        <v>7</v>
      </c>
      <c r="D158" t="s">
        <v>8</v>
      </c>
      <c r="E158" t="s">
        <v>18</v>
      </c>
      <c r="G158" t="s">
        <v>19</v>
      </c>
      <c r="I158" t="s">
        <v>20</v>
      </c>
      <c r="K158" t="s">
        <v>21</v>
      </c>
      <c r="M158" t="s">
        <v>429</v>
      </c>
      <c r="O158">
        <v>1</v>
      </c>
      <c r="P158" s="9" t="s">
        <v>430</v>
      </c>
      <c r="Q158">
        <v>96</v>
      </c>
      <c r="R158">
        <v>1</v>
      </c>
      <c r="S158">
        <v>8</v>
      </c>
      <c r="T158">
        <v>0</v>
      </c>
      <c r="U158">
        <v>0</v>
      </c>
      <c r="V158">
        <v>0</v>
      </c>
      <c r="W158">
        <v>1</v>
      </c>
      <c r="X158">
        <v>0</v>
      </c>
      <c r="Z158" s="26">
        <f t="shared" si="12"/>
        <v>4.9355364105488867E-5</v>
      </c>
      <c r="AA158" s="12">
        <f t="shared" si="9"/>
        <v>0.9980532050825055</v>
      </c>
      <c r="AC158">
        <v>100</v>
      </c>
      <c r="AD158">
        <v>0</v>
      </c>
      <c r="AE158">
        <v>0</v>
      </c>
      <c r="AG158" s="25">
        <f>IF(P158="*","-",IFERROR(VLOOKUP(P158,'All MECSM samples'!$P$4:$AD$454,15,FALSE),"-"))</f>
        <v>34</v>
      </c>
      <c r="AI158" s="9">
        <f t="shared" si="10"/>
        <v>0</v>
      </c>
      <c r="AJ158" s="9">
        <f t="shared" si="11"/>
        <v>1</v>
      </c>
      <c r="AK158" s="11">
        <f>SUM(AI$4:AI158)/SUM(AJ$4:AJ158)</f>
        <v>0.85245901639344257</v>
      </c>
    </row>
    <row r="159" spans="1:37" x14ac:dyDescent="0.35">
      <c r="A159" t="s">
        <v>462</v>
      </c>
      <c r="B159">
        <v>9</v>
      </c>
      <c r="C159" t="s">
        <v>7</v>
      </c>
      <c r="D159" t="s">
        <v>8</v>
      </c>
      <c r="E159" t="s">
        <v>46</v>
      </c>
      <c r="G159" t="s">
        <v>47</v>
      </c>
      <c r="I159" t="s">
        <v>61</v>
      </c>
      <c r="K159" t="s">
        <v>84</v>
      </c>
      <c r="M159" t="s">
        <v>463</v>
      </c>
      <c r="O159">
        <v>0.57999999999999996</v>
      </c>
      <c r="P159" s="9" t="s">
        <v>464</v>
      </c>
      <c r="Q159">
        <v>99.2</v>
      </c>
      <c r="R159">
        <v>1</v>
      </c>
      <c r="S159">
        <v>7</v>
      </c>
      <c r="T159">
        <v>0</v>
      </c>
      <c r="U159">
        <v>1</v>
      </c>
      <c r="V159">
        <v>0</v>
      </c>
      <c r="W159">
        <v>1</v>
      </c>
      <c r="X159">
        <v>0</v>
      </c>
      <c r="Z159" s="26">
        <f t="shared" si="12"/>
        <v>4.9355364105488867E-5</v>
      </c>
      <c r="AA159" s="12">
        <f t="shared" si="9"/>
        <v>0.99810256044661094</v>
      </c>
      <c r="AC159">
        <v>76</v>
      </c>
      <c r="AD159">
        <v>1</v>
      </c>
      <c r="AE159">
        <v>3</v>
      </c>
      <c r="AG159" s="25">
        <f>IF(P159="*","-",IFERROR(VLOOKUP(P159,'All MECSM samples'!$P$4:$AD$454,15,FALSE),"-"))</f>
        <v>188</v>
      </c>
      <c r="AI159" s="9">
        <f t="shared" si="10"/>
        <v>0</v>
      </c>
      <c r="AJ159" s="9">
        <f t="shared" si="11"/>
        <v>0</v>
      </c>
      <c r="AK159" s="11">
        <f>SUM(AI$4:AI159)/SUM(AJ$4:AJ159)</f>
        <v>0.85245901639344257</v>
      </c>
    </row>
    <row r="160" spans="1:37" x14ac:dyDescent="0.35">
      <c r="A160" t="s">
        <v>450</v>
      </c>
      <c r="B160">
        <v>9</v>
      </c>
      <c r="C160" t="s">
        <v>7</v>
      </c>
      <c r="D160" t="s">
        <v>8</v>
      </c>
      <c r="O160">
        <v>1</v>
      </c>
      <c r="P160" s="9" t="s">
        <v>457</v>
      </c>
      <c r="Q160">
        <v>87</v>
      </c>
      <c r="R160">
        <v>1</v>
      </c>
      <c r="S160">
        <v>0</v>
      </c>
      <c r="T160">
        <v>0</v>
      </c>
      <c r="U160">
        <v>9</v>
      </c>
      <c r="V160">
        <v>0</v>
      </c>
      <c r="W160">
        <v>0</v>
      </c>
      <c r="X160">
        <v>0</v>
      </c>
      <c r="Z160" s="26">
        <f t="shared" si="12"/>
        <v>4.9355364105488867E-5</v>
      </c>
      <c r="AA160" s="12">
        <f t="shared" si="9"/>
        <v>0.99815191581071638</v>
      </c>
      <c r="AC160">
        <v>15</v>
      </c>
      <c r="AD160">
        <v>33</v>
      </c>
      <c r="AE160">
        <v>100</v>
      </c>
      <c r="AG160" s="25">
        <f>IF(P160="*","-",IFERROR(VLOOKUP(P160,'All MECSM samples'!$P$4:$AD$454,15,FALSE),"-"))</f>
        <v>9</v>
      </c>
      <c r="AI160" s="9">
        <f t="shared" si="10"/>
        <v>0</v>
      </c>
      <c r="AJ160" s="9">
        <f t="shared" si="11"/>
        <v>1</v>
      </c>
      <c r="AK160" s="11">
        <f>SUM(AI$4:AI160)/SUM(AJ$4:AJ160)</f>
        <v>0.84552845528455289</v>
      </c>
    </row>
    <row r="161" spans="1:37" x14ac:dyDescent="0.35">
      <c r="A161" t="s">
        <v>489</v>
      </c>
      <c r="B161">
        <v>9</v>
      </c>
      <c r="C161" t="s">
        <v>7</v>
      </c>
      <c r="D161" t="s">
        <v>8</v>
      </c>
      <c r="E161" t="s">
        <v>46</v>
      </c>
      <c r="G161" t="s">
        <v>47</v>
      </c>
      <c r="I161" t="s">
        <v>69</v>
      </c>
      <c r="K161" t="s">
        <v>70</v>
      </c>
      <c r="M161" t="s">
        <v>459</v>
      </c>
      <c r="O161">
        <v>0.98</v>
      </c>
      <c r="P161" s="9" t="s">
        <v>460</v>
      </c>
      <c r="Q161">
        <v>95.7</v>
      </c>
      <c r="R161">
        <v>3</v>
      </c>
      <c r="S161">
        <v>0</v>
      </c>
      <c r="T161">
        <v>0</v>
      </c>
      <c r="U161">
        <v>3</v>
      </c>
      <c r="V161">
        <v>0</v>
      </c>
      <c r="W161">
        <v>6</v>
      </c>
      <c r="X161">
        <v>0</v>
      </c>
      <c r="Z161" s="26">
        <f t="shared" si="12"/>
        <v>4.9355364105488867E-5</v>
      </c>
      <c r="AA161" s="12">
        <f t="shared" si="9"/>
        <v>0.99820127117482182</v>
      </c>
      <c r="AC161">
        <v>11</v>
      </c>
      <c r="AD161">
        <v>74</v>
      </c>
      <c r="AE161">
        <v>44</v>
      </c>
      <c r="AG161" s="25">
        <f>IF(P161="*","-",IFERROR(VLOOKUP(P161,'All MECSM samples'!$P$4:$AD$454,15,FALSE),"-"))</f>
        <v>6</v>
      </c>
      <c r="AI161" s="9">
        <f t="shared" si="10"/>
        <v>0</v>
      </c>
      <c r="AJ161" s="9">
        <f t="shared" si="11"/>
        <v>0</v>
      </c>
      <c r="AK161" s="11">
        <f>SUM(AI$4:AI161)/SUM(AJ$4:AJ161)</f>
        <v>0.84552845528455289</v>
      </c>
    </row>
    <row r="162" spans="1:37" x14ac:dyDescent="0.35">
      <c r="A162" t="s">
        <v>447</v>
      </c>
      <c r="B162">
        <v>9</v>
      </c>
      <c r="C162" t="s">
        <v>7</v>
      </c>
      <c r="D162" t="s">
        <v>8</v>
      </c>
      <c r="E162" t="s">
        <v>32</v>
      </c>
      <c r="G162" t="s">
        <v>35</v>
      </c>
      <c r="I162" t="s">
        <v>36</v>
      </c>
      <c r="K162" t="s">
        <v>37</v>
      </c>
      <c r="O162">
        <v>0.87</v>
      </c>
      <c r="P162" s="105" t="s">
        <v>401</v>
      </c>
      <c r="Q162">
        <v>91.3</v>
      </c>
      <c r="R162">
        <v>1</v>
      </c>
      <c r="S162">
        <v>2</v>
      </c>
      <c r="T162">
        <v>0</v>
      </c>
      <c r="U162">
        <v>2</v>
      </c>
      <c r="V162">
        <v>0</v>
      </c>
      <c r="W162">
        <v>5</v>
      </c>
      <c r="X162">
        <v>0</v>
      </c>
      <c r="Z162" s="26">
        <f t="shared" si="12"/>
        <v>4.9355364105488867E-5</v>
      </c>
      <c r="AA162" s="12">
        <f t="shared" si="9"/>
        <v>0.99825062653892727</v>
      </c>
      <c r="AC162">
        <v>3</v>
      </c>
      <c r="AD162">
        <v>9</v>
      </c>
      <c r="AE162">
        <v>34</v>
      </c>
      <c r="AG162" s="25">
        <f>IF(P162="*","-",IFERROR(VLOOKUP(P162,'All MECSM samples'!$P$4:$AD$454,15,FALSE),"-"))</f>
        <v>6</v>
      </c>
      <c r="AI162" s="9">
        <f t="shared" si="10"/>
        <v>0</v>
      </c>
      <c r="AJ162" s="9">
        <f t="shared" si="11"/>
        <v>0</v>
      </c>
      <c r="AK162" s="11">
        <f>SUM(AI$4:AI162)/SUM(AJ$4:AJ162)</f>
        <v>0.84552845528455289</v>
      </c>
    </row>
    <row r="163" spans="1:37" x14ac:dyDescent="0.35">
      <c r="A163" t="s">
        <v>469</v>
      </c>
      <c r="B163">
        <v>9</v>
      </c>
      <c r="C163" t="s">
        <v>7</v>
      </c>
      <c r="D163" t="s">
        <v>8</v>
      </c>
      <c r="E163" t="s">
        <v>46</v>
      </c>
      <c r="G163" t="s">
        <v>47</v>
      </c>
      <c r="I163" t="s">
        <v>61</v>
      </c>
      <c r="O163">
        <v>0.84</v>
      </c>
      <c r="P163" s="9" t="s">
        <v>321</v>
      </c>
      <c r="Q163">
        <v>91.7</v>
      </c>
      <c r="R163">
        <v>1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9</v>
      </c>
      <c r="Z163" s="26">
        <f t="shared" si="12"/>
        <v>4.9355364105488867E-5</v>
      </c>
      <c r="AA163" s="12">
        <f t="shared" si="9"/>
        <v>0.99829998190303271</v>
      </c>
      <c r="AC163">
        <v>75</v>
      </c>
      <c r="AD163">
        <v>0</v>
      </c>
      <c r="AE163">
        <v>0</v>
      </c>
      <c r="AG163" s="25">
        <f>IF(P163="*","-",IFERROR(VLOOKUP(P163,'All MECSM samples'!$P$4:$AD$454,15,FALSE),"-"))</f>
        <v>276</v>
      </c>
      <c r="AI163" s="9">
        <f t="shared" si="10"/>
        <v>0</v>
      </c>
      <c r="AJ163" s="9">
        <f t="shared" si="11"/>
        <v>0</v>
      </c>
      <c r="AK163" s="11">
        <f>SUM(AI$4:AI163)/SUM(AJ$4:AJ163)</f>
        <v>0.84552845528455289</v>
      </c>
    </row>
    <row r="164" spans="1:37" x14ac:dyDescent="0.35">
      <c r="A164" t="s">
        <v>407</v>
      </c>
      <c r="B164">
        <v>9</v>
      </c>
      <c r="C164" t="s">
        <v>7</v>
      </c>
      <c r="D164" t="s">
        <v>8</v>
      </c>
      <c r="E164" t="s">
        <v>32</v>
      </c>
      <c r="G164" t="s">
        <v>445</v>
      </c>
      <c r="I164" t="s">
        <v>446</v>
      </c>
      <c r="O164">
        <v>0.5</v>
      </c>
      <c r="P164" s="9" t="s">
        <v>33</v>
      </c>
      <c r="Q164">
        <v>88.9</v>
      </c>
      <c r="R164">
        <v>1</v>
      </c>
      <c r="S164">
        <v>0</v>
      </c>
      <c r="T164">
        <v>0</v>
      </c>
      <c r="U164">
        <v>5</v>
      </c>
      <c r="V164">
        <v>0</v>
      </c>
      <c r="W164">
        <v>4</v>
      </c>
      <c r="X164">
        <v>0</v>
      </c>
      <c r="Z164" s="26">
        <f t="shared" si="12"/>
        <v>4.9355364105488867E-5</v>
      </c>
      <c r="AA164" s="12">
        <f t="shared" si="9"/>
        <v>0.99834933726713815</v>
      </c>
      <c r="AC164">
        <v>0</v>
      </c>
      <c r="AD164">
        <v>12</v>
      </c>
      <c r="AE164">
        <v>20</v>
      </c>
      <c r="AG164" s="25">
        <f>IF(P164="*","-",IFERROR(VLOOKUP(P164,'All MECSM samples'!$P$4:$AD$454,15,FALSE),"-"))</f>
        <v>5880</v>
      </c>
      <c r="AI164" s="9">
        <f t="shared" si="10"/>
        <v>0</v>
      </c>
      <c r="AJ164" s="9">
        <f t="shared" si="11"/>
        <v>0</v>
      </c>
      <c r="AK164" s="11">
        <f>SUM(AI$4:AI164)/SUM(AJ$4:AJ164)</f>
        <v>0.84552845528455289</v>
      </c>
    </row>
    <row r="165" spans="1:37" x14ac:dyDescent="0.35">
      <c r="A165" t="s">
        <v>531</v>
      </c>
      <c r="B165">
        <v>9</v>
      </c>
      <c r="C165" t="s">
        <v>7</v>
      </c>
      <c r="D165" t="s">
        <v>8</v>
      </c>
      <c r="E165" t="s">
        <v>9</v>
      </c>
      <c r="G165" t="s">
        <v>10</v>
      </c>
      <c r="I165" t="s">
        <v>107</v>
      </c>
      <c r="K165" t="s">
        <v>108</v>
      </c>
      <c r="M165" t="s">
        <v>109</v>
      </c>
      <c r="O165">
        <v>1</v>
      </c>
      <c r="P165" s="36" t="s">
        <v>449</v>
      </c>
      <c r="Q165">
        <v>99.2</v>
      </c>
      <c r="R165">
        <v>1</v>
      </c>
      <c r="S165">
        <v>7</v>
      </c>
      <c r="T165">
        <v>0</v>
      </c>
      <c r="U165">
        <v>1</v>
      </c>
      <c r="V165">
        <v>0</v>
      </c>
      <c r="W165">
        <v>1</v>
      </c>
      <c r="X165">
        <v>0</v>
      </c>
      <c r="Z165" s="26">
        <f t="shared" si="12"/>
        <v>4.9355364105488867E-5</v>
      </c>
      <c r="AA165" s="12">
        <f t="shared" si="9"/>
        <v>0.99839869263124359</v>
      </c>
      <c r="AC165">
        <v>72</v>
      </c>
      <c r="AD165">
        <v>73</v>
      </c>
      <c r="AE165">
        <v>100</v>
      </c>
      <c r="AG165" s="25">
        <f>IF(P165="*","-",IFERROR(VLOOKUP(P165,'All MECSM samples'!$P$4:$AD$454,15,FALSE),"-"))</f>
        <v>274</v>
      </c>
      <c r="AI165" s="9">
        <f t="shared" si="10"/>
        <v>0</v>
      </c>
      <c r="AJ165" s="9">
        <f t="shared" si="11"/>
        <v>1</v>
      </c>
      <c r="AK165" s="11">
        <f>SUM(AI$4:AI165)/SUM(AJ$4:AJ165)</f>
        <v>0.83870967741935487</v>
      </c>
    </row>
    <row r="166" spans="1:37" x14ac:dyDescent="0.35">
      <c r="A166" t="s">
        <v>515</v>
      </c>
      <c r="B166">
        <v>9</v>
      </c>
      <c r="C166" t="s">
        <v>7</v>
      </c>
      <c r="D166" t="s">
        <v>8</v>
      </c>
      <c r="O166">
        <v>1</v>
      </c>
      <c r="P166" s="9" t="s">
        <v>98</v>
      </c>
      <c r="Q166">
        <v>0</v>
      </c>
      <c r="R166">
        <v>1</v>
      </c>
      <c r="S166">
        <v>3</v>
      </c>
      <c r="T166">
        <v>0</v>
      </c>
      <c r="U166">
        <v>4</v>
      </c>
      <c r="V166">
        <v>0</v>
      </c>
      <c r="W166">
        <v>2</v>
      </c>
      <c r="X166">
        <v>0</v>
      </c>
      <c r="Z166" s="26">
        <f t="shared" si="12"/>
        <v>4.9355364105488867E-5</v>
      </c>
      <c r="AA166" s="12">
        <f t="shared" si="9"/>
        <v>0.99844804799534903</v>
      </c>
      <c r="AC166">
        <v>0</v>
      </c>
      <c r="AD166">
        <v>0</v>
      </c>
      <c r="AE166">
        <v>0</v>
      </c>
      <c r="AG166" s="25" t="str">
        <f>IF(P166="*","-",IFERROR(VLOOKUP(P166,'All MECSM samples'!$P$4:$AD$454,15,FALSE),"-"))</f>
        <v>-</v>
      </c>
      <c r="AI166" s="9">
        <f t="shared" si="10"/>
        <v>0</v>
      </c>
      <c r="AJ166" s="9">
        <f t="shared" si="11"/>
        <v>0</v>
      </c>
      <c r="AK166" s="11">
        <f>SUM(AI$4:AI166)/SUM(AJ$4:AJ166)</f>
        <v>0.83870967741935487</v>
      </c>
    </row>
    <row r="167" spans="1:37" x14ac:dyDescent="0.35">
      <c r="A167" t="s">
        <v>439</v>
      </c>
      <c r="B167">
        <v>8</v>
      </c>
      <c r="C167" t="s">
        <v>7</v>
      </c>
      <c r="D167" t="s">
        <v>8</v>
      </c>
      <c r="E167" t="s">
        <v>46</v>
      </c>
      <c r="G167" t="s">
        <v>47</v>
      </c>
      <c r="I167" t="s">
        <v>61</v>
      </c>
      <c r="O167">
        <v>0.99</v>
      </c>
      <c r="P167" s="9" t="s">
        <v>470</v>
      </c>
      <c r="Q167">
        <v>93.3</v>
      </c>
      <c r="R167">
        <v>1</v>
      </c>
      <c r="S167">
        <v>8</v>
      </c>
      <c r="T167">
        <v>0</v>
      </c>
      <c r="U167">
        <v>0</v>
      </c>
      <c r="V167">
        <v>0</v>
      </c>
      <c r="W167">
        <v>0</v>
      </c>
      <c r="X167">
        <v>0</v>
      </c>
      <c r="Z167" s="26">
        <f t="shared" si="12"/>
        <v>4.387143476043455E-5</v>
      </c>
      <c r="AA167" s="12">
        <f t="shared" si="9"/>
        <v>0.99849191943010951</v>
      </c>
      <c r="AC167">
        <v>20</v>
      </c>
      <c r="AD167">
        <v>0</v>
      </c>
      <c r="AE167">
        <v>6</v>
      </c>
      <c r="AG167" s="25">
        <f>IF(P167="*","-",IFERROR(VLOOKUP(P167,'All MECSM samples'!$P$4:$AD$454,15,FALSE),"-"))</f>
        <v>39</v>
      </c>
      <c r="AI167" s="9">
        <f t="shared" si="10"/>
        <v>0</v>
      </c>
      <c r="AJ167" s="9">
        <f t="shared" si="11"/>
        <v>0</v>
      </c>
      <c r="AK167" s="11">
        <f>SUM(AI$4:AI167)/SUM(AJ$4:AJ167)</f>
        <v>0.83870967741935487</v>
      </c>
    </row>
    <row r="168" spans="1:37" x14ac:dyDescent="0.35">
      <c r="A168" t="s">
        <v>512</v>
      </c>
      <c r="B168">
        <v>8</v>
      </c>
      <c r="C168" t="s">
        <v>7</v>
      </c>
      <c r="D168" t="s">
        <v>8</v>
      </c>
      <c r="E168" t="s">
        <v>32</v>
      </c>
      <c r="G168" t="s">
        <v>35</v>
      </c>
      <c r="I168" t="s">
        <v>36</v>
      </c>
      <c r="K168" t="s">
        <v>37</v>
      </c>
      <c r="M168" t="s">
        <v>231</v>
      </c>
      <c r="O168">
        <v>0.88</v>
      </c>
      <c r="P168" s="9" t="s">
        <v>232</v>
      </c>
      <c r="Q168">
        <v>95.3</v>
      </c>
      <c r="R168">
        <v>1</v>
      </c>
      <c r="S168">
        <v>7</v>
      </c>
      <c r="T168">
        <v>0</v>
      </c>
      <c r="U168">
        <v>0</v>
      </c>
      <c r="V168">
        <v>0</v>
      </c>
      <c r="W168">
        <v>1</v>
      </c>
      <c r="X168">
        <v>0</v>
      </c>
      <c r="Z168" s="26">
        <f t="shared" si="12"/>
        <v>4.387143476043455E-5</v>
      </c>
      <c r="AA168" s="12">
        <f t="shared" si="9"/>
        <v>0.99853579086486999</v>
      </c>
      <c r="AC168">
        <v>78</v>
      </c>
      <c r="AD168">
        <v>1</v>
      </c>
      <c r="AE168">
        <v>0</v>
      </c>
      <c r="AG168" s="25">
        <f>IF(P168="*","-",IFERROR(VLOOKUP(P168,'All MECSM samples'!$P$4:$AD$454,15,FALSE),"-"))</f>
        <v>465</v>
      </c>
      <c r="AI168" s="9">
        <f t="shared" si="10"/>
        <v>0</v>
      </c>
      <c r="AJ168" s="9">
        <f t="shared" si="11"/>
        <v>0</v>
      </c>
      <c r="AK168" s="11">
        <f>SUM(AI$4:AI168)/SUM(AJ$4:AJ168)</f>
        <v>0.83870967741935487</v>
      </c>
    </row>
    <row r="169" spans="1:37" x14ac:dyDescent="0.35">
      <c r="A169" t="s">
        <v>371</v>
      </c>
      <c r="B169">
        <v>8</v>
      </c>
      <c r="C169" t="s">
        <v>7</v>
      </c>
      <c r="D169" t="s">
        <v>8</v>
      </c>
      <c r="E169" t="s">
        <v>46</v>
      </c>
      <c r="O169">
        <v>0.59</v>
      </c>
      <c r="P169" s="105" t="s">
        <v>98</v>
      </c>
      <c r="Q169">
        <v>0</v>
      </c>
      <c r="R169">
        <v>1</v>
      </c>
      <c r="S169">
        <v>3</v>
      </c>
      <c r="T169">
        <v>0</v>
      </c>
      <c r="U169">
        <v>3</v>
      </c>
      <c r="V169">
        <v>0</v>
      </c>
      <c r="W169">
        <v>2</v>
      </c>
      <c r="X169">
        <v>0</v>
      </c>
      <c r="Z169" s="26">
        <f t="shared" si="12"/>
        <v>4.387143476043455E-5</v>
      </c>
      <c r="AA169" s="12">
        <f t="shared" si="9"/>
        <v>0.99857966229963047</v>
      </c>
      <c r="AC169">
        <v>11</v>
      </c>
      <c r="AD169">
        <v>0</v>
      </c>
      <c r="AE169">
        <v>0</v>
      </c>
      <c r="AG169" s="25" t="str">
        <f>IF(P169="*","-",IFERROR(VLOOKUP(P169,'All MECSM samples'!$P$4:$AD$454,15,FALSE),"-"))</f>
        <v>-</v>
      </c>
      <c r="AI169" s="9">
        <f t="shared" si="10"/>
        <v>0</v>
      </c>
      <c r="AJ169" s="9">
        <f t="shared" si="11"/>
        <v>0</v>
      </c>
      <c r="AK169" s="11">
        <f>SUM(AI$4:AI169)/SUM(AJ$4:AJ169)</f>
        <v>0.83870967741935487</v>
      </c>
    </row>
    <row r="170" spans="1:37" x14ac:dyDescent="0.35">
      <c r="A170" t="s">
        <v>444</v>
      </c>
      <c r="B170">
        <v>8</v>
      </c>
      <c r="C170" t="s">
        <v>7</v>
      </c>
      <c r="D170" t="s">
        <v>8</v>
      </c>
      <c r="E170" t="s">
        <v>32</v>
      </c>
      <c r="G170" t="s">
        <v>35</v>
      </c>
      <c r="I170" t="s">
        <v>36</v>
      </c>
      <c r="K170" t="s">
        <v>37</v>
      </c>
      <c r="O170">
        <v>0.97</v>
      </c>
      <c r="P170" s="105" t="s">
        <v>401</v>
      </c>
      <c r="Q170">
        <v>93.7</v>
      </c>
      <c r="R170">
        <v>1</v>
      </c>
      <c r="S170">
        <v>2</v>
      </c>
      <c r="T170">
        <v>0</v>
      </c>
      <c r="U170">
        <v>3</v>
      </c>
      <c r="V170">
        <v>0</v>
      </c>
      <c r="W170">
        <v>3</v>
      </c>
      <c r="X170">
        <v>0</v>
      </c>
      <c r="Z170" s="26">
        <f t="shared" si="12"/>
        <v>4.387143476043455E-5</v>
      </c>
      <c r="AA170" s="12">
        <f t="shared" si="9"/>
        <v>0.99862353373439094</v>
      </c>
      <c r="AC170">
        <v>0</v>
      </c>
      <c r="AD170">
        <v>9</v>
      </c>
      <c r="AE170">
        <v>23</v>
      </c>
      <c r="AG170" s="25">
        <f>IF(P170="*","-",IFERROR(VLOOKUP(P170,'All MECSM samples'!$P$4:$AD$454,15,FALSE),"-"))</f>
        <v>6</v>
      </c>
      <c r="AI170" s="9">
        <f t="shared" si="10"/>
        <v>0</v>
      </c>
      <c r="AJ170" s="9">
        <f t="shared" si="11"/>
        <v>0</v>
      </c>
      <c r="AK170" s="11">
        <f>SUM(AI$4:AI170)/SUM(AJ$4:AJ170)</f>
        <v>0.83870967741935487</v>
      </c>
    </row>
    <row r="171" spans="1:37" x14ac:dyDescent="0.35">
      <c r="A171" t="s">
        <v>472</v>
      </c>
      <c r="B171">
        <v>7</v>
      </c>
      <c r="C171" t="s">
        <v>7</v>
      </c>
      <c r="D171" t="s">
        <v>8</v>
      </c>
      <c r="O171">
        <v>0.99</v>
      </c>
      <c r="P171" s="9" t="s">
        <v>487</v>
      </c>
      <c r="Q171">
        <v>85.8</v>
      </c>
      <c r="R171">
        <v>2</v>
      </c>
      <c r="S171">
        <v>4</v>
      </c>
      <c r="T171">
        <v>0</v>
      </c>
      <c r="U171">
        <v>2</v>
      </c>
      <c r="V171">
        <v>0</v>
      </c>
      <c r="W171">
        <v>1</v>
      </c>
      <c r="X171">
        <v>0</v>
      </c>
      <c r="Z171" s="26">
        <f t="shared" si="12"/>
        <v>3.8387505415380226E-5</v>
      </c>
      <c r="AA171" s="12">
        <f t="shared" si="9"/>
        <v>0.99866192123980635</v>
      </c>
      <c r="AC171">
        <v>0</v>
      </c>
      <c r="AD171">
        <v>0</v>
      </c>
      <c r="AE171">
        <v>0</v>
      </c>
      <c r="AG171" s="25">
        <f>IF(P171="*","-",IFERROR(VLOOKUP(P171,'All MECSM samples'!$P$4:$AD$454,15,FALSE),"-"))</f>
        <v>369</v>
      </c>
      <c r="AI171" s="9">
        <f t="shared" si="10"/>
        <v>0</v>
      </c>
      <c r="AJ171" s="9">
        <f t="shared" si="11"/>
        <v>0</v>
      </c>
      <c r="AK171" s="11">
        <f>SUM(AI$4:AI171)/SUM(AJ$4:AJ171)</f>
        <v>0.83870967741935487</v>
      </c>
    </row>
    <row r="172" spans="1:37" x14ac:dyDescent="0.35">
      <c r="A172" t="s">
        <v>564</v>
      </c>
      <c r="B172">
        <v>7</v>
      </c>
      <c r="C172" t="s">
        <v>7</v>
      </c>
      <c r="D172" t="s">
        <v>8</v>
      </c>
      <c r="E172" t="s">
        <v>120</v>
      </c>
      <c r="G172" t="s">
        <v>121</v>
      </c>
      <c r="I172" t="s">
        <v>122</v>
      </c>
      <c r="K172" t="s">
        <v>123</v>
      </c>
      <c r="M172" t="s">
        <v>124</v>
      </c>
      <c r="O172">
        <v>0.95</v>
      </c>
      <c r="P172" s="9" t="s">
        <v>125</v>
      </c>
      <c r="Q172">
        <v>89.3</v>
      </c>
      <c r="R172">
        <v>1</v>
      </c>
      <c r="S172">
        <v>3</v>
      </c>
      <c r="T172">
        <v>0</v>
      </c>
      <c r="U172">
        <v>3</v>
      </c>
      <c r="V172">
        <v>0</v>
      </c>
      <c r="W172">
        <v>1</v>
      </c>
      <c r="X172">
        <v>0</v>
      </c>
      <c r="Z172" s="26">
        <f t="shared" si="12"/>
        <v>3.8387505415380226E-5</v>
      </c>
      <c r="AA172" s="12">
        <f t="shared" si="9"/>
        <v>0.99870030874522175</v>
      </c>
      <c r="AC172">
        <v>48</v>
      </c>
      <c r="AD172">
        <v>23</v>
      </c>
      <c r="AE172">
        <v>91</v>
      </c>
      <c r="AG172" s="25">
        <f>IF(P172="*","-",IFERROR(VLOOKUP(P172,'All MECSM samples'!$P$4:$AD$454,15,FALSE),"-"))</f>
        <v>799</v>
      </c>
      <c r="AI172" s="9">
        <f t="shared" si="10"/>
        <v>0</v>
      </c>
      <c r="AJ172" s="9">
        <f t="shared" si="11"/>
        <v>1</v>
      </c>
      <c r="AK172" s="11">
        <f>SUM(AI$4:AI172)/SUM(AJ$4:AJ172)</f>
        <v>0.83199999999999996</v>
      </c>
    </row>
    <row r="173" spans="1:37" x14ac:dyDescent="0.35">
      <c r="A173" t="s">
        <v>555</v>
      </c>
      <c r="B173">
        <v>7</v>
      </c>
      <c r="C173" t="s">
        <v>7</v>
      </c>
      <c r="D173" t="s">
        <v>8</v>
      </c>
      <c r="E173" t="s">
        <v>46</v>
      </c>
      <c r="G173" t="s">
        <v>47</v>
      </c>
      <c r="I173" t="s">
        <v>61</v>
      </c>
      <c r="K173" t="s">
        <v>84</v>
      </c>
      <c r="M173" t="s">
        <v>475</v>
      </c>
      <c r="O173">
        <v>0.87</v>
      </c>
      <c r="P173" s="36" t="s">
        <v>476</v>
      </c>
      <c r="Q173">
        <v>98.8</v>
      </c>
      <c r="R173">
        <v>1</v>
      </c>
      <c r="S173">
        <v>4</v>
      </c>
      <c r="T173">
        <v>0</v>
      </c>
      <c r="U173">
        <v>1</v>
      </c>
      <c r="V173">
        <v>0</v>
      </c>
      <c r="W173">
        <v>2</v>
      </c>
      <c r="X173">
        <v>0</v>
      </c>
      <c r="Z173" s="26">
        <f t="shared" si="12"/>
        <v>3.8387505415380226E-5</v>
      </c>
      <c r="AA173" s="12">
        <f t="shared" si="9"/>
        <v>0.99873869625063716</v>
      </c>
      <c r="AC173">
        <v>38</v>
      </c>
      <c r="AD173">
        <v>29</v>
      </c>
      <c r="AE173">
        <v>100</v>
      </c>
      <c r="AG173" s="25">
        <f>IF(P173="*","-",IFERROR(VLOOKUP(P173,'All MECSM samples'!$P$4:$AD$454,15,FALSE),"-"))</f>
        <v>259</v>
      </c>
      <c r="AI173" s="9">
        <f t="shared" si="10"/>
        <v>0</v>
      </c>
      <c r="AJ173" s="9">
        <f t="shared" si="11"/>
        <v>1</v>
      </c>
      <c r="AK173" s="11">
        <f>SUM(AI$4:AI173)/SUM(AJ$4:AJ173)</f>
        <v>0.82539682539682535</v>
      </c>
    </row>
    <row r="174" spans="1:37" x14ac:dyDescent="0.35">
      <c r="A174" t="s">
        <v>431</v>
      </c>
      <c r="B174">
        <v>7</v>
      </c>
      <c r="C174" t="s">
        <v>7</v>
      </c>
      <c r="D174" t="s">
        <v>8</v>
      </c>
      <c r="E174" t="s">
        <v>120</v>
      </c>
      <c r="G174" t="s">
        <v>121</v>
      </c>
      <c r="I174" t="s">
        <v>122</v>
      </c>
      <c r="K174" t="s">
        <v>123</v>
      </c>
      <c r="M174" t="s">
        <v>124</v>
      </c>
      <c r="O174">
        <v>0.57999999999999996</v>
      </c>
      <c r="P174" s="9" t="s">
        <v>478</v>
      </c>
      <c r="Q174">
        <v>91.7</v>
      </c>
      <c r="R174">
        <v>1</v>
      </c>
      <c r="S174">
        <v>0</v>
      </c>
      <c r="T174">
        <v>0</v>
      </c>
      <c r="U174">
        <v>0</v>
      </c>
      <c r="V174">
        <v>0</v>
      </c>
      <c r="W174">
        <v>7</v>
      </c>
      <c r="X174">
        <v>0</v>
      </c>
      <c r="Z174" s="26">
        <f t="shared" si="12"/>
        <v>3.8387505415380226E-5</v>
      </c>
      <c r="AA174" s="12">
        <f t="shared" si="9"/>
        <v>0.99877708375605256</v>
      </c>
      <c r="AC174">
        <v>8</v>
      </c>
      <c r="AD174">
        <v>8</v>
      </c>
      <c r="AE174">
        <v>47</v>
      </c>
      <c r="AG174" s="25">
        <f>IF(P174="*","-",IFERROR(VLOOKUP(P174,'All MECSM samples'!$P$4:$AD$454,15,FALSE),"-"))</f>
        <v>58</v>
      </c>
      <c r="AI174" s="9">
        <f t="shared" si="10"/>
        <v>0</v>
      </c>
      <c r="AJ174" s="9">
        <f t="shared" si="11"/>
        <v>0</v>
      </c>
      <c r="AK174" s="11">
        <f>SUM(AI$4:AI174)/SUM(AJ$4:AJ174)</f>
        <v>0.82539682539682535</v>
      </c>
    </row>
    <row r="175" spans="1:37" x14ac:dyDescent="0.35">
      <c r="A175" t="s">
        <v>458</v>
      </c>
      <c r="B175">
        <v>7</v>
      </c>
      <c r="C175" t="s">
        <v>7</v>
      </c>
      <c r="D175" t="s">
        <v>8</v>
      </c>
      <c r="E175" t="s">
        <v>9</v>
      </c>
      <c r="O175">
        <v>0.53</v>
      </c>
      <c r="P175" s="36" t="s">
        <v>98</v>
      </c>
      <c r="Q175">
        <v>0</v>
      </c>
      <c r="R175">
        <v>1</v>
      </c>
      <c r="S175">
        <v>1</v>
      </c>
      <c r="T175">
        <v>0</v>
      </c>
      <c r="U175">
        <v>5</v>
      </c>
      <c r="V175">
        <v>0</v>
      </c>
      <c r="W175">
        <v>1</v>
      </c>
      <c r="X175">
        <v>0</v>
      </c>
      <c r="Z175" s="26">
        <f t="shared" si="12"/>
        <v>3.8387505415380226E-5</v>
      </c>
      <c r="AA175" s="12">
        <f t="shared" si="9"/>
        <v>0.99881547126146797</v>
      </c>
      <c r="AC175">
        <v>0</v>
      </c>
      <c r="AD175">
        <v>7</v>
      </c>
      <c r="AE175">
        <v>100</v>
      </c>
      <c r="AG175" s="25" t="str">
        <f>IF(P175="*","-",IFERROR(VLOOKUP(P175,'All MECSM samples'!$P$4:$AD$454,15,FALSE),"-"))</f>
        <v>-</v>
      </c>
      <c r="AI175" s="9">
        <f t="shared" si="10"/>
        <v>0</v>
      </c>
      <c r="AJ175" s="9">
        <f t="shared" si="11"/>
        <v>1</v>
      </c>
      <c r="AK175" s="11">
        <f>SUM(AI$4:AI175)/SUM(AJ$4:AJ175)</f>
        <v>0.81889763779527558</v>
      </c>
    </row>
    <row r="176" spans="1:37" x14ac:dyDescent="0.35">
      <c r="A176" t="s">
        <v>541</v>
      </c>
      <c r="B176">
        <v>7</v>
      </c>
      <c r="C176" t="s">
        <v>7</v>
      </c>
      <c r="D176" t="s">
        <v>8</v>
      </c>
      <c r="E176" t="s">
        <v>9</v>
      </c>
      <c r="G176" t="s">
        <v>10</v>
      </c>
      <c r="I176" t="s">
        <v>131</v>
      </c>
      <c r="K176" t="s">
        <v>150</v>
      </c>
      <c r="M176" t="s">
        <v>151</v>
      </c>
      <c r="O176">
        <v>0.93</v>
      </c>
      <c r="P176" s="9" t="s">
        <v>152</v>
      </c>
      <c r="Q176">
        <v>92.9</v>
      </c>
      <c r="R176">
        <v>1</v>
      </c>
      <c r="S176">
        <v>2</v>
      </c>
      <c r="T176">
        <v>0</v>
      </c>
      <c r="U176">
        <v>1</v>
      </c>
      <c r="V176">
        <v>0</v>
      </c>
      <c r="W176">
        <v>4</v>
      </c>
      <c r="X176">
        <v>0</v>
      </c>
      <c r="Z176" s="26">
        <f t="shared" si="12"/>
        <v>3.8387505415380226E-5</v>
      </c>
      <c r="AA176" s="12">
        <f t="shared" si="9"/>
        <v>0.99885385876688337</v>
      </c>
      <c r="AC176">
        <v>3</v>
      </c>
      <c r="AD176">
        <v>0</v>
      </c>
      <c r="AE176">
        <v>0</v>
      </c>
      <c r="AG176" s="25">
        <f>IF(P176="*","-",IFERROR(VLOOKUP(P176,'All MECSM samples'!$P$4:$AD$454,15,FALSE),"-"))</f>
        <v>577</v>
      </c>
      <c r="AI176" s="9">
        <f t="shared" si="10"/>
        <v>0</v>
      </c>
      <c r="AJ176" s="9">
        <f t="shared" si="11"/>
        <v>0</v>
      </c>
      <c r="AK176" s="11">
        <f>SUM(AI$4:AI176)/SUM(AJ$4:AJ176)</f>
        <v>0.81889763779527558</v>
      </c>
    </row>
    <row r="177" spans="1:37" x14ac:dyDescent="0.35">
      <c r="A177" t="s">
        <v>409</v>
      </c>
      <c r="B177">
        <v>7</v>
      </c>
      <c r="C177" t="s">
        <v>7</v>
      </c>
      <c r="D177" t="s">
        <v>24</v>
      </c>
      <c r="E177" t="s">
        <v>25</v>
      </c>
      <c r="G177" t="s">
        <v>26</v>
      </c>
      <c r="I177" t="s">
        <v>27</v>
      </c>
      <c r="K177" t="s">
        <v>28</v>
      </c>
      <c r="M177" t="s">
        <v>29</v>
      </c>
      <c r="O177">
        <v>0.98</v>
      </c>
      <c r="P177" s="9" t="s">
        <v>30</v>
      </c>
      <c r="Q177">
        <v>96.9</v>
      </c>
      <c r="R177">
        <v>1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</v>
      </c>
      <c r="Z177" s="26">
        <f t="shared" si="12"/>
        <v>3.8387505415380226E-5</v>
      </c>
      <c r="AA177" s="12">
        <f t="shared" si="9"/>
        <v>0.99889224627229878</v>
      </c>
      <c r="AC177">
        <v>0</v>
      </c>
      <c r="AD177">
        <v>0</v>
      </c>
      <c r="AE177">
        <v>50</v>
      </c>
      <c r="AG177" s="25">
        <f>IF(P177="*","-",IFERROR(VLOOKUP(P177,'All MECSM samples'!$P$4:$AD$454,15,FALSE),"-"))</f>
        <v>7783</v>
      </c>
      <c r="AI177" s="9">
        <f t="shared" si="10"/>
        <v>0</v>
      </c>
      <c r="AJ177" s="9">
        <f t="shared" si="11"/>
        <v>0</v>
      </c>
      <c r="AK177" s="11">
        <f>SUM(AI$4:AI177)/SUM(AJ$4:AJ177)</f>
        <v>0.81889763779527558</v>
      </c>
    </row>
    <row r="178" spans="1:37" x14ac:dyDescent="0.35">
      <c r="A178" t="s">
        <v>572</v>
      </c>
      <c r="B178">
        <v>7</v>
      </c>
      <c r="C178" t="s">
        <v>7</v>
      </c>
      <c r="D178" t="s">
        <v>8</v>
      </c>
      <c r="E178" t="s">
        <v>46</v>
      </c>
      <c r="G178" t="s">
        <v>47</v>
      </c>
      <c r="I178" t="s">
        <v>61</v>
      </c>
      <c r="K178" t="s">
        <v>190</v>
      </c>
      <c r="M178" t="s">
        <v>484</v>
      </c>
      <c r="O178">
        <v>0.64</v>
      </c>
      <c r="P178" s="9" t="s">
        <v>485</v>
      </c>
      <c r="Q178">
        <v>91.7</v>
      </c>
      <c r="R178">
        <v>1</v>
      </c>
      <c r="S178">
        <v>2</v>
      </c>
      <c r="T178">
        <v>0</v>
      </c>
      <c r="U178">
        <v>1</v>
      </c>
      <c r="V178">
        <v>0</v>
      </c>
      <c r="W178">
        <v>4</v>
      </c>
      <c r="X178">
        <v>0</v>
      </c>
      <c r="Z178" s="26">
        <f t="shared" si="12"/>
        <v>3.8387505415380226E-5</v>
      </c>
      <c r="AA178" s="12">
        <f t="shared" si="9"/>
        <v>0.99893063377771418</v>
      </c>
      <c r="AC178">
        <v>68</v>
      </c>
      <c r="AD178">
        <v>7</v>
      </c>
      <c r="AE178">
        <v>0</v>
      </c>
      <c r="AG178" s="25">
        <f>IF(P178="*","-",IFERROR(VLOOKUP(P178,'All MECSM samples'!$P$4:$AD$454,15,FALSE),"-"))</f>
        <v>24</v>
      </c>
      <c r="AI178" s="9">
        <f t="shared" si="10"/>
        <v>0</v>
      </c>
      <c r="AJ178" s="9">
        <f t="shared" si="11"/>
        <v>0</v>
      </c>
      <c r="AK178" s="11">
        <f>SUM(AI$4:AI178)/SUM(AJ$4:AJ178)</f>
        <v>0.81889763779527558</v>
      </c>
    </row>
    <row r="179" spans="1:37" x14ac:dyDescent="0.35">
      <c r="A179" t="s">
        <v>482</v>
      </c>
      <c r="B179">
        <v>7</v>
      </c>
      <c r="C179" t="s">
        <v>7</v>
      </c>
      <c r="D179" t="s">
        <v>8</v>
      </c>
      <c r="E179" t="s">
        <v>46</v>
      </c>
      <c r="G179" t="s">
        <v>47</v>
      </c>
      <c r="I179" t="s">
        <v>160</v>
      </c>
      <c r="K179" t="s">
        <v>161</v>
      </c>
      <c r="M179" t="s">
        <v>162</v>
      </c>
      <c r="O179">
        <v>0.96</v>
      </c>
      <c r="P179" s="9" t="s">
        <v>163</v>
      </c>
      <c r="Q179">
        <v>96</v>
      </c>
      <c r="R179">
        <v>1</v>
      </c>
      <c r="S179">
        <v>0</v>
      </c>
      <c r="T179">
        <v>0</v>
      </c>
      <c r="U179">
        <v>3</v>
      </c>
      <c r="V179">
        <v>0</v>
      </c>
      <c r="W179">
        <v>4</v>
      </c>
      <c r="X179">
        <v>0</v>
      </c>
      <c r="Z179" s="26">
        <f t="shared" si="12"/>
        <v>3.8387505415380226E-5</v>
      </c>
      <c r="AA179" s="12">
        <f t="shared" si="9"/>
        <v>0.99896902128312959</v>
      </c>
      <c r="AC179">
        <v>5</v>
      </c>
      <c r="AD179">
        <v>6</v>
      </c>
      <c r="AE179">
        <v>6</v>
      </c>
      <c r="AG179" s="25">
        <f>IF(P179="*","-",IFERROR(VLOOKUP(P179,'All MECSM samples'!$P$4:$AD$454,15,FALSE),"-"))</f>
        <v>3869</v>
      </c>
      <c r="AI179" s="9">
        <f t="shared" si="10"/>
        <v>0</v>
      </c>
      <c r="AJ179" s="9">
        <f t="shared" si="11"/>
        <v>0</v>
      </c>
      <c r="AK179" s="11">
        <f>SUM(AI$4:AI179)/SUM(AJ$4:AJ179)</f>
        <v>0.81889763779527558</v>
      </c>
    </row>
    <row r="180" spans="1:37" x14ac:dyDescent="0.35">
      <c r="A180" t="s">
        <v>486</v>
      </c>
      <c r="B180">
        <v>7</v>
      </c>
      <c r="C180" t="s">
        <v>7</v>
      </c>
      <c r="D180" t="s">
        <v>8</v>
      </c>
      <c r="E180" t="s">
        <v>32</v>
      </c>
      <c r="G180" t="s">
        <v>35</v>
      </c>
      <c r="I180" t="s">
        <v>36</v>
      </c>
      <c r="K180" t="s">
        <v>37</v>
      </c>
      <c r="M180" t="s">
        <v>480</v>
      </c>
      <c r="O180">
        <v>0.51</v>
      </c>
      <c r="P180" s="9" t="s">
        <v>401</v>
      </c>
      <c r="Q180">
        <v>94.8</v>
      </c>
      <c r="R180">
        <v>1</v>
      </c>
      <c r="S180">
        <v>0</v>
      </c>
      <c r="T180">
        <v>0</v>
      </c>
      <c r="U180">
        <v>5</v>
      </c>
      <c r="V180">
        <v>0</v>
      </c>
      <c r="W180">
        <v>2</v>
      </c>
      <c r="X180">
        <v>0</v>
      </c>
      <c r="Z180" s="26">
        <f t="shared" si="12"/>
        <v>3.8387505415380226E-5</v>
      </c>
      <c r="AA180" s="12">
        <f t="shared" si="9"/>
        <v>0.99900740878854499</v>
      </c>
      <c r="AC180">
        <v>2</v>
      </c>
      <c r="AD180">
        <v>1</v>
      </c>
      <c r="AE180">
        <v>3</v>
      </c>
      <c r="AG180" s="25">
        <f>IF(P180="*","-",IFERROR(VLOOKUP(P180,'All MECSM samples'!$P$4:$AD$454,15,FALSE),"-"))</f>
        <v>6</v>
      </c>
      <c r="AI180" s="9">
        <f t="shared" si="10"/>
        <v>0</v>
      </c>
      <c r="AJ180" s="9">
        <f t="shared" si="11"/>
        <v>0</v>
      </c>
      <c r="AK180" s="11">
        <f>SUM(AI$4:AI180)/SUM(AJ$4:AJ180)</f>
        <v>0.81889763779527558</v>
      </c>
    </row>
    <row r="181" spans="1:37" x14ac:dyDescent="0.35">
      <c r="A181" t="s">
        <v>456</v>
      </c>
      <c r="B181">
        <v>6</v>
      </c>
      <c r="C181" t="s">
        <v>7</v>
      </c>
      <c r="D181" t="s">
        <v>8</v>
      </c>
      <c r="E181" t="s">
        <v>9</v>
      </c>
      <c r="G181" t="s">
        <v>10</v>
      </c>
      <c r="I181" t="s">
        <v>11</v>
      </c>
      <c r="K181" t="s">
        <v>12</v>
      </c>
      <c r="M181" t="s">
        <v>13</v>
      </c>
      <c r="O181">
        <v>0.95</v>
      </c>
      <c r="P181" s="9" t="s">
        <v>509</v>
      </c>
      <c r="Q181">
        <v>96.4</v>
      </c>
      <c r="R181">
        <v>2</v>
      </c>
      <c r="S181">
        <v>5</v>
      </c>
      <c r="T181">
        <v>0</v>
      </c>
      <c r="U181">
        <v>1</v>
      </c>
      <c r="V181">
        <v>0</v>
      </c>
      <c r="W181">
        <v>0</v>
      </c>
      <c r="X181">
        <v>0</v>
      </c>
      <c r="Z181" s="26">
        <f t="shared" si="12"/>
        <v>3.2903576070325909E-5</v>
      </c>
      <c r="AA181" s="12">
        <f t="shared" si="9"/>
        <v>0.99904031236461532</v>
      </c>
      <c r="AC181">
        <v>28</v>
      </c>
      <c r="AD181">
        <v>4</v>
      </c>
      <c r="AE181">
        <v>4</v>
      </c>
      <c r="AG181" s="25">
        <f>IF(P181="*","-",IFERROR(VLOOKUP(P181,'All MECSM samples'!$P$4:$AD$454,15,FALSE),"-"))</f>
        <v>30</v>
      </c>
      <c r="AI181" s="9">
        <f t="shared" si="10"/>
        <v>0</v>
      </c>
      <c r="AJ181" s="9">
        <f t="shared" si="11"/>
        <v>0</v>
      </c>
      <c r="AK181" s="11">
        <f>SUM(AI$4:AI181)/SUM(AJ$4:AJ181)</f>
        <v>0.81889763779527558</v>
      </c>
    </row>
    <row r="182" spans="1:37" x14ac:dyDescent="0.35">
      <c r="A182" t="s">
        <v>510</v>
      </c>
      <c r="B182">
        <v>6</v>
      </c>
      <c r="C182" t="s">
        <v>7</v>
      </c>
      <c r="D182" t="s">
        <v>8</v>
      </c>
      <c r="E182" t="s">
        <v>120</v>
      </c>
      <c r="G182" t="s">
        <v>121</v>
      </c>
      <c r="I182" t="s">
        <v>122</v>
      </c>
      <c r="K182" t="s">
        <v>123</v>
      </c>
      <c r="O182">
        <v>0.95</v>
      </c>
      <c r="P182" s="9" t="s">
        <v>224</v>
      </c>
      <c r="Q182">
        <v>85.4</v>
      </c>
      <c r="R182">
        <v>1</v>
      </c>
      <c r="S182">
        <v>2</v>
      </c>
      <c r="T182">
        <v>0</v>
      </c>
      <c r="U182">
        <v>4</v>
      </c>
      <c r="V182">
        <v>0</v>
      </c>
      <c r="W182">
        <v>0</v>
      </c>
      <c r="X182">
        <v>0</v>
      </c>
      <c r="Z182" s="26">
        <f t="shared" si="12"/>
        <v>3.2903576070325909E-5</v>
      </c>
      <c r="AA182" s="12">
        <f t="shared" si="9"/>
        <v>0.99907321594068565</v>
      </c>
      <c r="AC182">
        <v>62</v>
      </c>
      <c r="AD182">
        <v>41</v>
      </c>
      <c r="AE182">
        <v>44</v>
      </c>
      <c r="AG182" s="25">
        <f>IF(P182="*","-",IFERROR(VLOOKUP(P182,'All MECSM samples'!$P$4:$AD$454,15,FALSE),"-"))</f>
        <v>54</v>
      </c>
      <c r="AI182" s="9">
        <f t="shared" si="10"/>
        <v>0</v>
      </c>
      <c r="AJ182" s="9">
        <f t="shared" si="11"/>
        <v>0</v>
      </c>
      <c r="AK182" s="11">
        <f>SUM(AI$4:AI182)/SUM(AJ$4:AJ182)</f>
        <v>0.81889763779527558</v>
      </c>
    </row>
    <row r="183" spans="1:37" x14ac:dyDescent="0.35">
      <c r="A183" t="s">
        <v>488</v>
      </c>
      <c r="B183">
        <v>6</v>
      </c>
      <c r="C183" t="s">
        <v>7</v>
      </c>
      <c r="D183" t="s">
        <v>8</v>
      </c>
      <c r="E183" t="s">
        <v>46</v>
      </c>
      <c r="G183" t="s">
        <v>47</v>
      </c>
      <c r="I183" t="s">
        <v>61</v>
      </c>
      <c r="K183" t="s">
        <v>157</v>
      </c>
      <c r="M183" t="s">
        <v>502</v>
      </c>
      <c r="O183">
        <v>1</v>
      </c>
      <c r="P183" s="9" t="s">
        <v>503</v>
      </c>
      <c r="Q183">
        <v>99.6</v>
      </c>
      <c r="R183">
        <v>1</v>
      </c>
      <c r="S183">
        <v>1</v>
      </c>
      <c r="T183">
        <v>0</v>
      </c>
      <c r="U183">
        <v>3</v>
      </c>
      <c r="V183">
        <v>0</v>
      </c>
      <c r="W183">
        <v>2</v>
      </c>
      <c r="X183">
        <v>0</v>
      </c>
      <c r="Z183" s="26">
        <f t="shared" si="12"/>
        <v>3.2903576070325909E-5</v>
      </c>
      <c r="AA183" s="12">
        <f t="shared" si="9"/>
        <v>0.99910611951675599</v>
      </c>
      <c r="AC183">
        <v>25</v>
      </c>
      <c r="AD183">
        <v>9</v>
      </c>
      <c r="AE183">
        <v>17</v>
      </c>
      <c r="AG183" s="25">
        <f>IF(P183="*","-",IFERROR(VLOOKUP(P183,'All MECSM samples'!$P$4:$AD$454,15,FALSE),"-"))</f>
        <v>473</v>
      </c>
      <c r="AI183" s="9">
        <f t="shared" si="10"/>
        <v>0</v>
      </c>
      <c r="AJ183" s="9">
        <f t="shared" si="11"/>
        <v>0</v>
      </c>
      <c r="AK183" s="11">
        <f>SUM(AI$4:AI183)/SUM(AJ$4:AJ183)</f>
        <v>0.81889763779527558</v>
      </c>
    </row>
    <row r="184" spans="1:37" x14ac:dyDescent="0.35">
      <c r="A184" t="s">
        <v>535</v>
      </c>
      <c r="B184">
        <v>6</v>
      </c>
      <c r="C184" t="s">
        <v>7</v>
      </c>
      <c r="D184" t="s">
        <v>8</v>
      </c>
      <c r="E184" t="s">
        <v>496</v>
      </c>
      <c r="G184" t="s">
        <v>496</v>
      </c>
      <c r="I184" t="s">
        <v>497</v>
      </c>
      <c r="K184" t="s">
        <v>498</v>
      </c>
      <c r="M184" t="s">
        <v>499</v>
      </c>
      <c r="O184">
        <v>1</v>
      </c>
      <c r="P184" s="9" t="s">
        <v>500</v>
      </c>
      <c r="Q184">
        <v>98.4</v>
      </c>
      <c r="R184">
        <v>1</v>
      </c>
      <c r="S184">
        <v>3</v>
      </c>
      <c r="T184">
        <v>0</v>
      </c>
      <c r="U184">
        <v>3</v>
      </c>
      <c r="V184">
        <v>0</v>
      </c>
      <c r="W184">
        <v>0</v>
      </c>
      <c r="X184">
        <v>0</v>
      </c>
      <c r="Z184" s="26">
        <f t="shared" si="12"/>
        <v>3.2903576070325909E-5</v>
      </c>
      <c r="AA184" s="12">
        <f t="shared" si="9"/>
        <v>0.99913902309282632</v>
      </c>
      <c r="AC184">
        <v>0</v>
      </c>
      <c r="AD184">
        <v>0</v>
      </c>
      <c r="AE184">
        <v>0</v>
      </c>
      <c r="AG184" s="25">
        <f>IF(P184="*","-",IFERROR(VLOOKUP(P184,'All MECSM samples'!$P$4:$AD$454,15,FALSE),"-"))</f>
        <v>875</v>
      </c>
      <c r="AI184" s="9">
        <f t="shared" si="10"/>
        <v>0</v>
      </c>
      <c r="AJ184" s="9">
        <f t="shared" si="11"/>
        <v>0</v>
      </c>
      <c r="AK184" s="11">
        <f>SUM(AI$4:AI184)/SUM(AJ$4:AJ184)</f>
        <v>0.81889763779527558</v>
      </c>
    </row>
    <row r="185" spans="1:37" x14ac:dyDescent="0.35">
      <c r="A185" t="s">
        <v>461</v>
      </c>
      <c r="B185">
        <v>6</v>
      </c>
      <c r="C185" t="s">
        <v>7</v>
      </c>
      <c r="D185" t="s">
        <v>8</v>
      </c>
      <c r="E185" t="s">
        <v>46</v>
      </c>
      <c r="O185">
        <v>0.51</v>
      </c>
      <c r="P185" s="9" t="s">
        <v>511</v>
      </c>
      <c r="Q185">
        <v>86.6</v>
      </c>
      <c r="R185">
        <v>2</v>
      </c>
      <c r="S185">
        <v>3</v>
      </c>
      <c r="T185">
        <v>0</v>
      </c>
      <c r="U185">
        <v>1</v>
      </c>
      <c r="V185">
        <v>0</v>
      </c>
      <c r="W185">
        <v>2</v>
      </c>
      <c r="X185">
        <v>0</v>
      </c>
      <c r="Z185" s="26">
        <f t="shared" si="12"/>
        <v>3.2903576070325909E-5</v>
      </c>
      <c r="AA185" s="12">
        <f t="shared" si="9"/>
        <v>0.99917192666889665</v>
      </c>
      <c r="AC185">
        <v>0</v>
      </c>
      <c r="AD185">
        <v>0</v>
      </c>
      <c r="AE185">
        <v>1</v>
      </c>
      <c r="AG185" s="25">
        <f>IF(P185="*","-",IFERROR(VLOOKUP(P185,'All MECSM samples'!$P$4:$AD$454,15,FALSE),"-"))</f>
        <v>484</v>
      </c>
      <c r="AI185" s="9">
        <f t="shared" si="10"/>
        <v>0</v>
      </c>
      <c r="AJ185" s="9">
        <f t="shared" si="11"/>
        <v>0</v>
      </c>
      <c r="AK185" s="11">
        <f>SUM(AI$4:AI185)/SUM(AJ$4:AJ185)</f>
        <v>0.81889763779527558</v>
      </c>
    </row>
    <row r="186" spans="1:37" x14ac:dyDescent="0.35">
      <c r="A186" t="s">
        <v>526</v>
      </c>
      <c r="B186">
        <v>6</v>
      </c>
      <c r="C186" t="s">
        <v>7</v>
      </c>
      <c r="D186" t="s">
        <v>8</v>
      </c>
      <c r="E186" t="s">
        <v>9</v>
      </c>
      <c r="G186" t="s">
        <v>172</v>
      </c>
      <c r="I186" t="s">
        <v>491</v>
      </c>
      <c r="K186" t="s">
        <v>492</v>
      </c>
      <c r="M186" t="s">
        <v>493</v>
      </c>
      <c r="O186">
        <v>0.59</v>
      </c>
      <c r="P186" s="9" t="s">
        <v>494</v>
      </c>
      <c r="Q186">
        <v>100</v>
      </c>
      <c r="R186">
        <v>4</v>
      </c>
      <c r="S186">
        <v>4</v>
      </c>
      <c r="T186">
        <v>0</v>
      </c>
      <c r="U186">
        <v>1</v>
      </c>
      <c r="V186">
        <v>0</v>
      </c>
      <c r="W186">
        <v>1</v>
      </c>
      <c r="X186">
        <v>0</v>
      </c>
      <c r="Z186" s="26">
        <f t="shared" si="12"/>
        <v>3.2903576070325909E-5</v>
      </c>
      <c r="AA186" s="12">
        <f t="shared" si="9"/>
        <v>0.99920483024496698</v>
      </c>
      <c r="AC186">
        <v>85</v>
      </c>
      <c r="AD186">
        <v>22</v>
      </c>
      <c r="AE186">
        <v>44</v>
      </c>
      <c r="AG186" s="25">
        <f>IF(P186="*","-",IFERROR(VLOOKUP(P186,'All MECSM samples'!$P$4:$AD$454,15,FALSE),"-"))</f>
        <v>93</v>
      </c>
      <c r="AI186" s="9">
        <f t="shared" si="10"/>
        <v>0</v>
      </c>
      <c r="AJ186" s="9">
        <f t="shared" si="11"/>
        <v>0</v>
      </c>
      <c r="AK186" s="11">
        <f>SUM(AI$4:AI186)/SUM(AJ$4:AJ186)</f>
        <v>0.81889763779527558</v>
      </c>
    </row>
    <row r="187" spans="1:37" x14ac:dyDescent="0.35">
      <c r="A187" t="s">
        <v>404</v>
      </c>
      <c r="B187">
        <v>6</v>
      </c>
      <c r="C187" t="s">
        <v>7</v>
      </c>
      <c r="D187" t="s">
        <v>8</v>
      </c>
      <c r="E187" t="s">
        <v>46</v>
      </c>
      <c r="G187" t="s">
        <v>47</v>
      </c>
      <c r="I187" t="s">
        <v>69</v>
      </c>
      <c r="K187" t="s">
        <v>70</v>
      </c>
      <c r="O187">
        <v>0.8</v>
      </c>
      <c r="P187" s="9" t="s">
        <v>507</v>
      </c>
      <c r="Q187">
        <v>91.7</v>
      </c>
      <c r="R187">
        <v>3</v>
      </c>
      <c r="S187">
        <v>6</v>
      </c>
      <c r="T187">
        <v>0</v>
      </c>
      <c r="U187">
        <v>0</v>
      </c>
      <c r="V187">
        <v>0</v>
      </c>
      <c r="W187">
        <v>0</v>
      </c>
      <c r="X187">
        <v>0</v>
      </c>
      <c r="Z187" s="26">
        <f t="shared" si="12"/>
        <v>3.2903576070325909E-5</v>
      </c>
      <c r="AA187" s="12">
        <f t="shared" si="9"/>
        <v>0.99923773382103731</v>
      </c>
      <c r="AC187">
        <v>28</v>
      </c>
      <c r="AD187">
        <v>0</v>
      </c>
      <c r="AE187">
        <v>0</v>
      </c>
      <c r="AG187" s="25">
        <f>IF(P187="*","-",IFERROR(VLOOKUP(P187,'All MECSM samples'!$P$4:$AD$454,15,FALSE),"-"))</f>
        <v>624</v>
      </c>
      <c r="AI187" s="9">
        <f t="shared" si="10"/>
        <v>0</v>
      </c>
      <c r="AJ187" s="9">
        <f t="shared" si="11"/>
        <v>0</v>
      </c>
      <c r="AK187" s="11">
        <f>SUM(AI$4:AI187)/SUM(AJ$4:AJ187)</f>
        <v>0.81889763779527558</v>
      </c>
    </row>
    <row r="188" spans="1:37" x14ac:dyDescent="0.35">
      <c r="A188" t="s">
        <v>586</v>
      </c>
      <c r="B188">
        <v>6</v>
      </c>
      <c r="C188" t="s">
        <v>7</v>
      </c>
      <c r="D188" t="s">
        <v>8</v>
      </c>
      <c r="E188" t="s">
        <v>9</v>
      </c>
      <c r="G188" t="s">
        <v>10</v>
      </c>
      <c r="I188" t="s">
        <v>131</v>
      </c>
      <c r="K188" t="s">
        <v>150</v>
      </c>
      <c r="M188" t="s">
        <v>151</v>
      </c>
      <c r="O188">
        <v>0.64</v>
      </c>
      <c r="P188" s="9" t="s">
        <v>152</v>
      </c>
      <c r="Q188">
        <v>97.2</v>
      </c>
      <c r="R188">
        <v>1</v>
      </c>
      <c r="S188">
        <v>5</v>
      </c>
      <c r="T188">
        <v>0</v>
      </c>
      <c r="U188">
        <v>1</v>
      </c>
      <c r="V188">
        <v>0</v>
      </c>
      <c r="W188">
        <v>0</v>
      </c>
      <c r="X188">
        <v>0</v>
      </c>
      <c r="Z188" s="26">
        <f t="shared" si="12"/>
        <v>3.2903576070325909E-5</v>
      </c>
      <c r="AA188" s="12">
        <f t="shared" si="9"/>
        <v>0.99927063739710764</v>
      </c>
      <c r="AC188">
        <v>45</v>
      </c>
      <c r="AD188">
        <v>0</v>
      </c>
      <c r="AE188">
        <v>11</v>
      </c>
      <c r="AG188" s="25">
        <f>IF(P188="*","-",IFERROR(VLOOKUP(P188,'All MECSM samples'!$P$4:$AD$454,15,FALSE),"-"))</f>
        <v>577</v>
      </c>
      <c r="AI188" s="9">
        <f t="shared" si="10"/>
        <v>0</v>
      </c>
      <c r="AJ188" s="9">
        <f t="shared" si="11"/>
        <v>0</v>
      </c>
      <c r="AK188" s="11">
        <f>SUM(AI$4:AI188)/SUM(AJ$4:AJ188)</f>
        <v>0.81889763779527558</v>
      </c>
    </row>
    <row r="189" spans="1:37" x14ac:dyDescent="0.35">
      <c r="A189" t="s">
        <v>490</v>
      </c>
      <c r="B189">
        <v>6</v>
      </c>
      <c r="C189" t="s">
        <v>7</v>
      </c>
      <c r="D189" t="s">
        <v>8</v>
      </c>
      <c r="E189" t="s">
        <v>46</v>
      </c>
      <c r="G189" t="s">
        <v>47</v>
      </c>
      <c r="I189" t="s">
        <v>61</v>
      </c>
      <c r="K189" t="s">
        <v>84</v>
      </c>
      <c r="M189" t="s">
        <v>475</v>
      </c>
      <c r="O189">
        <v>1</v>
      </c>
      <c r="P189" s="9" t="s">
        <v>505</v>
      </c>
      <c r="Q189">
        <v>100</v>
      </c>
      <c r="R189">
        <v>2</v>
      </c>
      <c r="S189">
        <v>5</v>
      </c>
      <c r="T189">
        <v>0</v>
      </c>
      <c r="U189">
        <v>1</v>
      </c>
      <c r="V189">
        <v>0</v>
      </c>
      <c r="W189">
        <v>0</v>
      </c>
      <c r="X189">
        <v>0</v>
      </c>
      <c r="Z189" s="26">
        <f t="shared" si="12"/>
        <v>3.2903576070325909E-5</v>
      </c>
      <c r="AA189" s="12">
        <f t="shared" si="9"/>
        <v>0.99930354097317797</v>
      </c>
      <c r="AC189">
        <v>30</v>
      </c>
      <c r="AD189">
        <v>83</v>
      </c>
      <c r="AE189">
        <v>2</v>
      </c>
      <c r="AG189" s="25">
        <f>IF(P189="*","-",IFERROR(VLOOKUP(P189,'All MECSM samples'!$P$4:$AD$454,15,FALSE),"-"))</f>
        <v>505</v>
      </c>
      <c r="AI189" s="9">
        <f t="shared" si="10"/>
        <v>0</v>
      </c>
      <c r="AJ189" s="9">
        <f t="shared" si="11"/>
        <v>0</v>
      </c>
      <c r="AK189" s="11">
        <f>SUM(AI$4:AI189)/SUM(AJ$4:AJ189)</f>
        <v>0.81889763779527558</v>
      </c>
    </row>
    <row r="190" spans="1:37" x14ac:dyDescent="0.35">
      <c r="A190" t="s">
        <v>534</v>
      </c>
      <c r="B190">
        <v>5</v>
      </c>
      <c r="C190" t="s">
        <v>7</v>
      </c>
      <c r="D190" t="s">
        <v>8</v>
      </c>
      <c r="E190" t="s">
        <v>46</v>
      </c>
      <c r="G190" t="s">
        <v>47</v>
      </c>
      <c r="I190" t="s">
        <v>61</v>
      </c>
      <c r="O190">
        <v>0.69</v>
      </c>
      <c r="P190" s="9" t="s">
        <v>127</v>
      </c>
      <c r="Q190">
        <v>92.9</v>
      </c>
      <c r="R190">
        <v>1</v>
      </c>
      <c r="S190">
        <v>4</v>
      </c>
      <c r="T190">
        <v>0</v>
      </c>
      <c r="U190">
        <v>0</v>
      </c>
      <c r="V190">
        <v>0</v>
      </c>
      <c r="W190">
        <v>1</v>
      </c>
      <c r="X190">
        <v>0</v>
      </c>
      <c r="Z190" s="26">
        <f t="shared" si="12"/>
        <v>2.7419646725271592E-5</v>
      </c>
      <c r="AA190" s="12">
        <f t="shared" si="9"/>
        <v>0.99933096061990323</v>
      </c>
      <c r="AC190">
        <v>44</v>
      </c>
      <c r="AD190">
        <v>9</v>
      </c>
      <c r="AE190">
        <v>44</v>
      </c>
      <c r="AG190" s="25">
        <f>IF(P190="*","-",IFERROR(VLOOKUP(P190,'All MECSM samples'!$P$4:$AD$454,15,FALSE),"-"))</f>
        <v>128</v>
      </c>
      <c r="AI190" s="9">
        <f t="shared" si="10"/>
        <v>0</v>
      </c>
      <c r="AJ190" s="9">
        <f t="shared" si="11"/>
        <v>0</v>
      </c>
      <c r="AK190" s="11">
        <f>SUM(AI$4:AI190)/SUM(AJ$4:AJ190)</f>
        <v>0.81889763779527558</v>
      </c>
    </row>
    <row r="191" spans="1:37" x14ac:dyDescent="0.35">
      <c r="A191" t="s">
        <v>559</v>
      </c>
      <c r="B191">
        <v>5</v>
      </c>
      <c r="C191" t="s">
        <v>7</v>
      </c>
      <c r="D191" t="s">
        <v>24</v>
      </c>
      <c r="E191" t="s">
        <v>25</v>
      </c>
      <c r="G191" t="s">
        <v>40</v>
      </c>
      <c r="I191" t="s">
        <v>56</v>
      </c>
      <c r="K191" t="s">
        <v>523</v>
      </c>
      <c r="M191" t="s">
        <v>524</v>
      </c>
      <c r="O191">
        <v>1</v>
      </c>
      <c r="P191" s="9" t="s">
        <v>525</v>
      </c>
      <c r="Q191">
        <v>99.6</v>
      </c>
      <c r="R191">
        <v>2</v>
      </c>
      <c r="S191">
        <v>3</v>
      </c>
      <c r="T191">
        <v>0</v>
      </c>
      <c r="U191">
        <v>1</v>
      </c>
      <c r="V191">
        <v>0</v>
      </c>
      <c r="W191">
        <v>1</v>
      </c>
      <c r="X191">
        <v>0</v>
      </c>
      <c r="Z191" s="26">
        <f t="shared" si="12"/>
        <v>2.7419646725271592E-5</v>
      </c>
      <c r="AA191" s="12">
        <f t="shared" si="9"/>
        <v>0.99935838026662849</v>
      </c>
      <c r="AC191">
        <v>0</v>
      </c>
      <c r="AD191">
        <v>1</v>
      </c>
      <c r="AE191">
        <v>22</v>
      </c>
      <c r="AG191" s="25">
        <f>IF(P191="*","-",IFERROR(VLOOKUP(P191,'All MECSM samples'!$P$4:$AD$454,15,FALSE),"-"))</f>
        <v>316</v>
      </c>
      <c r="AI191" s="9">
        <f t="shared" si="10"/>
        <v>0</v>
      </c>
      <c r="AJ191" s="9">
        <f t="shared" si="11"/>
        <v>0</v>
      </c>
      <c r="AK191" s="11">
        <f>SUM(AI$4:AI191)/SUM(AJ$4:AJ191)</f>
        <v>0.81889763779527558</v>
      </c>
    </row>
    <row r="192" spans="1:37" x14ac:dyDescent="0.35">
      <c r="A192" t="s">
        <v>542</v>
      </c>
      <c r="B192">
        <v>5</v>
      </c>
      <c r="C192" t="s">
        <v>7</v>
      </c>
      <c r="D192" t="s">
        <v>8</v>
      </c>
      <c r="O192">
        <v>1</v>
      </c>
      <c r="P192" s="36" t="s">
        <v>521</v>
      </c>
      <c r="Q192">
        <v>86.6</v>
      </c>
      <c r="R192">
        <v>12</v>
      </c>
      <c r="S192">
        <v>0</v>
      </c>
      <c r="T192">
        <v>0</v>
      </c>
      <c r="U192">
        <v>5</v>
      </c>
      <c r="V192">
        <v>0</v>
      </c>
      <c r="W192">
        <v>0</v>
      </c>
      <c r="X192">
        <v>0</v>
      </c>
      <c r="Z192" s="26">
        <f t="shared" si="12"/>
        <v>2.7419646725271592E-5</v>
      </c>
      <c r="AA192" s="12">
        <f t="shared" si="9"/>
        <v>0.99938579991335375</v>
      </c>
      <c r="AC192">
        <v>0</v>
      </c>
      <c r="AD192">
        <v>100</v>
      </c>
      <c r="AE192">
        <v>40</v>
      </c>
      <c r="AG192" s="25">
        <f>IF(P192="*","-",IFERROR(VLOOKUP(P192,'All MECSM samples'!$P$4:$AD$454,15,FALSE),"-"))</f>
        <v>5</v>
      </c>
      <c r="AI192" s="9">
        <f t="shared" si="10"/>
        <v>0</v>
      </c>
      <c r="AJ192" s="9">
        <f t="shared" si="11"/>
        <v>1</v>
      </c>
      <c r="AK192" s="11">
        <f>SUM(AI$4:AI192)/SUM(AJ$4:AJ192)</f>
        <v>0.8125</v>
      </c>
    </row>
    <row r="193" spans="1:37" x14ac:dyDescent="0.35">
      <c r="A193" t="s">
        <v>575</v>
      </c>
      <c r="B193">
        <v>5</v>
      </c>
      <c r="C193" t="s">
        <v>7</v>
      </c>
      <c r="D193" t="s">
        <v>8</v>
      </c>
      <c r="E193" t="s">
        <v>120</v>
      </c>
      <c r="G193" t="s">
        <v>121</v>
      </c>
      <c r="I193" t="s">
        <v>122</v>
      </c>
      <c r="K193" t="s">
        <v>123</v>
      </c>
      <c r="O193">
        <v>1</v>
      </c>
      <c r="P193" s="9" t="s">
        <v>518</v>
      </c>
      <c r="Q193">
        <v>95.3</v>
      </c>
      <c r="R193">
        <v>1</v>
      </c>
      <c r="S193">
        <v>0</v>
      </c>
      <c r="T193">
        <v>0</v>
      </c>
      <c r="U193">
        <v>4</v>
      </c>
      <c r="V193">
        <v>0</v>
      </c>
      <c r="W193">
        <v>1</v>
      </c>
      <c r="X193">
        <v>0</v>
      </c>
      <c r="Z193" s="26">
        <f t="shared" si="12"/>
        <v>2.7419646725271592E-5</v>
      </c>
      <c r="AA193" s="12">
        <f t="shared" si="9"/>
        <v>0.999413219560079</v>
      </c>
      <c r="AC193">
        <v>12</v>
      </c>
      <c r="AD193">
        <v>98</v>
      </c>
      <c r="AE193">
        <v>9</v>
      </c>
      <c r="AG193" s="25">
        <f>IF(P193="*","-",IFERROR(VLOOKUP(P193,'All MECSM samples'!$P$4:$AD$454,15,FALSE),"-"))</f>
        <v>7</v>
      </c>
      <c r="AI193" s="9">
        <f t="shared" si="10"/>
        <v>0</v>
      </c>
      <c r="AJ193" s="9">
        <f t="shared" si="11"/>
        <v>1</v>
      </c>
      <c r="AK193" s="11">
        <f>SUM(AI$4:AI193)/SUM(AJ$4:AJ193)</f>
        <v>0.80620155038759689</v>
      </c>
    </row>
    <row r="194" spans="1:37" x14ac:dyDescent="0.35">
      <c r="A194" t="s">
        <v>155</v>
      </c>
      <c r="B194">
        <v>5</v>
      </c>
      <c r="C194" t="s">
        <v>7</v>
      </c>
      <c r="D194" t="s">
        <v>8</v>
      </c>
      <c r="E194" t="s">
        <v>46</v>
      </c>
      <c r="G194" t="s">
        <v>47</v>
      </c>
      <c r="I194" t="s">
        <v>61</v>
      </c>
      <c r="K194" t="s">
        <v>527</v>
      </c>
      <c r="M194" t="s">
        <v>528</v>
      </c>
      <c r="O194">
        <v>1</v>
      </c>
      <c r="P194" s="9" t="s">
        <v>529</v>
      </c>
      <c r="Q194">
        <v>100</v>
      </c>
      <c r="R194">
        <v>1</v>
      </c>
      <c r="S194">
        <v>1</v>
      </c>
      <c r="T194">
        <v>0</v>
      </c>
      <c r="U194">
        <v>3</v>
      </c>
      <c r="V194">
        <v>0</v>
      </c>
      <c r="W194">
        <v>1</v>
      </c>
      <c r="X194">
        <v>0</v>
      </c>
      <c r="Z194" s="26">
        <f t="shared" si="12"/>
        <v>2.7419646725271592E-5</v>
      </c>
      <c r="AA194" s="12">
        <f t="shared" si="9"/>
        <v>0.99944063920680426</v>
      </c>
      <c r="AC194">
        <v>16</v>
      </c>
      <c r="AD194">
        <v>0</v>
      </c>
      <c r="AE194">
        <v>0</v>
      </c>
      <c r="AG194" s="25">
        <f>IF(P194="*","-",IFERROR(VLOOKUP(P194,'All MECSM samples'!$P$4:$AD$454,15,FALSE),"-"))</f>
        <v>289</v>
      </c>
      <c r="AI194" s="9">
        <f t="shared" si="10"/>
        <v>0</v>
      </c>
      <c r="AJ194" s="9">
        <f t="shared" si="11"/>
        <v>0</v>
      </c>
      <c r="AK194" s="11">
        <f>SUM(AI$4:AI194)/SUM(AJ$4:AJ194)</f>
        <v>0.80620155038759689</v>
      </c>
    </row>
    <row r="195" spans="1:37" x14ac:dyDescent="0.35">
      <c r="A195" t="s">
        <v>471</v>
      </c>
      <c r="B195">
        <v>5</v>
      </c>
      <c r="C195" t="s">
        <v>7</v>
      </c>
      <c r="D195" t="s">
        <v>8</v>
      </c>
      <c r="E195" t="s">
        <v>46</v>
      </c>
      <c r="G195" t="s">
        <v>47</v>
      </c>
      <c r="I195" t="s">
        <v>61</v>
      </c>
      <c r="O195">
        <v>0.99</v>
      </c>
      <c r="P195" s="9" t="s">
        <v>516</v>
      </c>
      <c r="Q195">
        <v>92.9</v>
      </c>
      <c r="R195">
        <v>1</v>
      </c>
      <c r="S195">
        <v>1</v>
      </c>
      <c r="T195">
        <v>0</v>
      </c>
      <c r="U195">
        <v>0</v>
      </c>
      <c r="V195">
        <v>0</v>
      </c>
      <c r="W195">
        <v>4</v>
      </c>
      <c r="X195">
        <v>0</v>
      </c>
      <c r="Z195" s="26">
        <f t="shared" si="12"/>
        <v>2.7419646725271592E-5</v>
      </c>
      <c r="AA195" s="12">
        <f t="shared" si="9"/>
        <v>0.99946805885352952</v>
      </c>
      <c r="AC195">
        <v>42</v>
      </c>
      <c r="AD195">
        <v>0</v>
      </c>
      <c r="AE195">
        <v>0</v>
      </c>
      <c r="AG195" s="25" t="str">
        <f>IF(P195="*","-",IFERROR(VLOOKUP(P195,'All MECSM samples'!$P$4:$AD$454,15,FALSE),"-"))</f>
        <v>-</v>
      </c>
      <c r="AI195" s="9">
        <f t="shared" si="10"/>
        <v>0</v>
      </c>
      <c r="AJ195" s="9">
        <f t="shared" si="11"/>
        <v>0</v>
      </c>
      <c r="AK195" s="11">
        <f>SUM(AI$4:AI195)/SUM(AJ$4:AJ195)</f>
        <v>0.80620155038759689</v>
      </c>
    </row>
    <row r="196" spans="1:37" x14ac:dyDescent="0.35">
      <c r="A196" t="s">
        <v>552</v>
      </c>
      <c r="B196">
        <v>5</v>
      </c>
      <c r="C196" t="s">
        <v>7</v>
      </c>
      <c r="D196" t="s">
        <v>8</v>
      </c>
      <c r="E196" t="s">
        <v>32</v>
      </c>
      <c r="G196" t="s">
        <v>35</v>
      </c>
      <c r="I196" t="s">
        <v>36</v>
      </c>
      <c r="K196" t="s">
        <v>37</v>
      </c>
      <c r="O196">
        <v>0.84</v>
      </c>
      <c r="P196" s="105" t="s">
        <v>401</v>
      </c>
      <c r="Q196">
        <v>89.3</v>
      </c>
      <c r="R196">
        <v>1</v>
      </c>
      <c r="S196">
        <v>2</v>
      </c>
      <c r="T196">
        <v>0</v>
      </c>
      <c r="U196">
        <v>1</v>
      </c>
      <c r="V196">
        <v>0</v>
      </c>
      <c r="W196">
        <v>2</v>
      </c>
      <c r="X196">
        <v>0</v>
      </c>
      <c r="Z196" s="26">
        <f t="shared" si="12"/>
        <v>2.7419646725271592E-5</v>
      </c>
      <c r="AA196" s="12">
        <f t="shared" si="9"/>
        <v>0.99949547850025477</v>
      </c>
      <c r="AC196">
        <v>0</v>
      </c>
      <c r="AD196">
        <v>4</v>
      </c>
      <c r="AE196">
        <v>69</v>
      </c>
      <c r="AG196" s="25">
        <f>IF(P196="*","-",IFERROR(VLOOKUP(P196,'All MECSM samples'!$P$4:$AD$454,15,FALSE),"-"))</f>
        <v>6</v>
      </c>
      <c r="AI196" s="9">
        <f t="shared" si="10"/>
        <v>0</v>
      </c>
      <c r="AJ196" s="9">
        <f t="shared" si="11"/>
        <v>0</v>
      </c>
      <c r="AK196" s="11">
        <f>SUM(AI$4:AI196)/SUM(AJ$4:AJ196)</f>
        <v>0.80620155038759689</v>
      </c>
    </row>
    <row r="197" spans="1:37" x14ac:dyDescent="0.35">
      <c r="A197" t="s">
        <v>567</v>
      </c>
      <c r="B197">
        <v>4</v>
      </c>
      <c r="C197" t="s">
        <v>7</v>
      </c>
      <c r="D197" t="s">
        <v>8</v>
      </c>
      <c r="E197" t="s">
        <v>46</v>
      </c>
      <c r="G197" t="s">
        <v>47</v>
      </c>
      <c r="I197" t="s">
        <v>61</v>
      </c>
      <c r="O197">
        <v>0.55000000000000004</v>
      </c>
      <c r="P197" s="9" t="s">
        <v>545</v>
      </c>
      <c r="Q197">
        <v>89.3</v>
      </c>
      <c r="R197">
        <v>2</v>
      </c>
      <c r="S197">
        <v>3</v>
      </c>
      <c r="T197">
        <v>0</v>
      </c>
      <c r="U197">
        <v>1</v>
      </c>
      <c r="V197">
        <v>0</v>
      </c>
      <c r="W197">
        <v>0</v>
      </c>
      <c r="X197">
        <v>0</v>
      </c>
      <c r="Z197" s="26">
        <f t="shared" si="12"/>
        <v>2.1935717380217275E-5</v>
      </c>
      <c r="AA197" s="12">
        <f t="shared" ref="AA197:AA225" si="13">AA196+Z197</f>
        <v>0.99951741421763496</v>
      </c>
      <c r="AC197">
        <v>18</v>
      </c>
      <c r="AD197">
        <v>17</v>
      </c>
      <c r="AE197">
        <v>62</v>
      </c>
      <c r="AG197" s="25">
        <f>IF(P197="*","-",IFERROR(VLOOKUP(P197,'All MECSM samples'!$P$4:$AD$454,15,FALSE),"-"))</f>
        <v>99</v>
      </c>
      <c r="AI197" s="9">
        <f t="shared" ref="AI197:AI225" si="14">IF(OR(AND(AC197&gt;=90, T197&gt;0), AND(AD197&gt;=90, V197&gt;0), AND(AE197&gt;=90, X197&gt;0)), 1, 0)</f>
        <v>0</v>
      </c>
      <c r="AJ197" s="9">
        <f t="shared" ref="AJ197:AJ225" si="15">IF(OR(AC197&gt;=90,AD197&gt;=90,AE197&gt;=90),1,0)</f>
        <v>0</v>
      </c>
      <c r="AK197" s="11">
        <f>SUM(AI$4:AI197)/SUM(AJ$4:AJ197)</f>
        <v>0.80620155038759689</v>
      </c>
    </row>
    <row r="198" spans="1:37" x14ac:dyDescent="0.35">
      <c r="A198" t="s">
        <v>474</v>
      </c>
      <c r="B198">
        <v>4</v>
      </c>
      <c r="C198" t="s">
        <v>7</v>
      </c>
      <c r="D198" t="s">
        <v>8</v>
      </c>
      <c r="E198" t="s">
        <v>32</v>
      </c>
      <c r="O198">
        <v>1</v>
      </c>
      <c r="P198" s="105" t="s">
        <v>375</v>
      </c>
      <c r="Q198">
        <v>85.8</v>
      </c>
      <c r="R198">
        <v>1</v>
      </c>
      <c r="S198">
        <v>1</v>
      </c>
      <c r="T198">
        <v>0</v>
      </c>
      <c r="U198">
        <v>2</v>
      </c>
      <c r="V198">
        <v>0</v>
      </c>
      <c r="W198">
        <v>1</v>
      </c>
      <c r="X198">
        <v>0</v>
      </c>
      <c r="Z198" s="26">
        <f t="shared" ref="Z198:Z225" si="16">B198/Z$1</f>
        <v>2.1935717380217275E-5</v>
      </c>
      <c r="AA198" s="12">
        <f t="shared" si="13"/>
        <v>0.99953934993501514</v>
      </c>
      <c r="AC198">
        <v>13</v>
      </c>
      <c r="AD198">
        <v>0</v>
      </c>
      <c r="AE198">
        <v>0</v>
      </c>
      <c r="AG198" s="25">
        <f>IF(P198="*","-",IFERROR(VLOOKUP(P198,'All MECSM samples'!$P$4:$AD$454,15,FALSE),"-"))</f>
        <v>2087</v>
      </c>
      <c r="AI198" s="9">
        <f t="shared" si="14"/>
        <v>0</v>
      </c>
      <c r="AJ198" s="9">
        <f t="shared" si="15"/>
        <v>0</v>
      </c>
      <c r="AK198" s="11">
        <f>SUM(AI$4:AI198)/SUM(AJ$4:AJ198)</f>
        <v>0.80620155038759689</v>
      </c>
    </row>
    <row r="199" spans="1:37" x14ac:dyDescent="0.35">
      <c r="A199" t="s">
        <v>520</v>
      </c>
      <c r="B199">
        <v>4</v>
      </c>
      <c r="C199" t="s">
        <v>7</v>
      </c>
      <c r="D199" t="s">
        <v>8</v>
      </c>
      <c r="O199">
        <v>1</v>
      </c>
      <c r="P199" s="9" t="s">
        <v>536</v>
      </c>
      <c r="Q199">
        <v>89.3</v>
      </c>
      <c r="R199">
        <v>1</v>
      </c>
      <c r="S199">
        <v>4</v>
      </c>
      <c r="T199">
        <v>0</v>
      </c>
      <c r="U199">
        <v>0</v>
      </c>
      <c r="V199">
        <v>0</v>
      </c>
      <c r="W199">
        <v>0</v>
      </c>
      <c r="X199">
        <v>0</v>
      </c>
      <c r="Z199" s="26">
        <f t="shared" si="16"/>
        <v>2.1935717380217275E-5</v>
      </c>
      <c r="AA199" s="12">
        <f t="shared" si="13"/>
        <v>0.99956128565239533</v>
      </c>
      <c r="AC199">
        <v>64</v>
      </c>
      <c r="AD199">
        <v>7</v>
      </c>
      <c r="AE199">
        <v>2</v>
      </c>
      <c r="AG199" s="25">
        <f>IF(P199="*","-",IFERROR(VLOOKUP(P199,'All MECSM samples'!$P$4:$AD$454,15,FALSE),"-"))</f>
        <v>114</v>
      </c>
      <c r="AI199" s="9">
        <f t="shared" si="14"/>
        <v>0</v>
      </c>
      <c r="AJ199" s="9">
        <f t="shared" si="15"/>
        <v>0</v>
      </c>
      <c r="AK199" s="11">
        <f>SUM(AI$4:AI199)/SUM(AJ$4:AJ199)</f>
        <v>0.80620155038759689</v>
      </c>
    </row>
    <row r="200" spans="1:37" x14ac:dyDescent="0.35">
      <c r="A200" t="s">
        <v>508</v>
      </c>
      <c r="B200">
        <v>4</v>
      </c>
      <c r="C200" t="s">
        <v>7</v>
      </c>
      <c r="D200" t="s">
        <v>8</v>
      </c>
      <c r="E200" t="s">
        <v>9</v>
      </c>
      <c r="G200" t="s">
        <v>138</v>
      </c>
      <c r="I200" t="s">
        <v>345</v>
      </c>
      <c r="K200" t="s">
        <v>547</v>
      </c>
      <c r="O200">
        <v>0.93</v>
      </c>
      <c r="P200" s="9" t="s">
        <v>548</v>
      </c>
      <c r="Q200">
        <v>99.6</v>
      </c>
      <c r="R200">
        <v>1</v>
      </c>
      <c r="S200">
        <v>2</v>
      </c>
      <c r="T200">
        <v>0</v>
      </c>
      <c r="U200">
        <v>2</v>
      </c>
      <c r="V200">
        <v>0</v>
      </c>
      <c r="W200">
        <v>0</v>
      </c>
      <c r="X200">
        <v>0</v>
      </c>
      <c r="Z200" s="26">
        <f t="shared" si="16"/>
        <v>2.1935717380217275E-5</v>
      </c>
      <c r="AA200" s="12">
        <f t="shared" si="13"/>
        <v>0.99958322136977551</v>
      </c>
      <c r="AC200">
        <v>23</v>
      </c>
      <c r="AD200">
        <v>19</v>
      </c>
      <c r="AE200">
        <v>47</v>
      </c>
      <c r="AG200" s="25">
        <f>IF(P200="*","-",IFERROR(VLOOKUP(P200,'All MECSM samples'!$P$4:$AD$454,15,FALSE),"-"))</f>
        <v>1137</v>
      </c>
      <c r="AI200" s="9">
        <f t="shared" si="14"/>
        <v>0</v>
      </c>
      <c r="AJ200" s="9">
        <f t="shared" si="15"/>
        <v>0</v>
      </c>
      <c r="AK200" s="11">
        <f>SUM(AI$4:AI200)/SUM(AJ$4:AJ200)</f>
        <v>0.80620155038759689</v>
      </c>
    </row>
    <row r="201" spans="1:37" x14ac:dyDescent="0.35">
      <c r="A201" t="s">
        <v>483</v>
      </c>
      <c r="B201">
        <v>4</v>
      </c>
      <c r="C201" t="s">
        <v>7</v>
      </c>
      <c r="D201" t="s">
        <v>8</v>
      </c>
      <c r="E201" t="s">
        <v>32</v>
      </c>
      <c r="G201" t="s">
        <v>35</v>
      </c>
      <c r="I201" t="s">
        <v>36</v>
      </c>
      <c r="K201" t="s">
        <v>37</v>
      </c>
      <c r="M201" t="s">
        <v>480</v>
      </c>
      <c r="O201">
        <v>0.5</v>
      </c>
      <c r="P201" s="105" t="s">
        <v>401</v>
      </c>
      <c r="Q201">
        <v>90.5</v>
      </c>
      <c r="R201">
        <v>1</v>
      </c>
      <c r="S201">
        <v>0</v>
      </c>
      <c r="T201">
        <v>0</v>
      </c>
      <c r="U201">
        <v>1</v>
      </c>
      <c r="V201">
        <v>0</v>
      </c>
      <c r="W201">
        <v>3</v>
      </c>
      <c r="X201">
        <v>0</v>
      </c>
      <c r="Z201" s="26">
        <f t="shared" si="16"/>
        <v>2.1935717380217275E-5</v>
      </c>
      <c r="AA201" s="12">
        <f t="shared" si="13"/>
        <v>0.99960515708715569</v>
      </c>
      <c r="AC201">
        <v>2</v>
      </c>
      <c r="AD201">
        <v>12</v>
      </c>
      <c r="AE201">
        <v>19</v>
      </c>
      <c r="AG201" s="25">
        <f>IF(P201="*","-",IFERROR(VLOOKUP(P201,'All MECSM samples'!$P$4:$AD$454,15,FALSE),"-"))</f>
        <v>6</v>
      </c>
      <c r="AI201" s="9">
        <f t="shared" si="14"/>
        <v>0</v>
      </c>
      <c r="AJ201" s="9">
        <f t="shared" si="15"/>
        <v>0</v>
      </c>
      <c r="AK201" s="11">
        <f>SUM(AI$4:AI201)/SUM(AJ$4:AJ201)</f>
        <v>0.80620155038759689</v>
      </c>
    </row>
    <row r="202" spans="1:37" x14ac:dyDescent="0.35">
      <c r="A202" t="s">
        <v>514</v>
      </c>
      <c r="B202">
        <v>4</v>
      </c>
      <c r="C202" t="s">
        <v>7</v>
      </c>
      <c r="D202" t="s">
        <v>8</v>
      </c>
      <c r="E202" t="s">
        <v>46</v>
      </c>
      <c r="G202" t="s">
        <v>47</v>
      </c>
      <c r="I202" t="s">
        <v>61</v>
      </c>
      <c r="O202">
        <v>0.69</v>
      </c>
      <c r="P202" s="9" t="s">
        <v>354</v>
      </c>
      <c r="Q202">
        <v>89.7</v>
      </c>
      <c r="R202">
        <v>1</v>
      </c>
      <c r="S202">
        <v>0</v>
      </c>
      <c r="T202">
        <v>0</v>
      </c>
      <c r="U202">
        <v>4</v>
      </c>
      <c r="V202">
        <v>0</v>
      </c>
      <c r="W202">
        <v>0</v>
      </c>
      <c r="X202">
        <v>0</v>
      </c>
      <c r="Z202" s="26">
        <f t="shared" si="16"/>
        <v>2.1935717380217275E-5</v>
      </c>
      <c r="AA202" s="12">
        <f t="shared" si="13"/>
        <v>0.99962709280453588</v>
      </c>
      <c r="AC202">
        <v>18</v>
      </c>
      <c r="AD202">
        <v>2</v>
      </c>
      <c r="AE202">
        <v>2</v>
      </c>
      <c r="AG202" s="25">
        <f>IF(P202="*","-",IFERROR(VLOOKUP(P202,'All MECSM samples'!$P$4:$AD$454,15,FALSE),"-"))</f>
        <v>905</v>
      </c>
      <c r="AI202" s="9">
        <f t="shared" si="14"/>
        <v>0</v>
      </c>
      <c r="AJ202" s="9">
        <f t="shared" si="15"/>
        <v>0</v>
      </c>
      <c r="AK202" s="11">
        <f>SUM(AI$4:AI202)/SUM(AJ$4:AJ202)</f>
        <v>0.80620155038759689</v>
      </c>
    </row>
    <row r="203" spans="1:37" x14ac:dyDescent="0.35">
      <c r="A203" t="s">
        <v>504</v>
      </c>
      <c r="B203">
        <v>4</v>
      </c>
      <c r="C203" t="s">
        <v>7</v>
      </c>
      <c r="D203" t="s">
        <v>8</v>
      </c>
      <c r="E203" t="s">
        <v>9</v>
      </c>
      <c r="G203" t="s">
        <v>10</v>
      </c>
      <c r="I203" t="s">
        <v>131</v>
      </c>
      <c r="K203" t="s">
        <v>150</v>
      </c>
      <c r="M203" t="s">
        <v>151</v>
      </c>
      <c r="O203">
        <v>0.7</v>
      </c>
      <c r="P203" s="9" t="s">
        <v>152</v>
      </c>
      <c r="Q203">
        <v>93.3</v>
      </c>
      <c r="R203">
        <v>1</v>
      </c>
      <c r="S203">
        <v>2</v>
      </c>
      <c r="T203">
        <v>0</v>
      </c>
      <c r="U203">
        <v>2</v>
      </c>
      <c r="V203">
        <v>0</v>
      </c>
      <c r="W203">
        <v>0</v>
      </c>
      <c r="X203">
        <v>0</v>
      </c>
      <c r="Z203" s="26">
        <f t="shared" si="16"/>
        <v>2.1935717380217275E-5</v>
      </c>
      <c r="AA203" s="12">
        <f t="shared" si="13"/>
        <v>0.99964902852191606</v>
      </c>
      <c r="AC203">
        <v>0</v>
      </c>
      <c r="AD203">
        <v>0</v>
      </c>
      <c r="AE203">
        <v>0</v>
      </c>
      <c r="AG203" s="25">
        <f>IF(P203="*","-",IFERROR(VLOOKUP(P203,'All MECSM samples'!$P$4:$AD$454,15,FALSE),"-"))</f>
        <v>577</v>
      </c>
      <c r="AI203" s="9">
        <f t="shared" si="14"/>
        <v>0</v>
      </c>
      <c r="AJ203" s="9">
        <f t="shared" si="15"/>
        <v>0</v>
      </c>
      <c r="AK203" s="11">
        <f>SUM(AI$4:AI203)/SUM(AJ$4:AJ203)</f>
        <v>0.80620155038759689</v>
      </c>
    </row>
    <row r="204" spans="1:37" x14ac:dyDescent="0.35">
      <c r="A204" t="s">
        <v>437</v>
      </c>
      <c r="B204">
        <v>4</v>
      </c>
      <c r="C204" t="s">
        <v>7</v>
      </c>
      <c r="D204" t="s">
        <v>8</v>
      </c>
      <c r="E204" t="s">
        <v>9</v>
      </c>
      <c r="G204" t="s">
        <v>138</v>
      </c>
      <c r="I204" t="s">
        <v>345</v>
      </c>
      <c r="K204" t="s">
        <v>538</v>
      </c>
      <c r="M204" t="s">
        <v>539</v>
      </c>
      <c r="O204">
        <v>0.99</v>
      </c>
      <c r="P204" s="9" t="s">
        <v>540</v>
      </c>
      <c r="Q204">
        <v>100</v>
      </c>
      <c r="R204">
        <v>2</v>
      </c>
      <c r="S204">
        <v>1</v>
      </c>
      <c r="T204">
        <v>0</v>
      </c>
      <c r="U204">
        <v>3</v>
      </c>
      <c r="V204">
        <v>0</v>
      </c>
      <c r="W204">
        <v>0</v>
      </c>
      <c r="X204">
        <v>0</v>
      </c>
      <c r="Z204" s="26">
        <f t="shared" si="16"/>
        <v>2.1935717380217275E-5</v>
      </c>
      <c r="AA204" s="12">
        <f t="shared" si="13"/>
        <v>0.99967096423929624</v>
      </c>
      <c r="AC204">
        <v>16</v>
      </c>
      <c r="AD204">
        <v>0</v>
      </c>
      <c r="AE204">
        <v>28</v>
      </c>
      <c r="AG204" s="25">
        <f>IF(P204="*","-",IFERROR(VLOOKUP(P204,'All MECSM samples'!$P$4:$AD$454,15,FALSE),"-"))</f>
        <v>748</v>
      </c>
      <c r="AI204" s="9">
        <f t="shared" si="14"/>
        <v>0</v>
      </c>
      <c r="AJ204" s="9">
        <f t="shared" si="15"/>
        <v>0</v>
      </c>
      <c r="AK204" s="11">
        <f>SUM(AI$4:AI204)/SUM(AJ$4:AJ204)</f>
        <v>0.80620155038759689</v>
      </c>
    </row>
    <row r="205" spans="1:37" x14ac:dyDescent="0.35">
      <c r="A205" t="s">
        <v>537</v>
      </c>
      <c r="B205">
        <v>4</v>
      </c>
      <c r="C205" t="s">
        <v>7</v>
      </c>
      <c r="D205" t="s">
        <v>8</v>
      </c>
      <c r="E205" t="s">
        <v>46</v>
      </c>
      <c r="G205" t="s">
        <v>47</v>
      </c>
      <c r="I205" t="s">
        <v>61</v>
      </c>
      <c r="O205">
        <v>0.8</v>
      </c>
      <c r="P205" s="9" t="s">
        <v>62</v>
      </c>
      <c r="Q205">
        <v>90.9</v>
      </c>
      <c r="R205">
        <v>1</v>
      </c>
      <c r="S205">
        <v>1</v>
      </c>
      <c r="T205">
        <v>0</v>
      </c>
      <c r="U205">
        <v>2</v>
      </c>
      <c r="V205">
        <v>0</v>
      </c>
      <c r="W205">
        <v>1</v>
      </c>
      <c r="X205">
        <v>0</v>
      </c>
      <c r="Z205" s="26">
        <f t="shared" si="16"/>
        <v>2.1935717380217275E-5</v>
      </c>
      <c r="AA205" s="12">
        <f t="shared" si="13"/>
        <v>0.99969289995667643</v>
      </c>
      <c r="AC205">
        <v>15</v>
      </c>
      <c r="AD205">
        <v>15</v>
      </c>
      <c r="AE205">
        <v>100</v>
      </c>
      <c r="AG205" s="25">
        <f>IF(P205="*","-",IFERROR(VLOOKUP(P205,'All MECSM samples'!$P$4:$AD$454,15,FALSE),"-"))</f>
        <v>2474</v>
      </c>
      <c r="AI205" s="9">
        <f t="shared" si="14"/>
        <v>0</v>
      </c>
      <c r="AJ205" s="9">
        <f t="shared" si="15"/>
        <v>1</v>
      </c>
      <c r="AK205" s="11">
        <f>SUM(AI$4:AI205)/SUM(AJ$4:AJ205)</f>
        <v>0.8</v>
      </c>
    </row>
    <row r="206" spans="1:37" x14ac:dyDescent="0.35">
      <c r="A206" t="s">
        <v>501</v>
      </c>
      <c r="B206">
        <v>4</v>
      </c>
      <c r="C206" t="s">
        <v>7</v>
      </c>
      <c r="D206" t="s">
        <v>8</v>
      </c>
      <c r="E206" t="s">
        <v>46</v>
      </c>
      <c r="G206" t="s">
        <v>47</v>
      </c>
      <c r="I206" t="s">
        <v>61</v>
      </c>
      <c r="K206" t="s">
        <v>190</v>
      </c>
      <c r="M206" t="s">
        <v>273</v>
      </c>
      <c r="O206">
        <v>0.9</v>
      </c>
      <c r="P206" s="9" t="s">
        <v>543</v>
      </c>
      <c r="Q206">
        <v>95.7</v>
      </c>
      <c r="R206">
        <v>3</v>
      </c>
      <c r="S206">
        <v>0</v>
      </c>
      <c r="T206">
        <v>0</v>
      </c>
      <c r="U206">
        <v>0</v>
      </c>
      <c r="V206">
        <v>0</v>
      </c>
      <c r="W206">
        <v>4</v>
      </c>
      <c r="X206">
        <v>0</v>
      </c>
      <c r="Z206" s="26">
        <f t="shared" si="16"/>
        <v>2.1935717380217275E-5</v>
      </c>
      <c r="AA206" s="12">
        <f t="shared" si="13"/>
        <v>0.99971483567405661</v>
      </c>
      <c r="AC206">
        <v>47</v>
      </c>
      <c r="AD206">
        <v>0</v>
      </c>
      <c r="AE206">
        <v>17</v>
      </c>
      <c r="AG206" s="25">
        <f>IF(P206="*","-",IFERROR(VLOOKUP(P206,'All MECSM samples'!$P$4:$AD$454,15,FALSE),"-"))</f>
        <v>4</v>
      </c>
      <c r="AI206" s="9">
        <f t="shared" si="14"/>
        <v>0</v>
      </c>
      <c r="AJ206" s="9">
        <f t="shared" si="15"/>
        <v>0</v>
      </c>
      <c r="AK206" s="11">
        <f>SUM(AI$4:AI206)/SUM(AJ$4:AJ206)</f>
        <v>0.8</v>
      </c>
    </row>
    <row r="207" spans="1:37" x14ac:dyDescent="0.35">
      <c r="A207" t="s">
        <v>532</v>
      </c>
      <c r="B207">
        <v>3</v>
      </c>
      <c r="C207" t="s">
        <v>7</v>
      </c>
      <c r="D207" t="s">
        <v>8</v>
      </c>
      <c r="E207" t="s">
        <v>32</v>
      </c>
      <c r="G207" t="s">
        <v>35</v>
      </c>
      <c r="I207" t="s">
        <v>36</v>
      </c>
      <c r="K207" t="s">
        <v>37</v>
      </c>
      <c r="O207">
        <v>0.97</v>
      </c>
      <c r="P207" s="105" t="s">
        <v>401</v>
      </c>
      <c r="Q207">
        <v>91.7</v>
      </c>
      <c r="R207">
        <v>1</v>
      </c>
      <c r="S207">
        <v>2</v>
      </c>
      <c r="T207">
        <v>0</v>
      </c>
      <c r="U207">
        <v>0</v>
      </c>
      <c r="V207">
        <v>0</v>
      </c>
      <c r="W207">
        <v>1</v>
      </c>
      <c r="X207">
        <v>0</v>
      </c>
      <c r="Z207" s="26">
        <f t="shared" si="16"/>
        <v>1.6451788035162954E-5</v>
      </c>
      <c r="AA207" s="12">
        <f t="shared" si="13"/>
        <v>0.99973128746209172</v>
      </c>
      <c r="AC207">
        <v>2</v>
      </c>
      <c r="AD207">
        <v>83</v>
      </c>
      <c r="AE207">
        <v>18</v>
      </c>
      <c r="AG207" s="25">
        <f>IF(P207="*","-",IFERROR(VLOOKUP(P207,'All MECSM samples'!$P$4:$AD$454,15,FALSE),"-"))</f>
        <v>6</v>
      </c>
      <c r="AI207" s="9">
        <f t="shared" si="14"/>
        <v>0</v>
      </c>
      <c r="AJ207" s="9">
        <f t="shared" si="15"/>
        <v>0</v>
      </c>
      <c r="AK207" s="11">
        <f>SUM(AI$4:AI207)/SUM(AJ$4:AJ207)</f>
        <v>0.8</v>
      </c>
    </row>
    <row r="208" spans="1:37" x14ac:dyDescent="0.35">
      <c r="A208" t="s">
        <v>279</v>
      </c>
      <c r="B208">
        <v>3</v>
      </c>
      <c r="C208" t="s">
        <v>7</v>
      </c>
      <c r="D208" t="s">
        <v>8</v>
      </c>
      <c r="E208" t="s">
        <v>32</v>
      </c>
      <c r="G208" t="s">
        <v>35</v>
      </c>
      <c r="I208" t="s">
        <v>36</v>
      </c>
      <c r="K208" t="s">
        <v>37</v>
      </c>
      <c r="O208">
        <v>0.97</v>
      </c>
      <c r="P208" s="105" t="s">
        <v>401</v>
      </c>
      <c r="Q208">
        <v>93.7</v>
      </c>
      <c r="R208">
        <v>1</v>
      </c>
      <c r="S208">
        <v>0</v>
      </c>
      <c r="T208">
        <v>0</v>
      </c>
      <c r="U208">
        <v>1</v>
      </c>
      <c r="V208">
        <v>0</v>
      </c>
      <c r="W208">
        <v>2</v>
      </c>
      <c r="X208">
        <v>0</v>
      </c>
      <c r="Z208" s="26">
        <f t="shared" si="16"/>
        <v>1.6451788035162954E-5</v>
      </c>
      <c r="AA208" s="12">
        <f t="shared" si="13"/>
        <v>0.99974773925012683</v>
      </c>
      <c r="AC208">
        <v>2</v>
      </c>
      <c r="AD208">
        <v>8</v>
      </c>
      <c r="AE208">
        <v>26</v>
      </c>
      <c r="AG208" s="25">
        <f>IF(P208="*","-",IFERROR(VLOOKUP(P208,'All MECSM samples'!$P$4:$AD$454,15,FALSE),"-"))</f>
        <v>6</v>
      </c>
      <c r="AI208" s="9">
        <f t="shared" si="14"/>
        <v>0</v>
      </c>
      <c r="AJ208" s="9">
        <f t="shared" si="15"/>
        <v>0</v>
      </c>
      <c r="AK208" s="11">
        <f>SUM(AI$4:AI208)/SUM(AJ$4:AJ208)</f>
        <v>0.8</v>
      </c>
    </row>
    <row r="209" spans="1:37" x14ac:dyDescent="0.35">
      <c r="A209" t="s">
        <v>433</v>
      </c>
      <c r="B209">
        <v>3</v>
      </c>
      <c r="C209" t="s">
        <v>7</v>
      </c>
      <c r="D209" t="s">
        <v>8</v>
      </c>
      <c r="E209" t="s">
        <v>46</v>
      </c>
      <c r="G209" t="s">
        <v>47</v>
      </c>
      <c r="I209" t="s">
        <v>61</v>
      </c>
      <c r="O209">
        <v>0.65</v>
      </c>
      <c r="P209" s="9" t="s">
        <v>321</v>
      </c>
      <c r="Q209">
        <v>90.5</v>
      </c>
      <c r="R209">
        <v>1</v>
      </c>
      <c r="S209">
        <v>0</v>
      </c>
      <c r="T209">
        <v>0</v>
      </c>
      <c r="U209">
        <v>2</v>
      </c>
      <c r="V209">
        <v>0</v>
      </c>
      <c r="W209">
        <v>1</v>
      </c>
      <c r="X209">
        <v>0</v>
      </c>
      <c r="Z209" s="26">
        <f t="shared" si="16"/>
        <v>1.6451788035162954E-5</v>
      </c>
      <c r="AA209" s="12">
        <f t="shared" si="13"/>
        <v>0.99976419103816194</v>
      </c>
      <c r="AC209">
        <v>14</v>
      </c>
      <c r="AD209">
        <v>0</v>
      </c>
      <c r="AE209">
        <v>0</v>
      </c>
      <c r="AG209" s="25">
        <f>IF(P209="*","-",IFERROR(VLOOKUP(P209,'All MECSM samples'!$P$4:$AD$454,15,FALSE),"-"))</f>
        <v>276</v>
      </c>
      <c r="AI209" s="9">
        <f t="shared" si="14"/>
        <v>0</v>
      </c>
      <c r="AJ209" s="9">
        <f t="shared" si="15"/>
        <v>0</v>
      </c>
      <c r="AK209" s="11">
        <f>SUM(AI$4:AI209)/SUM(AJ$4:AJ209)</f>
        <v>0.8</v>
      </c>
    </row>
    <row r="210" spans="1:37" x14ac:dyDescent="0.35">
      <c r="A210" t="s">
        <v>553</v>
      </c>
      <c r="B210">
        <v>3</v>
      </c>
      <c r="C210" t="s">
        <v>7</v>
      </c>
      <c r="D210" t="s">
        <v>8</v>
      </c>
      <c r="E210" t="s">
        <v>120</v>
      </c>
      <c r="G210" t="s">
        <v>121</v>
      </c>
      <c r="I210" t="s">
        <v>122</v>
      </c>
      <c r="K210" t="s">
        <v>123</v>
      </c>
      <c r="O210">
        <v>0.8</v>
      </c>
      <c r="P210" s="9" t="s">
        <v>98</v>
      </c>
      <c r="Q210">
        <v>0</v>
      </c>
      <c r="R210">
        <v>1</v>
      </c>
      <c r="S210">
        <v>3</v>
      </c>
      <c r="T210">
        <v>0</v>
      </c>
      <c r="U210">
        <v>0</v>
      </c>
      <c r="V210">
        <v>0</v>
      </c>
      <c r="W210">
        <v>0</v>
      </c>
      <c r="X210">
        <v>0</v>
      </c>
      <c r="Z210" s="26">
        <f t="shared" si="16"/>
        <v>1.6451788035162954E-5</v>
      </c>
      <c r="AA210" s="12">
        <f t="shared" si="13"/>
        <v>0.99978064282619705</v>
      </c>
      <c r="AC210">
        <v>85</v>
      </c>
      <c r="AD210">
        <v>0</v>
      </c>
      <c r="AE210">
        <v>0</v>
      </c>
      <c r="AG210" s="25" t="str">
        <f>IF(P210="*","-",IFERROR(VLOOKUP(P210,'All MECSM samples'!$P$4:$AD$454,15,FALSE),"-"))</f>
        <v>-</v>
      </c>
      <c r="AI210" s="9">
        <f t="shared" si="14"/>
        <v>0</v>
      </c>
      <c r="AJ210" s="9">
        <f t="shared" si="15"/>
        <v>0</v>
      </c>
      <c r="AK210" s="11">
        <f>SUM(AI$4:AI210)/SUM(AJ$4:AJ210)</f>
        <v>0.8</v>
      </c>
    </row>
    <row r="211" spans="1:37" x14ac:dyDescent="0.35">
      <c r="A211" t="s">
        <v>517</v>
      </c>
      <c r="B211">
        <v>3</v>
      </c>
      <c r="C211" t="s">
        <v>7</v>
      </c>
      <c r="D211" t="s">
        <v>8</v>
      </c>
      <c r="E211" t="s">
        <v>9</v>
      </c>
      <c r="G211" t="s">
        <v>243</v>
      </c>
      <c r="I211" t="s">
        <v>568</v>
      </c>
      <c r="K211" t="s">
        <v>569</v>
      </c>
      <c r="M211" t="s">
        <v>570</v>
      </c>
      <c r="O211">
        <v>1</v>
      </c>
      <c r="P211" s="9" t="s">
        <v>571</v>
      </c>
      <c r="Q211">
        <v>99.2</v>
      </c>
      <c r="R211">
        <v>1</v>
      </c>
      <c r="S211">
        <v>2</v>
      </c>
      <c r="T211">
        <v>0</v>
      </c>
      <c r="U211">
        <v>1</v>
      </c>
      <c r="V211">
        <v>0</v>
      </c>
      <c r="W211">
        <v>0</v>
      </c>
      <c r="X211">
        <v>0</v>
      </c>
      <c r="Z211" s="26">
        <f t="shared" si="16"/>
        <v>1.6451788035162954E-5</v>
      </c>
      <c r="AA211" s="12">
        <f t="shared" si="13"/>
        <v>0.99979709461423216</v>
      </c>
      <c r="AC211">
        <v>0</v>
      </c>
      <c r="AD211">
        <v>0</v>
      </c>
      <c r="AE211">
        <v>0</v>
      </c>
      <c r="AG211" s="25">
        <f>IF(P211="*","-",IFERROR(VLOOKUP(P211,'All MECSM samples'!$P$4:$AD$454,15,FALSE),"-"))</f>
        <v>449</v>
      </c>
      <c r="AI211" s="9">
        <f t="shared" si="14"/>
        <v>0</v>
      </c>
      <c r="AJ211" s="9">
        <f t="shared" si="15"/>
        <v>0</v>
      </c>
      <c r="AK211" s="11">
        <f>SUM(AI$4:AI211)/SUM(AJ$4:AJ211)</f>
        <v>0.8</v>
      </c>
    </row>
    <row r="212" spans="1:37" x14ac:dyDescent="0.35">
      <c r="A212" t="s">
        <v>589</v>
      </c>
      <c r="B212">
        <v>3</v>
      </c>
      <c r="C212" t="s">
        <v>7</v>
      </c>
      <c r="D212" t="s">
        <v>8</v>
      </c>
      <c r="E212" t="s">
        <v>32</v>
      </c>
      <c r="G212" t="s">
        <v>35</v>
      </c>
      <c r="I212" t="s">
        <v>36</v>
      </c>
      <c r="K212" t="s">
        <v>37</v>
      </c>
      <c r="O212">
        <v>0.98</v>
      </c>
      <c r="P212" s="105" t="s">
        <v>401</v>
      </c>
      <c r="Q212">
        <v>96.4</v>
      </c>
      <c r="R212">
        <v>1</v>
      </c>
      <c r="S212">
        <v>1</v>
      </c>
      <c r="T212">
        <v>0</v>
      </c>
      <c r="U212">
        <v>0</v>
      </c>
      <c r="V212">
        <v>0</v>
      </c>
      <c r="W212">
        <v>2</v>
      </c>
      <c r="X212">
        <v>0</v>
      </c>
      <c r="Z212" s="26">
        <f t="shared" si="16"/>
        <v>1.6451788035162954E-5</v>
      </c>
      <c r="AA212" s="12">
        <f t="shared" si="13"/>
        <v>0.99981354640226727</v>
      </c>
      <c r="AC212">
        <v>0</v>
      </c>
      <c r="AD212">
        <v>0</v>
      </c>
      <c r="AE212">
        <v>0</v>
      </c>
      <c r="AG212" s="25">
        <f>IF(P212="*","-",IFERROR(VLOOKUP(P212,'All MECSM samples'!$P$4:$AD$454,15,FALSE),"-"))</f>
        <v>6</v>
      </c>
      <c r="AI212" s="9">
        <f t="shared" si="14"/>
        <v>0</v>
      </c>
      <c r="AJ212" s="9">
        <f t="shared" si="15"/>
        <v>0</v>
      </c>
      <c r="AK212" s="11">
        <f>SUM(AI$4:AI212)/SUM(AJ$4:AJ212)</f>
        <v>0.8</v>
      </c>
    </row>
    <row r="213" spans="1:37" x14ac:dyDescent="0.35">
      <c r="A213" t="s">
        <v>495</v>
      </c>
      <c r="B213">
        <v>3</v>
      </c>
      <c r="C213" t="s">
        <v>7</v>
      </c>
      <c r="D213" t="s">
        <v>8</v>
      </c>
      <c r="E213" t="s">
        <v>290</v>
      </c>
      <c r="G213" t="s">
        <v>556</v>
      </c>
      <c r="M213" t="s">
        <v>557</v>
      </c>
      <c r="O213">
        <v>0.65</v>
      </c>
      <c r="P213" s="9" t="s">
        <v>558</v>
      </c>
      <c r="Q213">
        <v>96</v>
      </c>
      <c r="R213">
        <v>1</v>
      </c>
      <c r="S213">
        <v>3</v>
      </c>
      <c r="T213">
        <v>0</v>
      </c>
      <c r="U213">
        <v>0</v>
      </c>
      <c r="V213">
        <v>0</v>
      </c>
      <c r="W213">
        <v>0</v>
      </c>
      <c r="X213">
        <v>0</v>
      </c>
      <c r="Z213" s="26">
        <f t="shared" si="16"/>
        <v>1.6451788035162954E-5</v>
      </c>
      <c r="AA213" s="12">
        <f t="shared" si="13"/>
        <v>0.99982999819030238</v>
      </c>
      <c r="AC213">
        <v>45</v>
      </c>
      <c r="AD213">
        <v>13</v>
      </c>
      <c r="AE213">
        <v>81</v>
      </c>
      <c r="AG213" s="25">
        <f>IF(P213="*","-",IFERROR(VLOOKUP(P213,'All MECSM samples'!$P$4:$AD$454,15,FALSE),"-"))</f>
        <v>7</v>
      </c>
      <c r="AI213" s="9">
        <f t="shared" si="14"/>
        <v>0</v>
      </c>
      <c r="AJ213" s="9">
        <f t="shared" si="15"/>
        <v>0</v>
      </c>
      <c r="AK213" s="11">
        <f>SUM(AI$4:AI213)/SUM(AJ$4:AJ213)</f>
        <v>0.8</v>
      </c>
    </row>
    <row r="214" spans="1:37" x14ac:dyDescent="0.35">
      <c r="A214" t="s">
        <v>577</v>
      </c>
      <c r="B214">
        <v>3</v>
      </c>
      <c r="C214" t="s">
        <v>7</v>
      </c>
      <c r="D214" t="s">
        <v>8</v>
      </c>
      <c r="E214" t="s">
        <v>290</v>
      </c>
      <c r="G214" t="s">
        <v>556</v>
      </c>
      <c r="M214" t="s">
        <v>566</v>
      </c>
      <c r="O214">
        <v>0.56000000000000005</v>
      </c>
      <c r="P214" s="9" t="s">
        <v>558</v>
      </c>
      <c r="Q214">
        <v>94.5</v>
      </c>
      <c r="R214">
        <v>1</v>
      </c>
      <c r="S214">
        <v>3</v>
      </c>
      <c r="T214">
        <v>0</v>
      </c>
      <c r="U214">
        <v>0</v>
      </c>
      <c r="V214">
        <v>0</v>
      </c>
      <c r="W214">
        <v>0</v>
      </c>
      <c r="X214">
        <v>0</v>
      </c>
      <c r="Z214" s="26">
        <f t="shared" si="16"/>
        <v>1.6451788035162954E-5</v>
      </c>
      <c r="AA214" s="12">
        <f t="shared" si="13"/>
        <v>0.99984644997833749</v>
      </c>
      <c r="AC214">
        <v>61</v>
      </c>
      <c r="AD214">
        <v>1</v>
      </c>
      <c r="AE214">
        <v>3</v>
      </c>
      <c r="AG214" s="25">
        <f>IF(P214="*","-",IFERROR(VLOOKUP(P214,'All MECSM samples'!$P$4:$AD$454,15,FALSE),"-"))</f>
        <v>7</v>
      </c>
      <c r="AI214" s="9">
        <f t="shared" si="14"/>
        <v>0</v>
      </c>
      <c r="AJ214" s="9">
        <f t="shared" si="15"/>
        <v>0</v>
      </c>
      <c r="AK214" s="11">
        <f>SUM(AI$4:AI214)/SUM(AJ$4:AJ214)</f>
        <v>0.8</v>
      </c>
    </row>
    <row r="215" spans="1:37" x14ac:dyDescent="0.35">
      <c r="A215" t="s">
        <v>544</v>
      </c>
      <c r="B215">
        <v>3</v>
      </c>
      <c r="C215" t="s">
        <v>7</v>
      </c>
      <c r="D215" t="s">
        <v>24</v>
      </c>
      <c r="E215" t="s">
        <v>25</v>
      </c>
      <c r="G215" t="s">
        <v>40</v>
      </c>
      <c r="I215" t="s">
        <v>56</v>
      </c>
      <c r="K215" t="s">
        <v>466</v>
      </c>
      <c r="M215" t="s">
        <v>550</v>
      </c>
      <c r="O215">
        <v>1</v>
      </c>
      <c r="P215" s="9" t="s">
        <v>551</v>
      </c>
      <c r="Q215">
        <v>99.6</v>
      </c>
      <c r="R215">
        <v>1</v>
      </c>
      <c r="S215">
        <v>3</v>
      </c>
      <c r="T215">
        <v>0</v>
      </c>
      <c r="U215">
        <v>0</v>
      </c>
      <c r="V215">
        <v>0</v>
      </c>
      <c r="W215">
        <v>0</v>
      </c>
      <c r="X215">
        <v>0</v>
      </c>
      <c r="Z215" s="26">
        <f t="shared" si="16"/>
        <v>1.6451788035162954E-5</v>
      </c>
      <c r="AA215" s="12">
        <f t="shared" si="13"/>
        <v>0.9998629017663726</v>
      </c>
      <c r="AC215">
        <v>96</v>
      </c>
      <c r="AD215">
        <v>0</v>
      </c>
      <c r="AE215">
        <v>5</v>
      </c>
      <c r="AG215" s="25">
        <f>IF(P215="*","-",IFERROR(VLOOKUP(P215,'All MECSM samples'!$P$4:$AD$454,15,FALSE),"-"))</f>
        <v>3</v>
      </c>
      <c r="AI215" s="9">
        <f t="shared" si="14"/>
        <v>0</v>
      </c>
      <c r="AJ215" s="9">
        <f t="shared" si="15"/>
        <v>1</v>
      </c>
      <c r="AK215" s="11">
        <f>SUM(AI$4:AI215)/SUM(AJ$4:AJ215)</f>
        <v>0.79389312977099236</v>
      </c>
    </row>
    <row r="216" spans="1:37" x14ac:dyDescent="0.35">
      <c r="A216" t="s">
        <v>533</v>
      </c>
      <c r="B216">
        <v>3</v>
      </c>
      <c r="C216" t="s">
        <v>7</v>
      </c>
      <c r="D216" t="s">
        <v>8</v>
      </c>
      <c r="E216" t="s">
        <v>46</v>
      </c>
      <c r="G216" t="s">
        <v>47</v>
      </c>
      <c r="I216" t="s">
        <v>61</v>
      </c>
      <c r="K216" t="s">
        <v>561</v>
      </c>
      <c r="M216" t="s">
        <v>562</v>
      </c>
      <c r="O216">
        <v>1</v>
      </c>
      <c r="P216" s="9" t="s">
        <v>563</v>
      </c>
      <c r="Q216">
        <v>100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3</v>
      </c>
      <c r="X216">
        <v>0</v>
      </c>
      <c r="Z216" s="26">
        <f t="shared" si="16"/>
        <v>1.6451788035162954E-5</v>
      </c>
      <c r="AA216" s="12">
        <f t="shared" si="13"/>
        <v>0.99987935355440771</v>
      </c>
      <c r="AC216">
        <v>22</v>
      </c>
      <c r="AD216">
        <v>7</v>
      </c>
      <c r="AE216">
        <v>2</v>
      </c>
      <c r="AG216" s="25">
        <f>IF(P216="*","-",IFERROR(VLOOKUP(P216,'All MECSM samples'!$P$4:$AD$454,15,FALSE),"-"))</f>
        <v>9</v>
      </c>
      <c r="AI216" s="9">
        <f t="shared" si="14"/>
        <v>0</v>
      </c>
      <c r="AJ216" s="9">
        <f t="shared" si="15"/>
        <v>0</v>
      </c>
      <c r="AK216" s="11">
        <f>SUM(AI$4:AI216)/SUM(AJ$4:AJ216)</f>
        <v>0.79389312977099236</v>
      </c>
    </row>
    <row r="217" spans="1:37" x14ac:dyDescent="0.35">
      <c r="A217" t="s">
        <v>560</v>
      </c>
      <c r="B217">
        <v>2</v>
      </c>
      <c r="C217" t="s">
        <v>7</v>
      </c>
      <c r="D217" t="s">
        <v>8</v>
      </c>
      <c r="E217" t="s">
        <v>9</v>
      </c>
      <c r="G217" t="s">
        <v>172</v>
      </c>
      <c r="I217" t="s">
        <v>173</v>
      </c>
      <c r="K217" t="s">
        <v>590</v>
      </c>
      <c r="M217" t="s">
        <v>591</v>
      </c>
      <c r="O217">
        <v>1</v>
      </c>
      <c r="P217" s="9" t="s">
        <v>592</v>
      </c>
      <c r="Q217">
        <v>100</v>
      </c>
      <c r="R217">
        <v>1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0</v>
      </c>
      <c r="Z217" s="26">
        <f t="shared" si="16"/>
        <v>1.0967858690108637E-5</v>
      </c>
      <c r="AA217" s="12">
        <f t="shared" si="13"/>
        <v>0.99989032141309786</v>
      </c>
      <c r="AC217">
        <v>0</v>
      </c>
      <c r="AD217">
        <v>6</v>
      </c>
      <c r="AE217">
        <v>11</v>
      </c>
      <c r="AG217" s="25">
        <f>IF(P217="*","-",IFERROR(VLOOKUP(P217,'All MECSM samples'!$P$4:$AD$454,15,FALSE),"-"))</f>
        <v>2</v>
      </c>
      <c r="AI217" s="9">
        <f t="shared" si="14"/>
        <v>0</v>
      </c>
      <c r="AJ217" s="9">
        <f t="shared" si="15"/>
        <v>0</v>
      </c>
      <c r="AK217" s="11">
        <f>SUM(AI$4:AI217)/SUM(AJ$4:AJ217)</f>
        <v>0.79389312977099236</v>
      </c>
    </row>
    <row r="218" spans="1:37" x14ac:dyDescent="0.35">
      <c r="A218" t="s">
        <v>598</v>
      </c>
      <c r="B218">
        <v>2</v>
      </c>
      <c r="C218" t="s">
        <v>7</v>
      </c>
      <c r="D218" t="s">
        <v>8</v>
      </c>
      <c r="E218" t="s">
        <v>46</v>
      </c>
      <c r="G218" t="s">
        <v>47</v>
      </c>
      <c r="I218" t="s">
        <v>61</v>
      </c>
      <c r="K218" t="s">
        <v>178</v>
      </c>
      <c r="O218">
        <v>0.94</v>
      </c>
      <c r="P218" s="9" t="s">
        <v>574</v>
      </c>
      <c r="Q218">
        <v>95.6</v>
      </c>
      <c r="R218">
        <v>1</v>
      </c>
      <c r="S218">
        <v>2</v>
      </c>
      <c r="T218">
        <v>0</v>
      </c>
      <c r="U218">
        <v>0</v>
      </c>
      <c r="V218">
        <v>0</v>
      </c>
      <c r="W218">
        <v>0</v>
      </c>
      <c r="X218">
        <v>0</v>
      </c>
      <c r="Z218" s="26">
        <f t="shared" si="16"/>
        <v>1.0967858690108637E-5</v>
      </c>
      <c r="AA218" s="12">
        <f t="shared" si="13"/>
        <v>0.99990128927178801</v>
      </c>
      <c r="AC218">
        <v>65</v>
      </c>
      <c r="AD218">
        <v>0</v>
      </c>
      <c r="AE218">
        <v>16</v>
      </c>
      <c r="AG218" s="25">
        <f>IF(P218="*","-",IFERROR(VLOOKUP(P218,'All MECSM samples'!$P$4:$AD$454,15,FALSE),"-"))</f>
        <v>23</v>
      </c>
      <c r="AI218" s="9">
        <f t="shared" si="14"/>
        <v>0</v>
      </c>
      <c r="AJ218" s="9">
        <f t="shared" si="15"/>
        <v>0</v>
      </c>
      <c r="AK218" s="11">
        <f>SUM(AI$4:AI218)/SUM(AJ$4:AJ218)</f>
        <v>0.79389312977099236</v>
      </c>
    </row>
    <row r="219" spans="1:37" x14ac:dyDescent="0.35">
      <c r="A219" t="s">
        <v>582</v>
      </c>
      <c r="B219">
        <v>2</v>
      </c>
      <c r="C219" t="s">
        <v>7</v>
      </c>
      <c r="D219" t="s">
        <v>8</v>
      </c>
      <c r="E219" t="s">
        <v>32</v>
      </c>
      <c r="G219" t="s">
        <v>35</v>
      </c>
      <c r="I219" t="s">
        <v>36</v>
      </c>
      <c r="K219" t="s">
        <v>194</v>
      </c>
      <c r="M219" t="s">
        <v>600</v>
      </c>
      <c r="O219">
        <v>1</v>
      </c>
      <c r="P219" s="9" t="s">
        <v>601</v>
      </c>
      <c r="Q219">
        <v>100</v>
      </c>
      <c r="R219">
        <v>1</v>
      </c>
      <c r="S219">
        <v>1</v>
      </c>
      <c r="T219">
        <v>0</v>
      </c>
      <c r="U219">
        <v>1</v>
      </c>
      <c r="V219">
        <v>0</v>
      </c>
      <c r="W219">
        <v>0</v>
      </c>
      <c r="X219">
        <v>0</v>
      </c>
      <c r="Z219" s="26">
        <f t="shared" si="16"/>
        <v>1.0967858690108637E-5</v>
      </c>
      <c r="AA219" s="12">
        <f t="shared" si="13"/>
        <v>0.99991225713047815</v>
      </c>
      <c r="AC219">
        <v>15</v>
      </c>
      <c r="AD219">
        <v>0</v>
      </c>
      <c r="AE219">
        <v>14</v>
      </c>
      <c r="AG219" s="25">
        <f>IF(P219="*","-",IFERROR(VLOOKUP(P219,'All MECSM samples'!$P$4:$AD$454,15,FALSE),"-"))</f>
        <v>7</v>
      </c>
      <c r="AI219" s="9">
        <f t="shared" si="14"/>
        <v>0</v>
      </c>
      <c r="AJ219" s="9">
        <f t="shared" si="15"/>
        <v>0</v>
      </c>
      <c r="AK219" s="11">
        <f>SUM(AI$4:AI219)/SUM(AJ$4:AJ219)</f>
        <v>0.79389312977099236</v>
      </c>
    </row>
    <row r="220" spans="1:37" x14ac:dyDescent="0.35">
      <c r="A220" t="s">
        <v>599</v>
      </c>
      <c r="B220">
        <v>2</v>
      </c>
      <c r="C220" t="s">
        <v>7</v>
      </c>
      <c r="D220" t="s">
        <v>8</v>
      </c>
      <c r="E220" t="s">
        <v>46</v>
      </c>
      <c r="G220" t="s">
        <v>47</v>
      </c>
      <c r="I220" t="s">
        <v>61</v>
      </c>
      <c r="K220" t="s">
        <v>190</v>
      </c>
      <c r="M220" t="s">
        <v>587</v>
      </c>
      <c r="O220">
        <v>0.9</v>
      </c>
      <c r="P220" s="9" t="s">
        <v>588</v>
      </c>
      <c r="Q220">
        <v>95.3</v>
      </c>
      <c r="R220">
        <v>1</v>
      </c>
      <c r="S220">
        <v>2</v>
      </c>
      <c r="T220">
        <v>0</v>
      </c>
      <c r="U220">
        <v>0</v>
      </c>
      <c r="V220">
        <v>0</v>
      </c>
      <c r="W220">
        <v>0</v>
      </c>
      <c r="X220">
        <v>0</v>
      </c>
      <c r="Z220" s="26">
        <f t="shared" si="16"/>
        <v>1.0967858690108637E-5</v>
      </c>
      <c r="AA220" s="12">
        <f t="shared" si="13"/>
        <v>0.9999232249891683</v>
      </c>
      <c r="AC220">
        <v>11</v>
      </c>
      <c r="AD220">
        <v>0</v>
      </c>
      <c r="AE220">
        <v>0</v>
      </c>
      <c r="AG220" s="25">
        <f>IF(P220="*","-",IFERROR(VLOOKUP(P220,'All MECSM samples'!$P$4:$AD$454,15,FALSE),"-"))</f>
        <v>293</v>
      </c>
      <c r="AI220" s="9">
        <f t="shared" si="14"/>
        <v>0</v>
      </c>
      <c r="AJ220" s="9">
        <f t="shared" si="15"/>
        <v>0</v>
      </c>
      <c r="AK220" s="11">
        <f>SUM(AI$4:AI220)/SUM(AJ$4:AJ220)</f>
        <v>0.79389312977099236</v>
      </c>
    </row>
    <row r="221" spans="1:37" x14ac:dyDescent="0.35">
      <c r="A221" t="s">
        <v>573</v>
      </c>
      <c r="B221">
        <v>2</v>
      </c>
      <c r="C221" t="s">
        <v>7</v>
      </c>
      <c r="D221" t="s">
        <v>8</v>
      </c>
      <c r="E221" t="s">
        <v>120</v>
      </c>
      <c r="G221" t="s">
        <v>121</v>
      </c>
      <c r="I221" t="s">
        <v>122</v>
      </c>
      <c r="K221" t="s">
        <v>123</v>
      </c>
      <c r="O221">
        <v>1</v>
      </c>
      <c r="P221" s="9" t="s">
        <v>125</v>
      </c>
      <c r="Q221">
        <v>90.9</v>
      </c>
      <c r="R221">
        <v>1</v>
      </c>
      <c r="S221">
        <v>0</v>
      </c>
      <c r="T221">
        <v>0</v>
      </c>
      <c r="U221">
        <v>1</v>
      </c>
      <c r="V221">
        <v>0</v>
      </c>
      <c r="W221">
        <v>1</v>
      </c>
      <c r="X221">
        <v>0</v>
      </c>
      <c r="Z221" s="26">
        <f t="shared" si="16"/>
        <v>1.0967858690108637E-5</v>
      </c>
      <c r="AA221" s="12">
        <f t="shared" si="13"/>
        <v>0.99993419284785845</v>
      </c>
      <c r="AC221">
        <v>8</v>
      </c>
      <c r="AD221">
        <v>0</v>
      </c>
      <c r="AE221">
        <v>0</v>
      </c>
      <c r="AG221" s="25">
        <f>IF(P221="*","-",IFERROR(VLOOKUP(P221,'All MECSM samples'!$P$4:$AD$454,15,FALSE),"-"))</f>
        <v>799</v>
      </c>
      <c r="AI221" s="9">
        <f t="shared" si="14"/>
        <v>0</v>
      </c>
      <c r="AJ221" s="9">
        <f t="shared" si="15"/>
        <v>0</v>
      </c>
      <c r="AK221" s="11">
        <f>SUM(AI$4:AI221)/SUM(AJ$4:AJ221)</f>
        <v>0.79389312977099236</v>
      </c>
    </row>
    <row r="222" spans="1:37" x14ac:dyDescent="0.35">
      <c r="A222" t="s">
        <v>481</v>
      </c>
      <c r="B222">
        <v>2</v>
      </c>
      <c r="C222" t="s">
        <v>7</v>
      </c>
      <c r="D222" t="s">
        <v>8</v>
      </c>
      <c r="E222" t="s">
        <v>46</v>
      </c>
      <c r="G222" t="s">
        <v>47</v>
      </c>
      <c r="I222" t="s">
        <v>61</v>
      </c>
      <c r="K222" t="s">
        <v>190</v>
      </c>
      <c r="M222" t="s">
        <v>191</v>
      </c>
      <c r="O222">
        <v>0.59</v>
      </c>
      <c r="P222" s="9" t="s">
        <v>192</v>
      </c>
      <c r="Q222">
        <v>92.9</v>
      </c>
      <c r="R222">
        <v>1</v>
      </c>
      <c r="S222">
        <v>0</v>
      </c>
      <c r="T222">
        <v>0</v>
      </c>
      <c r="U222">
        <v>1</v>
      </c>
      <c r="V222">
        <v>0</v>
      </c>
      <c r="W222">
        <v>1</v>
      </c>
      <c r="X222">
        <v>0</v>
      </c>
      <c r="Z222" s="26">
        <f t="shared" si="16"/>
        <v>1.0967858690108637E-5</v>
      </c>
      <c r="AA222" s="12">
        <f t="shared" si="13"/>
        <v>0.9999451607065486</v>
      </c>
      <c r="AC222">
        <v>14</v>
      </c>
      <c r="AD222">
        <v>23</v>
      </c>
      <c r="AE222">
        <v>100</v>
      </c>
      <c r="AG222" s="25">
        <f>IF(P222="*","-",IFERROR(VLOOKUP(P222,'All MECSM samples'!$P$4:$AD$454,15,FALSE),"-"))</f>
        <v>245</v>
      </c>
      <c r="AI222" s="9">
        <f t="shared" si="14"/>
        <v>0</v>
      </c>
      <c r="AJ222" s="9">
        <f t="shared" si="15"/>
        <v>1</v>
      </c>
      <c r="AK222" s="11">
        <f>SUM(AI$4:AI222)/SUM(AJ$4:AJ222)</f>
        <v>0.78787878787878785</v>
      </c>
    </row>
    <row r="223" spans="1:37" x14ac:dyDescent="0.35">
      <c r="A223" t="s">
        <v>522</v>
      </c>
      <c r="B223">
        <v>2</v>
      </c>
      <c r="C223" t="s">
        <v>7</v>
      </c>
      <c r="D223" t="s">
        <v>8</v>
      </c>
      <c r="E223" t="s">
        <v>46</v>
      </c>
      <c r="G223" t="s">
        <v>47</v>
      </c>
      <c r="I223" t="s">
        <v>61</v>
      </c>
      <c r="K223" t="s">
        <v>561</v>
      </c>
      <c r="O223">
        <v>0.98</v>
      </c>
      <c r="P223" s="9" t="s">
        <v>576</v>
      </c>
      <c r="Q223">
        <v>93.7</v>
      </c>
      <c r="R223">
        <v>2</v>
      </c>
      <c r="S223">
        <v>2</v>
      </c>
      <c r="T223">
        <v>0</v>
      </c>
      <c r="U223">
        <v>0</v>
      </c>
      <c r="V223">
        <v>0</v>
      </c>
      <c r="W223">
        <v>0</v>
      </c>
      <c r="X223">
        <v>0</v>
      </c>
      <c r="Z223" s="26">
        <f t="shared" si="16"/>
        <v>1.0967858690108637E-5</v>
      </c>
      <c r="AA223" s="12">
        <f t="shared" si="13"/>
        <v>0.99995612856523874</v>
      </c>
      <c r="AC223">
        <v>21</v>
      </c>
      <c r="AD223">
        <v>40</v>
      </c>
      <c r="AE223">
        <v>17</v>
      </c>
      <c r="AG223" s="25">
        <f>IF(P223="*","-",IFERROR(VLOOKUP(P223,'All MECSM samples'!$P$4:$AD$454,15,FALSE),"-"))</f>
        <v>2</v>
      </c>
      <c r="AI223" s="9">
        <f t="shared" si="14"/>
        <v>0</v>
      </c>
      <c r="AJ223" s="9">
        <f t="shared" si="15"/>
        <v>0</v>
      </c>
      <c r="AK223" s="11">
        <f>SUM(AI$4:AI223)/SUM(AJ$4:AJ223)</f>
        <v>0.78787878787878785</v>
      </c>
    </row>
    <row r="224" spans="1:37" x14ac:dyDescent="0.35">
      <c r="A224" t="s">
        <v>579</v>
      </c>
      <c r="B224">
        <v>2</v>
      </c>
      <c r="C224" t="s">
        <v>7</v>
      </c>
      <c r="D224" t="s">
        <v>8</v>
      </c>
      <c r="E224" t="s">
        <v>46</v>
      </c>
      <c r="G224" t="s">
        <v>47</v>
      </c>
      <c r="O224">
        <v>0.88</v>
      </c>
      <c r="P224" s="9" t="s">
        <v>578</v>
      </c>
      <c r="Q224">
        <v>90.9</v>
      </c>
      <c r="R224">
        <v>1</v>
      </c>
      <c r="S224">
        <v>0</v>
      </c>
      <c r="T224">
        <v>0</v>
      </c>
      <c r="U224">
        <v>2</v>
      </c>
      <c r="V224">
        <v>0</v>
      </c>
      <c r="W224">
        <v>0</v>
      </c>
      <c r="X224">
        <v>0</v>
      </c>
      <c r="Z224" s="26">
        <f t="shared" si="16"/>
        <v>1.0967858690108637E-5</v>
      </c>
      <c r="AA224" s="12">
        <f t="shared" si="13"/>
        <v>0.99996709642392889</v>
      </c>
      <c r="AC224">
        <v>7</v>
      </c>
      <c r="AD224">
        <v>30</v>
      </c>
      <c r="AE224">
        <v>68</v>
      </c>
      <c r="AG224" s="25">
        <f>IF(P224="*","-",IFERROR(VLOOKUP(P224,'All MECSM samples'!$P$4:$AD$454,15,FALSE),"-"))</f>
        <v>7</v>
      </c>
      <c r="AI224" s="9">
        <f t="shared" si="14"/>
        <v>0</v>
      </c>
      <c r="AJ224" s="9">
        <f t="shared" si="15"/>
        <v>0</v>
      </c>
      <c r="AK224" s="11">
        <f>SUM(AI$4:AI224)/SUM(AJ$4:AJ224)</f>
        <v>0.78787878787878785</v>
      </c>
    </row>
    <row r="225" spans="1:37" x14ac:dyDescent="0.35">
      <c r="A225" t="s">
        <v>565</v>
      </c>
      <c r="B225">
        <v>2</v>
      </c>
      <c r="C225" t="s">
        <v>7</v>
      </c>
      <c r="D225" t="s">
        <v>8</v>
      </c>
      <c r="E225" t="s">
        <v>583</v>
      </c>
      <c r="M225" t="s">
        <v>584</v>
      </c>
      <c r="O225">
        <v>0.99</v>
      </c>
      <c r="P225" s="9" t="s">
        <v>585</v>
      </c>
      <c r="Q225">
        <v>91.7</v>
      </c>
      <c r="R225">
        <v>1</v>
      </c>
      <c r="S225">
        <v>2</v>
      </c>
      <c r="T225">
        <v>0</v>
      </c>
      <c r="U225">
        <v>0</v>
      </c>
      <c r="V225">
        <v>0</v>
      </c>
      <c r="W225">
        <v>0</v>
      </c>
      <c r="X225">
        <v>0</v>
      </c>
      <c r="Z225" s="26">
        <f t="shared" si="16"/>
        <v>1.0967858690108637E-5</v>
      </c>
      <c r="AA225" s="12">
        <f t="shared" si="13"/>
        <v>0.99997806428261904</v>
      </c>
      <c r="AC225">
        <v>0</v>
      </c>
      <c r="AD225">
        <v>12</v>
      </c>
      <c r="AE225">
        <v>17</v>
      </c>
      <c r="AG225" s="25">
        <f>IF(P225="*","-",IFERROR(VLOOKUP(P225,'All MECSM samples'!$P$4:$AD$454,15,FALSE),"-"))</f>
        <v>609</v>
      </c>
      <c r="AI225" s="9">
        <f t="shared" si="14"/>
        <v>0</v>
      </c>
      <c r="AJ225" s="9">
        <f t="shared" si="15"/>
        <v>0</v>
      </c>
      <c r="AK225" s="11">
        <f>SUM(AI$4:AI225)/SUM(AJ$4:AJ225)</f>
        <v>0.78787878787878785</v>
      </c>
    </row>
    <row r="226" spans="1:37" x14ac:dyDescent="0.35">
      <c r="A226" t="s">
        <v>549</v>
      </c>
      <c r="B226">
        <v>2</v>
      </c>
      <c r="C226" t="s">
        <v>7</v>
      </c>
      <c r="D226" t="s">
        <v>8</v>
      </c>
      <c r="E226" t="s">
        <v>9</v>
      </c>
      <c r="G226" t="s">
        <v>243</v>
      </c>
      <c r="I226" t="s">
        <v>594</v>
      </c>
      <c r="K226" t="s">
        <v>595</v>
      </c>
      <c r="M226" t="s">
        <v>596</v>
      </c>
      <c r="O226">
        <v>0.51</v>
      </c>
      <c r="P226" s="9" t="s">
        <v>597</v>
      </c>
      <c r="Q226">
        <v>98.8</v>
      </c>
      <c r="R226">
        <v>3</v>
      </c>
      <c r="S226">
        <v>0</v>
      </c>
      <c r="T226">
        <v>0</v>
      </c>
      <c r="U226">
        <v>0</v>
      </c>
      <c r="V226">
        <v>0</v>
      </c>
      <c r="W226">
        <v>2</v>
      </c>
      <c r="X226">
        <v>0</v>
      </c>
      <c r="Z226" s="26">
        <f>B226/Z$1</f>
        <v>1.0967858690108637E-5</v>
      </c>
      <c r="AA226" s="12">
        <f>AA225+Z226</f>
        <v>0.99998903214130919</v>
      </c>
      <c r="AC226">
        <v>0</v>
      </c>
      <c r="AD226">
        <v>63</v>
      </c>
      <c r="AE226">
        <v>9</v>
      </c>
      <c r="AG226" s="25">
        <f>IF(P226="*","-",IFERROR(VLOOKUP(P226,'All MECSM samples'!$P$4:$AD$454,15,FALSE),"-"))</f>
        <v>2</v>
      </c>
      <c r="AI226" s="9">
        <f>IF(OR(AND(AC226&gt;=90, T226&gt;0), AND(AD226&gt;=90, V226&gt;0), AND(AE226&gt;=90, X226&gt;0)), 1, 0)</f>
        <v>0</v>
      </c>
      <c r="AJ226" s="9">
        <f>IF(OR(AC226&gt;=90,AD226&gt;=90,AE226&gt;=90),1,0)</f>
        <v>0</v>
      </c>
      <c r="AK226" s="11">
        <f>SUM(AI$4:AI226)/SUM(AJ$4:AJ226)</f>
        <v>0.78787878787878785</v>
      </c>
    </row>
    <row r="227" spans="1:37" x14ac:dyDescent="0.35">
      <c r="A227" t="s">
        <v>435</v>
      </c>
      <c r="B227">
        <v>2</v>
      </c>
      <c r="C227" t="s">
        <v>7</v>
      </c>
      <c r="D227" t="s">
        <v>8</v>
      </c>
      <c r="E227" t="s">
        <v>46</v>
      </c>
      <c r="G227" t="s">
        <v>47</v>
      </c>
      <c r="I227" t="s">
        <v>69</v>
      </c>
      <c r="K227" t="s">
        <v>70</v>
      </c>
      <c r="O227">
        <v>0.51</v>
      </c>
      <c r="P227" s="9" t="s">
        <v>580</v>
      </c>
      <c r="Q227">
        <v>86.2</v>
      </c>
      <c r="R227">
        <v>2</v>
      </c>
      <c r="S227">
        <v>0</v>
      </c>
      <c r="T227">
        <v>0</v>
      </c>
      <c r="U227">
        <v>2</v>
      </c>
      <c r="V227">
        <v>0</v>
      </c>
      <c r="W227">
        <v>0</v>
      </c>
      <c r="X227">
        <v>0</v>
      </c>
      <c r="Z227" s="26">
        <f>B227/Z$1</f>
        <v>1.0967858690108637E-5</v>
      </c>
      <c r="AA227" s="12">
        <f>AA226+Z227</f>
        <v>0.99999999999999933</v>
      </c>
      <c r="AC227">
        <v>17</v>
      </c>
      <c r="AD227">
        <v>0</v>
      </c>
      <c r="AE227">
        <v>11</v>
      </c>
      <c r="AG227" s="25">
        <f>IF(P227="*","-",IFERROR(VLOOKUP(P227,'All MECSM samples'!$P$4:$AD$454,15,FALSE),"-"))</f>
        <v>42</v>
      </c>
      <c r="AI227" s="9">
        <f>IF(OR(AND(AC227&gt;=90, T227&gt;0), AND(AD227&gt;=90, V227&gt;0), AND(AE227&gt;=90, X227&gt;0)), 1, 0)</f>
        <v>0</v>
      </c>
      <c r="AJ227" s="9">
        <f>IF(OR(AC227&gt;=90,AD227&gt;=90,AE227&gt;=90),1,0)</f>
        <v>0</v>
      </c>
      <c r="AK227" s="11">
        <f>SUM(AI$4:AI227)/SUM(AJ$4:AJ227)</f>
        <v>0.78787878787878785</v>
      </c>
    </row>
    <row r="228" spans="1:37" x14ac:dyDescent="0.35">
      <c r="Z228" s="26"/>
      <c r="AA228" s="12"/>
      <c r="AG228" s="25"/>
      <c r="AK228" s="11"/>
    </row>
    <row r="229" spans="1:37" x14ac:dyDescent="0.35">
      <c r="Z229" s="26"/>
      <c r="AA229" s="12"/>
      <c r="AK229" s="11"/>
    </row>
  </sheetData>
  <conditionalFormatting sqref="AC3:AF3 AI3:AK3">
    <cfRule type="cellIs" dxfId="22" priority="11" operator="equal">
      <formula>100</formula>
    </cfRule>
  </conditionalFormatting>
  <conditionalFormatting sqref="S4:S226">
    <cfRule type="expression" dxfId="21" priority="8" stopIfTrue="1">
      <formula>$AC4=100</formula>
    </cfRule>
    <cfRule type="expression" dxfId="20" priority="9" stopIfTrue="1">
      <formula>$AC4=0</formula>
    </cfRule>
    <cfRule type="expression" dxfId="19" priority="10">
      <formula>$AC4&lt;90</formula>
    </cfRule>
  </conditionalFormatting>
  <conditionalFormatting sqref="U4:U226">
    <cfRule type="expression" dxfId="18" priority="5" stopIfTrue="1">
      <formula>$AD4=100</formula>
    </cfRule>
    <cfRule type="expression" dxfId="17" priority="6" stopIfTrue="1">
      <formula>$AD4=0</formula>
    </cfRule>
    <cfRule type="expression" dxfId="16" priority="7">
      <formula>$AD4&lt;90</formula>
    </cfRule>
  </conditionalFormatting>
  <conditionalFormatting sqref="W4:W226">
    <cfRule type="expression" dxfId="15" priority="2" stopIfTrue="1">
      <formula>$AE4=100</formula>
    </cfRule>
    <cfRule type="expression" dxfId="14" priority="3" stopIfTrue="1">
      <formula>$AE4=0</formula>
    </cfRule>
    <cfRule type="expression" dxfId="13" priority="4">
      <formula>$AE4&lt;90</formula>
    </cfRule>
  </conditionalFormatting>
  <conditionalFormatting sqref="AC4:AE124">
    <cfRule type="cellIs" dxfId="12" priority="1" operator="equal">
      <formula>100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AESS summary</vt:lpstr>
      <vt:lpstr>AESS-all</vt:lpstr>
      <vt:lpstr> AESS-all noLineage</vt:lpstr>
      <vt:lpstr>AESS-all Pct</vt:lpstr>
      <vt:lpstr>AESS-W1</vt:lpstr>
      <vt:lpstr>AESS-W2</vt:lpstr>
      <vt:lpstr>AESS-W3</vt:lpstr>
      <vt:lpstr>AE summary</vt:lpstr>
      <vt:lpstr>AE-All</vt:lpstr>
      <vt:lpstr>AE sample</vt:lpstr>
      <vt:lpstr>AE-W1</vt:lpstr>
      <vt:lpstr>AE-W2</vt:lpstr>
      <vt:lpstr>AE-W3</vt:lpstr>
      <vt:lpstr>K-A W1</vt:lpstr>
      <vt:lpstr>K-A W2</vt:lpstr>
      <vt:lpstr>K-A W3</vt:lpstr>
      <vt:lpstr>All MECSM samples</vt:lpstr>
      <vt:lpstr>Kelpie stats</vt:lpstr>
      <vt:lpstr>Identity K-A all</vt:lpstr>
      <vt:lpstr>Identity K-A W1</vt:lpstr>
      <vt:lpstr>Identity K-A W2</vt:lpstr>
      <vt:lpstr>Identity K-A W3</vt:lpstr>
      <vt:lpstr>MetaPhlAn</vt:lpstr>
      <vt:lpstr>MPA species</vt:lpstr>
      <vt:lpstr>MPA genus</vt:lpstr>
      <vt:lpstr>AESS genus</vt:lpstr>
      <vt:lpstr>W1 genus</vt:lpstr>
      <vt:lpstr>W2 genus</vt:lpstr>
      <vt:lpstr>W3 genus</vt:lpstr>
      <vt:lpstr>'MPA genus'!Extract</vt:lpstr>
      <vt:lpstr>'MPA species'!Extract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Greenfield, Paul (Data61, Marsfield)</dc:creator>
  <cp:lastModifiedBy>Greenfield, Paul (Energy, North Ryde)</cp:lastModifiedBy>
  <dcterms:created xsi:type="dcterms:W3CDTF">2017-10-30T20:06:15Z</dcterms:created>
  <dcterms:modified xsi:type="dcterms:W3CDTF">2018-11-06T23:56:47Z</dcterms:modified>
</cp:coreProperties>
</file>