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1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12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8800" windowHeight="12435"/>
  </bookViews>
  <sheets>
    <sheet name="Ic50" sheetId="9" r:id="rId1"/>
    <sheet name="Trolox" sheetId="2" r:id="rId2"/>
    <sheet name="MFLUCC15-1112" sheetId="1" r:id="rId3"/>
    <sheet name=" MFLUCC15-1113" sheetId="5" r:id="rId4"/>
    <sheet name="MFLUCC15-1130" sheetId="13" r:id="rId5"/>
    <sheet name="MFLUCC15-1131" sheetId="12" r:id="rId6"/>
    <sheet name="MFLUCC15-1132" sheetId="6" r:id="rId7"/>
    <sheet name=" MFLUCC15-1133" sheetId="3" r:id="rId8"/>
    <sheet name="MFLUCC15-1134" sheetId="14" r:id="rId9"/>
    <sheet name="MFLUCC15-1135" sheetId="7" r:id="rId10"/>
    <sheet name="MFLUCC15-1136" sheetId="8" r:id="rId11"/>
    <sheet name="MFLUCC15-1137" sheetId="10" r:id="rId12"/>
    <sheet name="MFLUCC15-1138" sheetId="15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0" i="15" l="1"/>
  <c r="T20" i="15" s="1"/>
  <c r="R20" i="15"/>
  <c r="S22" i="15"/>
  <c r="R22" i="15"/>
  <c r="S21" i="15"/>
  <c r="R21" i="15"/>
  <c r="B19" i="15"/>
  <c r="B20" i="15"/>
  <c r="B21" i="15"/>
  <c r="B22" i="15"/>
  <c r="B23" i="15"/>
  <c r="B24" i="15"/>
  <c r="B25" i="15"/>
  <c r="B5" i="15"/>
  <c r="B6" i="15"/>
  <c r="B7" i="15"/>
  <c r="B8" i="15"/>
  <c r="B9" i="15"/>
  <c r="B10" i="15"/>
  <c r="B11" i="15"/>
  <c r="B12" i="15"/>
  <c r="T21" i="15"/>
  <c r="B33" i="15"/>
  <c r="B34" i="15"/>
  <c r="B35" i="15"/>
  <c r="B36" i="15"/>
  <c r="B37" i="15"/>
  <c r="B38" i="15"/>
  <c r="B39" i="15"/>
  <c r="B40" i="15"/>
  <c r="B32" i="15"/>
  <c r="B26" i="15"/>
  <c r="B18" i="15"/>
  <c r="B4" i="15"/>
  <c r="B33" i="10"/>
  <c r="B34" i="10"/>
  <c r="B35" i="10"/>
  <c r="B36" i="10"/>
  <c r="B37" i="10"/>
  <c r="B38" i="10"/>
  <c r="B39" i="10"/>
  <c r="B40" i="10"/>
  <c r="B32" i="10"/>
  <c r="B19" i="10"/>
  <c r="B20" i="10"/>
  <c r="B21" i="10"/>
  <c r="B22" i="10"/>
  <c r="B23" i="10"/>
  <c r="B24" i="10"/>
  <c r="B25" i="10"/>
  <c r="B26" i="10"/>
  <c r="B18" i="10"/>
  <c r="B5" i="10"/>
  <c r="B6" i="10"/>
  <c r="B7" i="10"/>
  <c r="B8" i="10"/>
  <c r="B9" i="10"/>
  <c r="B10" i="10"/>
  <c r="B11" i="10"/>
  <c r="B12" i="10"/>
  <c r="B4" i="10"/>
  <c r="S22" i="8"/>
  <c r="R22" i="8"/>
  <c r="S21" i="8"/>
  <c r="R21" i="8"/>
  <c r="S20" i="8"/>
  <c r="R20" i="8"/>
  <c r="B40" i="8"/>
  <c r="B39" i="8"/>
  <c r="B38" i="8"/>
  <c r="B37" i="8"/>
  <c r="B36" i="8"/>
  <c r="B35" i="8"/>
  <c r="B34" i="8"/>
  <c r="B33" i="8"/>
  <c r="B32" i="8"/>
  <c r="B26" i="8"/>
  <c r="B25" i="8"/>
  <c r="B24" i="8"/>
  <c r="B23" i="8"/>
  <c r="T22" i="8"/>
  <c r="B22" i="8"/>
  <c r="B21" i="8"/>
  <c r="B20" i="8"/>
  <c r="B19" i="8"/>
  <c r="B18" i="8"/>
  <c r="B12" i="8"/>
  <c r="B11" i="8"/>
  <c r="B10" i="8"/>
  <c r="B9" i="8"/>
  <c r="B8" i="8"/>
  <c r="B7" i="8"/>
  <c r="B6" i="8"/>
  <c r="B5" i="8"/>
  <c r="B4" i="8"/>
  <c r="S21" i="7"/>
  <c r="R21" i="7"/>
  <c r="S22" i="7"/>
  <c r="T22" i="7" s="1"/>
  <c r="R22" i="7"/>
  <c r="B33" i="7"/>
  <c r="B34" i="7"/>
  <c r="B35" i="7"/>
  <c r="B36" i="7"/>
  <c r="B37" i="7"/>
  <c r="B38" i="7"/>
  <c r="B39" i="7"/>
  <c r="B40" i="7"/>
  <c r="B32" i="7"/>
  <c r="B19" i="7"/>
  <c r="B20" i="7"/>
  <c r="B21" i="7"/>
  <c r="B22" i="7"/>
  <c r="B23" i="7"/>
  <c r="B24" i="7"/>
  <c r="B25" i="7"/>
  <c r="B26" i="7"/>
  <c r="T21" i="7"/>
  <c r="B18" i="7"/>
  <c r="S20" i="7"/>
  <c r="R20" i="7"/>
  <c r="T20" i="7" s="1"/>
  <c r="B5" i="7"/>
  <c r="B6" i="7"/>
  <c r="B7" i="7"/>
  <c r="B8" i="7"/>
  <c r="B9" i="7"/>
  <c r="B10" i="7"/>
  <c r="B11" i="7"/>
  <c r="B12" i="7"/>
  <c r="B4" i="7"/>
  <c r="S6" i="14"/>
  <c r="R6" i="14"/>
  <c r="B40" i="14"/>
  <c r="B39" i="14"/>
  <c r="B38" i="14"/>
  <c r="B37" i="14"/>
  <c r="B36" i="14"/>
  <c r="B35" i="14"/>
  <c r="B34" i="14"/>
  <c r="B33" i="14"/>
  <c r="B32" i="14"/>
  <c r="B26" i="14"/>
  <c r="B25" i="14"/>
  <c r="B24" i="14"/>
  <c r="B23" i="14"/>
  <c r="B22" i="14"/>
  <c r="B21" i="14"/>
  <c r="B20" i="14"/>
  <c r="B19" i="14"/>
  <c r="B18" i="14"/>
  <c r="B12" i="14"/>
  <c r="B11" i="14"/>
  <c r="B10" i="14"/>
  <c r="B9" i="14"/>
  <c r="R8" i="14"/>
  <c r="S8" i="14" s="1"/>
  <c r="T8" i="14" s="1"/>
  <c r="B8" i="14"/>
  <c r="R7" i="14"/>
  <c r="S7" i="14" s="1"/>
  <c r="T7" i="14" s="1"/>
  <c r="B7" i="14"/>
  <c r="T6" i="14"/>
  <c r="B6" i="14"/>
  <c r="B5" i="14"/>
  <c r="B4" i="14"/>
  <c r="R8" i="6"/>
  <c r="Q8" i="6"/>
  <c r="R7" i="6"/>
  <c r="Q7" i="6"/>
  <c r="R6" i="6"/>
  <c r="Q6" i="6"/>
  <c r="B40" i="6"/>
  <c r="B39" i="6"/>
  <c r="B38" i="6"/>
  <c r="B37" i="6"/>
  <c r="B36" i="6"/>
  <c r="B35" i="6"/>
  <c r="B34" i="6"/>
  <c r="B33" i="6"/>
  <c r="B32" i="6"/>
  <c r="B26" i="6"/>
  <c r="B25" i="6"/>
  <c r="B24" i="6"/>
  <c r="B23" i="6"/>
  <c r="B22" i="6"/>
  <c r="B21" i="6"/>
  <c r="B20" i="6"/>
  <c r="B19" i="6"/>
  <c r="B18" i="6"/>
  <c r="B12" i="6"/>
  <c r="B11" i="6"/>
  <c r="B10" i="6"/>
  <c r="B9" i="6"/>
  <c r="B8" i="6"/>
  <c r="S7" i="6"/>
  <c r="B7" i="6"/>
  <c r="S6" i="6"/>
  <c r="B6" i="6"/>
  <c r="B5" i="6"/>
  <c r="B4" i="6"/>
  <c r="R22" i="13"/>
  <c r="Q22" i="13"/>
  <c r="R21" i="13"/>
  <c r="Q21" i="13"/>
  <c r="R20" i="13"/>
  <c r="S20" i="13" s="1"/>
  <c r="Q20" i="13"/>
  <c r="B40" i="13"/>
  <c r="B39" i="13"/>
  <c r="B38" i="13"/>
  <c r="B37" i="13"/>
  <c r="B36" i="13"/>
  <c r="B35" i="13"/>
  <c r="B34" i="13"/>
  <c r="B33" i="13"/>
  <c r="B32" i="13"/>
  <c r="B26" i="13"/>
  <c r="B25" i="13"/>
  <c r="B24" i="13"/>
  <c r="B23" i="13"/>
  <c r="S22" i="13"/>
  <c r="B22" i="13"/>
  <c r="S21" i="13"/>
  <c r="B21" i="13"/>
  <c r="B20" i="13"/>
  <c r="B19" i="13"/>
  <c r="B18" i="13"/>
  <c r="B12" i="13"/>
  <c r="B11" i="13"/>
  <c r="B10" i="13"/>
  <c r="B9" i="13"/>
  <c r="B8" i="13"/>
  <c r="B7" i="13"/>
  <c r="B6" i="13"/>
  <c r="B5" i="13"/>
  <c r="B4" i="13"/>
  <c r="R22" i="12"/>
  <c r="Q22" i="12"/>
  <c r="B40" i="12"/>
  <c r="B39" i="12"/>
  <c r="B38" i="12"/>
  <c r="B37" i="12"/>
  <c r="B36" i="12"/>
  <c r="B35" i="12"/>
  <c r="B34" i="12"/>
  <c r="B33" i="12"/>
  <c r="B32" i="12"/>
  <c r="R21" i="12"/>
  <c r="Q21" i="12"/>
  <c r="B26" i="12"/>
  <c r="B25" i="12"/>
  <c r="B24" i="12"/>
  <c r="B23" i="12"/>
  <c r="B22" i="12"/>
  <c r="B21" i="12"/>
  <c r="B20" i="12"/>
  <c r="B19" i="12"/>
  <c r="B18" i="12"/>
  <c r="R20" i="12"/>
  <c r="Q20" i="12"/>
  <c r="B5" i="12"/>
  <c r="B6" i="12"/>
  <c r="B7" i="12"/>
  <c r="B8" i="12"/>
  <c r="B9" i="12"/>
  <c r="B10" i="12"/>
  <c r="B11" i="12"/>
  <c r="B12" i="12"/>
  <c r="B4" i="12"/>
  <c r="S22" i="12"/>
  <c r="T10" i="3"/>
  <c r="T9" i="3"/>
  <c r="S8" i="3"/>
  <c r="R8" i="3"/>
  <c r="B43" i="3"/>
  <c r="B42" i="3"/>
  <c r="B41" i="3"/>
  <c r="B40" i="3"/>
  <c r="B39" i="3"/>
  <c r="B38" i="3"/>
  <c r="B37" i="3"/>
  <c r="B36" i="3"/>
  <c r="B35" i="3"/>
  <c r="S7" i="3"/>
  <c r="R7" i="3"/>
  <c r="T7" i="3"/>
  <c r="B29" i="3"/>
  <c r="B28" i="3"/>
  <c r="B27" i="3"/>
  <c r="B26" i="3"/>
  <c r="B25" i="3"/>
  <c r="B24" i="3"/>
  <c r="B23" i="3"/>
  <c r="B22" i="3"/>
  <c r="B21" i="3"/>
  <c r="R6" i="3"/>
  <c r="B5" i="3"/>
  <c r="B6" i="3"/>
  <c r="B7" i="3"/>
  <c r="B8" i="3"/>
  <c r="B9" i="3"/>
  <c r="B10" i="3"/>
  <c r="B11" i="3"/>
  <c r="B12" i="3"/>
  <c r="S6" i="3"/>
  <c r="B4" i="3"/>
  <c r="P12" i="5"/>
  <c r="O12" i="5"/>
  <c r="P13" i="5"/>
  <c r="O13" i="5"/>
  <c r="Q13" i="5"/>
  <c r="B42" i="5"/>
  <c r="B41" i="5"/>
  <c r="B40" i="5"/>
  <c r="B39" i="5"/>
  <c r="B38" i="5"/>
  <c r="B37" i="5"/>
  <c r="B36" i="5"/>
  <c r="B35" i="5"/>
  <c r="B34" i="5"/>
  <c r="B21" i="5"/>
  <c r="B22" i="5"/>
  <c r="B23" i="5"/>
  <c r="B24" i="5"/>
  <c r="B25" i="5"/>
  <c r="B26" i="5"/>
  <c r="B27" i="5"/>
  <c r="B28" i="5"/>
  <c r="B20" i="5"/>
  <c r="O11" i="5"/>
  <c r="P11" i="5" s="1"/>
  <c r="B6" i="5"/>
  <c r="B7" i="5"/>
  <c r="B8" i="5"/>
  <c r="B9" i="5"/>
  <c r="B10" i="5"/>
  <c r="B11" i="5"/>
  <c r="B12" i="5"/>
  <c r="B13" i="5"/>
  <c r="B5" i="5"/>
  <c r="H20" i="2"/>
  <c r="G20" i="2"/>
  <c r="H19" i="2"/>
  <c r="I19" i="2" s="1"/>
  <c r="G19" i="2"/>
  <c r="H18" i="2"/>
  <c r="G18" i="2"/>
  <c r="H19" i="1"/>
  <c r="G19" i="1"/>
  <c r="B36" i="1"/>
  <c r="B37" i="1"/>
  <c r="B38" i="1"/>
  <c r="B39" i="1"/>
  <c r="B40" i="1"/>
  <c r="B41" i="1"/>
  <c r="B42" i="1"/>
  <c r="B43" i="1"/>
  <c r="H18" i="1"/>
  <c r="H17" i="1"/>
  <c r="B35" i="1"/>
  <c r="G18" i="1"/>
  <c r="G17" i="1"/>
  <c r="B8" i="1"/>
  <c r="B9" i="1"/>
  <c r="B10" i="1"/>
  <c r="B11" i="1"/>
  <c r="B12" i="1"/>
  <c r="B13" i="1"/>
  <c r="B14" i="1"/>
  <c r="B15" i="1"/>
  <c r="B7" i="1"/>
  <c r="I18" i="1"/>
  <c r="B22" i="1"/>
  <c r="B23" i="1"/>
  <c r="B24" i="1"/>
  <c r="B25" i="1"/>
  <c r="B26" i="1"/>
  <c r="B27" i="1"/>
  <c r="B28" i="1"/>
  <c r="B29" i="1"/>
  <c r="B21" i="1"/>
  <c r="I20" i="2"/>
  <c r="B26" i="2"/>
  <c r="B25" i="2"/>
  <c r="B24" i="2"/>
  <c r="B23" i="2"/>
  <c r="B22" i="2"/>
  <c r="B17" i="2"/>
  <c r="B16" i="2"/>
  <c r="B15" i="2"/>
  <c r="B14" i="2"/>
  <c r="B13" i="2"/>
  <c r="I18" i="2"/>
  <c r="T22" i="15" l="1"/>
  <c r="T23" i="15"/>
  <c r="T24" i="15"/>
  <c r="T21" i="8"/>
  <c r="T20" i="8"/>
  <c r="T23" i="8"/>
  <c r="T24" i="8"/>
  <c r="T23" i="7"/>
  <c r="T24" i="7"/>
  <c r="T10" i="14"/>
  <c r="T9" i="14"/>
  <c r="S8" i="6"/>
  <c r="S10" i="6"/>
  <c r="S9" i="6"/>
  <c r="S23" i="13"/>
  <c r="S24" i="13"/>
  <c r="S21" i="12"/>
  <c r="S20" i="12"/>
  <c r="S24" i="12"/>
  <c r="S23" i="12"/>
  <c r="T8" i="3"/>
  <c r="Q12" i="5"/>
  <c r="I23" i="2"/>
  <c r="I22" i="2"/>
  <c r="I19" i="1"/>
  <c r="Q15" i="5" l="1"/>
  <c r="Q14" i="5"/>
  <c r="Q11" i="5"/>
  <c r="T6" i="3"/>
  <c r="I17" i="1"/>
  <c r="I22" i="1" l="1"/>
  <c r="I21" i="1"/>
  <c r="B8" i="2"/>
  <c r="B7" i="2"/>
  <c r="B6" i="2"/>
  <c r="B5" i="2"/>
  <c r="B4" i="2"/>
</calcChain>
</file>

<file path=xl/sharedStrings.xml><?xml version="1.0" encoding="utf-8"?>
<sst xmlns="http://schemas.openxmlformats.org/spreadsheetml/2006/main" count="212" uniqueCount="34">
  <si>
    <t>%inhibition</t>
  </si>
  <si>
    <t>Standard curve</t>
  </si>
  <si>
    <t>Abs</t>
  </si>
  <si>
    <t>SD</t>
  </si>
  <si>
    <t>In</t>
  </si>
  <si>
    <t>Ic50</t>
  </si>
  <si>
    <t>Crude extract/standard</t>
  </si>
  <si>
    <t>Trolox</t>
  </si>
  <si>
    <r>
      <t>IC</t>
    </r>
    <r>
      <rPr>
        <b/>
        <vertAlign val="subscript"/>
        <sz val="14"/>
        <color theme="1"/>
        <rFont val="Times New Roman"/>
        <family val="1"/>
      </rPr>
      <t>50</t>
    </r>
    <r>
      <rPr>
        <b/>
        <sz val="14"/>
        <color theme="1"/>
        <rFont val="Times New Roman"/>
        <family val="1"/>
      </rPr>
      <t xml:space="preserve"> (µg/mL)</t>
    </r>
  </si>
  <si>
    <r>
      <t>Pestalotiopsis</t>
    </r>
    <r>
      <rPr>
        <sz val="14"/>
        <color theme="1"/>
        <rFont val="Times New Roman"/>
        <family val="1"/>
      </rPr>
      <t xml:space="preserve"> sp. MFLUCC15-1112</t>
    </r>
  </si>
  <si>
    <r>
      <t>Colletotrichum</t>
    </r>
    <r>
      <rPr>
        <sz val="14"/>
        <color theme="1"/>
        <rFont val="Times New Roman"/>
        <family val="1"/>
      </rPr>
      <t xml:space="preserve"> sp. MFLUCC15-1113</t>
    </r>
  </si>
  <si>
    <r>
      <t xml:space="preserve">Neopestalotiopsis sp. </t>
    </r>
    <r>
      <rPr>
        <sz val="14"/>
        <color theme="1"/>
        <rFont val="Times New Roman"/>
        <family val="1"/>
      </rPr>
      <t>MFLUCC15-1130</t>
    </r>
  </si>
  <si>
    <r>
      <t>Diaporthe</t>
    </r>
    <r>
      <rPr>
        <sz val="14"/>
        <color theme="1"/>
        <rFont val="Times New Roman"/>
        <family val="1"/>
      </rPr>
      <t xml:space="preserve"> sp. MFLUCC15-1131</t>
    </r>
  </si>
  <si>
    <r>
      <t>Botryosphaeria</t>
    </r>
    <r>
      <rPr>
        <sz val="14"/>
        <color theme="1"/>
        <rFont val="Times New Roman"/>
        <family val="1"/>
      </rPr>
      <t xml:space="preserve"> sp. MFLUCC15-1132</t>
    </r>
  </si>
  <si>
    <r>
      <t>Pestalotiopsis</t>
    </r>
    <r>
      <rPr>
        <sz val="14"/>
        <color theme="1"/>
        <rFont val="Times New Roman"/>
        <family val="1"/>
      </rPr>
      <t xml:space="preserve"> sp. MFLUCC15-1133</t>
    </r>
  </si>
  <si>
    <r>
      <t>Colletotrichum</t>
    </r>
    <r>
      <rPr>
        <sz val="14"/>
        <color theme="1"/>
        <rFont val="Times New Roman"/>
        <family val="1"/>
      </rPr>
      <t xml:space="preserve"> sp. MFLUCC15-1134</t>
    </r>
  </si>
  <si>
    <r>
      <t>Diaporthe</t>
    </r>
    <r>
      <rPr>
        <sz val="14"/>
        <color theme="1"/>
        <rFont val="Times New Roman"/>
        <family val="1"/>
      </rPr>
      <t xml:space="preserve"> sp. MFLUCC15-1135</t>
    </r>
  </si>
  <si>
    <r>
      <t>Diaporthe</t>
    </r>
    <r>
      <rPr>
        <sz val="14"/>
        <color theme="1"/>
        <rFont val="Times New Roman"/>
        <family val="1"/>
      </rPr>
      <t xml:space="preserve"> sp. MFLUCC15-1136</t>
    </r>
  </si>
  <si>
    <r>
      <t>Colletotrichum</t>
    </r>
    <r>
      <rPr>
        <sz val="14"/>
        <color theme="1"/>
        <rFont val="Times New Roman"/>
        <family val="1"/>
      </rPr>
      <t xml:space="preserve"> sp. MFLUCC15-1137</t>
    </r>
  </si>
  <si>
    <r>
      <t>Fusarium</t>
    </r>
    <r>
      <rPr>
        <sz val="14"/>
        <color theme="1"/>
        <rFont val="Times New Roman"/>
        <family val="1"/>
      </rPr>
      <t xml:space="preserve"> sp. MFLUCC15-1138</t>
    </r>
  </si>
  <si>
    <t>Trolox (ug/mL)</t>
  </si>
  <si>
    <t>IC50</t>
  </si>
  <si>
    <t>(ug/mL)</t>
  </si>
  <si>
    <t>4.47±0.02</t>
  </si>
  <si>
    <t>&gt;1000</t>
  </si>
  <si>
    <t>AV</t>
  </si>
  <si>
    <t>Av</t>
  </si>
  <si>
    <t>177.25±2.15</t>
  </si>
  <si>
    <t>37.61±0.49</t>
  </si>
  <si>
    <t>22.92±0.67</t>
  </si>
  <si>
    <t>543.77±6.59</t>
  </si>
  <si>
    <t>195.39±5.55</t>
  </si>
  <si>
    <t>167.02±1.81</t>
  </si>
  <si>
    <t>886.87±4.07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</si>
</sst>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>
    <font>
      <sz val="11"/>
      <color theme="1"/>
      <name val="Calibri"/>
      <family val="2"/>
      <charset val="22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charset val="222"/>
      <scheme val="minor"/>
    </font>
    <font>
      <b/>
      <sz val="14"/>
      <color theme="1"/>
      <name val="Times New Roman"/>
      <family val="1"/>
    </font>
    <font>
      <b/>
      <vertAlign val="subscript"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name val="Calibri"/>
      <family val="2"/>
      <charset val="22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wrapText="1"/>
    </xf>
    <xf numFmtId="0" fontId="0" fillId="2" borderId="0" xfId="0" applyFill="1"/>
    <xf numFmtId="0" fontId="0" fillId="3" borderId="0" xfId="0" applyFill="1"/>
    <xf numFmtId="0" fontId="1" fillId="0" borderId="2" xfId="0" applyFont="1" applyBorder="1" applyAlignment="1">
      <alignment horizontal="right" wrapText="1"/>
    </xf>
    <xf numFmtId="0" fontId="7" fillId="0" borderId="0" xfId="0" applyFont="1"/>
    <xf numFmtId="0" fontId="8" fillId="0" borderId="3" xfId="0" applyFont="1" applyBorder="1" applyAlignment="1">
      <alignment wrapText="1"/>
    </xf>
    <xf numFmtId="0" fontId="7" fillId="0" borderId="2" xfId="0" applyFont="1" applyBorder="1"/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right" wrapText="1"/>
    </xf>
    <xf numFmtId="164" fontId="8" fillId="0" borderId="2" xfId="0" applyNumberFormat="1" applyFont="1" applyBorder="1" applyAlignment="1">
      <alignment horizontal="right" wrapText="1"/>
    </xf>
    <xf numFmtId="0" fontId="7" fillId="2" borderId="0" xfId="0" applyFont="1" applyFill="1"/>
    <xf numFmtId="0" fontId="7" fillId="3" borderId="0" xfId="0" applyFont="1" applyFill="1"/>
    <xf numFmtId="0" fontId="0" fillId="0" borderId="0" xfId="0" applyBorder="1"/>
    <xf numFmtId="0" fontId="1" fillId="0" borderId="0" xfId="0" applyFont="1" applyBorder="1" applyAlignment="1">
      <alignment horizontal="right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2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6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0.13420384951881015"/>
                  <c:y val="0.2696485855934674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Trolox!$A$4:$A$8</c:f>
              <c:numCache>
                <c:formatCode>0.000</c:formatCod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xVal>
          <c:yVal>
            <c:numRef>
              <c:f>Trolox!$B$4:$B$8</c:f>
              <c:numCache>
                <c:formatCode>0.000</c:formatCode>
                <c:ptCount val="5"/>
                <c:pt idx="0">
                  <c:v>18.358531317494602</c:v>
                </c:pt>
                <c:pt idx="1">
                  <c:v>38.228941684665237</c:v>
                </c:pt>
                <c:pt idx="2">
                  <c:v>53.995680345572353</c:v>
                </c:pt>
                <c:pt idx="3">
                  <c:v>79.697624190064786</c:v>
                </c:pt>
                <c:pt idx="4">
                  <c:v>93.520518358531319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6104416"/>
        <c:axId val="2086112576"/>
      </c:scatterChart>
      <c:valAx>
        <c:axId val="2086104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</a:t>
                </a:r>
                <a:r>
                  <a:rPr lang="en-US" baseline="0"/>
                  <a:t> of Trolox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6112576"/>
        <c:crosses val="autoZero"/>
        <c:crossBetween val="midCat"/>
      </c:valAx>
      <c:valAx>
        <c:axId val="20861125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%inhibition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0.343325678040244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6104416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0.13562073490813648"/>
                  <c:y val="-0.1760578885972586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'MFLUCC15-1130'!$A$4:$A$12</c:f>
              <c:numCache>
                <c:formatCode>General</c:formatCode>
                <c:ptCount val="9"/>
                <c:pt idx="0">
                  <c:v>3.91</c:v>
                </c:pt>
                <c:pt idx="1">
                  <c:v>7.81</c:v>
                </c:pt>
                <c:pt idx="2">
                  <c:v>15.62</c:v>
                </c:pt>
                <c:pt idx="3" formatCode="0.000">
                  <c:v>31.25</c:v>
                </c:pt>
                <c:pt idx="4" formatCode="0.000">
                  <c:v>62.5</c:v>
                </c:pt>
                <c:pt idx="5" formatCode="0.000">
                  <c:v>125</c:v>
                </c:pt>
                <c:pt idx="6" formatCode="0.000">
                  <c:v>250</c:v>
                </c:pt>
                <c:pt idx="7" formatCode="0.000">
                  <c:v>500</c:v>
                </c:pt>
                <c:pt idx="8" formatCode="0.000">
                  <c:v>1000</c:v>
                </c:pt>
              </c:numCache>
            </c:numRef>
          </c:xVal>
          <c:yVal>
            <c:numRef>
              <c:f>'MFLUCC15-1130'!$B$4:$B$12</c:f>
              <c:numCache>
                <c:formatCode>0.000</c:formatCode>
                <c:ptCount val="9"/>
                <c:pt idx="0">
                  <c:v>26.12752721617419</c:v>
                </c:pt>
                <c:pt idx="1">
                  <c:v>37.636080870917574</c:v>
                </c:pt>
                <c:pt idx="2">
                  <c:v>48.522550544323487</c:v>
                </c:pt>
                <c:pt idx="3">
                  <c:v>59.409020217729392</c:v>
                </c:pt>
                <c:pt idx="4">
                  <c:v>63.763608087091761</c:v>
                </c:pt>
                <c:pt idx="5">
                  <c:v>68.740279937791598</c:v>
                </c:pt>
                <c:pt idx="6">
                  <c:v>73.405909797822702</c:v>
                </c:pt>
                <c:pt idx="7">
                  <c:v>79.626749611197511</c:v>
                </c:pt>
                <c:pt idx="8">
                  <c:v>83.825816485225516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273984"/>
        <c:axId val="307263104"/>
      </c:scatterChart>
      <c:valAx>
        <c:axId val="307273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263104"/>
        <c:crosses val="autoZero"/>
        <c:crossBetween val="midCat"/>
      </c:valAx>
      <c:valAx>
        <c:axId val="30726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273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0.12450962379702538"/>
                  <c:y val="-0.180820574511519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'MFLUCC15-1130'!$A$18:$A$26</c:f>
              <c:numCache>
                <c:formatCode>General</c:formatCode>
                <c:ptCount val="9"/>
                <c:pt idx="0">
                  <c:v>3.91</c:v>
                </c:pt>
                <c:pt idx="1">
                  <c:v>7.81</c:v>
                </c:pt>
                <c:pt idx="2">
                  <c:v>15.62</c:v>
                </c:pt>
                <c:pt idx="3" formatCode="0.000">
                  <c:v>31.25</c:v>
                </c:pt>
                <c:pt idx="4" formatCode="0.000">
                  <c:v>62.5</c:v>
                </c:pt>
                <c:pt idx="5" formatCode="0.000">
                  <c:v>125</c:v>
                </c:pt>
                <c:pt idx="6" formatCode="0.000">
                  <c:v>250</c:v>
                </c:pt>
                <c:pt idx="7" formatCode="0.000">
                  <c:v>500</c:v>
                </c:pt>
                <c:pt idx="8" formatCode="0.000">
                  <c:v>1000</c:v>
                </c:pt>
              </c:numCache>
            </c:numRef>
          </c:xVal>
          <c:yVal>
            <c:numRef>
              <c:f>'MFLUCC15-1130'!$B$18:$B$26</c:f>
              <c:numCache>
                <c:formatCode>0.000</c:formatCode>
                <c:ptCount val="9"/>
                <c:pt idx="0">
                  <c:v>26.905132192846036</c:v>
                </c:pt>
                <c:pt idx="1">
                  <c:v>37.480559875583204</c:v>
                </c:pt>
                <c:pt idx="2">
                  <c:v>47.900466562985997</c:v>
                </c:pt>
                <c:pt idx="3">
                  <c:v>58.009331259720064</c:v>
                </c:pt>
                <c:pt idx="4">
                  <c:v>63.452566096423027</c:v>
                </c:pt>
                <c:pt idx="5">
                  <c:v>67.807153965785389</c:v>
                </c:pt>
                <c:pt idx="6">
                  <c:v>72.006220839813366</c:v>
                </c:pt>
                <c:pt idx="7">
                  <c:v>79.004665629860028</c:v>
                </c:pt>
                <c:pt idx="8">
                  <c:v>82.737169517884908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1309872"/>
        <c:axId val="311310960"/>
      </c:scatterChart>
      <c:valAx>
        <c:axId val="311309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310960"/>
        <c:crosses val="autoZero"/>
        <c:crossBetween val="midCat"/>
      </c:valAx>
      <c:valAx>
        <c:axId val="31131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309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0.13284295713035871"/>
                  <c:y val="-0.1661745406824146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'MFLUCC15-1130'!$A$32:$A$40</c:f>
              <c:numCache>
                <c:formatCode>General</c:formatCode>
                <c:ptCount val="9"/>
                <c:pt idx="0">
                  <c:v>3.91</c:v>
                </c:pt>
                <c:pt idx="1">
                  <c:v>7.81</c:v>
                </c:pt>
                <c:pt idx="2">
                  <c:v>15.62</c:v>
                </c:pt>
                <c:pt idx="3" formatCode="0.000">
                  <c:v>31.25</c:v>
                </c:pt>
                <c:pt idx="4" formatCode="0.000">
                  <c:v>62.5</c:v>
                </c:pt>
                <c:pt idx="5" formatCode="0.000">
                  <c:v>125</c:v>
                </c:pt>
                <c:pt idx="6" formatCode="0.000">
                  <c:v>250</c:v>
                </c:pt>
                <c:pt idx="7" formatCode="0.000">
                  <c:v>500</c:v>
                </c:pt>
                <c:pt idx="8" formatCode="0.000">
                  <c:v>1000</c:v>
                </c:pt>
              </c:numCache>
            </c:numRef>
          </c:xVal>
          <c:yVal>
            <c:numRef>
              <c:f>'MFLUCC15-1130'!$B$32:$B$40</c:f>
              <c:numCache>
                <c:formatCode>0.000</c:formatCode>
                <c:ptCount val="9"/>
                <c:pt idx="0">
                  <c:v>27.527216174183511</c:v>
                </c:pt>
                <c:pt idx="1">
                  <c:v>36.080870917573876</c:v>
                </c:pt>
                <c:pt idx="2">
                  <c:v>48.522550544323487</c:v>
                </c:pt>
                <c:pt idx="3">
                  <c:v>58.942457231726287</c:v>
                </c:pt>
                <c:pt idx="4">
                  <c:v>64.38569206842925</c:v>
                </c:pt>
                <c:pt idx="5">
                  <c:v>69.828926905132192</c:v>
                </c:pt>
                <c:pt idx="6">
                  <c:v>74.494556765163296</c:v>
                </c:pt>
                <c:pt idx="7">
                  <c:v>79.47122861586314</c:v>
                </c:pt>
                <c:pt idx="8">
                  <c:v>83.048211508553663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653856"/>
        <c:axId val="142658752"/>
      </c:scatterChart>
      <c:valAx>
        <c:axId val="142653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658752"/>
        <c:crosses val="autoZero"/>
        <c:crossBetween val="midCat"/>
      </c:valAx>
      <c:valAx>
        <c:axId val="14265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653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-2.6157042869641295E-2"/>
                  <c:y val="-4.785505978419364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'MFLUCC15-1131'!$A$4:$A$12</c:f>
              <c:numCache>
                <c:formatCode>General</c:formatCode>
                <c:ptCount val="9"/>
                <c:pt idx="0">
                  <c:v>3.91</c:v>
                </c:pt>
                <c:pt idx="1">
                  <c:v>7.81</c:v>
                </c:pt>
                <c:pt idx="2">
                  <c:v>15.62</c:v>
                </c:pt>
                <c:pt idx="3" formatCode="0.000">
                  <c:v>31.25</c:v>
                </c:pt>
                <c:pt idx="4" formatCode="0.000">
                  <c:v>62.5</c:v>
                </c:pt>
                <c:pt idx="5" formatCode="0.000">
                  <c:v>125</c:v>
                </c:pt>
                <c:pt idx="6" formatCode="0.000">
                  <c:v>250</c:v>
                </c:pt>
                <c:pt idx="7" formatCode="0.000">
                  <c:v>500</c:v>
                </c:pt>
                <c:pt idx="8" formatCode="0.000">
                  <c:v>1000</c:v>
                </c:pt>
              </c:numCache>
            </c:numRef>
          </c:xVal>
          <c:yVal>
            <c:numRef>
              <c:f>'MFLUCC15-1131'!$B$4:$B$12</c:f>
              <c:numCache>
                <c:formatCode>0.000</c:formatCode>
                <c:ptCount val="9"/>
                <c:pt idx="0">
                  <c:v>23.017107309486782</c:v>
                </c:pt>
                <c:pt idx="1">
                  <c:v>35.4587869362364</c:v>
                </c:pt>
                <c:pt idx="2">
                  <c:v>42.301710730948678</c:v>
                </c:pt>
                <c:pt idx="3">
                  <c:v>51.632970451010884</c:v>
                </c:pt>
                <c:pt idx="4">
                  <c:v>55.365474339035771</c:v>
                </c:pt>
                <c:pt idx="5">
                  <c:v>62.519440124416803</c:v>
                </c:pt>
                <c:pt idx="6">
                  <c:v>68.584758942457242</c:v>
                </c:pt>
                <c:pt idx="7">
                  <c:v>76.516329704510113</c:v>
                </c:pt>
                <c:pt idx="8">
                  <c:v>81.181959564541216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658208"/>
        <c:axId val="142656032"/>
      </c:scatterChart>
      <c:valAx>
        <c:axId val="142658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656032"/>
        <c:crosses val="autoZero"/>
        <c:crossBetween val="midCat"/>
      </c:valAx>
      <c:valAx>
        <c:axId val="14265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658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9.8842957130358705E-2"/>
                  <c:y val="-0.141171624380285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'MFLUCC15-1131'!$A$18:$A$26</c:f>
              <c:numCache>
                <c:formatCode>General</c:formatCode>
                <c:ptCount val="9"/>
                <c:pt idx="0">
                  <c:v>3.91</c:v>
                </c:pt>
                <c:pt idx="1">
                  <c:v>7.81</c:v>
                </c:pt>
                <c:pt idx="2">
                  <c:v>15.62</c:v>
                </c:pt>
                <c:pt idx="3" formatCode="0.000">
                  <c:v>31.25</c:v>
                </c:pt>
                <c:pt idx="4" formatCode="0.000">
                  <c:v>62.5</c:v>
                </c:pt>
                <c:pt idx="5" formatCode="0.000">
                  <c:v>125</c:v>
                </c:pt>
                <c:pt idx="6" formatCode="0.000">
                  <c:v>250</c:v>
                </c:pt>
                <c:pt idx="7" formatCode="0.000">
                  <c:v>500</c:v>
                </c:pt>
                <c:pt idx="8" formatCode="0.000">
                  <c:v>1000</c:v>
                </c:pt>
              </c:numCache>
            </c:numRef>
          </c:xVal>
          <c:yVal>
            <c:numRef>
              <c:f>'MFLUCC15-1131'!$B$18:$B$26</c:f>
              <c:numCache>
                <c:formatCode>0.000</c:formatCode>
                <c:ptCount val="9"/>
                <c:pt idx="0">
                  <c:v>23.794712286158635</c:v>
                </c:pt>
                <c:pt idx="1">
                  <c:v>36.080870917573876</c:v>
                </c:pt>
                <c:pt idx="2">
                  <c:v>42.146189735614307</c:v>
                </c:pt>
                <c:pt idx="3">
                  <c:v>51.166407465007779</c:v>
                </c:pt>
                <c:pt idx="4">
                  <c:v>55.832037325038883</c:v>
                </c:pt>
                <c:pt idx="5">
                  <c:v>62.363919129082426</c:v>
                </c:pt>
                <c:pt idx="6">
                  <c:v>68.429237947122857</c:v>
                </c:pt>
                <c:pt idx="7">
                  <c:v>75.894245723172631</c:v>
                </c:pt>
                <c:pt idx="8">
                  <c:v>79.937791601866252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2095712"/>
        <c:axId val="2012098976"/>
      </c:scatterChart>
      <c:valAx>
        <c:axId val="2012095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2098976"/>
        <c:crosses val="autoZero"/>
        <c:crossBetween val="midCat"/>
      </c:valAx>
      <c:valAx>
        <c:axId val="201209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2095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9.8842957130358705E-2"/>
                  <c:y val="-0.1423895450568678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'MFLUCC15-1131'!$A$32:$A$40</c:f>
              <c:numCache>
                <c:formatCode>General</c:formatCode>
                <c:ptCount val="9"/>
                <c:pt idx="0">
                  <c:v>3.91</c:v>
                </c:pt>
                <c:pt idx="1">
                  <c:v>7.81</c:v>
                </c:pt>
                <c:pt idx="2">
                  <c:v>15.62</c:v>
                </c:pt>
                <c:pt idx="3" formatCode="0.000">
                  <c:v>31.25</c:v>
                </c:pt>
                <c:pt idx="4" formatCode="0.000">
                  <c:v>62.5</c:v>
                </c:pt>
                <c:pt idx="5" formatCode="0.000">
                  <c:v>125</c:v>
                </c:pt>
                <c:pt idx="6" formatCode="0.000">
                  <c:v>250</c:v>
                </c:pt>
                <c:pt idx="7" formatCode="0.000">
                  <c:v>500</c:v>
                </c:pt>
                <c:pt idx="8" formatCode="0.000">
                  <c:v>1000</c:v>
                </c:pt>
              </c:numCache>
            </c:numRef>
          </c:xVal>
          <c:yVal>
            <c:numRef>
              <c:f>'MFLUCC15-1131'!$B$32:$B$40</c:f>
              <c:numCache>
                <c:formatCode>0.000</c:formatCode>
                <c:ptCount val="9"/>
                <c:pt idx="0">
                  <c:v>23.639191290824265</c:v>
                </c:pt>
                <c:pt idx="1">
                  <c:v>35.4587869362364</c:v>
                </c:pt>
                <c:pt idx="2">
                  <c:v>42.457231726283048</c:v>
                </c:pt>
                <c:pt idx="3">
                  <c:v>51.166407465007779</c:v>
                </c:pt>
                <c:pt idx="4">
                  <c:v>55.2099533437014</c:v>
                </c:pt>
                <c:pt idx="5">
                  <c:v>62.052877138413685</c:v>
                </c:pt>
                <c:pt idx="6">
                  <c:v>67.340590979782277</c:v>
                </c:pt>
                <c:pt idx="7">
                  <c:v>76.049766718507001</c:v>
                </c:pt>
                <c:pt idx="8">
                  <c:v>80.248833592534993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1315856"/>
        <c:axId val="2010870000"/>
      </c:scatterChart>
      <c:valAx>
        <c:axId val="31131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0870000"/>
        <c:crosses val="autoZero"/>
        <c:crossBetween val="midCat"/>
      </c:valAx>
      <c:valAx>
        <c:axId val="201087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315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0.10360673665791777"/>
                  <c:y val="-0.2202107028288130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'MFLUCC15-1132'!$A$4:$A$12</c:f>
              <c:numCache>
                <c:formatCode>General</c:formatCode>
                <c:ptCount val="9"/>
                <c:pt idx="0">
                  <c:v>3.91</c:v>
                </c:pt>
                <c:pt idx="1">
                  <c:v>7.81</c:v>
                </c:pt>
                <c:pt idx="2">
                  <c:v>15.62</c:v>
                </c:pt>
                <c:pt idx="3" formatCode="0.000">
                  <c:v>31.25</c:v>
                </c:pt>
                <c:pt idx="4" formatCode="0.000">
                  <c:v>62.5</c:v>
                </c:pt>
                <c:pt idx="5" formatCode="0.000">
                  <c:v>125</c:v>
                </c:pt>
                <c:pt idx="6" formatCode="0.000">
                  <c:v>250</c:v>
                </c:pt>
                <c:pt idx="7" formatCode="0.000">
                  <c:v>500</c:v>
                </c:pt>
                <c:pt idx="8" formatCode="0.000">
                  <c:v>1000</c:v>
                </c:pt>
              </c:numCache>
            </c:numRef>
          </c:xVal>
          <c:yVal>
            <c:numRef>
              <c:f>'MFLUCC15-1132'!$B$4:$B$12</c:f>
              <c:numCache>
                <c:formatCode>0.000</c:formatCode>
                <c:ptCount val="9"/>
                <c:pt idx="0">
                  <c:v>7.6335877862595494</c:v>
                </c:pt>
                <c:pt idx="1">
                  <c:v>13.16793893129771</c:v>
                </c:pt>
                <c:pt idx="2">
                  <c:v>19.465648854961838</c:v>
                </c:pt>
                <c:pt idx="3">
                  <c:v>23.282442748091604</c:v>
                </c:pt>
                <c:pt idx="4">
                  <c:v>25.954198473282442</c:v>
                </c:pt>
                <c:pt idx="5">
                  <c:v>30.534351145038173</c:v>
                </c:pt>
                <c:pt idx="6">
                  <c:v>39.503816793893129</c:v>
                </c:pt>
                <c:pt idx="7">
                  <c:v>50.190839694656489</c:v>
                </c:pt>
                <c:pt idx="8">
                  <c:v>62.404580152671748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397904"/>
        <c:axId val="461394640"/>
      </c:scatterChart>
      <c:valAx>
        <c:axId val="461397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394640"/>
        <c:crosses val="autoZero"/>
        <c:crossBetween val="midCat"/>
      </c:valAx>
      <c:valAx>
        <c:axId val="46139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397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8.29400699912511E-2"/>
                  <c:y val="-0.237418708078156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'MFLUCC15-1132'!$A$18:$A$26</c:f>
              <c:numCache>
                <c:formatCode>General</c:formatCode>
                <c:ptCount val="9"/>
                <c:pt idx="0">
                  <c:v>3.91</c:v>
                </c:pt>
                <c:pt idx="1">
                  <c:v>7.81</c:v>
                </c:pt>
                <c:pt idx="2">
                  <c:v>15.62</c:v>
                </c:pt>
                <c:pt idx="3" formatCode="0.000">
                  <c:v>31.25</c:v>
                </c:pt>
                <c:pt idx="4" formatCode="0.000">
                  <c:v>62.5</c:v>
                </c:pt>
                <c:pt idx="5" formatCode="0.000">
                  <c:v>125</c:v>
                </c:pt>
                <c:pt idx="6" formatCode="0.000">
                  <c:v>250</c:v>
                </c:pt>
                <c:pt idx="7" formatCode="0.000">
                  <c:v>500</c:v>
                </c:pt>
                <c:pt idx="8" formatCode="0.000">
                  <c:v>1000</c:v>
                </c:pt>
              </c:numCache>
            </c:numRef>
          </c:xVal>
          <c:yVal>
            <c:numRef>
              <c:f>'MFLUCC15-1132'!$B$18:$B$26</c:f>
              <c:numCache>
                <c:formatCode>0.000</c:formatCode>
                <c:ptCount val="9"/>
                <c:pt idx="0">
                  <c:v>8.3969465648855035</c:v>
                </c:pt>
                <c:pt idx="1">
                  <c:v>13.740458015267176</c:v>
                </c:pt>
                <c:pt idx="2">
                  <c:v>19.656488549618327</c:v>
                </c:pt>
                <c:pt idx="3">
                  <c:v>23.664122137404579</c:v>
                </c:pt>
                <c:pt idx="4">
                  <c:v>27.671755725190845</c:v>
                </c:pt>
                <c:pt idx="5">
                  <c:v>30.152671755725198</c:v>
                </c:pt>
                <c:pt idx="6">
                  <c:v>39.31297709923664</c:v>
                </c:pt>
                <c:pt idx="7">
                  <c:v>49.236641221374043</c:v>
                </c:pt>
                <c:pt idx="8">
                  <c:v>63.74045801526718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391920"/>
        <c:axId val="461398992"/>
      </c:scatterChart>
      <c:valAx>
        <c:axId val="461391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398992"/>
        <c:crosses val="autoZero"/>
        <c:crossBetween val="midCat"/>
      </c:valAx>
      <c:valAx>
        <c:axId val="46139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391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0.1329400699912511"/>
                  <c:y val="-0.2326144648585593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'MFLUCC15-1132'!$A$32:$A$40</c:f>
              <c:numCache>
                <c:formatCode>General</c:formatCode>
                <c:ptCount val="9"/>
                <c:pt idx="0">
                  <c:v>3.91</c:v>
                </c:pt>
                <c:pt idx="1">
                  <c:v>7.81</c:v>
                </c:pt>
                <c:pt idx="2">
                  <c:v>15.62</c:v>
                </c:pt>
                <c:pt idx="3" formatCode="0.000">
                  <c:v>31.25</c:v>
                </c:pt>
                <c:pt idx="4" formatCode="0.000">
                  <c:v>62.5</c:v>
                </c:pt>
                <c:pt idx="5" formatCode="0.000">
                  <c:v>125</c:v>
                </c:pt>
                <c:pt idx="6" formatCode="0.000">
                  <c:v>250</c:v>
                </c:pt>
                <c:pt idx="7" formatCode="0.000">
                  <c:v>500</c:v>
                </c:pt>
                <c:pt idx="8" formatCode="0.000">
                  <c:v>1000</c:v>
                </c:pt>
              </c:numCache>
            </c:numRef>
          </c:xVal>
          <c:yVal>
            <c:numRef>
              <c:f>'MFLUCC15-1132'!$B$32:$B$40</c:f>
              <c:numCache>
                <c:formatCode>0.000</c:formatCode>
                <c:ptCount val="9"/>
                <c:pt idx="0">
                  <c:v>8.3969465648855035</c:v>
                </c:pt>
                <c:pt idx="1">
                  <c:v>13.931297709923665</c:v>
                </c:pt>
                <c:pt idx="2">
                  <c:v>19.465648854961838</c:v>
                </c:pt>
                <c:pt idx="3">
                  <c:v>23.664122137404579</c:v>
                </c:pt>
                <c:pt idx="4">
                  <c:v>27.862595419847331</c:v>
                </c:pt>
                <c:pt idx="5">
                  <c:v>29.770992366412219</c:v>
                </c:pt>
                <c:pt idx="6">
                  <c:v>40.076335877862597</c:v>
                </c:pt>
                <c:pt idx="7">
                  <c:v>48.854961832061065</c:v>
                </c:pt>
                <c:pt idx="8">
                  <c:v>63.74045801526718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392464"/>
        <c:axId val="461395728"/>
      </c:scatterChart>
      <c:valAx>
        <c:axId val="461392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395728"/>
        <c:crosses val="autoZero"/>
        <c:crossBetween val="midCat"/>
      </c:valAx>
      <c:valAx>
        <c:axId val="46139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392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 MFLUCC15-1133'!$A$4:$A$12</c:f>
              <c:numCache>
                <c:formatCode>General</c:formatCode>
                <c:ptCount val="9"/>
                <c:pt idx="0">
                  <c:v>3.91</c:v>
                </c:pt>
                <c:pt idx="1">
                  <c:v>7.81</c:v>
                </c:pt>
                <c:pt idx="2">
                  <c:v>15.62</c:v>
                </c:pt>
                <c:pt idx="3" formatCode="0.000">
                  <c:v>31.25</c:v>
                </c:pt>
                <c:pt idx="4" formatCode="0.000">
                  <c:v>62.5</c:v>
                </c:pt>
                <c:pt idx="5" formatCode="0.000">
                  <c:v>125</c:v>
                </c:pt>
                <c:pt idx="6" formatCode="0.000">
                  <c:v>250</c:v>
                </c:pt>
                <c:pt idx="7" formatCode="0.000">
                  <c:v>500</c:v>
                </c:pt>
                <c:pt idx="8" formatCode="0.000">
                  <c:v>1000</c:v>
                </c:pt>
              </c:numCache>
            </c:numRef>
          </c:xVal>
          <c:yVal>
            <c:numRef>
              <c:f>' MFLUCC15-1133'!$B$4:$B$12</c:f>
              <c:numCache>
                <c:formatCode>0.000</c:formatCode>
                <c:ptCount val="9"/>
                <c:pt idx="0">
                  <c:v>7.6335877862595494</c:v>
                </c:pt>
                <c:pt idx="1">
                  <c:v>13.16793893129771</c:v>
                </c:pt>
                <c:pt idx="2">
                  <c:v>19.465648854961838</c:v>
                </c:pt>
                <c:pt idx="3">
                  <c:v>24.618320610687022</c:v>
                </c:pt>
                <c:pt idx="4">
                  <c:v>33.015267175572525</c:v>
                </c:pt>
                <c:pt idx="5">
                  <c:v>42.557251908396957</c:v>
                </c:pt>
                <c:pt idx="6">
                  <c:v>54.198473282442748</c:v>
                </c:pt>
                <c:pt idx="7">
                  <c:v>66.030534351145036</c:v>
                </c:pt>
                <c:pt idx="8">
                  <c:v>74.618320610687022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1313136"/>
        <c:axId val="311312592"/>
      </c:scatterChart>
      <c:valAx>
        <c:axId val="311313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312592"/>
        <c:crosses val="autoZero"/>
        <c:crossBetween val="midCat"/>
      </c:valAx>
      <c:valAx>
        <c:axId val="31131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313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Trolox!$A$13:$A$17</c:f>
              <c:numCache>
                <c:formatCode>0.000</c:formatCod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xVal>
          <c:yVal>
            <c:numRef>
              <c:f>Trolox!$B$13:$B$17</c:f>
              <c:numCache>
                <c:formatCode>0.000</c:formatCode>
                <c:ptCount val="5"/>
                <c:pt idx="0">
                  <c:v>18.358531317494602</c:v>
                </c:pt>
                <c:pt idx="1">
                  <c:v>39.524838012958966</c:v>
                </c:pt>
                <c:pt idx="2">
                  <c:v>54.427645788336932</c:v>
                </c:pt>
                <c:pt idx="3">
                  <c:v>80.129589632829365</c:v>
                </c:pt>
                <c:pt idx="4">
                  <c:v>93.736501079913609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906448"/>
        <c:axId val="143904816"/>
      </c:scatterChart>
      <c:valAx>
        <c:axId val="143906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904816"/>
        <c:crosses val="autoZero"/>
        <c:crossBetween val="midCat"/>
      </c:valAx>
      <c:valAx>
        <c:axId val="143904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906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 MFLUCC15-1133'!$A$21:$A$29</c:f>
              <c:numCache>
                <c:formatCode>General</c:formatCode>
                <c:ptCount val="9"/>
                <c:pt idx="0">
                  <c:v>3.91</c:v>
                </c:pt>
                <c:pt idx="1">
                  <c:v>7.81</c:v>
                </c:pt>
                <c:pt idx="2">
                  <c:v>15.62</c:v>
                </c:pt>
                <c:pt idx="3" formatCode="0.000">
                  <c:v>31.25</c:v>
                </c:pt>
                <c:pt idx="4" formatCode="0.000">
                  <c:v>62.5</c:v>
                </c:pt>
                <c:pt idx="5" formatCode="0.000">
                  <c:v>125</c:v>
                </c:pt>
                <c:pt idx="6" formatCode="0.000">
                  <c:v>250</c:v>
                </c:pt>
                <c:pt idx="7" formatCode="0.000">
                  <c:v>500</c:v>
                </c:pt>
                <c:pt idx="8" formatCode="0.000">
                  <c:v>1000</c:v>
                </c:pt>
              </c:numCache>
            </c:numRef>
          </c:xVal>
          <c:yVal>
            <c:numRef>
              <c:f>' MFLUCC15-1133'!$B$21:$B$29</c:f>
              <c:numCache>
                <c:formatCode>0.000</c:formatCode>
                <c:ptCount val="9"/>
                <c:pt idx="0">
                  <c:v>8.3969465648855035</c:v>
                </c:pt>
                <c:pt idx="1">
                  <c:v>13.740458015267176</c:v>
                </c:pt>
                <c:pt idx="2">
                  <c:v>19.656488549618327</c:v>
                </c:pt>
                <c:pt idx="3">
                  <c:v>25.572519083969464</c:v>
                </c:pt>
                <c:pt idx="4">
                  <c:v>32.251908396946568</c:v>
                </c:pt>
                <c:pt idx="5">
                  <c:v>41.984732824427482</c:v>
                </c:pt>
                <c:pt idx="6">
                  <c:v>54.007633587786266</c:v>
                </c:pt>
                <c:pt idx="7">
                  <c:v>66.221374045801525</c:v>
                </c:pt>
                <c:pt idx="8">
                  <c:v>74.236641221374043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1314224"/>
        <c:axId val="311313680"/>
      </c:scatterChart>
      <c:valAx>
        <c:axId val="311314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313680"/>
        <c:crosses val="autoZero"/>
        <c:crossBetween val="midCat"/>
      </c:valAx>
      <c:valAx>
        <c:axId val="31131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314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 MFLUCC15-1133'!$A$35:$A$43</c:f>
              <c:numCache>
                <c:formatCode>General</c:formatCode>
                <c:ptCount val="9"/>
                <c:pt idx="0">
                  <c:v>3.91</c:v>
                </c:pt>
                <c:pt idx="1">
                  <c:v>7.81</c:v>
                </c:pt>
                <c:pt idx="2">
                  <c:v>15.62</c:v>
                </c:pt>
                <c:pt idx="3" formatCode="0.000">
                  <c:v>31.25</c:v>
                </c:pt>
                <c:pt idx="4" formatCode="0.000">
                  <c:v>62.5</c:v>
                </c:pt>
                <c:pt idx="5" formatCode="0.000">
                  <c:v>125</c:v>
                </c:pt>
                <c:pt idx="6" formatCode="0.000">
                  <c:v>250</c:v>
                </c:pt>
                <c:pt idx="7" formatCode="0.000">
                  <c:v>500</c:v>
                </c:pt>
                <c:pt idx="8" formatCode="0.000">
                  <c:v>1000</c:v>
                </c:pt>
              </c:numCache>
            </c:numRef>
          </c:xVal>
          <c:yVal>
            <c:numRef>
              <c:f>' MFLUCC15-1133'!$B$35:$B$43</c:f>
              <c:numCache>
                <c:formatCode>0.000</c:formatCode>
                <c:ptCount val="9"/>
                <c:pt idx="0">
                  <c:v>9.5419847328244352</c:v>
                </c:pt>
                <c:pt idx="1">
                  <c:v>14.503816793893131</c:v>
                </c:pt>
                <c:pt idx="2">
                  <c:v>19.847328244274813</c:v>
                </c:pt>
                <c:pt idx="3">
                  <c:v>25.763358778625957</c:v>
                </c:pt>
                <c:pt idx="4">
                  <c:v>33.206106870229014</c:v>
                </c:pt>
                <c:pt idx="5">
                  <c:v>41.030534351145043</c:v>
                </c:pt>
                <c:pt idx="6">
                  <c:v>53.625954198473281</c:v>
                </c:pt>
                <c:pt idx="7">
                  <c:v>66.030534351145036</c:v>
                </c:pt>
                <c:pt idx="8">
                  <c:v>73.664122137404576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2087552"/>
        <c:axId val="2012095168"/>
      </c:scatterChart>
      <c:valAx>
        <c:axId val="2012087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2095168"/>
        <c:crosses val="autoZero"/>
        <c:crossBetween val="midCat"/>
      </c:valAx>
      <c:valAx>
        <c:axId val="201209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2087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0.12027340332458443"/>
                  <c:y val="-0.1879469233012540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'MFLUCC15-1134'!$A$4:$A$12</c:f>
              <c:numCache>
                <c:formatCode>General</c:formatCode>
                <c:ptCount val="9"/>
                <c:pt idx="0">
                  <c:v>3.91</c:v>
                </c:pt>
                <c:pt idx="1">
                  <c:v>7.81</c:v>
                </c:pt>
                <c:pt idx="2">
                  <c:v>15.62</c:v>
                </c:pt>
                <c:pt idx="3" formatCode="0.000">
                  <c:v>31.25</c:v>
                </c:pt>
                <c:pt idx="4" formatCode="0.000">
                  <c:v>62.5</c:v>
                </c:pt>
                <c:pt idx="5" formatCode="0.000">
                  <c:v>125</c:v>
                </c:pt>
                <c:pt idx="6" formatCode="0.000">
                  <c:v>250</c:v>
                </c:pt>
                <c:pt idx="7" formatCode="0.000">
                  <c:v>500</c:v>
                </c:pt>
                <c:pt idx="8" formatCode="0.000">
                  <c:v>1000</c:v>
                </c:pt>
              </c:numCache>
            </c:numRef>
          </c:xVal>
          <c:yVal>
            <c:numRef>
              <c:f>'MFLUCC15-1134'!$B$4:$B$12</c:f>
              <c:numCache>
                <c:formatCode>0.000</c:formatCode>
                <c:ptCount val="9"/>
                <c:pt idx="0">
                  <c:v>5.5343511450381726</c:v>
                </c:pt>
                <c:pt idx="1">
                  <c:v>12.022900763358777</c:v>
                </c:pt>
                <c:pt idx="2">
                  <c:v>19.656488549618327</c:v>
                </c:pt>
                <c:pt idx="3">
                  <c:v>27.099236641221374</c:v>
                </c:pt>
                <c:pt idx="4">
                  <c:v>30.152671755725198</c:v>
                </c:pt>
                <c:pt idx="5">
                  <c:v>34.732824427480914</c:v>
                </c:pt>
                <c:pt idx="6">
                  <c:v>40.076335877862597</c:v>
                </c:pt>
                <c:pt idx="7">
                  <c:v>44.274809160305352</c:v>
                </c:pt>
                <c:pt idx="8">
                  <c:v>48.282442748091604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393552"/>
        <c:axId val="461397360"/>
      </c:scatterChart>
      <c:valAx>
        <c:axId val="461393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397360"/>
        <c:crosses val="autoZero"/>
        <c:crossBetween val="midCat"/>
      </c:valAx>
      <c:valAx>
        <c:axId val="46139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393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'MFLUCC15-1134'!$A$18:$A$26</c:f>
              <c:numCache>
                <c:formatCode>General</c:formatCode>
                <c:ptCount val="9"/>
                <c:pt idx="0">
                  <c:v>3.91</c:v>
                </c:pt>
                <c:pt idx="1">
                  <c:v>7.81</c:v>
                </c:pt>
                <c:pt idx="2">
                  <c:v>15.62</c:v>
                </c:pt>
                <c:pt idx="3" formatCode="0.000">
                  <c:v>31.25</c:v>
                </c:pt>
                <c:pt idx="4" formatCode="0.000">
                  <c:v>62.5</c:v>
                </c:pt>
                <c:pt idx="5" formatCode="0.000">
                  <c:v>125</c:v>
                </c:pt>
                <c:pt idx="6" formatCode="0.000">
                  <c:v>250</c:v>
                </c:pt>
                <c:pt idx="7" formatCode="0.000">
                  <c:v>500</c:v>
                </c:pt>
                <c:pt idx="8" formatCode="0.000">
                  <c:v>1000</c:v>
                </c:pt>
              </c:numCache>
            </c:numRef>
          </c:xVal>
          <c:yVal>
            <c:numRef>
              <c:f>'MFLUCC15-1134'!$B$18:$B$26</c:f>
              <c:numCache>
                <c:formatCode>0.000</c:formatCode>
                <c:ptCount val="9"/>
                <c:pt idx="0">
                  <c:v>4.7709923664122176</c:v>
                </c:pt>
                <c:pt idx="1">
                  <c:v>11.068702290076335</c:v>
                </c:pt>
                <c:pt idx="2">
                  <c:v>19.465648854961838</c:v>
                </c:pt>
                <c:pt idx="3">
                  <c:v>25.954198473282442</c:v>
                </c:pt>
                <c:pt idx="4">
                  <c:v>31.106870229007637</c:v>
                </c:pt>
                <c:pt idx="5">
                  <c:v>34.35114503816795</c:v>
                </c:pt>
                <c:pt idx="6">
                  <c:v>40.648854961832065</c:v>
                </c:pt>
                <c:pt idx="7">
                  <c:v>44.465648854961835</c:v>
                </c:pt>
                <c:pt idx="8">
                  <c:v>47.137404580152669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918432"/>
        <c:axId val="315924416"/>
      </c:scatterChart>
      <c:valAx>
        <c:axId val="315918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924416"/>
        <c:crosses val="autoZero"/>
        <c:crossBetween val="midCat"/>
      </c:valAx>
      <c:valAx>
        <c:axId val="31592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918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0.10516229221347331"/>
                  <c:y val="-0.1840591280256634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'MFLUCC15-1134'!$A$32:$A$40</c:f>
              <c:numCache>
                <c:formatCode>General</c:formatCode>
                <c:ptCount val="9"/>
                <c:pt idx="0">
                  <c:v>3.91</c:v>
                </c:pt>
                <c:pt idx="1">
                  <c:v>7.81</c:v>
                </c:pt>
                <c:pt idx="2">
                  <c:v>15.62</c:v>
                </c:pt>
                <c:pt idx="3" formatCode="0.000">
                  <c:v>31.25</c:v>
                </c:pt>
                <c:pt idx="4" formatCode="0.000">
                  <c:v>62.5</c:v>
                </c:pt>
                <c:pt idx="5" formatCode="0.000">
                  <c:v>125</c:v>
                </c:pt>
                <c:pt idx="6" formatCode="0.000">
                  <c:v>250</c:v>
                </c:pt>
                <c:pt idx="7" formatCode="0.000">
                  <c:v>500</c:v>
                </c:pt>
                <c:pt idx="8" formatCode="0.000">
                  <c:v>1000</c:v>
                </c:pt>
              </c:numCache>
            </c:numRef>
          </c:xVal>
          <c:yVal>
            <c:numRef>
              <c:f>'MFLUCC15-1134'!$B$32:$B$40</c:f>
              <c:numCache>
                <c:formatCode>0.000</c:formatCode>
                <c:ptCount val="9"/>
                <c:pt idx="0">
                  <c:v>6.4885496183206159</c:v>
                </c:pt>
                <c:pt idx="1">
                  <c:v>12.022900763358777</c:v>
                </c:pt>
                <c:pt idx="2">
                  <c:v>19.656488549618327</c:v>
                </c:pt>
                <c:pt idx="3">
                  <c:v>27.099236641221374</c:v>
                </c:pt>
                <c:pt idx="4">
                  <c:v>31.297709923664129</c:v>
                </c:pt>
                <c:pt idx="5">
                  <c:v>35.305343511450381</c:v>
                </c:pt>
                <c:pt idx="6">
                  <c:v>42.36641221374046</c:v>
                </c:pt>
                <c:pt idx="7">
                  <c:v>45.038167938931309</c:v>
                </c:pt>
                <c:pt idx="8">
                  <c:v>48.854961832061065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355072"/>
        <c:axId val="456351808"/>
      </c:scatterChart>
      <c:valAx>
        <c:axId val="456355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351808"/>
        <c:crosses val="autoZero"/>
        <c:crossBetween val="midCat"/>
      </c:valAx>
      <c:valAx>
        <c:axId val="45635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355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0.11627340332458443"/>
                  <c:y val="-0.1958996792067658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'MFLUCC15-1135'!$A$4:$A$12</c:f>
              <c:numCache>
                <c:formatCode>General</c:formatCode>
                <c:ptCount val="9"/>
                <c:pt idx="0">
                  <c:v>3.91</c:v>
                </c:pt>
                <c:pt idx="1">
                  <c:v>7.81</c:v>
                </c:pt>
                <c:pt idx="2">
                  <c:v>15.62</c:v>
                </c:pt>
                <c:pt idx="3" formatCode="0.000">
                  <c:v>31.25</c:v>
                </c:pt>
                <c:pt idx="4" formatCode="0.000">
                  <c:v>62.5</c:v>
                </c:pt>
                <c:pt idx="5" formatCode="0.000">
                  <c:v>125</c:v>
                </c:pt>
                <c:pt idx="6" formatCode="0.000">
                  <c:v>250</c:v>
                </c:pt>
                <c:pt idx="7" formatCode="0.000">
                  <c:v>500</c:v>
                </c:pt>
                <c:pt idx="8" formatCode="0.000">
                  <c:v>1000</c:v>
                </c:pt>
              </c:numCache>
            </c:numRef>
          </c:xVal>
          <c:yVal>
            <c:numRef>
              <c:f>'MFLUCC15-1135'!$B$4:$B$12</c:f>
              <c:numCache>
                <c:formatCode>0.000</c:formatCode>
                <c:ptCount val="9"/>
                <c:pt idx="0">
                  <c:v>7.3873873873873936</c:v>
                </c:pt>
                <c:pt idx="1">
                  <c:v>12.252252252252262</c:v>
                </c:pt>
                <c:pt idx="2">
                  <c:v>20.540540540540547</c:v>
                </c:pt>
                <c:pt idx="3">
                  <c:v>32.612612612612615</c:v>
                </c:pt>
                <c:pt idx="4">
                  <c:v>42.162162162162161</c:v>
                </c:pt>
                <c:pt idx="5">
                  <c:v>48.108108108108119</c:v>
                </c:pt>
                <c:pt idx="6">
                  <c:v>54.234234234234236</c:v>
                </c:pt>
                <c:pt idx="7">
                  <c:v>58.198198198198206</c:v>
                </c:pt>
                <c:pt idx="8">
                  <c:v>62.702702702702716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702864"/>
        <c:axId val="499702320"/>
      </c:scatterChart>
      <c:valAx>
        <c:axId val="49970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702320"/>
        <c:crosses val="autoZero"/>
        <c:crossBetween val="midCat"/>
      </c:valAx>
      <c:valAx>
        <c:axId val="49970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702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4.6828958880139986E-2"/>
                  <c:y val="-0.130046296296296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'MFLUCC15-1135'!$A$18:$A$26</c:f>
              <c:numCache>
                <c:formatCode>General</c:formatCode>
                <c:ptCount val="9"/>
                <c:pt idx="0">
                  <c:v>3.91</c:v>
                </c:pt>
                <c:pt idx="1">
                  <c:v>7.81</c:v>
                </c:pt>
                <c:pt idx="2">
                  <c:v>15.62</c:v>
                </c:pt>
                <c:pt idx="3" formatCode="0.000">
                  <c:v>31.25</c:v>
                </c:pt>
                <c:pt idx="4" formatCode="0.000">
                  <c:v>62.5</c:v>
                </c:pt>
                <c:pt idx="5" formatCode="0.000">
                  <c:v>125</c:v>
                </c:pt>
                <c:pt idx="6" formatCode="0.000">
                  <c:v>250</c:v>
                </c:pt>
                <c:pt idx="7" formatCode="0.000">
                  <c:v>500</c:v>
                </c:pt>
                <c:pt idx="8" formatCode="0.000">
                  <c:v>1000</c:v>
                </c:pt>
              </c:numCache>
            </c:numRef>
          </c:xVal>
          <c:yVal>
            <c:numRef>
              <c:f>'MFLUCC15-1135'!$B$18:$B$26</c:f>
              <c:numCache>
                <c:formatCode>0.000</c:formatCode>
                <c:ptCount val="9"/>
                <c:pt idx="0">
                  <c:v>7.927927927927934</c:v>
                </c:pt>
                <c:pt idx="1">
                  <c:v>12.072072072072082</c:v>
                </c:pt>
                <c:pt idx="2">
                  <c:v>20.720720720720728</c:v>
                </c:pt>
                <c:pt idx="3">
                  <c:v>33.153153153153156</c:v>
                </c:pt>
                <c:pt idx="4">
                  <c:v>41.981981981981988</c:v>
                </c:pt>
                <c:pt idx="5">
                  <c:v>48.64864864864866</c:v>
                </c:pt>
                <c:pt idx="6">
                  <c:v>54.954954954954957</c:v>
                </c:pt>
                <c:pt idx="7">
                  <c:v>58.738738738738746</c:v>
                </c:pt>
                <c:pt idx="8">
                  <c:v>63.963963963963963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699056"/>
        <c:axId val="499697968"/>
      </c:scatterChart>
      <c:valAx>
        <c:axId val="499699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697968"/>
        <c:crosses val="autoZero"/>
        <c:crossBetween val="midCat"/>
      </c:valAx>
      <c:valAx>
        <c:axId val="49969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699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0.11749562554680665"/>
                  <c:y val="-0.2172076407115777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'MFLUCC15-1135'!$A$32:$A$40</c:f>
              <c:numCache>
                <c:formatCode>General</c:formatCode>
                <c:ptCount val="9"/>
                <c:pt idx="0">
                  <c:v>3.91</c:v>
                </c:pt>
                <c:pt idx="1">
                  <c:v>7.81</c:v>
                </c:pt>
                <c:pt idx="2">
                  <c:v>15.62</c:v>
                </c:pt>
                <c:pt idx="3" formatCode="0.000">
                  <c:v>31.25</c:v>
                </c:pt>
                <c:pt idx="4" formatCode="0.000">
                  <c:v>62.5</c:v>
                </c:pt>
                <c:pt idx="5" formatCode="0.000">
                  <c:v>125</c:v>
                </c:pt>
                <c:pt idx="6" formatCode="0.000">
                  <c:v>250</c:v>
                </c:pt>
                <c:pt idx="7" formatCode="0.000">
                  <c:v>500</c:v>
                </c:pt>
                <c:pt idx="8" formatCode="0.000">
                  <c:v>1000</c:v>
                </c:pt>
              </c:numCache>
            </c:numRef>
          </c:xVal>
          <c:yVal>
            <c:numRef>
              <c:f>'MFLUCC15-1135'!$B$32:$B$40</c:f>
              <c:numCache>
                <c:formatCode>0.000</c:formatCode>
                <c:ptCount val="9"/>
                <c:pt idx="0">
                  <c:v>8.1081081081081141</c:v>
                </c:pt>
                <c:pt idx="1">
                  <c:v>13.333333333333345</c:v>
                </c:pt>
                <c:pt idx="2">
                  <c:v>20.900900900900908</c:v>
                </c:pt>
                <c:pt idx="3">
                  <c:v>33.333333333333343</c:v>
                </c:pt>
                <c:pt idx="4">
                  <c:v>41.441441441441448</c:v>
                </c:pt>
                <c:pt idx="5">
                  <c:v>48.108108108108119</c:v>
                </c:pt>
                <c:pt idx="6">
                  <c:v>54.234234234234236</c:v>
                </c:pt>
                <c:pt idx="7">
                  <c:v>60.360360360360367</c:v>
                </c:pt>
                <c:pt idx="8">
                  <c:v>62.162162162162168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353984"/>
        <c:axId val="456351264"/>
      </c:scatterChart>
      <c:valAx>
        <c:axId val="456353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351264"/>
        <c:crosses val="autoZero"/>
        <c:crossBetween val="midCat"/>
      </c:valAx>
      <c:valAx>
        <c:axId val="45635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353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7.7384514435695537E-2"/>
                  <c:y val="-0.2068810148731408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'MFLUCC15-1136'!$A$4:$A$12</c:f>
              <c:numCache>
                <c:formatCode>General</c:formatCode>
                <c:ptCount val="9"/>
                <c:pt idx="0">
                  <c:v>3.91</c:v>
                </c:pt>
                <c:pt idx="1">
                  <c:v>7.81</c:v>
                </c:pt>
                <c:pt idx="2">
                  <c:v>15.62</c:v>
                </c:pt>
                <c:pt idx="3" formatCode="0.000">
                  <c:v>31.25</c:v>
                </c:pt>
                <c:pt idx="4" formatCode="0.000">
                  <c:v>62.5</c:v>
                </c:pt>
                <c:pt idx="5" formatCode="0.000">
                  <c:v>125</c:v>
                </c:pt>
                <c:pt idx="6" formatCode="0.000">
                  <c:v>250</c:v>
                </c:pt>
                <c:pt idx="7" formatCode="0.000">
                  <c:v>500</c:v>
                </c:pt>
                <c:pt idx="8" formatCode="0.000">
                  <c:v>1000</c:v>
                </c:pt>
              </c:numCache>
            </c:numRef>
          </c:xVal>
          <c:yVal>
            <c:numRef>
              <c:f>'MFLUCC15-1136'!$B$4:$B$12</c:f>
              <c:numCache>
                <c:formatCode>0.000</c:formatCode>
                <c:ptCount val="9"/>
                <c:pt idx="0">
                  <c:v>9.1891891891891966</c:v>
                </c:pt>
                <c:pt idx="1">
                  <c:v>17.477477477477482</c:v>
                </c:pt>
                <c:pt idx="2">
                  <c:v>27.027027027027028</c:v>
                </c:pt>
                <c:pt idx="3">
                  <c:v>34.954954954954964</c:v>
                </c:pt>
                <c:pt idx="4">
                  <c:v>43.96396396396397</c:v>
                </c:pt>
                <c:pt idx="5">
                  <c:v>48.64864864864866</c:v>
                </c:pt>
                <c:pt idx="6">
                  <c:v>53.513513513513509</c:v>
                </c:pt>
                <c:pt idx="7">
                  <c:v>60.180180180180187</c:v>
                </c:pt>
                <c:pt idx="8">
                  <c:v>65.045045045045043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836816"/>
        <c:axId val="306838448"/>
      </c:scatterChart>
      <c:valAx>
        <c:axId val="306836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838448"/>
        <c:crosses val="autoZero"/>
        <c:crossBetween val="midCat"/>
      </c:valAx>
      <c:valAx>
        <c:axId val="30683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836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0.16071784776902887"/>
                  <c:y val="-0.1948804316127150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'MFLUCC15-1136'!$A$18:$A$26</c:f>
              <c:numCache>
                <c:formatCode>General</c:formatCode>
                <c:ptCount val="9"/>
                <c:pt idx="0">
                  <c:v>3.91</c:v>
                </c:pt>
                <c:pt idx="1">
                  <c:v>7.81</c:v>
                </c:pt>
                <c:pt idx="2">
                  <c:v>15.62</c:v>
                </c:pt>
                <c:pt idx="3" formatCode="0.000">
                  <c:v>31.25</c:v>
                </c:pt>
                <c:pt idx="4" formatCode="0.000">
                  <c:v>62.5</c:v>
                </c:pt>
                <c:pt idx="5" formatCode="0.000">
                  <c:v>125</c:v>
                </c:pt>
                <c:pt idx="6" formatCode="0.000">
                  <c:v>250</c:v>
                </c:pt>
                <c:pt idx="7" formatCode="0.000">
                  <c:v>500</c:v>
                </c:pt>
                <c:pt idx="8" formatCode="0.000">
                  <c:v>1000</c:v>
                </c:pt>
              </c:numCache>
            </c:numRef>
          </c:xVal>
          <c:yVal>
            <c:numRef>
              <c:f>'MFLUCC15-1136'!$B$18:$B$26</c:f>
              <c:numCache>
                <c:formatCode>0.000</c:formatCode>
                <c:ptCount val="9"/>
                <c:pt idx="0">
                  <c:v>8.6486486486486562</c:v>
                </c:pt>
                <c:pt idx="1">
                  <c:v>18.018018018018022</c:v>
                </c:pt>
                <c:pt idx="2">
                  <c:v>27.747747747747749</c:v>
                </c:pt>
                <c:pt idx="3">
                  <c:v>34.054054054054063</c:v>
                </c:pt>
                <c:pt idx="4">
                  <c:v>43.423423423423429</c:v>
                </c:pt>
                <c:pt idx="5">
                  <c:v>48.288288288288292</c:v>
                </c:pt>
                <c:pt idx="6">
                  <c:v>54.054054054054056</c:v>
                </c:pt>
                <c:pt idx="7">
                  <c:v>60.540540540540547</c:v>
                </c:pt>
                <c:pt idx="8">
                  <c:v>65.585585585585591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1316400"/>
        <c:axId val="311311504"/>
      </c:scatterChart>
      <c:valAx>
        <c:axId val="311316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311504"/>
        <c:crosses val="autoZero"/>
        <c:crossBetween val="midCat"/>
      </c:valAx>
      <c:valAx>
        <c:axId val="31131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316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429904260831264"/>
          <c:y val="0.16681425388324783"/>
          <c:w val="0.74434485406128681"/>
          <c:h val="0.676521634060876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Trolox!$A$22:$A$26</c:f>
              <c:numCache>
                <c:formatCode>0.000</c:formatCod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xVal>
          <c:yVal>
            <c:numRef>
              <c:f>Trolox!$B$22:$B$26</c:f>
              <c:numCache>
                <c:formatCode>0.000</c:formatCode>
                <c:ptCount val="5"/>
                <c:pt idx="0">
                  <c:v>18.358531317494602</c:v>
                </c:pt>
                <c:pt idx="1">
                  <c:v>38.660907127429816</c:v>
                </c:pt>
                <c:pt idx="2">
                  <c:v>55.939524838012957</c:v>
                </c:pt>
                <c:pt idx="3">
                  <c:v>79.697624190064786</c:v>
                </c:pt>
                <c:pt idx="4">
                  <c:v>92.872570194384451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923872"/>
        <c:axId val="315921696"/>
      </c:scatterChart>
      <c:valAx>
        <c:axId val="315923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921696"/>
        <c:crosses val="autoZero"/>
        <c:crossBetween val="midCat"/>
      </c:valAx>
      <c:valAx>
        <c:axId val="31592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923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8.5717847769028868E-2"/>
                  <c:y val="-0.1812434383202099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'MFLUCC15-1136'!$A$32:$A$40</c:f>
              <c:numCache>
                <c:formatCode>General</c:formatCode>
                <c:ptCount val="9"/>
                <c:pt idx="0">
                  <c:v>3.91</c:v>
                </c:pt>
                <c:pt idx="1">
                  <c:v>7.81</c:v>
                </c:pt>
                <c:pt idx="2">
                  <c:v>15.62</c:v>
                </c:pt>
                <c:pt idx="3" formatCode="0.000">
                  <c:v>31.25</c:v>
                </c:pt>
                <c:pt idx="4" formatCode="0.000">
                  <c:v>62.5</c:v>
                </c:pt>
                <c:pt idx="5" formatCode="0.000">
                  <c:v>125</c:v>
                </c:pt>
                <c:pt idx="6" formatCode="0.000">
                  <c:v>250</c:v>
                </c:pt>
                <c:pt idx="7" formatCode="0.000">
                  <c:v>500</c:v>
                </c:pt>
                <c:pt idx="8" formatCode="0.000">
                  <c:v>1000</c:v>
                </c:pt>
              </c:numCache>
            </c:numRef>
          </c:xVal>
          <c:yVal>
            <c:numRef>
              <c:f>'MFLUCC15-1136'!$B$32:$B$40</c:f>
              <c:numCache>
                <c:formatCode>0.000</c:formatCode>
                <c:ptCount val="9"/>
                <c:pt idx="0">
                  <c:v>9.1891891891891966</c:v>
                </c:pt>
                <c:pt idx="1">
                  <c:v>19.099099099099103</c:v>
                </c:pt>
                <c:pt idx="2">
                  <c:v>26.126126126126138</c:v>
                </c:pt>
                <c:pt idx="3">
                  <c:v>34.234234234234236</c:v>
                </c:pt>
                <c:pt idx="4">
                  <c:v>43.96396396396397</c:v>
                </c:pt>
                <c:pt idx="5">
                  <c:v>48.64864864864866</c:v>
                </c:pt>
                <c:pt idx="6">
                  <c:v>54.774774774774784</c:v>
                </c:pt>
                <c:pt idx="7">
                  <c:v>60.360360360360367</c:v>
                </c:pt>
                <c:pt idx="8">
                  <c:v>65.22522522522523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352352"/>
        <c:axId val="456354528"/>
      </c:scatterChart>
      <c:valAx>
        <c:axId val="456352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354528"/>
        <c:crosses val="autoZero"/>
        <c:crossBetween val="midCat"/>
      </c:valAx>
      <c:valAx>
        <c:axId val="45635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352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0.13773184601924759"/>
                  <c:y val="-0.1893773694954797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'MFLUCC15-1137'!$A$4:$A$12</c:f>
              <c:numCache>
                <c:formatCode>General</c:formatCode>
                <c:ptCount val="9"/>
                <c:pt idx="0">
                  <c:v>3.91</c:v>
                </c:pt>
                <c:pt idx="1">
                  <c:v>7.81</c:v>
                </c:pt>
                <c:pt idx="2">
                  <c:v>15.62</c:v>
                </c:pt>
                <c:pt idx="3" formatCode="0.000">
                  <c:v>31.25</c:v>
                </c:pt>
                <c:pt idx="4" formatCode="0.000">
                  <c:v>62.5</c:v>
                </c:pt>
                <c:pt idx="5" formatCode="0.000">
                  <c:v>125</c:v>
                </c:pt>
                <c:pt idx="6" formatCode="0.000">
                  <c:v>250</c:v>
                </c:pt>
                <c:pt idx="7" formatCode="0.000">
                  <c:v>500</c:v>
                </c:pt>
                <c:pt idx="8" formatCode="0.000">
                  <c:v>1000</c:v>
                </c:pt>
              </c:numCache>
            </c:numRef>
          </c:xVal>
          <c:yVal>
            <c:numRef>
              <c:f>'MFLUCC15-1137'!$B$4:$B$12</c:f>
              <c:numCache>
                <c:formatCode>0.000</c:formatCode>
                <c:ptCount val="9"/>
                <c:pt idx="0">
                  <c:v>5.6261343012704215</c:v>
                </c:pt>
                <c:pt idx="1">
                  <c:v>9.0744101633393903</c:v>
                </c:pt>
                <c:pt idx="2">
                  <c:v>12.704174228675146</c:v>
                </c:pt>
                <c:pt idx="3">
                  <c:v>15.970961887477317</c:v>
                </c:pt>
                <c:pt idx="4">
                  <c:v>19.963702359346648</c:v>
                </c:pt>
                <c:pt idx="5">
                  <c:v>21.778584392014526</c:v>
                </c:pt>
                <c:pt idx="6">
                  <c:v>23.411978221415616</c:v>
                </c:pt>
                <c:pt idx="7">
                  <c:v>27.041742286751365</c:v>
                </c:pt>
                <c:pt idx="8">
                  <c:v>28.85662431941924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4322912"/>
        <c:axId val="314320192"/>
      </c:scatterChart>
      <c:valAx>
        <c:axId val="314322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320192"/>
        <c:crosses val="autoZero"/>
        <c:crossBetween val="midCat"/>
      </c:valAx>
      <c:valAx>
        <c:axId val="31432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322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'MFLUCC15-1137'!$A$18:$A$26</c:f>
              <c:numCache>
                <c:formatCode>General</c:formatCode>
                <c:ptCount val="9"/>
                <c:pt idx="0">
                  <c:v>3.91</c:v>
                </c:pt>
                <c:pt idx="1">
                  <c:v>7.81</c:v>
                </c:pt>
                <c:pt idx="2">
                  <c:v>15.62</c:v>
                </c:pt>
                <c:pt idx="3" formatCode="0.000">
                  <c:v>31.25</c:v>
                </c:pt>
                <c:pt idx="4" formatCode="0.000">
                  <c:v>62.5</c:v>
                </c:pt>
                <c:pt idx="5" formatCode="0.000">
                  <c:v>125</c:v>
                </c:pt>
                <c:pt idx="6" formatCode="0.000">
                  <c:v>250</c:v>
                </c:pt>
                <c:pt idx="7" formatCode="0.000">
                  <c:v>500</c:v>
                </c:pt>
                <c:pt idx="8" formatCode="0.000">
                  <c:v>1000</c:v>
                </c:pt>
              </c:numCache>
            </c:numRef>
          </c:xVal>
          <c:yVal>
            <c:numRef>
              <c:f>'MFLUCC15-1137'!$B$18:$B$26</c:f>
              <c:numCache>
                <c:formatCode>0.000</c:formatCode>
                <c:ptCount val="9"/>
                <c:pt idx="0">
                  <c:v>5.4446460980036342</c:v>
                </c:pt>
                <c:pt idx="1">
                  <c:v>8.5299455535390276</c:v>
                </c:pt>
                <c:pt idx="2">
                  <c:v>11.433756805807633</c:v>
                </c:pt>
                <c:pt idx="3">
                  <c:v>14.700544464609813</c:v>
                </c:pt>
                <c:pt idx="4">
                  <c:v>18.148820326678774</c:v>
                </c:pt>
                <c:pt idx="5">
                  <c:v>21.960072595281314</c:v>
                </c:pt>
                <c:pt idx="6">
                  <c:v>24.137931034482769</c:v>
                </c:pt>
                <c:pt idx="7">
                  <c:v>27.404718693284941</c:v>
                </c:pt>
                <c:pt idx="8">
                  <c:v>29.582577132486392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1315312"/>
        <c:axId val="461396816"/>
      </c:scatterChart>
      <c:valAx>
        <c:axId val="311315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396816"/>
        <c:crosses val="autoZero"/>
        <c:crossBetween val="midCat"/>
      </c:valAx>
      <c:valAx>
        <c:axId val="46139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315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'MFLUCC15-1137'!$A$32:$A$40</c:f>
              <c:numCache>
                <c:formatCode>General</c:formatCode>
                <c:ptCount val="9"/>
                <c:pt idx="0">
                  <c:v>3.91</c:v>
                </c:pt>
                <c:pt idx="1">
                  <c:v>7.81</c:v>
                </c:pt>
                <c:pt idx="2">
                  <c:v>15.62</c:v>
                </c:pt>
                <c:pt idx="3" formatCode="0.000">
                  <c:v>31.25</c:v>
                </c:pt>
                <c:pt idx="4" formatCode="0.000">
                  <c:v>62.5</c:v>
                </c:pt>
                <c:pt idx="5" formatCode="0.000">
                  <c:v>125</c:v>
                </c:pt>
                <c:pt idx="6" formatCode="0.000">
                  <c:v>250</c:v>
                </c:pt>
                <c:pt idx="7" formatCode="0.000">
                  <c:v>500</c:v>
                </c:pt>
                <c:pt idx="8" formatCode="0.000">
                  <c:v>1000</c:v>
                </c:pt>
              </c:numCache>
            </c:numRef>
          </c:xVal>
          <c:yVal>
            <c:numRef>
              <c:f>'MFLUCC15-1137'!$B$32:$B$40</c:f>
              <c:numCache>
                <c:formatCode>0.000</c:formatCode>
                <c:ptCount val="9"/>
                <c:pt idx="0">
                  <c:v>4.9001814882032706</c:v>
                </c:pt>
                <c:pt idx="1">
                  <c:v>7.985480943738664</c:v>
                </c:pt>
                <c:pt idx="2">
                  <c:v>11.796733212341207</c:v>
                </c:pt>
                <c:pt idx="3">
                  <c:v>15.063520871143377</c:v>
                </c:pt>
                <c:pt idx="4">
                  <c:v>17.422867513611621</c:v>
                </c:pt>
                <c:pt idx="5">
                  <c:v>21.597096188747738</c:v>
                </c:pt>
                <c:pt idx="6">
                  <c:v>24.319419237749557</c:v>
                </c:pt>
                <c:pt idx="7">
                  <c:v>28.85662431941924</c:v>
                </c:pt>
                <c:pt idx="8">
                  <c:v>30.852994555353909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192272"/>
        <c:axId val="138191184"/>
      </c:scatterChart>
      <c:valAx>
        <c:axId val="138192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91184"/>
        <c:crosses val="autoZero"/>
        <c:crossBetween val="midCat"/>
      </c:valAx>
      <c:valAx>
        <c:axId val="13819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92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9.40511811023622E-2"/>
                  <c:y val="-0.2253528725575969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'MFLUCC15-1138'!$A$4:$A$12</c:f>
              <c:numCache>
                <c:formatCode>General</c:formatCode>
                <c:ptCount val="9"/>
                <c:pt idx="0">
                  <c:v>3.91</c:v>
                </c:pt>
                <c:pt idx="1">
                  <c:v>7.81</c:v>
                </c:pt>
                <c:pt idx="2">
                  <c:v>15.62</c:v>
                </c:pt>
                <c:pt idx="3" formatCode="0.000">
                  <c:v>31.25</c:v>
                </c:pt>
                <c:pt idx="4" formatCode="0.000">
                  <c:v>62.5</c:v>
                </c:pt>
                <c:pt idx="5" formatCode="0.000">
                  <c:v>125</c:v>
                </c:pt>
                <c:pt idx="6" formatCode="0.000">
                  <c:v>250</c:v>
                </c:pt>
                <c:pt idx="7" formatCode="0.000">
                  <c:v>500</c:v>
                </c:pt>
                <c:pt idx="8" formatCode="0.000">
                  <c:v>1000</c:v>
                </c:pt>
              </c:numCache>
            </c:numRef>
          </c:xVal>
          <c:yVal>
            <c:numRef>
              <c:f>'MFLUCC15-1138'!$B$4:$B$12</c:f>
              <c:numCache>
                <c:formatCode>0.000</c:formatCode>
                <c:ptCount val="9"/>
                <c:pt idx="0">
                  <c:v>5.6939501779359478</c:v>
                </c:pt>
                <c:pt idx="1">
                  <c:v>10.676156583629902</c:v>
                </c:pt>
                <c:pt idx="2">
                  <c:v>16.19217081850535</c:v>
                </c:pt>
                <c:pt idx="3">
                  <c:v>21.530249110320295</c:v>
                </c:pt>
                <c:pt idx="4">
                  <c:v>27.046263345195744</c:v>
                </c:pt>
                <c:pt idx="5">
                  <c:v>33.451957295373674</c:v>
                </c:pt>
                <c:pt idx="6">
                  <c:v>38.967971530249116</c:v>
                </c:pt>
                <c:pt idx="7">
                  <c:v>44.483985765124565</c:v>
                </c:pt>
                <c:pt idx="8">
                  <c:v>52.669039145907469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194992"/>
        <c:axId val="138190096"/>
      </c:scatterChart>
      <c:valAx>
        <c:axId val="138194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90096"/>
        <c:crosses val="autoZero"/>
        <c:crossBetween val="midCat"/>
      </c:valAx>
      <c:valAx>
        <c:axId val="13819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94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8.29400699912511E-2"/>
                  <c:y val="-0.1936322543015456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'MFLUCC15-1138'!$A$18:$A$26</c:f>
              <c:numCache>
                <c:formatCode>General</c:formatCode>
                <c:ptCount val="9"/>
                <c:pt idx="0">
                  <c:v>3.91</c:v>
                </c:pt>
                <c:pt idx="1">
                  <c:v>7.81</c:v>
                </c:pt>
                <c:pt idx="2">
                  <c:v>15.62</c:v>
                </c:pt>
                <c:pt idx="3" formatCode="0.000">
                  <c:v>31.25</c:v>
                </c:pt>
                <c:pt idx="4" formatCode="0.000">
                  <c:v>62.5</c:v>
                </c:pt>
                <c:pt idx="5" formatCode="0.000">
                  <c:v>125</c:v>
                </c:pt>
                <c:pt idx="6" formatCode="0.000">
                  <c:v>250</c:v>
                </c:pt>
                <c:pt idx="7" formatCode="0.000">
                  <c:v>500</c:v>
                </c:pt>
                <c:pt idx="8" formatCode="0.000">
                  <c:v>1000</c:v>
                </c:pt>
              </c:numCache>
            </c:numRef>
          </c:xVal>
          <c:yVal>
            <c:numRef>
              <c:f>'MFLUCC15-1138'!$B$18:$B$26</c:f>
              <c:numCache>
                <c:formatCode>0.000</c:formatCode>
                <c:ptCount val="9"/>
                <c:pt idx="0">
                  <c:v>5.6939501779359478</c:v>
                </c:pt>
                <c:pt idx="1">
                  <c:v>10.676156583629902</c:v>
                </c:pt>
                <c:pt idx="2">
                  <c:v>16.37010676156585</c:v>
                </c:pt>
                <c:pt idx="3">
                  <c:v>21.708185053380792</c:v>
                </c:pt>
                <c:pt idx="4">
                  <c:v>27.046263345195744</c:v>
                </c:pt>
                <c:pt idx="5">
                  <c:v>33.629893238434171</c:v>
                </c:pt>
                <c:pt idx="6">
                  <c:v>39.145907473309613</c:v>
                </c:pt>
                <c:pt idx="7">
                  <c:v>44.661921708185062</c:v>
                </c:pt>
                <c:pt idx="8">
                  <c:v>52.491103202846979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396272"/>
        <c:axId val="461395184"/>
      </c:scatterChart>
      <c:valAx>
        <c:axId val="461396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395184"/>
        <c:crosses val="autoZero"/>
        <c:crossBetween val="midCat"/>
      </c:valAx>
      <c:valAx>
        <c:axId val="461395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396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0.11071784776902888"/>
                  <c:y val="-0.199402158063575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'MFLUCC15-1138'!$A$32:$A$40</c:f>
              <c:numCache>
                <c:formatCode>General</c:formatCode>
                <c:ptCount val="9"/>
                <c:pt idx="0">
                  <c:v>3.91</c:v>
                </c:pt>
                <c:pt idx="1">
                  <c:v>7.81</c:v>
                </c:pt>
                <c:pt idx="2">
                  <c:v>15.62</c:v>
                </c:pt>
                <c:pt idx="3" formatCode="0.000">
                  <c:v>31.25</c:v>
                </c:pt>
                <c:pt idx="4" formatCode="0.000">
                  <c:v>62.5</c:v>
                </c:pt>
                <c:pt idx="5" formatCode="0.000">
                  <c:v>125</c:v>
                </c:pt>
                <c:pt idx="6" formatCode="0.000">
                  <c:v>250</c:v>
                </c:pt>
                <c:pt idx="7" formatCode="0.000">
                  <c:v>500</c:v>
                </c:pt>
                <c:pt idx="8" formatCode="0.000">
                  <c:v>1000</c:v>
                </c:pt>
              </c:numCache>
            </c:numRef>
          </c:xVal>
          <c:yVal>
            <c:numRef>
              <c:f>'MFLUCC15-1138'!$B$32:$B$40</c:f>
              <c:numCache>
                <c:formatCode>0.000</c:formatCode>
                <c:ptCount val="9"/>
                <c:pt idx="0">
                  <c:v>5.6939501779359478</c:v>
                </c:pt>
                <c:pt idx="1">
                  <c:v>10.676156583629902</c:v>
                </c:pt>
                <c:pt idx="2">
                  <c:v>16.19217081850535</c:v>
                </c:pt>
                <c:pt idx="3">
                  <c:v>21.352313167259794</c:v>
                </c:pt>
                <c:pt idx="4">
                  <c:v>27.224199288256241</c:v>
                </c:pt>
                <c:pt idx="5">
                  <c:v>33.096085409252673</c:v>
                </c:pt>
                <c:pt idx="6">
                  <c:v>39.145907473309613</c:v>
                </c:pt>
                <c:pt idx="7">
                  <c:v>44.306049822064061</c:v>
                </c:pt>
                <c:pt idx="8">
                  <c:v>52.846975088967973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876896"/>
        <c:axId val="137881792"/>
      </c:scatterChart>
      <c:valAx>
        <c:axId val="137876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881792"/>
        <c:crosses val="autoZero"/>
        <c:crossBetween val="midCat"/>
      </c:valAx>
      <c:valAx>
        <c:axId val="13788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876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'MFLUCC15-1112'!$A$7:$A$15</c:f>
              <c:numCache>
                <c:formatCode>General</c:formatCode>
                <c:ptCount val="9"/>
                <c:pt idx="0">
                  <c:v>3.91</c:v>
                </c:pt>
                <c:pt idx="1">
                  <c:v>7.81</c:v>
                </c:pt>
                <c:pt idx="2">
                  <c:v>15.62</c:v>
                </c:pt>
                <c:pt idx="3" formatCode="0.000">
                  <c:v>31.25</c:v>
                </c:pt>
                <c:pt idx="4" formatCode="0.000">
                  <c:v>62.5</c:v>
                </c:pt>
                <c:pt idx="5" formatCode="0.000">
                  <c:v>125</c:v>
                </c:pt>
                <c:pt idx="6" formatCode="0.000">
                  <c:v>250</c:v>
                </c:pt>
                <c:pt idx="7" formatCode="0.000">
                  <c:v>500</c:v>
                </c:pt>
                <c:pt idx="8" formatCode="0.000">
                  <c:v>1000</c:v>
                </c:pt>
              </c:numCache>
            </c:numRef>
          </c:xVal>
          <c:yVal>
            <c:numRef>
              <c:f>'MFLUCC15-1112'!$B$7:$B$15</c:f>
              <c:numCache>
                <c:formatCode>0.000</c:formatCode>
                <c:ptCount val="9"/>
                <c:pt idx="0">
                  <c:v>3.0158730158730185</c:v>
                </c:pt>
                <c:pt idx="1">
                  <c:v>4.9206349206349245</c:v>
                </c:pt>
                <c:pt idx="2">
                  <c:v>7.936507936507943</c:v>
                </c:pt>
                <c:pt idx="3">
                  <c:v>13.492063492063485</c:v>
                </c:pt>
                <c:pt idx="4">
                  <c:v>18.888888888888889</c:v>
                </c:pt>
                <c:pt idx="5">
                  <c:v>20.317460317460316</c:v>
                </c:pt>
                <c:pt idx="6">
                  <c:v>30.158730158730158</c:v>
                </c:pt>
                <c:pt idx="7">
                  <c:v>36.349206349206348</c:v>
                </c:pt>
                <c:pt idx="8">
                  <c:v>44.285714285714292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2097344"/>
        <c:axId val="2012092992"/>
      </c:scatterChart>
      <c:valAx>
        <c:axId val="2012097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2092992"/>
        <c:crosses val="autoZero"/>
        <c:crossBetween val="midCat"/>
      </c:valAx>
      <c:valAx>
        <c:axId val="201209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2097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7.9400699912510943E-3"/>
                  <c:y val="0.1384722222222222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'MFLUCC15-1112'!$A$21:$A$29</c:f>
              <c:numCache>
                <c:formatCode>General</c:formatCode>
                <c:ptCount val="9"/>
                <c:pt idx="0">
                  <c:v>3.91</c:v>
                </c:pt>
                <c:pt idx="1">
                  <c:v>7.81</c:v>
                </c:pt>
                <c:pt idx="2">
                  <c:v>15.62</c:v>
                </c:pt>
                <c:pt idx="3" formatCode="0.000">
                  <c:v>31.25</c:v>
                </c:pt>
                <c:pt idx="4" formatCode="0.000">
                  <c:v>62.5</c:v>
                </c:pt>
                <c:pt idx="5" formatCode="0.000">
                  <c:v>125</c:v>
                </c:pt>
                <c:pt idx="6" formatCode="0.000">
                  <c:v>250</c:v>
                </c:pt>
                <c:pt idx="7" formatCode="0.000">
                  <c:v>500</c:v>
                </c:pt>
                <c:pt idx="8" formatCode="0.000">
                  <c:v>1000</c:v>
                </c:pt>
              </c:numCache>
            </c:numRef>
          </c:xVal>
          <c:yVal>
            <c:numRef>
              <c:f>'MFLUCC15-1112'!$B$21:$B$29</c:f>
              <c:numCache>
                <c:formatCode>0.000</c:formatCode>
                <c:ptCount val="9"/>
                <c:pt idx="0">
                  <c:v>3.3175355450236999</c:v>
                </c:pt>
                <c:pt idx="1">
                  <c:v>5.3712480252764667</c:v>
                </c:pt>
                <c:pt idx="2">
                  <c:v>8.0568720379146992</c:v>
                </c:pt>
                <c:pt idx="3">
                  <c:v>14.060031595576614</c:v>
                </c:pt>
                <c:pt idx="4">
                  <c:v>18.799368088467613</c:v>
                </c:pt>
                <c:pt idx="5">
                  <c:v>20.85308056872038</c:v>
                </c:pt>
                <c:pt idx="6">
                  <c:v>30.33175355450237</c:v>
                </c:pt>
                <c:pt idx="7">
                  <c:v>36.650868878357031</c:v>
                </c:pt>
                <c:pt idx="8">
                  <c:v>44.391785150078995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728368"/>
        <c:axId val="135727824"/>
      </c:scatterChart>
      <c:valAx>
        <c:axId val="135728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727824"/>
        <c:crosses val="autoZero"/>
        <c:crossBetween val="midCat"/>
      </c:valAx>
      <c:valAx>
        <c:axId val="13572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728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'MFLUCC15-1112'!$A$35:$A$43</c:f>
              <c:numCache>
                <c:formatCode>General</c:formatCode>
                <c:ptCount val="9"/>
                <c:pt idx="0">
                  <c:v>3.91</c:v>
                </c:pt>
                <c:pt idx="1">
                  <c:v>7.81</c:v>
                </c:pt>
                <c:pt idx="2">
                  <c:v>15.62</c:v>
                </c:pt>
                <c:pt idx="3" formatCode="0.000">
                  <c:v>31.25</c:v>
                </c:pt>
                <c:pt idx="4" formatCode="0.000">
                  <c:v>62.5</c:v>
                </c:pt>
                <c:pt idx="5" formatCode="0.000">
                  <c:v>125</c:v>
                </c:pt>
                <c:pt idx="6" formatCode="0.000">
                  <c:v>250</c:v>
                </c:pt>
                <c:pt idx="7" formatCode="0.000">
                  <c:v>500</c:v>
                </c:pt>
                <c:pt idx="8" formatCode="0.000">
                  <c:v>1000</c:v>
                </c:pt>
              </c:numCache>
            </c:numRef>
          </c:xVal>
          <c:yVal>
            <c:numRef>
              <c:f>'MFLUCC15-1112'!$B$35:$B$43</c:f>
              <c:numCache>
                <c:formatCode>0.000</c:formatCode>
                <c:ptCount val="9"/>
                <c:pt idx="0">
                  <c:v>3.3280507131537274</c:v>
                </c:pt>
                <c:pt idx="1">
                  <c:v>6.1806656101426363</c:v>
                </c:pt>
                <c:pt idx="2">
                  <c:v>8.0824088748019101</c:v>
                </c:pt>
                <c:pt idx="3">
                  <c:v>14.263074484944527</c:v>
                </c:pt>
                <c:pt idx="4">
                  <c:v>19.017432646592709</c:v>
                </c:pt>
                <c:pt idx="5">
                  <c:v>20.760697305863708</c:v>
                </c:pt>
                <c:pt idx="6">
                  <c:v>29.952456418383516</c:v>
                </c:pt>
                <c:pt idx="7">
                  <c:v>36.133122028526145</c:v>
                </c:pt>
                <c:pt idx="8">
                  <c:v>43.106180665610147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923328"/>
        <c:axId val="315920064"/>
      </c:scatterChart>
      <c:valAx>
        <c:axId val="315923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920064"/>
        <c:crosses val="autoZero"/>
        <c:crossBetween val="midCat"/>
      </c:valAx>
      <c:valAx>
        <c:axId val="31592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923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 MFLUCC15-1113'!$A$5:$A$13</c:f>
              <c:numCache>
                <c:formatCode>General</c:formatCode>
                <c:ptCount val="9"/>
                <c:pt idx="0">
                  <c:v>3.91</c:v>
                </c:pt>
                <c:pt idx="1">
                  <c:v>7.81</c:v>
                </c:pt>
                <c:pt idx="2">
                  <c:v>15.62</c:v>
                </c:pt>
                <c:pt idx="3" formatCode="0.000">
                  <c:v>31.25</c:v>
                </c:pt>
                <c:pt idx="4" formatCode="0.000">
                  <c:v>62.5</c:v>
                </c:pt>
                <c:pt idx="5" formatCode="0.000">
                  <c:v>125</c:v>
                </c:pt>
                <c:pt idx="6" formatCode="0.000">
                  <c:v>250</c:v>
                </c:pt>
                <c:pt idx="7" formatCode="0.000">
                  <c:v>500</c:v>
                </c:pt>
                <c:pt idx="8" formatCode="0.000">
                  <c:v>1000</c:v>
                </c:pt>
              </c:numCache>
            </c:numRef>
          </c:xVal>
          <c:yVal>
            <c:numRef>
              <c:f>' MFLUCC15-1113'!$B$5:$B$13</c:f>
              <c:numCache>
                <c:formatCode>0.000</c:formatCode>
                <c:ptCount val="9"/>
                <c:pt idx="0">
                  <c:v>1.5981735159817365</c:v>
                </c:pt>
                <c:pt idx="1">
                  <c:v>2.9680365296803677</c:v>
                </c:pt>
                <c:pt idx="2">
                  <c:v>4.3378995433789997</c:v>
                </c:pt>
                <c:pt idx="3">
                  <c:v>5.4794520547945247</c:v>
                </c:pt>
                <c:pt idx="4">
                  <c:v>8.6757990867579871</c:v>
                </c:pt>
                <c:pt idx="5">
                  <c:v>13.013698630136986</c:v>
                </c:pt>
                <c:pt idx="6">
                  <c:v>16.438356164383563</c:v>
                </c:pt>
                <c:pt idx="7">
                  <c:v>22.602739726027394</c:v>
                </c:pt>
                <c:pt idx="8">
                  <c:v>30.365296803652971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921152"/>
        <c:axId val="315922784"/>
      </c:scatterChart>
      <c:valAx>
        <c:axId val="315921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922784"/>
        <c:crosses val="autoZero"/>
        <c:crossBetween val="midCat"/>
      </c:valAx>
      <c:valAx>
        <c:axId val="31592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921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 MFLUCC15-1113'!$A$20:$A$28</c:f>
              <c:numCache>
                <c:formatCode>General</c:formatCode>
                <c:ptCount val="9"/>
                <c:pt idx="0">
                  <c:v>3.91</c:v>
                </c:pt>
                <c:pt idx="1">
                  <c:v>7.81</c:v>
                </c:pt>
                <c:pt idx="2">
                  <c:v>15.62</c:v>
                </c:pt>
                <c:pt idx="3" formatCode="0.000">
                  <c:v>31.25</c:v>
                </c:pt>
                <c:pt idx="4" formatCode="0.000">
                  <c:v>62.5</c:v>
                </c:pt>
                <c:pt idx="5" formatCode="0.000">
                  <c:v>125</c:v>
                </c:pt>
                <c:pt idx="6" formatCode="0.000">
                  <c:v>250</c:v>
                </c:pt>
                <c:pt idx="7" formatCode="0.000">
                  <c:v>500</c:v>
                </c:pt>
                <c:pt idx="8" formatCode="0.000">
                  <c:v>1000</c:v>
                </c:pt>
              </c:numCache>
            </c:numRef>
          </c:xVal>
          <c:yVal>
            <c:numRef>
              <c:f>' MFLUCC15-1113'!$B$20:$B$28</c:f>
              <c:numCache>
                <c:formatCode>0.000</c:formatCode>
                <c:ptCount val="9"/>
                <c:pt idx="0">
                  <c:v>1.376146788990827</c:v>
                </c:pt>
                <c:pt idx="1">
                  <c:v>2.2935779816513784</c:v>
                </c:pt>
                <c:pt idx="2">
                  <c:v>4.1284403669724812</c:v>
                </c:pt>
                <c:pt idx="3">
                  <c:v>5.2752293577981693</c:v>
                </c:pt>
                <c:pt idx="4">
                  <c:v>8.2568807339449499</c:v>
                </c:pt>
                <c:pt idx="5">
                  <c:v>12.844036697247704</c:v>
                </c:pt>
                <c:pt idx="6">
                  <c:v>16.055045871559635</c:v>
                </c:pt>
                <c:pt idx="7">
                  <c:v>23.853211009174309</c:v>
                </c:pt>
                <c:pt idx="8">
                  <c:v>28.899082568807337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731632"/>
        <c:axId val="135728912"/>
      </c:scatterChart>
      <c:valAx>
        <c:axId val="135731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728912"/>
        <c:crosses val="autoZero"/>
        <c:crossBetween val="midCat"/>
      </c:valAx>
      <c:valAx>
        <c:axId val="13572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731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2.3845144356955381E-3"/>
                  <c:y val="-8.24493292505103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 MFLUCC15-1113'!$A$34:$A$42</c:f>
              <c:numCache>
                <c:formatCode>General</c:formatCode>
                <c:ptCount val="9"/>
                <c:pt idx="0">
                  <c:v>3.91</c:v>
                </c:pt>
                <c:pt idx="1">
                  <c:v>7.81</c:v>
                </c:pt>
                <c:pt idx="2">
                  <c:v>15.62</c:v>
                </c:pt>
                <c:pt idx="3" formatCode="0.000">
                  <c:v>31.25</c:v>
                </c:pt>
                <c:pt idx="4" formatCode="0.000">
                  <c:v>62.5</c:v>
                </c:pt>
                <c:pt idx="5" formatCode="0.000">
                  <c:v>125</c:v>
                </c:pt>
                <c:pt idx="6" formatCode="0.000">
                  <c:v>250</c:v>
                </c:pt>
                <c:pt idx="7" formatCode="0.000">
                  <c:v>500</c:v>
                </c:pt>
                <c:pt idx="8" formatCode="0.000">
                  <c:v>1000</c:v>
                </c:pt>
              </c:numCache>
            </c:numRef>
          </c:xVal>
          <c:yVal>
            <c:numRef>
              <c:f>' MFLUCC15-1113'!$B$34:$B$42</c:f>
              <c:numCache>
                <c:formatCode>0.000</c:formatCode>
                <c:ptCount val="9"/>
                <c:pt idx="0">
                  <c:v>1.1467889908256892</c:v>
                </c:pt>
                <c:pt idx="1">
                  <c:v>2.5229357798165162</c:v>
                </c:pt>
                <c:pt idx="2">
                  <c:v>4.1284403669724812</c:v>
                </c:pt>
                <c:pt idx="3">
                  <c:v>5.7339449541284457</c:v>
                </c:pt>
                <c:pt idx="4">
                  <c:v>7.7981651376146734</c:v>
                </c:pt>
                <c:pt idx="5">
                  <c:v>12.385321100917428</c:v>
                </c:pt>
                <c:pt idx="6">
                  <c:v>17.201834862385322</c:v>
                </c:pt>
                <c:pt idx="7">
                  <c:v>23.62385321100917</c:v>
                </c:pt>
                <c:pt idx="8">
                  <c:v>28.899082568807337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917888"/>
        <c:axId val="315924960"/>
      </c:scatterChart>
      <c:valAx>
        <c:axId val="315917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924960"/>
        <c:crosses val="autoZero"/>
        <c:crossBetween val="midCat"/>
      </c:valAx>
      <c:valAx>
        <c:axId val="3159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917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</xdr:colOff>
      <xdr:row>0</xdr:row>
      <xdr:rowOff>328612</xdr:rowOff>
    </xdr:from>
    <xdr:to>
      <xdr:col>11</xdr:col>
      <xdr:colOff>461962</xdr:colOff>
      <xdr:row>14</xdr:row>
      <xdr:rowOff>176212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100012</xdr:colOff>
      <xdr:row>1</xdr:row>
      <xdr:rowOff>4762</xdr:rowOff>
    </xdr:from>
    <xdr:to>
      <xdr:col>19</xdr:col>
      <xdr:colOff>404812</xdr:colOff>
      <xdr:row>12</xdr:row>
      <xdr:rowOff>119062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542925</xdr:colOff>
      <xdr:row>1</xdr:row>
      <xdr:rowOff>38100</xdr:rowOff>
    </xdr:from>
    <xdr:to>
      <xdr:col>25</xdr:col>
      <xdr:colOff>490537</xdr:colOff>
      <xdr:row>10</xdr:row>
      <xdr:rowOff>319087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309562</xdr:colOff>
      <xdr:row>0</xdr:row>
      <xdr:rowOff>71437</xdr:rowOff>
    </xdr:from>
    <xdr:to>
      <xdr:col>11</xdr:col>
      <xdr:colOff>4762</xdr:colOff>
      <xdr:row>14</xdr:row>
      <xdr:rowOff>128587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214312</xdr:colOff>
      <xdr:row>14</xdr:row>
      <xdr:rowOff>147637</xdr:rowOff>
    </xdr:from>
    <xdr:to>
      <xdr:col>10</xdr:col>
      <xdr:colOff>519112</xdr:colOff>
      <xdr:row>28</xdr:row>
      <xdr:rowOff>71437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404812</xdr:colOff>
      <xdr:row>28</xdr:row>
      <xdr:rowOff>138112</xdr:rowOff>
    </xdr:from>
    <xdr:to>
      <xdr:col>11</xdr:col>
      <xdr:colOff>100012</xdr:colOff>
      <xdr:row>42</xdr:row>
      <xdr:rowOff>71437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442912</xdr:colOff>
      <xdr:row>0</xdr:row>
      <xdr:rowOff>90487</xdr:rowOff>
    </xdr:from>
    <xdr:to>
      <xdr:col>11</xdr:col>
      <xdr:colOff>138112</xdr:colOff>
      <xdr:row>14</xdr:row>
      <xdr:rowOff>147637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14</xdr:row>
      <xdr:rowOff>157162</xdr:rowOff>
    </xdr:from>
    <xdr:to>
      <xdr:col>11</xdr:col>
      <xdr:colOff>314325</xdr:colOff>
      <xdr:row>28</xdr:row>
      <xdr:rowOff>80962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461962</xdr:colOff>
      <xdr:row>28</xdr:row>
      <xdr:rowOff>109537</xdr:rowOff>
    </xdr:from>
    <xdr:to>
      <xdr:col>11</xdr:col>
      <xdr:colOff>157162</xdr:colOff>
      <xdr:row>42</xdr:row>
      <xdr:rowOff>42862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423862</xdr:colOff>
      <xdr:row>0</xdr:row>
      <xdr:rowOff>80962</xdr:rowOff>
    </xdr:from>
    <xdr:to>
      <xdr:col>11</xdr:col>
      <xdr:colOff>119062</xdr:colOff>
      <xdr:row>14</xdr:row>
      <xdr:rowOff>138112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547687</xdr:colOff>
      <xdr:row>14</xdr:row>
      <xdr:rowOff>147637</xdr:rowOff>
    </xdr:from>
    <xdr:to>
      <xdr:col>11</xdr:col>
      <xdr:colOff>242887</xdr:colOff>
      <xdr:row>28</xdr:row>
      <xdr:rowOff>71437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80962</xdr:colOff>
      <xdr:row>28</xdr:row>
      <xdr:rowOff>176212</xdr:rowOff>
    </xdr:from>
    <xdr:to>
      <xdr:col>11</xdr:col>
      <xdr:colOff>385762</xdr:colOff>
      <xdr:row>42</xdr:row>
      <xdr:rowOff>109537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714375</xdr:colOff>
      <xdr:row>0</xdr:row>
      <xdr:rowOff>90487</xdr:rowOff>
    </xdr:from>
    <xdr:to>
      <xdr:col>11</xdr:col>
      <xdr:colOff>171450</xdr:colOff>
      <xdr:row>14</xdr:row>
      <xdr:rowOff>4762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261937</xdr:colOff>
      <xdr:row>0</xdr:row>
      <xdr:rowOff>0</xdr:rowOff>
    </xdr:from>
    <xdr:to>
      <xdr:col>18</xdr:col>
      <xdr:colOff>566737</xdr:colOff>
      <xdr:row>13</xdr:row>
      <xdr:rowOff>104775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304800</xdr:colOff>
      <xdr:row>0</xdr:row>
      <xdr:rowOff>0</xdr:rowOff>
    </xdr:from>
    <xdr:to>
      <xdr:col>27</xdr:col>
      <xdr:colOff>0</xdr:colOff>
      <xdr:row>13</xdr:row>
      <xdr:rowOff>104775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0</xdr:row>
      <xdr:rowOff>119062</xdr:rowOff>
    </xdr:from>
    <xdr:to>
      <xdr:col>10</xdr:col>
      <xdr:colOff>523875</xdr:colOff>
      <xdr:row>14</xdr:row>
      <xdr:rowOff>42862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100012</xdr:colOff>
      <xdr:row>15</xdr:row>
      <xdr:rowOff>33337</xdr:rowOff>
    </xdr:from>
    <xdr:to>
      <xdr:col>10</xdr:col>
      <xdr:colOff>404812</xdr:colOff>
      <xdr:row>28</xdr:row>
      <xdr:rowOff>147637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29</xdr:row>
      <xdr:rowOff>109537</xdr:rowOff>
    </xdr:from>
    <xdr:to>
      <xdr:col>11</xdr:col>
      <xdr:colOff>28575</xdr:colOff>
      <xdr:row>43</xdr:row>
      <xdr:rowOff>33337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328612</xdr:colOff>
      <xdr:row>0</xdr:row>
      <xdr:rowOff>119062</xdr:rowOff>
    </xdr:from>
    <xdr:to>
      <xdr:col>11</xdr:col>
      <xdr:colOff>23812</xdr:colOff>
      <xdr:row>13</xdr:row>
      <xdr:rowOff>100012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319087</xdr:colOff>
      <xdr:row>14</xdr:row>
      <xdr:rowOff>195262</xdr:rowOff>
    </xdr:from>
    <xdr:to>
      <xdr:col>11</xdr:col>
      <xdr:colOff>14287</xdr:colOff>
      <xdr:row>27</xdr:row>
      <xdr:rowOff>176212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300037</xdr:colOff>
      <xdr:row>28</xdr:row>
      <xdr:rowOff>223837</xdr:rowOff>
    </xdr:from>
    <xdr:to>
      <xdr:col>10</xdr:col>
      <xdr:colOff>604837</xdr:colOff>
      <xdr:row>42</xdr:row>
      <xdr:rowOff>14287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128587</xdr:colOff>
      <xdr:row>0</xdr:row>
      <xdr:rowOff>61912</xdr:rowOff>
    </xdr:from>
    <xdr:to>
      <xdr:col>10</xdr:col>
      <xdr:colOff>433387</xdr:colOff>
      <xdr:row>13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271462</xdr:colOff>
      <xdr:row>14</xdr:row>
      <xdr:rowOff>71437</xdr:rowOff>
    </xdr:from>
    <xdr:to>
      <xdr:col>10</xdr:col>
      <xdr:colOff>576262</xdr:colOff>
      <xdr:row>27</xdr:row>
      <xdr:rowOff>52387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309562</xdr:colOff>
      <xdr:row>28</xdr:row>
      <xdr:rowOff>90487</xdr:rowOff>
    </xdr:from>
    <xdr:to>
      <xdr:col>11</xdr:col>
      <xdr:colOff>4762</xdr:colOff>
      <xdr:row>41</xdr:row>
      <xdr:rowOff>71437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442912</xdr:colOff>
      <xdr:row>0</xdr:row>
      <xdr:rowOff>52387</xdr:rowOff>
    </xdr:from>
    <xdr:to>
      <xdr:col>11</xdr:col>
      <xdr:colOff>138112</xdr:colOff>
      <xdr:row>14</xdr:row>
      <xdr:rowOff>109537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471487</xdr:colOff>
      <xdr:row>14</xdr:row>
      <xdr:rowOff>223837</xdr:rowOff>
    </xdr:from>
    <xdr:to>
      <xdr:col>11</xdr:col>
      <xdr:colOff>166687</xdr:colOff>
      <xdr:row>28</xdr:row>
      <xdr:rowOff>147637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414337</xdr:colOff>
      <xdr:row>28</xdr:row>
      <xdr:rowOff>214312</xdr:rowOff>
    </xdr:from>
    <xdr:to>
      <xdr:col>11</xdr:col>
      <xdr:colOff>109537</xdr:colOff>
      <xdr:row>42</xdr:row>
      <xdr:rowOff>147637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0</xdr:row>
      <xdr:rowOff>42862</xdr:rowOff>
    </xdr:from>
    <xdr:to>
      <xdr:col>11</xdr:col>
      <xdr:colOff>266700</xdr:colOff>
      <xdr:row>14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47625</xdr:colOff>
      <xdr:row>16</xdr:row>
      <xdr:rowOff>23812</xdr:rowOff>
    </xdr:from>
    <xdr:to>
      <xdr:col>11</xdr:col>
      <xdr:colOff>352425</xdr:colOff>
      <xdr:row>29</xdr:row>
      <xdr:rowOff>138112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509587</xdr:colOff>
      <xdr:row>31</xdr:row>
      <xdr:rowOff>109537</xdr:rowOff>
    </xdr:from>
    <xdr:to>
      <xdr:col>11</xdr:col>
      <xdr:colOff>204787</xdr:colOff>
      <xdr:row>45</xdr:row>
      <xdr:rowOff>42862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385762</xdr:colOff>
      <xdr:row>0</xdr:row>
      <xdr:rowOff>80962</xdr:rowOff>
    </xdr:from>
    <xdr:to>
      <xdr:col>11</xdr:col>
      <xdr:colOff>80962</xdr:colOff>
      <xdr:row>14</xdr:row>
      <xdr:rowOff>138112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290512</xdr:colOff>
      <xdr:row>14</xdr:row>
      <xdr:rowOff>185737</xdr:rowOff>
    </xdr:from>
    <xdr:to>
      <xdr:col>10</xdr:col>
      <xdr:colOff>595312</xdr:colOff>
      <xdr:row>28</xdr:row>
      <xdr:rowOff>109537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461962</xdr:colOff>
      <xdr:row>28</xdr:row>
      <xdr:rowOff>176212</xdr:rowOff>
    </xdr:from>
    <xdr:to>
      <xdr:col>11</xdr:col>
      <xdr:colOff>157162</xdr:colOff>
      <xdr:row>42</xdr:row>
      <xdr:rowOff>109537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242887</xdr:colOff>
      <xdr:row>2</xdr:row>
      <xdr:rowOff>128587</xdr:rowOff>
    </xdr:from>
    <xdr:to>
      <xdr:col>11</xdr:col>
      <xdr:colOff>547687</xdr:colOff>
      <xdr:row>16</xdr:row>
      <xdr:rowOff>52387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157162</xdr:colOff>
      <xdr:row>16</xdr:row>
      <xdr:rowOff>109537</xdr:rowOff>
    </xdr:from>
    <xdr:to>
      <xdr:col>11</xdr:col>
      <xdr:colOff>461962</xdr:colOff>
      <xdr:row>30</xdr:row>
      <xdr:rowOff>33337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223837</xdr:colOff>
      <xdr:row>30</xdr:row>
      <xdr:rowOff>90487</xdr:rowOff>
    </xdr:from>
    <xdr:to>
      <xdr:col>11</xdr:col>
      <xdr:colOff>528637</xdr:colOff>
      <xdr:row>44</xdr:row>
      <xdr:rowOff>166687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D24"/>
  <sheetViews>
    <sheetView tabSelected="1" topLeftCell="A4" zoomScale="80" zoomScaleNormal="80" workbookViewId="0">
      <selection activeCell="F25" sqref="F25"/>
    </sheetView>
  </sheetViews>
  <sheetFormatPr defaultRowHeight="18.75" customHeight="1"/>
  <cols>
    <col min="1" max="2" width="9.140625" style="18"/>
    <col min="3" max="3" width="47.42578125" style="18" customWidth="1"/>
    <col min="4" max="4" width="18.85546875" style="18" customWidth="1"/>
    <col min="5" max="16384" width="9.140625" style="18"/>
  </cols>
  <sheetData>
    <row r="5" spans="3:4" ht="18.75" customHeight="1">
      <c r="C5" s="16" t="s">
        <v>6</v>
      </c>
      <c r="D5" s="17" t="s">
        <v>8</v>
      </c>
    </row>
    <row r="6" spans="3:4" ht="18.75" customHeight="1">
      <c r="C6" s="19" t="s">
        <v>9</v>
      </c>
      <c r="D6" s="20" t="s">
        <v>24</v>
      </c>
    </row>
    <row r="7" spans="3:4" ht="18.75" customHeight="1">
      <c r="C7" s="19" t="s">
        <v>10</v>
      </c>
      <c r="D7" s="20" t="s">
        <v>24</v>
      </c>
    </row>
    <row r="8" spans="3:4" ht="18.75" customHeight="1">
      <c r="C8" s="19" t="s">
        <v>11</v>
      </c>
      <c r="D8" s="20" t="s">
        <v>29</v>
      </c>
    </row>
    <row r="9" spans="3:4" ht="18.75" customHeight="1">
      <c r="C9" s="19" t="s">
        <v>12</v>
      </c>
      <c r="D9" s="20" t="s">
        <v>28</v>
      </c>
    </row>
    <row r="10" spans="3:4" ht="18.75" customHeight="1">
      <c r="C10" s="19" t="s">
        <v>13</v>
      </c>
      <c r="D10" s="20" t="s">
        <v>30</v>
      </c>
    </row>
    <row r="11" spans="3:4" ht="18.75" customHeight="1">
      <c r="C11" s="19" t="s">
        <v>14</v>
      </c>
      <c r="D11" s="20" t="s">
        <v>27</v>
      </c>
    </row>
    <row r="12" spans="3:4" ht="18.75" customHeight="1">
      <c r="C12" s="19" t="s">
        <v>15</v>
      </c>
      <c r="D12" s="20" t="s">
        <v>24</v>
      </c>
    </row>
    <row r="13" spans="3:4" ht="18.75" customHeight="1">
      <c r="C13" s="19" t="s">
        <v>16</v>
      </c>
      <c r="D13" s="20" t="s">
        <v>31</v>
      </c>
    </row>
    <row r="14" spans="3:4" ht="18.75" customHeight="1">
      <c r="C14" s="19" t="s">
        <v>17</v>
      </c>
      <c r="D14" s="20" t="s">
        <v>32</v>
      </c>
    </row>
    <row r="15" spans="3:4" ht="18.75" customHeight="1">
      <c r="C15" s="19" t="s">
        <v>18</v>
      </c>
      <c r="D15" s="20" t="s">
        <v>24</v>
      </c>
    </row>
    <row r="16" spans="3:4" ht="18.75" customHeight="1">
      <c r="C16" s="19" t="s">
        <v>19</v>
      </c>
      <c r="D16" s="20" t="s">
        <v>33</v>
      </c>
    </row>
    <row r="17" spans="3:4" ht="18.75" customHeight="1">
      <c r="C17" s="21" t="s">
        <v>7</v>
      </c>
      <c r="D17" s="20" t="s">
        <v>23</v>
      </c>
    </row>
    <row r="24" spans="3:4" ht="18.75" customHeight="1">
      <c r="C24" s="22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opLeftCell="A10" workbookViewId="0">
      <selection activeCell="A10" sqref="A1:XFD1048576"/>
    </sheetView>
  </sheetViews>
  <sheetFormatPr defaultRowHeight="15"/>
  <cols>
    <col min="2" max="2" width="12.42578125" customWidth="1"/>
    <col min="7" max="8" width="9.140625" style="14"/>
  </cols>
  <sheetData>
    <row r="1" spans="1:8" ht="15.75" customHeight="1">
      <c r="A1" s="7"/>
      <c r="B1" s="7"/>
      <c r="C1" s="7"/>
    </row>
    <row r="2" spans="1:8">
      <c r="A2" s="9" t="s">
        <v>22</v>
      </c>
      <c r="B2" s="9" t="s">
        <v>0</v>
      </c>
      <c r="C2" s="9" t="s">
        <v>2</v>
      </c>
    </row>
    <row r="3" spans="1:8">
      <c r="A3" s="9">
        <v>0</v>
      </c>
      <c r="B3" s="11">
        <v>0</v>
      </c>
      <c r="C3" s="11">
        <v>0.55500000000000005</v>
      </c>
    </row>
    <row r="4" spans="1:8">
      <c r="A4" s="8">
        <v>3.91</v>
      </c>
      <c r="B4" s="11">
        <f>((0.555-C4)/0.555)*100</f>
        <v>7.3873873873873936</v>
      </c>
      <c r="C4" s="11">
        <v>0.51400000000000001</v>
      </c>
    </row>
    <row r="5" spans="1:8">
      <c r="A5" s="8">
        <v>7.81</v>
      </c>
      <c r="B5" s="11">
        <f t="shared" ref="B5:B12" si="0">((0.555-C5)/0.555)*100</f>
        <v>12.252252252252262</v>
      </c>
      <c r="C5" s="11">
        <v>0.48699999999999999</v>
      </c>
    </row>
    <row r="6" spans="1:8">
      <c r="A6" s="8">
        <v>15.62</v>
      </c>
      <c r="B6" s="11">
        <f t="shared" si="0"/>
        <v>20.540540540540547</v>
      </c>
      <c r="C6" s="11">
        <v>0.441</v>
      </c>
    </row>
    <row r="7" spans="1:8">
      <c r="A7" s="11">
        <v>31.25</v>
      </c>
      <c r="B7" s="11">
        <f t="shared" si="0"/>
        <v>32.612612612612615</v>
      </c>
      <c r="C7" s="5">
        <v>0.374</v>
      </c>
    </row>
    <row r="8" spans="1:8">
      <c r="A8" s="11">
        <v>62.5</v>
      </c>
      <c r="B8" s="11">
        <f t="shared" si="0"/>
        <v>42.162162162162161</v>
      </c>
      <c r="C8" s="5">
        <v>0.32100000000000001</v>
      </c>
    </row>
    <row r="9" spans="1:8">
      <c r="A9" s="11">
        <v>125</v>
      </c>
      <c r="B9" s="11">
        <f t="shared" si="0"/>
        <v>48.108108108108119</v>
      </c>
      <c r="C9" s="5">
        <v>0.28799999999999998</v>
      </c>
      <c r="H9"/>
    </row>
    <row r="10" spans="1:8">
      <c r="A10" s="11">
        <v>250</v>
      </c>
      <c r="B10" s="11">
        <f t="shared" si="0"/>
        <v>54.234234234234236</v>
      </c>
      <c r="C10" s="5">
        <v>0.254</v>
      </c>
      <c r="H10"/>
    </row>
    <row r="11" spans="1:8">
      <c r="A11" s="11">
        <v>500</v>
      </c>
      <c r="B11" s="11">
        <f t="shared" si="0"/>
        <v>58.198198198198206</v>
      </c>
      <c r="C11" s="5">
        <v>0.23200000000000001</v>
      </c>
      <c r="H11"/>
    </row>
    <row r="12" spans="1:8">
      <c r="A12" s="11">
        <v>1000</v>
      </c>
      <c r="B12" s="11">
        <f t="shared" si="0"/>
        <v>62.702702702702716</v>
      </c>
      <c r="C12" s="5">
        <v>0.20699999999999999</v>
      </c>
      <c r="H12"/>
    </row>
    <row r="13" spans="1:8">
      <c r="H13"/>
    </row>
    <row r="14" spans="1:8" ht="15.75" thickBot="1"/>
    <row r="15" spans="1:8" ht="26.25">
      <c r="A15" s="7" t="s">
        <v>1</v>
      </c>
      <c r="B15" s="7"/>
      <c r="C15" s="7"/>
    </row>
    <row r="16" spans="1:8">
      <c r="A16" s="9" t="s">
        <v>22</v>
      </c>
      <c r="B16" s="9" t="s">
        <v>0</v>
      </c>
      <c r="C16" s="9" t="s">
        <v>2</v>
      </c>
    </row>
    <row r="17" spans="1:20">
      <c r="A17" s="9">
        <v>0</v>
      </c>
      <c r="B17" s="11">
        <v>0</v>
      </c>
      <c r="C17" s="11">
        <v>0.55500000000000005</v>
      </c>
    </row>
    <row r="18" spans="1:20">
      <c r="A18" s="8">
        <v>3.91</v>
      </c>
      <c r="B18" s="11">
        <f>((0.555-C18)/0.555)*100</f>
        <v>7.927927927927934</v>
      </c>
      <c r="C18" s="11">
        <v>0.51100000000000001</v>
      </c>
    </row>
    <row r="19" spans="1:20">
      <c r="A19" s="8">
        <v>7.81</v>
      </c>
      <c r="B19" s="11">
        <f t="shared" ref="B19:B26" si="1">((0.555-C19)/0.555)*100</f>
        <v>12.072072072072082</v>
      </c>
      <c r="C19" s="11">
        <v>0.48799999999999999</v>
      </c>
      <c r="S19" t="s">
        <v>5</v>
      </c>
      <c r="T19" s="4" t="s">
        <v>4</v>
      </c>
    </row>
    <row r="20" spans="1:20">
      <c r="A20" s="8">
        <v>15.62</v>
      </c>
      <c r="B20" s="11">
        <f t="shared" si="1"/>
        <v>20.720720720720728</v>
      </c>
      <c r="C20" s="11">
        <v>0.44</v>
      </c>
      <c r="R20">
        <f>50+6.3715</f>
        <v>56.371499999999997</v>
      </c>
      <c r="S20">
        <f>R20/10.628</f>
        <v>5.3040553255551375</v>
      </c>
      <c r="T20" s="3">
        <f>EXP(S20)</f>
        <v>201.15089052507253</v>
      </c>
    </row>
    <row r="21" spans="1:20">
      <c r="A21" s="11">
        <v>31.25</v>
      </c>
      <c r="B21" s="11">
        <f t="shared" si="1"/>
        <v>33.153153153153156</v>
      </c>
      <c r="C21" s="5">
        <v>0.371</v>
      </c>
      <c r="R21">
        <f>50+6.5403</f>
        <v>56.540300000000002</v>
      </c>
      <c r="S21">
        <f>R21/10.775</f>
        <v>5.2473596287703019</v>
      </c>
      <c r="T21" s="3">
        <f t="shared" ref="T21:T22" si="2">EXP(S21)</f>
        <v>190.0637664538942</v>
      </c>
    </row>
    <row r="22" spans="1:20">
      <c r="A22" s="11">
        <v>62.5</v>
      </c>
      <c r="B22" s="11">
        <f t="shared" si="1"/>
        <v>41.981981981981988</v>
      </c>
      <c r="C22" s="5">
        <v>0.32200000000000001</v>
      </c>
      <c r="R22">
        <f>50+5.6286</f>
        <v>55.628599999999999</v>
      </c>
      <c r="S22">
        <f>R22/10.55</f>
        <v>5.2728530805687202</v>
      </c>
      <c r="T22" s="3">
        <f t="shared" si="2"/>
        <v>194.97143888280846</v>
      </c>
    </row>
    <row r="23" spans="1:20">
      <c r="A23" s="11">
        <v>125</v>
      </c>
      <c r="B23" s="11">
        <f t="shared" si="1"/>
        <v>48.64864864864866</v>
      </c>
      <c r="C23" s="5">
        <v>0.28499999999999998</v>
      </c>
      <c r="S23" t="s">
        <v>26</v>
      </c>
      <c r="T23">
        <f>AVERAGE(T20:T22)</f>
        <v>195.39536528725839</v>
      </c>
    </row>
    <row r="24" spans="1:20">
      <c r="A24" s="11">
        <v>250</v>
      </c>
      <c r="B24" s="11">
        <f t="shared" si="1"/>
        <v>54.954954954954957</v>
      </c>
      <c r="C24" s="5">
        <v>0.25</v>
      </c>
      <c r="S24" t="s">
        <v>3</v>
      </c>
      <c r="T24">
        <f>STDEV(T20:T22)</f>
        <v>5.5557056473249045</v>
      </c>
    </row>
    <row r="25" spans="1:20">
      <c r="A25" s="11">
        <v>500</v>
      </c>
      <c r="B25" s="11">
        <f t="shared" si="1"/>
        <v>58.738738738738746</v>
      </c>
      <c r="C25" s="5">
        <v>0.22900000000000001</v>
      </c>
    </row>
    <row r="26" spans="1:20">
      <c r="A26" s="11">
        <v>1000</v>
      </c>
      <c r="B26" s="11">
        <f t="shared" si="1"/>
        <v>63.963963963963963</v>
      </c>
      <c r="C26" s="5">
        <v>0.2</v>
      </c>
    </row>
    <row r="28" spans="1:20" ht="15.75" thickBot="1"/>
    <row r="29" spans="1:20" ht="26.25">
      <c r="A29" s="7" t="s">
        <v>1</v>
      </c>
      <c r="B29" s="7"/>
      <c r="C29" s="7"/>
    </row>
    <row r="30" spans="1:20">
      <c r="A30" s="9" t="s">
        <v>22</v>
      </c>
      <c r="B30" s="9" t="s">
        <v>0</v>
      </c>
      <c r="C30" s="9" t="s">
        <v>2</v>
      </c>
    </row>
    <row r="31" spans="1:20">
      <c r="A31" s="9">
        <v>0</v>
      </c>
      <c r="B31" s="11">
        <v>0</v>
      </c>
      <c r="C31" s="11">
        <v>0.55500000000000005</v>
      </c>
    </row>
    <row r="32" spans="1:20">
      <c r="A32" s="8">
        <v>3.91</v>
      </c>
      <c r="B32" s="11">
        <f>((0.555-C32)/0.555)*100</f>
        <v>8.1081081081081141</v>
      </c>
      <c r="C32" s="11">
        <v>0.51</v>
      </c>
    </row>
    <row r="33" spans="1:3">
      <c r="A33" s="8">
        <v>7.81</v>
      </c>
      <c r="B33" s="11">
        <f t="shared" ref="B33:B40" si="3">((0.555-C33)/0.555)*100</f>
        <v>13.333333333333345</v>
      </c>
      <c r="C33" s="11">
        <v>0.48099999999999998</v>
      </c>
    </row>
    <row r="34" spans="1:3">
      <c r="A34" s="8">
        <v>15.62</v>
      </c>
      <c r="B34" s="11">
        <f t="shared" si="3"/>
        <v>20.900900900900908</v>
      </c>
      <c r="C34" s="11">
        <v>0.439</v>
      </c>
    </row>
    <row r="35" spans="1:3">
      <c r="A35" s="11">
        <v>31.25</v>
      </c>
      <c r="B35" s="11">
        <f t="shared" si="3"/>
        <v>33.333333333333343</v>
      </c>
      <c r="C35" s="5">
        <v>0.37</v>
      </c>
    </row>
    <row r="36" spans="1:3">
      <c r="A36" s="11">
        <v>62.5</v>
      </c>
      <c r="B36" s="11">
        <f t="shared" si="3"/>
        <v>41.441441441441448</v>
      </c>
      <c r="C36" s="5">
        <v>0.32500000000000001</v>
      </c>
    </row>
    <row r="37" spans="1:3">
      <c r="A37" s="11">
        <v>125</v>
      </c>
      <c r="B37" s="11">
        <f t="shared" si="3"/>
        <v>48.108108108108119</v>
      </c>
      <c r="C37" s="5">
        <v>0.28799999999999998</v>
      </c>
    </row>
    <row r="38" spans="1:3">
      <c r="A38" s="11">
        <v>250</v>
      </c>
      <c r="B38" s="11">
        <f t="shared" si="3"/>
        <v>54.234234234234236</v>
      </c>
      <c r="C38" s="5">
        <v>0.254</v>
      </c>
    </row>
    <row r="39" spans="1:3">
      <c r="A39" s="11">
        <v>500</v>
      </c>
      <c r="B39" s="11">
        <f t="shared" si="3"/>
        <v>60.360360360360367</v>
      </c>
      <c r="C39" s="5">
        <v>0.22</v>
      </c>
    </row>
    <row r="40" spans="1:3">
      <c r="A40" s="11">
        <v>1000</v>
      </c>
      <c r="B40" s="11">
        <f t="shared" si="3"/>
        <v>62.162162162162168</v>
      </c>
      <c r="C40" s="5">
        <v>0.21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opLeftCell="A7" workbookViewId="0">
      <selection activeCell="A7" sqref="A1:XFD1048576"/>
    </sheetView>
  </sheetViews>
  <sheetFormatPr defaultRowHeight="15"/>
  <cols>
    <col min="2" max="2" width="12.42578125" customWidth="1"/>
    <col min="7" max="8" width="9.140625" style="14"/>
  </cols>
  <sheetData>
    <row r="1" spans="1:8" ht="15.75" customHeight="1">
      <c r="A1" s="7"/>
      <c r="B1" s="7"/>
      <c r="C1" s="7"/>
    </row>
    <row r="2" spans="1:8">
      <c r="A2" s="9" t="s">
        <v>22</v>
      </c>
      <c r="B2" s="9" t="s">
        <v>0</v>
      </c>
      <c r="C2" s="9" t="s">
        <v>2</v>
      </c>
    </row>
    <row r="3" spans="1:8">
      <c r="A3" s="9">
        <v>0</v>
      </c>
      <c r="B3" s="11">
        <v>0</v>
      </c>
      <c r="C3" s="11">
        <v>0.55500000000000005</v>
      </c>
    </row>
    <row r="4" spans="1:8">
      <c r="A4" s="8">
        <v>3.91</v>
      </c>
      <c r="B4" s="11">
        <f>((0.555-C4)/0.555)*100</f>
        <v>9.1891891891891966</v>
      </c>
      <c r="C4" s="11">
        <v>0.504</v>
      </c>
    </row>
    <row r="5" spans="1:8">
      <c r="A5" s="8">
        <v>7.81</v>
      </c>
      <c r="B5" s="11">
        <f t="shared" ref="B5:B12" si="0">((0.555-C5)/0.555)*100</f>
        <v>17.477477477477482</v>
      </c>
      <c r="C5" s="11">
        <v>0.45800000000000002</v>
      </c>
    </row>
    <row r="6" spans="1:8">
      <c r="A6" s="8">
        <v>15.62</v>
      </c>
      <c r="B6" s="11">
        <f t="shared" si="0"/>
        <v>27.027027027027028</v>
      </c>
      <c r="C6" s="11">
        <v>0.40500000000000003</v>
      </c>
    </row>
    <row r="7" spans="1:8">
      <c r="A7" s="11">
        <v>31.25</v>
      </c>
      <c r="B7" s="11">
        <f t="shared" si="0"/>
        <v>34.954954954954964</v>
      </c>
      <c r="C7" s="5">
        <v>0.36099999999999999</v>
      </c>
    </row>
    <row r="8" spans="1:8">
      <c r="A8" s="11">
        <v>62.5</v>
      </c>
      <c r="B8" s="11">
        <f t="shared" si="0"/>
        <v>43.96396396396397</v>
      </c>
      <c r="C8" s="5">
        <v>0.311</v>
      </c>
    </row>
    <row r="9" spans="1:8">
      <c r="A9" s="11">
        <v>125</v>
      </c>
      <c r="B9" s="11">
        <f t="shared" si="0"/>
        <v>48.64864864864866</v>
      </c>
      <c r="C9" s="5">
        <v>0.28499999999999998</v>
      </c>
      <c r="H9"/>
    </row>
    <row r="10" spans="1:8">
      <c r="A10" s="11">
        <v>250</v>
      </c>
      <c r="B10" s="11">
        <f t="shared" si="0"/>
        <v>53.513513513513509</v>
      </c>
      <c r="C10" s="5">
        <v>0.25800000000000001</v>
      </c>
      <c r="H10"/>
    </row>
    <row r="11" spans="1:8">
      <c r="A11" s="11">
        <v>500</v>
      </c>
      <c r="B11" s="11">
        <f t="shared" si="0"/>
        <v>60.180180180180187</v>
      </c>
      <c r="C11" s="5">
        <v>0.221</v>
      </c>
      <c r="H11"/>
    </row>
    <row r="12" spans="1:8">
      <c r="A12" s="11">
        <v>1000</v>
      </c>
      <c r="B12" s="11">
        <f t="shared" si="0"/>
        <v>65.045045045045043</v>
      </c>
      <c r="C12" s="5">
        <v>0.19400000000000001</v>
      </c>
      <c r="H12"/>
    </row>
    <row r="13" spans="1:8">
      <c r="H13"/>
    </row>
    <row r="14" spans="1:8" ht="15.75" thickBot="1"/>
    <row r="15" spans="1:8" ht="26.25">
      <c r="A15" s="7" t="s">
        <v>1</v>
      </c>
      <c r="B15" s="7"/>
      <c r="C15" s="7"/>
    </row>
    <row r="16" spans="1:8">
      <c r="A16" s="9" t="s">
        <v>22</v>
      </c>
      <c r="B16" s="9" t="s">
        <v>0</v>
      </c>
      <c r="C16" s="9" t="s">
        <v>2</v>
      </c>
    </row>
    <row r="17" spans="1:20">
      <c r="A17" s="9">
        <v>0</v>
      </c>
      <c r="B17" s="11">
        <v>0</v>
      </c>
      <c r="C17" s="11">
        <v>0.55500000000000005</v>
      </c>
    </row>
    <row r="18" spans="1:20">
      <c r="A18" s="8">
        <v>3.91</v>
      </c>
      <c r="B18" s="11">
        <f>((0.555-C18)/0.555)*100</f>
        <v>8.6486486486486562</v>
      </c>
      <c r="C18" s="11">
        <v>0.50700000000000001</v>
      </c>
    </row>
    <row r="19" spans="1:20">
      <c r="A19" s="8">
        <v>7.81</v>
      </c>
      <c r="B19" s="11">
        <f t="shared" ref="B19:B26" si="1">((0.555-C19)/0.555)*100</f>
        <v>18.018018018018022</v>
      </c>
      <c r="C19" s="11">
        <v>0.45500000000000002</v>
      </c>
      <c r="S19" t="s">
        <v>5</v>
      </c>
      <c r="T19" s="4" t="s">
        <v>4</v>
      </c>
    </row>
    <row r="20" spans="1:20">
      <c r="A20" s="8">
        <v>15.62</v>
      </c>
      <c r="B20" s="11">
        <f t="shared" si="1"/>
        <v>27.747747747747749</v>
      </c>
      <c r="C20" s="11">
        <v>0.40100000000000002</v>
      </c>
      <c r="R20">
        <f>50+1.5836</f>
        <v>51.583599999999997</v>
      </c>
      <c r="S20">
        <f>R20/10.056</f>
        <v>5.1296340493237871</v>
      </c>
      <c r="T20" s="3">
        <f>EXP(S20)</f>
        <v>168.95527743224426</v>
      </c>
    </row>
    <row r="21" spans="1:20">
      <c r="A21" s="11">
        <v>31.25</v>
      </c>
      <c r="B21" s="11">
        <f t="shared" si="1"/>
        <v>34.054054054054063</v>
      </c>
      <c r="C21" s="5">
        <v>0.36599999999999999</v>
      </c>
      <c r="R21">
        <f>50+1.9376</f>
        <v>51.937600000000003</v>
      </c>
      <c r="S21">
        <f>R21/10.151</f>
        <v>5.1165008373559262</v>
      </c>
      <c r="T21" s="3">
        <f t="shared" ref="T21:T22" si="2">EXP(S21)</f>
        <v>166.75085919162572</v>
      </c>
    </row>
    <row r="22" spans="1:20">
      <c r="A22" s="11">
        <v>62.5</v>
      </c>
      <c r="B22" s="11">
        <f t="shared" si="1"/>
        <v>43.423423423423429</v>
      </c>
      <c r="C22" s="5">
        <v>0.314</v>
      </c>
      <c r="R22">
        <f>50+1.5467</f>
        <v>51.546700000000001</v>
      </c>
      <c r="S22">
        <f>R22/10.091</f>
        <v>5.1081855118422359</v>
      </c>
      <c r="T22" s="3">
        <f t="shared" si="2"/>
        <v>165.37002053566951</v>
      </c>
    </row>
    <row r="23" spans="1:20">
      <c r="A23" s="11">
        <v>125</v>
      </c>
      <c r="B23" s="11">
        <f t="shared" si="1"/>
        <v>48.288288288288292</v>
      </c>
      <c r="C23" s="5">
        <v>0.28699999999999998</v>
      </c>
      <c r="S23" t="s">
        <v>26</v>
      </c>
      <c r="T23">
        <f>AVERAGE(T20:T22)</f>
        <v>167.02538571984647</v>
      </c>
    </row>
    <row r="24" spans="1:20">
      <c r="A24" s="11">
        <v>250</v>
      </c>
      <c r="B24" s="11">
        <f t="shared" si="1"/>
        <v>54.054054054054056</v>
      </c>
      <c r="C24" s="5">
        <v>0.255</v>
      </c>
      <c r="S24" t="s">
        <v>3</v>
      </c>
      <c r="T24">
        <f>STDEV(T20:T22)</f>
        <v>1.8083252928142968</v>
      </c>
    </row>
    <row r="25" spans="1:20">
      <c r="A25" s="11">
        <v>500</v>
      </c>
      <c r="B25" s="11">
        <f t="shared" si="1"/>
        <v>60.540540540540547</v>
      </c>
      <c r="C25" s="5">
        <v>0.219</v>
      </c>
    </row>
    <row r="26" spans="1:20">
      <c r="A26" s="11">
        <v>1000</v>
      </c>
      <c r="B26" s="11">
        <f t="shared" si="1"/>
        <v>65.585585585585591</v>
      </c>
      <c r="C26" s="5">
        <v>0.191</v>
      </c>
    </row>
    <row r="28" spans="1:20" ht="15.75" thickBot="1"/>
    <row r="29" spans="1:20" ht="26.25">
      <c r="A29" s="7" t="s">
        <v>1</v>
      </c>
      <c r="B29" s="7"/>
      <c r="C29" s="7"/>
    </row>
    <row r="30" spans="1:20">
      <c r="A30" s="9" t="s">
        <v>22</v>
      </c>
      <c r="B30" s="9" t="s">
        <v>0</v>
      </c>
      <c r="C30" s="9" t="s">
        <v>2</v>
      </c>
    </row>
    <row r="31" spans="1:20">
      <c r="A31" s="9">
        <v>0</v>
      </c>
      <c r="B31" s="11">
        <v>0</v>
      </c>
      <c r="C31" s="11">
        <v>0.55500000000000005</v>
      </c>
    </row>
    <row r="32" spans="1:20">
      <c r="A32" s="8">
        <v>3.91</v>
      </c>
      <c r="B32" s="11">
        <f>((0.555-C32)/0.555)*100</f>
        <v>9.1891891891891966</v>
      </c>
      <c r="C32" s="11">
        <v>0.504</v>
      </c>
    </row>
    <row r="33" spans="1:3">
      <c r="A33" s="8">
        <v>7.81</v>
      </c>
      <c r="B33" s="11">
        <f t="shared" ref="B33:B40" si="3">((0.555-C33)/0.555)*100</f>
        <v>19.099099099099103</v>
      </c>
      <c r="C33" s="11">
        <v>0.44900000000000001</v>
      </c>
    </row>
    <row r="34" spans="1:3">
      <c r="A34" s="8">
        <v>15.62</v>
      </c>
      <c r="B34" s="11">
        <f t="shared" si="3"/>
        <v>26.126126126126138</v>
      </c>
      <c r="C34" s="11">
        <v>0.41</v>
      </c>
    </row>
    <row r="35" spans="1:3">
      <c r="A35" s="11">
        <v>31.25</v>
      </c>
      <c r="B35" s="11">
        <f t="shared" si="3"/>
        <v>34.234234234234236</v>
      </c>
      <c r="C35" s="5">
        <v>0.36499999999999999</v>
      </c>
    </row>
    <row r="36" spans="1:3">
      <c r="A36" s="11">
        <v>62.5</v>
      </c>
      <c r="B36" s="11">
        <f t="shared" si="3"/>
        <v>43.96396396396397</v>
      </c>
      <c r="C36" s="5">
        <v>0.311</v>
      </c>
    </row>
    <row r="37" spans="1:3">
      <c r="A37" s="11">
        <v>125</v>
      </c>
      <c r="B37" s="11">
        <f t="shared" si="3"/>
        <v>48.64864864864866</v>
      </c>
      <c r="C37" s="5">
        <v>0.28499999999999998</v>
      </c>
    </row>
    <row r="38" spans="1:3">
      <c r="A38" s="11">
        <v>250</v>
      </c>
      <c r="B38" s="11">
        <f t="shared" si="3"/>
        <v>54.774774774774784</v>
      </c>
      <c r="C38" s="5">
        <v>0.251</v>
      </c>
    </row>
    <row r="39" spans="1:3">
      <c r="A39" s="11">
        <v>500</v>
      </c>
      <c r="B39" s="11">
        <f t="shared" si="3"/>
        <v>60.360360360360367</v>
      </c>
      <c r="C39" s="5">
        <v>0.22</v>
      </c>
    </row>
    <row r="40" spans="1:3">
      <c r="A40" s="11">
        <v>1000</v>
      </c>
      <c r="B40" s="11">
        <f t="shared" si="3"/>
        <v>65.22522522522523</v>
      </c>
      <c r="C40" s="5">
        <v>0.193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13" workbookViewId="0">
      <selection activeCell="A13" sqref="A1:XFD1048576"/>
    </sheetView>
  </sheetViews>
  <sheetFormatPr defaultRowHeight="15"/>
  <cols>
    <col min="2" max="2" width="12.42578125" customWidth="1"/>
    <col min="7" max="8" width="9.140625" style="14"/>
  </cols>
  <sheetData>
    <row r="1" spans="1:8" ht="15.75" customHeight="1">
      <c r="A1" s="7"/>
      <c r="B1" s="7"/>
      <c r="C1" s="7"/>
    </row>
    <row r="2" spans="1:8">
      <c r="A2" s="9" t="s">
        <v>22</v>
      </c>
      <c r="B2" s="9" t="s">
        <v>0</v>
      </c>
      <c r="C2" s="9" t="s">
        <v>2</v>
      </c>
    </row>
    <row r="3" spans="1:8">
      <c r="A3" s="9">
        <v>0</v>
      </c>
      <c r="B3" s="11">
        <v>0</v>
      </c>
      <c r="C3" s="11">
        <v>0.55100000000000005</v>
      </c>
    </row>
    <row r="4" spans="1:8">
      <c r="A4" s="8">
        <v>3.91</v>
      </c>
      <c r="B4" s="11">
        <f>((0.551-C4)/0.551)*100</f>
        <v>5.6261343012704215</v>
      </c>
      <c r="C4" s="11">
        <v>0.52</v>
      </c>
    </row>
    <row r="5" spans="1:8">
      <c r="A5" s="8">
        <v>7.81</v>
      </c>
      <c r="B5" s="11">
        <f t="shared" ref="B5:B12" si="0">((0.551-C5)/0.551)*100</f>
        <v>9.0744101633393903</v>
      </c>
      <c r="C5" s="11">
        <v>0.501</v>
      </c>
    </row>
    <row r="6" spans="1:8">
      <c r="A6" s="8">
        <v>15.62</v>
      </c>
      <c r="B6" s="11">
        <f t="shared" si="0"/>
        <v>12.704174228675146</v>
      </c>
      <c r="C6" s="11">
        <v>0.48099999999999998</v>
      </c>
    </row>
    <row r="7" spans="1:8">
      <c r="A7" s="11">
        <v>31.25</v>
      </c>
      <c r="B7" s="11">
        <f t="shared" si="0"/>
        <v>15.970961887477317</v>
      </c>
      <c r="C7" s="5">
        <v>0.46300000000000002</v>
      </c>
    </row>
    <row r="8" spans="1:8">
      <c r="A8" s="11">
        <v>62.5</v>
      </c>
      <c r="B8" s="11">
        <f t="shared" si="0"/>
        <v>19.963702359346648</v>
      </c>
      <c r="C8" s="5">
        <v>0.441</v>
      </c>
    </row>
    <row r="9" spans="1:8">
      <c r="A9" s="11">
        <v>125</v>
      </c>
      <c r="B9" s="11">
        <f t="shared" si="0"/>
        <v>21.778584392014526</v>
      </c>
      <c r="C9" s="5">
        <v>0.43099999999999999</v>
      </c>
      <c r="H9"/>
    </row>
    <row r="10" spans="1:8">
      <c r="A10" s="11">
        <v>250</v>
      </c>
      <c r="B10" s="11">
        <f t="shared" si="0"/>
        <v>23.411978221415616</v>
      </c>
      <c r="C10" s="5">
        <v>0.42199999999999999</v>
      </c>
      <c r="H10"/>
    </row>
    <row r="11" spans="1:8">
      <c r="A11" s="11">
        <v>500</v>
      </c>
      <c r="B11" s="11">
        <f t="shared" si="0"/>
        <v>27.041742286751365</v>
      </c>
      <c r="C11" s="5">
        <v>0.40200000000000002</v>
      </c>
      <c r="H11"/>
    </row>
    <row r="12" spans="1:8">
      <c r="A12" s="11">
        <v>1000</v>
      </c>
      <c r="B12" s="11">
        <f t="shared" si="0"/>
        <v>28.85662431941924</v>
      </c>
      <c r="C12" s="5">
        <v>0.39200000000000002</v>
      </c>
      <c r="H12"/>
    </row>
    <row r="13" spans="1:8">
      <c r="H13"/>
    </row>
    <row r="14" spans="1:8" ht="15.75" thickBot="1"/>
    <row r="15" spans="1:8" ht="26.25">
      <c r="A15" s="7" t="s">
        <v>1</v>
      </c>
      <c r="B15" s="7"/>
      <c r="C15" s="7"/>
    </row>
    <row r="16" spans="1:8">
      <c r="A16" s="9" t="s">
        <v>22</v>
      </c>
      <c r="B16" s="9" t="s">
        <v>0</v>
      </c>
      <c r="C16" s="9" t="s">
        <v>2</v>
      </c>
    </row>
    <row r="17" spans="1:3">
      <c r="A17" s="9">
        <v>0</v>
      </c>
      <c r="B17" s="11">
        <v>0</v>
      </c>
      <c r="C17" s="11">
        <v>0.55100000000000005</v>
      </c>
    </row>
    <row r="18" spans="1:3">
      <c r="A18" s="8">
        <v>3.91</v>
      </c>
      <c r="B18" s="11">
        <f>((0.551-C18)/0.551)*100</f>
        <v>5.4446460980036342</v>
      </c>
      <c r="C18" s="11">
        <v>0.52100000000000002</v>
      </c>
    </row>
    <row r="19" spans="1:3">
      <c r="A19" s="8">
        <v>7.81</v>
      </c>
      <c r="B19" s="11">
        <f t="shared" ref="B19:B26" si="1">((0.551-C19)/0.551)*100</f>
        <v>8.5299455535390276</v>
      </c>
      <c r="C19" s="11">
        <v>0.504</v>
      </c>
    </row>
    <row r="20" spans="1:3">
      <c r="A20" s="8">
        <v>15.62</v>
      </c>
      <c r="B20" s="11">
        <f t="shared" si="1"/>
        <v>11.433756805807633</v>
      </c>
      <c r="C20" s="11">
        <v>0.48799999999999999</v>
      </c>
    </row>
    <row r="21" spans="1:3">
      <c r="A21" s="11">
        <v>31.25</v>
      </c>
      <c r="B21" s="11">
        <f t="shared" si="1"/>
        <v>14.700544464609813</v>
      </c>
      <c r="C21" s="5">
        <v>0.47</v>
      </c>
    </row>
    <row r="22" spans="1:3">
      <c r="A22" s="11">
        <v>62.5</v>
      </c>
      <c r="B22" s="11">
        <f t="shared" si="1"/>
        <v>18.148820326678774</v>
      </c>
      <c r="C22" s="5">
        <v>0.45100000000000001</v>
      </c>
    </row>
    <row r="23" spans="1:3">
      <c r="A23" s="11">
        <v>125</v>
      </c>
      <c r="B23" s="11">
        <f t="shared" si="1"/>
        <v>21.960072595281314</v>
      </c>
      <c r="C23" s="5">
        <v>0.43</v>
      </c>
    </row>
    <row r="24" spans="1:3">
      <c r="A24" s="11">
        <v>250</v>
      </c>
      <c r="B24" s="11">
        <f t="shared" si="1"/>
        <v>24.137931034482769</v>
      </c>
      <c r="C24" s="5">
        <v>0.41799999999999998</v>
      </c>
    </row>
    <row r="25" spans="1:3">
      <c r="A25" s="11">
        <v>500</v>
      </c>
      <c r="B25" s="11">
        <f t="shared" si="1"/>
        <v>27.404718693284941</v>
      </c>
      <c r="C25" s="5">
        <v>0.4</v>
      </c>
    </row>
    <row r="26" spans="1:3">
      <c r="A26" s="11">
        <v>1000</v>
      </c>
      <c r="B26" s="11">
        <f t="shared" si="1"/>
        <v>29.582577132486392</v>
      </c>
      <c r="C26" s="5">
        <v>0.38800000000000001</v>
      </c>
    </row>
    <row r="28" spans="1:3" ht="15.75" thickBot="1"/>
    <row r="29" spans="1:3" ht="26.25">
      <c r="A29" s="7" t="s">
        <v>1</v>
      </c>
      <c r="B29" s="7"/>
      <c r="C29" s="7"/>
    </row>
    <row r="30" spans="1:3">
      <c r="A30" s="9" t="s">
        <v>22</v>
      </c>
      <c r="B30" s="9" t="s">
        <v>0</v>
      </c>
      <c r="C30" s="9" t="s">
        <v>2</v>
      </c>
    </row>
    <row r="31" spans="1:3">
      <c r="A31" s="9">
        <v>0</v>
      </c>
      <c r="B31" s="11">
        <v>0</v>
      </c>
      <c r="C31" s="11">
        <v>0.55100000000000005</v>
      </c>
    </row>
    <row r="32" spans="1:3">
      <c r="A32" s="8">
        <v>3.91</v>
      </c>
      <c r="B32" s="11">
        <f>((0.551-C32)/0.551)*100</f>
        <v>4.9001814882032706</v>
      </c>
      <c r="C32" s="11">
        <v>0.52400000000000002</v>
      </c>
    </row>
    <row r="33" spans="1:3">
      <c r="A33" s="8">
        <v>7.81</v>
      </c>
      <c r="B33" s="11">
        <f t="shared" ref="B33:B40" si="2">((0.551-C33)/0.551)*100</f>
        <v>7.985480943738664</v>
      </c>
      <c r="C33" s="11">
        <v>0.50700000000000001</v>
      </c>
    </row>
    <row r="34" spans="1:3">
      <c r="A34" s="8">
        <v>15.62</v>
      </c>
      <c r="B34" s="11">
        <f t="shared" si="2"/>
        <v>11.796733212341207</v>
      </c>
      <c r="C34" s="11">
        <v>0.48599999999999999</v>
      </c>
    </row>
    <row r="35" spans="1:3">
      <c r="A35" s="11">
        <v>31.25</v>
      </c>
      <c r="B35" s="11">
        <f t="shared" si="2"/>
        <v>15.063520871143377</v>
      </c>
      <c r="C35" s="5">
        <v>0.46800000000000003</v>
      </c>
    </row>
    <row r="36" spans="1:3">
      <c r="A36" s="11">
        <v>62.5</v>
      </c>
      <c r="B36" s="11">
        <f t="shared" si="2"/>
        <v>17.422867513611621</v>
      </c>
      <c r="C36" s="5">
        <v>0.45500000000000002</v>
      </c>
    </row>
    <row r="37" spans="1:3">
      <c r="A37" s="11">
        <v>125</v>
      </c>
      <c r="B37" s="11">
        <f t="shared" si="2"/>
        <v>21.597096188747738</v>
      </c>
      <c r="C37" s="5">
        <v>0.432</v>
      </c>
    </row>
    <row r="38" spans="1:3">
      <c r="A38" s="11">
        <v>250</v>
      </c>
      <c r="B38" s="11">
        <f t="shared" si="2"/>
        <v>24.319419237749557</v>
      </c>
      <c r="C38" s="5">
        <v>0.41699999999999998</v>
      </c>
    </row>
    <row r="39" spans="1:3">
      <c r="A39" s="11">
        <v>500</v>
      </c>
      <c r="B39" s="11">
        <f t="shared" si="2"/>
        <v>28.85662431941924</v>
      </c>
      <c r="C39" s="5">
        <v>0.39200000000000002</v>
      </c>
    </row>
    <row r="40" spans="1:3">
      <c r="A40" s="11">
        <v>1000</v>
      </c>
      <c r="B40" s="11">
        <f t="shared" si="2"/>
        <v>30.852994555353909</v>
      </c>
      <c r="C40" s="5">
        <v>0.38100000000000001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>
      <selection activeCell="P22" sqref="P22"/>
    </sheetView>
  </sheetViews>
  <sheetFormatPr defaultRowHeight="15"/>
  <cols>
    <col min="2" max="2" width="12.42578125" customWidth="1"/>
    <col min="7" max="8" width="9.140625" style="14"/>
  </cols>
  <sheetData>
    <row r="1" spans="1:8" ht="15.75" customHeight="1">
      <c r="A1" s="7"/>
      <c r="B1" s="7"/>
      <c r="C1" s="7"/>
    </row>
    <row r="2" spans="1:8">
      <c r="A2" s="9" t="s">
        <v>22</v>
      </c>
      <c r="B2" s="9" t="s">
        <v>0</v>
      </c>
      <c r="C2" s="9" t="s">
        <v>2</v>
      </c>
    </row>
    <row r="3" spans="1:8">
      <c r="A3" s="9">
        <v>0</v>
      </c>
      <c r="B3" s="11">
        <v>0</v>
      </c>
      <c r="C3" s="11">
        <v>0.56200000000000006</v>
      </c>
    </row>
    <row r="4" spans="1:8">
      <c r="A4" s="8">
        <v>3.91</v>
      </c>
      <c r="B4" s="11">
        <f>((0.562-C4)/0.562)*100</f>
        <v>5.6939501779359478</v>
      </c>
      <c r="C4" s="11">
        <v>0.53</v>
      </c>
    </row>
    <row r="5" spans="1:8">
      <c r="A5" s="8">
        <v>7.81</v>
      </c>
      <c r="B5" s="11">
        <f t="shared" ref="B5:B12" si="0">((0.562-C5)/0.562)*100</f>
        <v>10.676156583629902</v>
      </c>
      <c r="C5" s="11">
        <v>0.502</v>
      </c>
    </row>
    <row r="6" spans="1:8">
      <c r="A6" s="8">
        <v>15.62</v>
      </c>
      <c r="B6" s="11">
        <f t="shared" si="0"/>
        <v>16.19217081850535</v>
      </c>
      <c r="C6" s="11">
        <v>0.47099999999999997</v>
      </c>
    </row>
    <row r="7" spans="1:8">
      <c r="A7" s="11">
        <v>31.25</v>
      </c>
      <c r="B7" s="11">
        <f t="shared" si="0"/>
        <v>21.530249110320295</v>
      </c>
      <c r="C7" s="5">
        <v>0.441</v>
      </c>
    </row>
    <row r="8" spans="1:8">
      <c r="A8" s="11">
        <v>62.5</v>
      </c>
      <c r="B8" s="11">
        <f t="shared" si="0"/>
        <v>27.046263345195744</v>
      </c>
      <c r="C8" s="5">
        <v>0.41</v>
      </c>
    </row>
    <row r="9" spans="1:8">
      <c r="A9" s="11">
        <v>125</v>
      </c>
      <c r="B9" s="11">
        <f t="shared" si="0"/>
        <v>33.451957295373674</v>
      </c>
      <c r="C9" s="5">
        <v>0.374</v>
      </c>
      <c r="H9"/>
    </row>
    <row r="10" spans="1:8">
      <c r="A10" s="11">
        <v>250</v>
      </c>
      <c r="B10" s="11">
        <f t="shared" si="0"/>
        <v>38.967971530249116</v>
      </c>
      <c r="C10" s="5">
        <v>0.34300000000000003</v>
      </c>
      <c r="H10"/>
    </row>
    <row r="11" spans="1:8">
      <c r="A11" s="11">
        <v>500</v>
      </c>
      <c r="B11" s="11">
        <f t="shared" si="0"/>
        <v>44.483985765124565</v>
      </c>
      <c r="C11" s="5">
        <v>0.312</v>
      </c>
      <c r="H11"/>
    </row>
    <row r="12" spans="1:8">
      <c r="A12" s="11">
        <v>1000</v>
      </c>
      <c r="B12" s="11">
        <f t="shared" si="0"/>
        <v>52.669039145907469</v>
      </c>
      <c r="C12" s="5">
        <v>0.26600000000000001</v>
      </c>
      <c r="H12"/>
    </row>
    <row r="13" spans="1:8">
      <c r="H13"/>
    </row>
    <row r="14" spans="1:8" ht="15.75" thickBot="1"/>
    <row r="15" spans="1:8" ht="26.25">
      <c r="A15" s="7" t="s">
        <v>1</v>
      </c>
      <c r="B15" s="7"/>
      <c r="C15" s="7"/>
    </row>
    <row r="16" spans="1:8">
      <c r="A16" s="9" t="s">
        <v>22</v>
      </c>
      <c r="B16" s="9" t="s">
        <v>0</v>
      </c>
      <c r="C16" s="9" t="s">
        <v>2</v>
      </c>
    </row>
    <row r="17" spans="1:20">
      <c r="A17" s="9">
        <v>0</v>
      </c>
      <c r="B17" s="11">
        <v>0</v>
      </c>
      <c r="C17" s="11">
        <v>0.56200000000000006</v>
      </c>
    </row>
    <row r="18" spans="1:20">
      <c r="A18" s="8">
        <v>3.91</v>
      </c>
      <c r="B18" s="11">
        <f>((0.562-C18)/0.562)*100</f>
        <v>5.6939501779359478</v>
      </c>
      <c r="C18" s="11">
        <v>0.53</v>
      </c>
    </row>
    <row r="19" spans="1:20">
      <c r="A19" s="8">
        <v>7.81</v>
      </c>
      <c r="B19" s="11">
        <f t="shared" ref="B19:B25" si="1">((0.562-C19)/0.562)*100</f>
        <v>10.676156583629902</v>
      </c>
      <c r="C19" s="11">
        <v>0.502</v>
      </c>
      <c r="S19" t="s">
        <v>5</v>
      </c>
      <c r="T19" s="4" t="s">
        <v>4</v>
      </c>
    </row>
    <row r="20" spans="1:20">
      <c r="A20" s="8">
        <v>15.62</v>
      </c>
      <c r="B20" s="11">
        <f t="shared" si="1"/>
        <v>16.37010676156585</v>
      </c>
      <c r="C20" s="11">
        <v>0.47</v>
      </c>
      <c r="R20">
        <f>50+6.6274</f>
        <v>56.627400000000002</v>
      </c>
      <c r="S20">
        <f>R20/8.3392</f>
        <v>6.7905074827321572</v>
      </c>
      <c r="T20" s="3">
        <f>EXP(S20)</f>
        <v>889.36478459784371</v>
      </c>
    </row>
    <row r="21" spans="1:20">
      <c r="A21" s="11">
        <v>31.25</v>
      </c>
      <c r="B21" s="11">
        <f t="shared" si="1"/>
        <v>21.708185053380792</v>
      </c>
      <c r="C21" s="5">
        <v>0.44</v>
      </c>
      <c r="R21">
        <f>50+6.5306</f>
        <v>56.5306</v>
      </c>
      <c r="S21">
        <f>R21/8.3349</f>
        <v>6.7823969093810366</v>
      </c>
      <c r="T21" s="3">
        <f t="shared" ref="T21:T22" si="2">EXP(S21)</f>
        <v>882.18069918387118</v>
      </c>
    </row>
    <row r="22" spans="1:20">
      <c r="A22" s="11">
        <v>62.5</v>
      </c>
      <c r="B22" s="11">
        <f t="shared" si="1"/>
        <v>27.046263345195744</v>
      </c>
      <c r="C22" s="5">
        <v>0.41</v>
      </c>
      <c r="R22">
        <f>50+6.6825</f>
        <v>56.682499999999997</v>
      </c>
      <c r="S22">
        <f>R22/8.3477</f>
        <v>6.7901937060507684</v>
      </c>
      <c r="T22" s="3">
        <f t="shared" si="2"/>
        <v>889.08576644417292</v>
      </c>
    </row>
    <row r="23" spans="1:20">
      <c r="A23" s="11">
        <v>125</v>
      </c>
      <c r="B23" s="11">
        <f t="shared" si="1"/>
        <v>33.629893238434171</v>
      </c>
      <c r="C23" s="5">
        <v>0.373</v>
      </c>
      <c r="S23" t="s">
        <v>26</v>
      </c>
      <c r="T23">
        <f>AVERAGE(T20:T22)</f>
        <v>886.87708340862935</v>
      </c>
    </row>
    <row r="24" spans="1:20">
      <c r="A24" s="11">
        <v>250</v>
      </c>
      <c r="B24" s="11">
        <f t="shared" si="1"/>
        <v>39.145907473309613</v>
      </c>
      <c r="C24" s="5">
        <v>0.34200000000000003</v>
      </c>
      <c r="S24" t="s">
        <v>3</v>
      </c>
      <c r="T24">
        <f>STDEV(T20:T22)</f>
        <v>4.0695799995130857</v>
      </c>
    </row>
    <row r="25" spans="1:20">
      <c r="A25" s="11">
        <v>500</v>
      </c>
      <c r="B25" s="11">
        <f t="shared" si="1"/>
        <v>44.661921708185062</v>
      </c>
      <c r="C25" s="5">
        <v>0.311</v>
      </c>
    </row>
    <row r="26" spans="1:20">
      <c r="A26" s="11">
        <v>1000</v>
      </c>
      <c r="B26" s="11">
        <f t="shared" ref="B19:B26" si="3">((0.562-C26)/0.562)*100</f>
        <v>52.491103202846979</v>
      </c>
      <c r="C26" s="5">
        <v>0.26700000000000002</v>
      </c>
    </row>
    <row r="28" spans="1:20" ht="15.75" thickBot="1"/>
    <row r="29" spans="1:20" ht="26.25">
      <c r="A29" s="7" t="s">
        <v>1</v>
      </c>
      <c r="B29" s="7"/>
      <c r="C29" s="7"/>
    </row>
    <row r="30" spans="1:20">
      <c r="A30" s="9" t="s">
        <v>22</v>
      </c>
      <c r="B30" s="9" t="s">
        <v>0</v>
      </c>
      <c r="C30" s="9" t="s">
        <v>2</v>
      </c>
    </row>
    <row r="31" spans="1:20">
      <c r="A31" s="9">
        <v>0</v>
      </c>
      <c r="B31" s="11">
        <v>0</v>
      </c>
      <c r="C31" s="11">
        <v>0.56200000000000006</v>
      </c>
    </row>
    <row r="32" spans="1:20">
      <c r="A32" s="8">
        <v>3.91</v>
      </c>
      <c r="B32" s="11">
        <f>((0.562-C32)/0.562)*100</f>
        <v>5.6939501779359478</v>
      </c>
      <c r="C32" s="11">
        <v>0.53</v>
      </c>
    </row>
    <row r="33" spans="1:3">
      <c r="A33" s="8">
        <v>7.81</v>
      </c>
      <c r="B33" s="11">
        <f t="shared" ref="B33:B40" si="4">((0.562-C33)/0.562)*100</f>
        <v>10.676156583629902</v>
      </c>
      <c r="C33" s="11">
        <v>0.502</v>
      </c>
    </row>
    <row r="34" spans="1:3">
      <c r="A34" s="8">
        <v>15.62</v>
      </c>
      <c r="B34" s="11">
        <f t="shared" si="4"/>
        <v>16.19217081850535</v>
      </c>
      <c r="C34" s="11">
        <v>0.47099999999999997</v>
      </c>
    </row>
    <row r="35" spans="1:3">
      <c r="A35" s="11">
        <v>31.25</v>
      </c>
      <c r="B35" s="11">
        <f t="shared" si="4"/>
        <v>21.352313167259794</v>
      </c>
      <c r="C35" s="5">
        <v>0.442</v>
      </c>
    </row>
    <row r="36" spans="1:3">
      <c r="A36" s="11">
        <v>62.5</v>
      </c>
      <c r="B36" s="11">
        <f t="shared" si="4"/>
        <v>27.224199288256241</v>
      </c>
      <c r="C36" s="5">
        <v>0.40899999999999997</v>
      </c>
    </row>
    <row r="37" spans="1:3">
      <c r="A37" s="11">
        <v>125</v>
      </c>
      <c r="B37" s="11">
        <f t="shared" si="4"/>
        <v>33.096085409252673</v>
      </c>
      <c r="C37" s="5">
        <v>0.376</v>
      </c>
    </row>
    <row r="38" spans="1:3">
      <c r="A38" s="11">
        <v>250</v>
      </c>
      <c r="B38" s="11">
        <f t="shared" si="4"/>
        <v>39.145907473309613</v>
      </c>
      <c r="C38" s="5">
        <v>0.34200000000000003</v>
      </c>
    </row>
    <row r="39" spans="1:3">
      <c r="A39" s="11">
        <v>500</v>
      </c>
      <c r="B39" s="11">
        <f t="shared" si="4"/>
        <v>44.306049822064061</v>
      </c>
      <c r="C39" s="5">
        <v>0.313</v>
      </c>
    </row>
    <row r="40" spans="1:3">
      <c r="A40" s="11">
        <v>1000</v>
      </c>
      <c r="B40" s="11">
        <f t="shared" si="4"/>
        <v>52.846975088967973</v>
      </c>
      <c r="C40" s="5">
        <v>0.26500000000000001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M21" sqref="M21"/>
    </sheetView>
  </sheetViews>
  <sheetFormatPr defaultRowHeight="15"/>
  <cols>
    <col min="2" max="2" width="10.140625" bestFit="1" customWidth="1"/>
  </cols>
  <sheetData>
    <row r="1" spans="1:3" ht="27" thickBot="1">
      <c r="A1" s="1" t="s">
        <v>1</v>
      </c>
      <c r="B1" s="1"/>
      <c r="C1" s="1"/>
    </row>
    <row r="2" spans="1:3" ht="27" thickBot="1">
      <c r="A2" s="1" t="s">
        <v>20</v>
      </c>
      <c r="B2" s="1" t="s">
        <v>0</v>
      </c>
      <c r="C2" s="1" t="s">
        <v>2</v>
      </c>
    </row>
    <row r="3" spans="1:3" ht="15.75" thickBot="1">
      <c r="A3" s="2">
        <v>0</v>
      </c>
      <c r="B3" s="2">
        <v>0</v>
      </c>
      <c r="C3" s="2">
        <v>0.46300000000000002</v>
      </c>
    </row>
    <row r="4" spans="1:3" ht="15.75" thickBot="1">
      <c r="A4" s="2">
        <v>2</v>
      </c>
      <c r="B4" s="2">
        <f>((0.463-0.378)/0.463)*100</f>
        <v>18.358531317494602</v>
      </c>
      <c r="C4" s="2">
        <v>0.378</v>
      </c>
    </row>
    <row r="5" spans="1:3" ht="15.75" thickBot="1">
      <c r="A5" s="2">
        <v>4</v>
      </c>
      <c r="B5" s="2">
        <f>((0.463-C5)/0.463)*100</f>
        <v>38.228941684665237</v>
      </c>
      <c r="C5" s="2">
        <v>0.28599999999999998</v>
      </c>
    </row>
    <row r="6" spans="1:3" ht="15.75" thickBot="1">
      <c r="A6" s="2">
        <v>6</v>
      </c>
      <c r="B6" s="2">
        <f>((0.463-C6)/0.463)*100</f>
        <v>53.995680345572353</v>
      </c>
      <c r="C6" s="2">
        <v>0.21299999999999999</v>
      </c>
    </row>
    <row r="7" spans="1:3" ht="15.75" thickBot="1">
      <c r="A7" s="2">
        <v>8</v>
      </c>
      <c r="B7" s="2">
        <f>((0.463-C7)/0.463)*100</f>
        <v>79.697624190064786</v>
      </c>
      <c r="C7" s="2">
        <v>9.4E-2</v>
      </c>
    </row>
    <row r="8" spans="1:3" ht="15.75" thickBot="1">
      <c r="A8" s="2">
        <v>10</v>
      </c>
      <c r="B8" s="2">
        <f>((0.463-C8)/0.463)*100</f>
        <v>93.520518358531319</v>
      </c>
      <c r="C8" s="2">
        <v>0.03</v>
      </c>
    </row>
    <row r="9" spans="1:3" ht="15.75" thickBot="1"/>
    <row r="10" spans="1:3" ht="27" thickBot="1">
      <c r="A10" s="1" t="s">
        <v>1</v>
      </c>
      <c r="B10" s="1"/>
      <c r="C10" s="1"/>
    </row>
    <row r="11" spans="1:3" ht="27" thickBot="1">
      <c r="A11" s="1" t="s">
        <v>20</v>
      </c>
      <c r="B11" s="1" t="s">
        <v>0</v>
      </c>
      <c r="C11" s="1" t="s">
        <v>2</v>
      </c>
    </row>
    <row r="12" spans="1:3" ht="15.75" thickBot="1">
      <c r="A12" s="2">
        <v>0</v>
      </c>
      <c r="B12" s="2">
        <v>0</v>
      </c>
      <c r="C12" s="2">
        <v>0.46300000000000002</v>
      </c>
    </row>
    <row r="13" spans="1:3" ht="15.75" thickBot="1">
      <c r="A13" s="2">
        <v>2</v>
      </c>
      <c r="B13" s="2">
        <f>((0.463-0.378)/0.463)*100</f>
        <v>18.358531317494602</v>
      </c>
      <c r="C13" s="2">
        <v>0.372</v>
      </c>
    </row>
    <row r="14" spans="1:3" ht="15.75" thickBot="1">
      <c r="A14" s="2">
        <v>4</v>
      </c>
      <c r="B14" s="2">
        <f>((0.463-C14)/0.463)*100</f>
        <v>39.524838012958966</v>
      </c>
      <c r="C14" s="2">
        <v>0.28000000000000003</v>
      </c>
    </row>
    <row r="15" spans="1:3" ht="15.75" thickBot="1">
      <c r="A15" s="2">
        <v>6</v>
      </c>
      <c r="B15" s="2">
        <f>((0.463-C15)/0.463)*100</f>
        <v>54.427645788336932</v>
      </c>
      <c r="C15" s="2">
        <v>0.21099999999999999</v>
      </c>
    </row>
    <row r="16" spans="1:3" ht="15.75" thickBot="1">
      <c r="A16" s="2">
        <v>8</v>
      </c>
      <c r="B16" s="2">
        <f>((0.463-C16)/0.463)*100</f>
        <v>80.129589632829365</v>
      </c>
      <c r="C16" s="2">
        <v>9.1999999999999998E-2</v>
      </c>
    </row>
    <row r="17" spans="1:9" ht="15.75" thickBot="1">
      <c r="A17" s="2">
        <v>10</v>
      </c>
      <c r="B17" s="2">
        <f>((0.463-C17)/0.463)*100</f>
        <v>93.736501079913609</v>
      </c>
      <c r="C17" s="2">
        <v>2.9000000000000001E-2</v>
      </c>
    </row>
    <row r="18" spans="1:9" ht="15.75" thickBot="1">
      <c r="G18">
        <f>50+19.953</f>
        <v>69.953000000000003</v>
      </c>
      <c r="H18">
        <f>G18/46.475</f>
        <v>1.5051748251748251</v>
      </c>
      <c r="I18" s="3">
        <f>EXP(H18)</f>
        <v>4.5049411385704694</v>
      </c>
    </row>
    <row r="19" spans="1:9" ht="27" thickBot="1">
      <c r="A19" s="1" t="s">
        <v>1</v>
      </c>
      <c r="B19" s="1"/>
      <c r="C19" s="1"/>
      <c r="G19">
        <f>50+19.523</f>
        <v>69.522999999999996</v>
      </c>
      <c r="H19">
        <f>G19/46.502</f>
        <v>1.4950539761730677</v>
      </c>
      <c r="I19" s="3">
        <f>EXP(H19)</f>
        <v>4.4595772572654626</v>
      </c>
    </row>
    <row r="20" spans="1:9" ht="27" thickBot="1">
      <c r="A20" s="1" t="s">
        <v>20</v>
      </c>
      <c r="B20" s="1" t="s">
        <v>0</v>
      </c>
      <c r="C20" s="1" t="s">
        <v>2</v>
      </c>
      <c r="G20">
        <f>50+19.339</f>
        <v>69.338999999999999</v>
      </c>
      <c r="H20">
        <f>G20/46.312</f>
        <v>1.4972145448263949</v>
      </c>
      <c r="I20" s="3">
        <f>EXP(H20)</f>
        <v>4.469222896375153</v>
      </c>
    </row>
    <row r="21" spans="1:9" ht="15.75" thickBot="1">
      <c r="A21" s="2">
        <v>0</v>
      </c>
      <c r="B21" s="2">
        <v>0</v>
      </c>
      <c r="C21" s="2">
        <v>0.46300000000000002</v>
      </c>
    </row>
    <row r="22" spans="1:9" ht="15.75" thickBot="1">
      <c r="A22" s="2">
        <v>2</v>
      </c>
      <c r="B22" s="2">
        <f>((0.463-0.378)/0.463)*100</f>
        <v>18.358531317494602</v>
      </c>
      <c r="C22" s="2">
        <v>0.371</v>
      </c>
      <c r="H22" t="s">
        <v>21</v>
      </c>
      <c r="I22">
        <f>AVERAGE(I18:I20)</f>
        <v>4.4779137640703617</v>
      </c>
    </row>
    <row r="23" spans="1:9" ht="15.75" thickBot="1">
      <c r="A23" s="2">
        <v>4</v>
      </c>
      <c r="B23" s="2">
        <f>((0.463-C23)/0.463)*100</f>
        <v>38.660907127429816</v>
      </c>
      <c r="C23" s="2">
        <v>0.28399999999999997</v>
      </c>
      <c r="H23" t="s">
        <v>3</v>
      </c>
      <c r="I23">
        <f>STDEV(I18:I20)</f>
        <v>2.3898092345109943E-2</v>
      </c>
    </row>
    <row r="24" spans="1:9" ht="15.75" thickBot="1">
      <c r="A24" s="2">
        <v>6</v>
      </c>
      <c r="B24" s="2">
        <f>((0.463-C24)/0.463)*100</f>
        <v>55.939524838012957</v>
      </c>
      <c r="C24" s="2">
        <v>0.20399999999999999</v>
      </c>
    </row>
    <row r="25" spans="1:9" ht="15.75" thickBot="1">
      <c r="A25" s="2">
        <v>8</v>
      </c>
      <c r="B25" s="2">
        <f>((0.463-C25)/0.463)*100</f>
        <v>79.697624190064786</v>
      </c>
      <c r="C25" s="2">
        <v>9.4E-2</v>
      </c>
    </row>
    <row r="26" spans="1:9" ht="15.75" thickBot="1">
      <c r="A26" s="2">
        <v>10</v>
      </c>
      <c r="B26" s="2">
        <f>((0.463-C26)/0.463)*100</f>
        <v>92.872570194384451</v>
      </c>
      <c r="C26" s="2">
        <v>3.3000000000000002E-2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workbookViewId="0">
      <selection activeCell="J28" sqref="J28"/>
    </sheetView>
  </sheetViews>
  <sheetFormatPr defaultRowHeight="15"/>
  <cols>
    <col min="1" max="1" width="9.140625" style="6"/>
    <col min="2" max="2" width="12" style="6" customWidth="1"/>
    <col min="3" max="4" width="11.42578125" style="6" bestFit="1" customWidth="1"/>
    <col min="5" max="5" width="10.42578125" style="6" bestFit="1" customWidth="1"/>
    <col min="6" max="16384" width="9.140625" style="6"/>
  </cols>
  <sheetData>
    <row r="1" spans="1:24" ht="15.75" customHeight="1"/>
    <row r="3" spans="1:24" ht="15.75" thickBot="1"/>
    <row r="4" spans="1:24" ht="26.25">
      <c r="A4" s="7" t="s">
        <v>1</v>
      </c>
      <c r="B4" s="7"/>
      <c r="C4" s="7"/>
    </row>
    <row r="5" spans="1:24">
      <c r="A5" s="9" t="s">
        <v>22</v>
      </c>
      <c r="B5" s="9" t="s">
        <v>0</v>
      </c>
      <c r="C5" s="9" t="s">
        <v>2</v>
      </c>
    </row>
    <row r="6" spans="1:24">
      <c r="A6" s="9">
        <v>0</v>
      </c>
      <c r="B6" s="11">
        <v>0</v>
      </c>
      <c r="C6" s="11">
        <v>0.63</v>
      </c>
    </row>
    <row r="7" spans="1:24">
      <c r="A7" s="8">
        <v>3.91</v>
      </c>
      <c r="B7" s="11">
        <f>((0.63-C7)/0.63)*100</f>
        <v>3.0158730158730185</v>
      </c>
      <c r="C7" s="11">
        <v>0.61099999999999999</v>
      </c>
    </row>
    <row r="8" spans="1:24">
      <c r="A8" s="8">
        <v>7.81</v>
      </c>
      <c r="B8" s="11">
        <f t="shared" ref="B8:B15" si="0">((0.63-C8)/0.63)*100</f>
        <v>4.9206349206349245</v>
      </c>
      <c r="C8" s="11">
        <v>0.59899999999999998</v>
      </c>
    </row>
    <row r="9" spans="1:24">
      <c r="A9" s="8">
        <v>15.62</v>
      </c>
      <c r="B9" s="11">
        <f t="shared" si="0"/>
        <v>7.936507936507943</v>
      </c>
      <c r="C9" s="11">
        <v>0.57999999999999996</v>
      </c>
    </row>
    <row r="10" spans="1:24">
      <c r="A10" s="11">
        <v>31.25</v>
      </c>
      <c r="B10" s="11">
        <f t="shared" si="0"/>
        <v>13.492063492063485</v>
      </c>
      <c r="C10" s="10">
        <v>0.54500000000000004</v>
      </c>
    </row>
    <row r="11" spans="1:24">
      <c r="A11" s="11">
        <v>62.5</v>
      </c>
      <c r="B11" s="11">
        <f t="shared" si="0"/>
        <v>18.888888888888889</v>
      </c>
      <c r="C11" s="10">
        <v>0.51100000000000001</v>
      </c>
    </row>
    <row r="12" spans="1:24">
      <c r="A12" s="11">
        <v>125</v>
      </c>
      <c r="B12" s="11">
        <f t="shared" si="0"/>
        <v>20.317460317460316</v>
      </c>
      <c r="C12" s="10">
        <v>0.502</v>
      </c>
    </row>
    <row r="13" spans="1:24">
      <c r="A13" s="11">
        <v>250</v>
      </c>
      <c r="B13" s="11">
        <f t="shared" si="0"/>
        <v>30.158730158730158</v>
      </c>
      <c r="C13" s="10">
        <v>0.44</v>
      </c>
    </row>
    <row r="14" spans="1:24">
      <c r="A14" s="11">
        <v>500</v>
      </c>
      <c r="B14" s="11">
        <f t="shared" si="0"/>
        <v>36.349206349206348</v>
      </c>
      <c r="C14" s="10">
        <v>0.40100000000000002</v>
      </c>
    </row>
    <row r="15" spans="1:24">
      <c r="A15" s="11">
        <v>1000</v>
      </c>
      <c r="B15" s="11">
        <f t="shared" si="0"/>
        <v>44.285714285714292</v>
      </c>
      <c r="C15" s="10">
        <v>0.35099999999999998</v>
      </c>
    </row>
    <row r="16" spans="1:24">
      <c r="H16" s="6" t="s">
        <v>5</v>
      </c>
      <c r="I16" s="6" t="s">
        <v>4</v>
      </c>
      <c r="O16" s="6" t="s">
        <v>5</v>
      </c>
      <c r="P16" s="6" t="s">
        <v>4</v>
      </c>
      <c r="W16" s="6" t="s">
        <v>5</v>
      </c>
      <c r="X16" s="6" t="s">
        <v>4</v>
      </c>
    </row>
    <row r="17" spans="1:10" ht="15.75" thickBot="1">
      <c r="G17" s="6">
        <f>50+10.959</f>
        <v>60.959000000000003</v>
      </c>
      <c r="H17" s="6">
        <f>G17/7.4697</f>
        <v>8.1608364459081368</v>
      </c>
      <c r="I17" s="12">
        <f>EXP(H17)</f>
        <v>3501.1138717139288</v>
      </c>
      <c r="J17" s="13"/>
    </row>
    <row r="18" spans="1:10" ht="26.25">
      <c r="A18" s="7" t="s">
        <v>1</v>
      </c>
      <c r="B18" s="7"/>
      <c r="C18" s="7"/>
      <c r="G18" s="6">
        <f>50+10.57</f>
        <v>60.57</v>
      </c>
      <c r="H18" s="6">
        <f>G18/7.4419</f>
        <v>8.1390505112941582</v>
      </c>
      <c r="I18" s="12">
        <f>EXP(H18)</f>
        <v>3425.6636943444064</v>
      </c>
    </row>
    <row r="19" spans="1:10">
      <c r="A19" s="9" t="s">
        <v>22</v>
      </c>
      <c r="B19" s="9" t="s">
        <v>0</v>
      </c>
      <c r="C19" s="9" t="s">
        <v>2</v>
      </c>
      <c r="G19" s="6">
        <f>50+9.6609</f>
        <v>59.660899999999998</v>
      </c>
      <c r="H19" s="6">
        <f>G19/7.1949</f>
        <v>8.2921096888073507</v>
      </c>
      <c r="I19" s="12">
        <f>EXP(H19)</f>
        <v>3992.2477167784805</v>
      </c>
    </row>
    <row r="20" spans="1:10">
      <c r="A20" s="9">
        <v>0</v>
      </c>
      <c r="B20" s="11">
        <v>0</v>
      </c>
      <c r="C20" s="11">
        <v>0.63300000000000001</v>
      </c>
      <c r="G20"/>
      <c r="H20"/>
      <c r="I20"/>
    </row>
    <row r="21" spans="1:10">
      <c r="A21" s="8">
        <v>3.91</v>
      </c>
      <c r="B21" s="11">
        <f>((0.633-C21)/0.633)*100</f>
        <v>3.3175355450236999</v>
      </c>
      <c r="C21" s="11">
        <v>0.61199999999999999</v>
      </c>
      <c r="G21"/>
      <c r="H21" t="s">
        <v>21</v>
      </c>
      <c r="I21">
        <f>AVERAGE(I17:I19)</f>
        <v>3639.6750942789386</v>
      </c>
    </row>
    <row r="22" spans="1:10">
      <c r="A22" s="8">
        <v>7.81</v>
      </c>
      <c r="B22" s="11">
        <f t="shared" ref="B22:B29" si="1">((0.633-C22)/0.633)*100</f>
        <v>5.3712480252764667</v>
      </c>
      <c r="C22" s="11">
        <v>0.59899999999999998</v>
      </c>
      <c r="G22"/>
      <c r="H22" t="s">
        <v>3</v>
      </c>
      <c r="I22">
        <f>STDEV(I17:I19)</f>
        <v>307.65853298490919</v>
      </c>
    </row>
    <row r="23" spans="1:10">
      <c r="A23" s="8">
        <v>15.62</v>
      </c>
      <c r="B23" s="11">
        <f t="shared" si="1"/>
        <v>8.0568720379146992</v>
      </c>
      <c r="C23" s="11">
        <v>0.58199999999999996</v>
      </c>
    </row>
    <row r="24" spans="1:10">
      <c r="A24" s="11">
        <v>31.25</v>
      </c>
      <c r="B24" s="11">
        <f t="shared" si="1"/>
        <v>14.060031595576614</v>
      </c>
      <c r="C24" s="10">
        <v>0.54400000000000004</v>
      </c>
    </row>
    <row r="25" spans="1:10">
      <c r="A25" s="11">
        <v>62.5</v>
      </c>
      <c r="B25" s="11">
        <f t="shared" si="1"/>
        <v>18.799368088467613</v>
      </c>
      <c r="C25" s="10">
        <v>0.51400000000000001</v>
      </c>
    </row>
    <row r="26" spans="1:10">
      <c r="A26" s="11">
        <v>125</v>
      </c>
      <c r="B26" s="11">
        <f t="shared" si="1"/>
        <v>20.85308056872038</v>
      </c>
      <c r="C26" s="10">
        <v>0.501</v>
      </c>
    </row>
    <row r="27" spans="1:10">
      <c r="A27" s="11">
        <v>250</v>
      </c>
      <c r="B27" s="11">
        <f t="shared" si="1"/>
        <v>30.33175355450237</v>
      </c>
      <c r="C27" s="10">
        <v>0.441</v>
      </c>
    </row>
    <row r="28" spans="1:10">
      <c r="A28" s="11">
        <v>500</v>
      </c>
      <c r="B28" s="11">
        <f t="shared" si="1"/>
        <v>36.650868878357031</v>
      </c>
      <c r="C28" s="10">
        <v>0.40100000000000002</v>
      </c>
    </row>
    <row r="29" spans="1:10">
      <c r="A29" s="11">
        <v>1000</v>
      </c>
      <c r="B29" s="11">
        <f t="shared" si="1"/>
        <v>44.391785150078995</v>
      </c>
      <c r="C29" s="10">
        <v>0.35199999999999998</v>
      </c>
    </row>
    <row r="31" spans="1:10" ht="15.75" thickBot="1"/>
    <row r="32" spans="1:10" ht="26.25">
      <c r="A32" s="7" t="s">
        <v>1</v>
      </c>
      <c r="B32" s="7"/>
      <c r="C32" s="7"/>
    </row>
    <row r="33" spans="1:3">
      <c r="A33" s="9" t="s">
        <v>22</v>
      </c>
      <c r="B33" s="9" t="s">
        <v>0</v>
      </c>
      <c r="C33" s="9" t="s">
        <v>2</v>
      </c>
    </row>
    <row r="34" spans="1:3">
      <c r="A34" s="9">
        <v>0</v>
      </c>
      <c r="B34" s="11">
        <v>0</v>
      </c>
      <c r="C34" s="11">
        <v>0.63100000000000001</v>
      </c>
    </row>
    <row r="35" spans="1:3">
      <c r="A35" s="8">
        <v>3.91</v>
      </c>
      <c r="B35" s="11">
        <f>((0.631-C35)/0.631)*100</f>
        <v>3.3280507131537274</v>
      </c>
      <c r="C35" s="11">
        <v>0.61</v>
      </c>
    </row>
    <row r="36" spans="1:3">
      <c r="A36" s="8">
        <v>7.81</v>
      </c>
      <c r="B36" s="11">
        <f t="shared" ref="B36:B43" si="2">((0.631-C36)/0.631)*100</f>
        <v>6.1806656101426363</v>
      </c>
      <c r="C36" s="11">
        <v>0.59199999999999997</v>
      </c>
    </row>
    <row r="37" spans="1:3">
      <c r="A37" s="8">
        <v>15.62</v>
      </c>
      <c r="B37" s="11">
        <f t="shared" si="2"/>
        <v>8.0824088748019101</v>
      </c>
      <c r="C37" s="11">
        <v>0.57999999999999996</v>
      </c>
    </row>
    <row r="38" spans="1:3">
      <c r="A38" s="11">
        <v>31.25</v>
      </c>
      <c r="B38" s="11">
        <f t="shared" si="2"/>
        <v>14.263074484944527</v>
      </c>
      <c r="C38" s="10">
        <v>0.54100000000000004</v>
      </c>
    </row>
    <row r="39" spans="1:3">
      <c r="A39" s="11">
        <v>62.5</v>
      </c>
      <c r="B39" s="11">
        <f t="shared" si="2"/>
        <v>19.017432646592709</v>
      </c>
      <c r="C39" s="10">
        <v>0.51100000000000001</v>
      </c>
    </row>
    <row r="40" spans="1:3">
      <c r="A40" s="11">
        <v>125</v>
      </c>
      <c r="B40" s="11">
        <f t="shared" si="2"/>
        <v>20.760697305863708</v>
      </c>
      <c r="C40" s="10">
        <v>0.5</v>
      </c>
    </row>
    <row r="41" spans="1:3">
      <c r="A41" s="11">
        <v>250</v>
      </c>
      <c r="B41" s="11">
        <f t="shared" si="2"/>
        <v>29.952456418383516</v>
      </c>
      <c r="C41" s="10">
        <v>0.442</v>
      </c>
    </row>
    <row r="42" spans="1:3">
      <c r="A42" s="11">
        <v>500</v>
      </c>
      <c r="B42" s="11">
        <f t="shared" si="2"/>
        <v>36.133122028526145</v>
      </c>
      <c r="C42" s="10">
        <v>0.40300000000000002</v>
      </c>
    </row>
    <row r="43" spans="1:3">
      <c r="A43" s="11">
        <v>1000</v>
      </c>
      <c r="B43" s="11">
        <f t="shared" si="2"/>
        <v>43.106180665610147</v>
      </c>
      <c r="C43" s="10">
        <v>0.35899999999999999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Q27" sqref="Q27"/>
    </sheetView>
  </sheetViews>
  <sheetFormatPr defaultRowHeight="15"/>
  <cols>
    <col min="2" max="2" width="11.5703125" customWidth="1"/>
    <col min="5" max="6" width="9.140625" style="14"/>
  </cols>
  <sheetData>
    <row r="1" spans="1:17" ht="15.75" customHeight="1" thickBot="1"/>
    <row r="2" spans="1:17" ht="26.25">
      <c r="A2" s="7" t="s">
        <v>1</v>
      </c>
      <c r="B2" s="7"/>
      <c r="C2" s="7"/>
    </row>
    <row r="3" spans="1:17">
      <c r="A3" s="9" t="s">
        <v>22</v>
      </c>
      <c r="B3" s="9" t="s">
        <v>0</v>
      </c>
      <c r="C3" s="9" t="s">
        <v>2</v>
      </c>
    </row>
    <row r="4" spans="1:17">
      <c r="A4" s="9">
        <v>0</v>
      </c>
      <c r="B4" s="11">
        <v>0</v>
      </c>
      <c r="C4" s="11">
        <v>0.438</v>
      </c>
    </row>
    <row r="5" spans="1:17">
      <c r="A5" s="8">
        <v>3.91</v>
      </c>
      <c r="B5" s="11">
        <f>((0.438-C5)/0.438)*100</f>
        <v>1.5981735159817365</v>
      </c>
      <c r="C5" s="11">
        <v>0.43099999999999999</v>
      </c>
    </row>
    <row r="6" spans="1:17">
      <c r="A6" s="8">
        <v>7.81</v>
      </c>
      <c r="B6" s="11">
        <f t="shared" ref="B6:B13" si="0">((0.438-C6)/0.438)*100</f>
        <v>2.9680365296803677</v>
      </c>
      <c r="C6" s="11">
        <v>0.42499999999999999</v>
      </c>
    </row>
    <row r="7" spans="1:17">
      <c r="A7" s="8">
        <v>15.62</v>
      </c>
      <c r="B7" s="11">
        <f t="shared" si="0"/>
        <v>4.3378995433789997</v>
      </c>
      <c r="C7" s="11">
        <v>0.41899999999999998</v>
      </c>
    </row>
    <row r="8" spans="1:17">
      <c r="A8" s="11">
        <v>31.25</v>
      </c>
      <c r="B8" s="11">
        <f t="shared" si="0"/>
        <v>5.4794520547945247</v>
      </c>
      <c r="C8" s="5">
        <v>0.41399999999999998</v>
      </c>
    </row>
    <row r="9" spans="1:17">
      <c r="A9" s="11">
        <v>62.5</v>
      </c>
      <c r="B9" s="11">
        <f t="shared" si="0"/>
        <v>8.6757990867579871</v>
      </c>
      <c r="C9" s="5">
        <v>0.4</v>
      </c>
    </row>
    <row r="10" spans="1:17">
      <c r="A10" s="11">
        <v>125</v>
      </c>
      <c r="B10" s="11">
        <f t="shared" si="0"/>
        <v>13.013698630136986</v>
      </c>
      <c r="C10" s="5">
        <v>0.38100000000000001</v>
      </c>
      <c r="P10" t="s">
        <v>5</v>
      </c>
      <c r="Q10" s="3" t="s">
        <v>4</v>
      </c>
    </row>
    <row r="11" spans="1:17">
      <c r="A11" s="11">
        <v>250</v>
      </c>
      <c r="B11" s="11">
        <f t="shared" si="0"/>
        <v>16.438356164383563</v>
      </c>
      <c r="C11" s="5">
        <v>0.36599999999999999</v>
      </c>
      <c r="O11">
        <f>50+8.7353</f>
        <v>58.735300000000002</v>
      </c>
      <c r="P11">
        <f>O11/4.9466</f>
        <v>11.873872963247484</v>
      </c>
      <c r="Q11" s="3">
        <f>EXP(P11)</f>
        <v>143468.81353025074</v>
      </c>
    </row>
    <row r="12" spans="1:17">
      <c r="A12" s="11">
        <v>500</v>
      </c>
      <c r="B12" s="11">
        <f t="shared" si="0"/>
        <v>22.602739726027394</v>
      </c>
      <c r="C12" s="5">
        <v>0.33900000000000002</v>
      </c>
      <c r="O12">
        <f>50+9.061</f>
        <v>59.061</v>
      </c>
      <c r="P12">
        <f>O12/4.9583</f>
        <v>11.911542262468991</v>
      </c>
      <c r="Q12" s="3">
        <f>EXP(P12)</f>
        <v>148976.26284464906</v>
      </c>
    </row>
    <row r="13" spans="1:17">
      <c r="A13" s="11">
        <v>1000</v>
      </c>
      <c r="B13" s="11">
        <f t="shared" si="0"/>
        <v>30.365296803652971</v>
      </c>
      <c r="C13" s="5">
        <v>0.30499999999999999</v>
      </c>
      <c r="O13">
        <f>50+9.1012</f>
        <v>59.101199999999999</v>
      </c>
      <c r="P13">
        <f>O13/4.9803</f>
        <v>11.866995964098548</v>
      </c>
      <c r="Q13" s="3">
        <f>EXP(P13)</f>
        <v>142485.56340192942</v>
      </c>
    </row>
    <row r="14" spans="1:17">
      <c r="P14" t="s">
        <v>25</v>
      </c>
      <c r="Q14">
        <f>AVERAGE(Q11:Q13)</f>
        <v>144976.87992560977</v>
      </c>
    </row>
    <row r="15" spans="1:17">
      <c r="P15" t="s">
        <v>3</v>
      </c>
      <c r="Q15">
        <f>STDEV(Q11:Q13)</f>
        <v>3498.2842942703428</v>
      </c>
    </row>
    <row r="16" spans="1:17" ht="15.75" thickBot="1"/>
    <row r="17" spans="1:5" ht="26.25">
      <c r="A17" s="7" t="s">
        <v>1</v>
      </c>
      <c r="B17" s="7"/>
      <c r="C17" s="7"/>
    </row>
    <row r="18" spans="1:5">
      <c r="A18" s="9" t="s">
        <v>22</v>
      </c>
      <c r="B18" s="9" t="s">
        <v>0</v>
      </c>
      <c r="C18" s="9" t="s">
        <v>2</v>
      </c>
    </row>
    <row r="19" spans="1:5">
      <c r="A19" s="9">
        <v>0</v>
      </c>
      <c r="B19" s="11">
        <v>0</v>
      </c>
      <c r="C19" s="11">
        <v>0.436</v>
      </c>
    </row>
    <row r="20" spans="1:5">
      <c r="A20" s="8">
        <v>3.91</v>
      </c>
      <c r="B20" s="11">
        <f>((0.436-C20)/0.436)*100</f>
        <v>1.376146788990827</v>
      </c>
      <c r="C20" s="11">
        <v>0.43</v>
      </c>
    </row>
    <row r="21" spans="1:5">
      <c r="A21" s="8">
        <v>7.81</v>
      </c>
      <c r="B21" s="11">
        <f t="shared" ref="B21:B28" si="1">((0.436-C21)/0.436)*100</f>
        <v>2.2935779816513784</v>
      </c>
      <c r="C21" s="11">
        <v>0.42599999999999999</v>
      </c>
    </row>
    <row r="22" spans="1:5">
      <c r="A22" s="8">
        <v>15.62</v>
      </c>
      <c r="B22" s="11">
        <f t="shared" si="1"/>
        <v>4.1284403669724812</v>
      </c>
      <c r="C22" s="11">
        <v>0.41799999999999998</v>
      </c>
    </row>
    <row r="23" spans="1:5">
      <c r="A23" s="11">
        <v>31.25</v>
      </c>
      <c r="B23" s="11">
        <f t="shared" si="1"/>
        <v>5.2752293577981693</v>
      </c>
      <c r="C23" s="5">
        <v>0.41299999999999998</v>
      </c>
    </row>
    <row r="24" spans="1:5">
      <c r="A24" s="11">
        <v>62.5</v>
      </c>
      <c r="B24" s="11">
        <f t="shared" si="1"/>
        <v>8.2568807339449499</v>
      </c>
      <c r="C24" s="5">
        <v>0.4</v>
      </c>
      <c r="E24" s="15"/>
    </row>
    <row r="25" spans="1:5">
      <c r="A25" s="11">
        <v>125</v>
      </c>
      <c r="B25" s="11">
        <f t="shared" si="1"/>
        <v>12.844036697247704</v>
      </c>
      <c r="C25" s="5">
        <v>0.38</v>
      </c>
      <c r="E25" s="15"/>
    </row>
    <row r="26" spans="1:5">
      <c r="A26" s="11">
        <v>250</v>
      </c>
      <c r="B26" s="11">
        <f t="shared" si="1"/>
        <v>16.055045871559635</v>
      </c>
      <c r="C26" s="5">
        <v>0.36599999999999999</v>
      </c>
      <c r="E26" s="15"/>
    </row>
    <row r="27" spans="1:5">
      <c r="A27" s="11">
        <v>500</v>
      </c>
      <c r="B27" s="11">
        <f t="shared" si="1"/>
        <v>23.853211009174309</v>
      </c>
      <c r="C27" s="5">
        <v>0.33200000000000002</v>
      </c>
      <c r="E27" s="15"/>
    </row>
    <row r="28" spans="1:5">
      <c r="A28" s="11">
        <v>1000</v>
      </c>
      <c r="B28" s="11">
        <f t="shared" si="1"/>
        <v>28.899082568807337</v>
      </c>
      <c r="C28" s="5">
        <v>0.31</v>
      </c>
      <c r="E28" s="15"/>
    </row>
    <row r="29" spans="1:5">
      <c r="E29" s="15"/>
    </row>
    <row r="30" spans="1:5" ht="15.75" thickBot="1"/>
    <row r="31" spans="1:5" ht="26.25">
      <c r="A31" s="7" t="s">
        <v>1</v>
      </c>
      <c r="B31" s="7"/>
      <c r="C31" s="7"/>
    </row>
    <row r="32" spans="1:5">
      <c r="A32" s="9" t="s">
        <v>22</v>
      </c>
      <c r="B32" s="9" t="s">
        <v>0</v>
      </c>
      <c r="C32" s="9" t="s">
        <v>2</v>
      </c>
    </row>
    <row r="33" spans="1:3">
      <c r="A33" s="9">
        <v>0</v>
      </c>
      <c r="B33" s="11">
        <v>0</v>
      </c>
      <c r="C33" s="11">
        <v>0.436</v>
      </c>
    </row>
    <row r="34" spans="1:3">
      <c r="A34" s="8">
        <v>3.91</v>
      </c>
      <c r="B34" s="11">
        <f>((0.436-C34)/0.436)*100</f>
        <v>1.1467889908256892</v>
      </c>
      <c r="C34" s="11">
        <v>0.43099999999999999</v>
      </c>
    </row>
    <row r="35" spans="1:3">
      <c r="A35" s="8">
        <v>7.81</v>
      </c>
      <c r="B35" s="11">
        <f t="shared" ref="B35:B42" si="2">((0.436-C35)/0.436)*100</f>
        <v>2.5229357798165162</v>
      </c>
      <c r="C35" s="11">
        <v>0.42499999999999999</v>
      </c>
    </row>
    <row r="36" spans="1:3">
      <c r="A36" s="8">
        <v>15.62</v>
      </c>
      <c r="B36" s="11">
        <f t="shared" si="2"/>
        <v>4.1284403669724812</v>
      </c>
      <c r="C36" s="11">
        <v>0.41799999999999998</v>
      </c>
    </row>
    <row r="37" spans="1:3">
      <c r="A37" s="11">
        <v>31.25</v>
      </c>
      <c r="B37" s="11">
        <f t="shared" si="2"/>
        <v>5.7339449541284457</v>
      </c>
      <c r="C37" s="5">
        <v>0.41099999999999998</v>
      </c>
    </row>
    <row r="38" spans="1:3">
      <c r="A38" s="11">
        <v>62.5</v>
      </c>
      <c r="B38" s="11">
        <f t="shared" si="2"/>
        <v>7.7981651376146734</v>
      </c>
      <c r="C38" s="5">
        <v>0.40200000000000002</v>
      </c>
    </row>
    <row r="39" spans="1:3">
      <c r="A39" s="11">
        <v>125</v>
      </c>
      <c r="B39" s="11">
        <f t="shared" si="2"/>
        <v>12.385321100917428</v>
      </c>
      <c r="C39" s="5">
        <v>0.38200000000000001</v>
      </c>
    </row>
    <row r="40" spans="1:3">
      <c r="A40" s="11">
        <v>250</v>
      </c>
      <c r="B40" s="11">
        <f t="shared" si="2"/>
        <v>17.201834862385322</v>
      </c>
      <c r="C40" s="5">
        <v>0.36099999999999999</v>
      </c>
    </row>
    <row r="41" spans="1:3">
      <c r="A41" s="11">
        <v>500</v>
      </c>
      <c r="B41" s="11">
        <f t="shared" si="2"/>
        <v>23.62385321100917</v>
      </c>
      <c r="C41" s="5">
        <v>0.33300000000000002</v>
      </c>
    </row>
    <row r="42" spans="1:3">
      <c r="A42" s="11">
        <v>1000</v>
      </c>
      <c r="B42" s="11">
        <f t="shared" si="2"/>
        <v>28.899082568807337</v>
      </c>
      <c r="C42" s="5">
        <v>0.31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opLeftCell="A16" workbookViewId="0">
      <selection activeCell="O43" sqref="O43"/>
    </sheetView>
  </sheetViews>
  <sheetFormatPr defaultRowHeight="15"/>
  <sheetData>
    <row r="1" spans="1:3" ht="26.25">
      <c r="A1" s="7" t="s">
        <v>1</v>
      </c>
      <c r="B1" s="7"/>
      <c r="C1" s="7"/>
    </row>
    <row r="2" spans="1:3" ht="26.25">
      <c r="A2" s="9" t="s">
        <v>22</v>
      </c>
      <c r="B2" s="9" t="s">
        <v>0</v>
      </c>
      <c r="C2" s="9" t="s">
        <v>2</v>
      </c>
    </row>
    <row r="3" spans="1:3">
      <c r="A3" s="9">
        <v>0</v>
      </c>
      <c r="B3" s="11">
        <v>0</v>
      </c>
      <c r="C3" s="5">
        <v>0.64300000000000002</v>
      </c>
    </row>
    <row r="4" spans="1:3">
      <c r="A4" s="8">
        <v>3.91</v>
      </c>
      <c r="B4" s="11">
        <f>((0.643-C4)/0.643)*100</f>
        <v>26.12752721617419</v>
      </c>
      <c r="C4" s="5">
        <v>0.47499999999999998</v>
      </c>
    </row>
    <row r="5" spans="1:3">
      <c r="A5" s="8">
        <v>7.81</v>
      </c>
      <c r="B5" s="11">
        <f t="shared" ref="B5:B12" si="0">((0.643-C5)/0.643)*100</f>
        <v>37.636080870917574</v>
      </c>
      <c r="C5" s="5">
        <v>0.40100000000000002</v>
      </c>
    </row>
    <row r="6" spans="1:3">
      <c r="A6" s="8">
        <v>15.62</v>
      </c>
      <c r="B6" s="11">
        <f t="shared" si="0"/>
        <v>48.522550544323487</v>
      </c>
      <c r="C6" s="5">
        <v>0.33100000000000002</v>
      </c>
    </row>
    <row r="7" spans="1:3">
      <c r="A7" s="11">
        <v>31.25</v>
      </c>
      <c r="B7" s="11">
        <f t="shared" si="0"/>
        <v>59.409020217729392</v>
      </c>
      <c r="C7" s="5">
        <v>0.26100000000000001</v>
      </c>
    </row>
    <row r="8" spans="1:3">
      <c r="A8" s="11">
        <v>62.5</v>
      </c>
      <c r="B8" s="11">
        <f t="shared" si="0"/>
        <v>63.763608087091761</v>
      </c>
      <c r="C8" s="5">
        <v>0.23300000000000001</v>
      </c>
    </row>
    <row r="9" spans="1:3">
      <c r="A9" s="11">
        <v>125</v>
      </c>
      <c r="B9" s="11">
        <f t="shared" si="0"/>
        <v>68.740279937791598</v>
      </c>
      <c r="C9" s="5">
        <v>0.20100000000000001</v>
      </c>
    </row>
    <row r="10" spans="1:3">
      <c r="A10" s="11">
        <v>250</v>
      </c>
      <c r="B10" s="11">
        <f t="shared" si="0"/>
        <v>73.405909797822702</v>
      </c>
      <c r="C10" s="5">
        <v>0.17100000000000001</v>
      </c>
    </row>
    <row r="11" spans="1:3">
      <c r="A11" s="11">
        <v>500</v>
      </c>
      <c r="B11" s="11">
        <f t="shared" si="0"/>
        <v>79.626749611197511</v>
      </c>
      <c r="C11" s="5">
        <v>0.13100000000000001</v>
      </c>
    </row>
    <row r="12" spans="1:3">
      <c r="A12" s="11">
        <v>1000</v>
      </c>
      <c r="B12" s="11">
        <f t="shared" si="0"/>
        <v>83.825816485225516</v>
      </c>
      <c r="C12" s="5">
        <v>0.104</v>
      </c>
    </row>
    <row r="14" spans="1:3" ht="15.75" thickBot="1"/>
    <row r="15" spans="1:3" ht="26.25">
      <c r="A15" s="7" t="s">
        <v>1</v>
      </c>
      <c r="B15" s="7"/>
      <c r="C15" s="7"/>
    </row>
    <row r="16" spans="1:3" ht="26.25">
      <c r="A16" s="9" t="s">
        <v>22</v>
      </c>
      <c r="B16" s="9" t="s">
        <v>0</v>
      </c>
      <c r="C16" s="9" t="s">
        <v>2</v>
      </c>
    </row>
    <row r="17" spans="1:19">
      <c r="A17" s="9">
        <v>0</v>
      </c>
      <c r="B17" s="11">
        <v>0</v>
      </c>
      <c r="C17" s="5">
        <v>0.64300000000000002</v>
      </c>
    </row>
    <row r="18" spans="1:19">
      <c r="A18" s="8">
        <v>3.91</v>
      </c>
      <c r="B18" s="11">
        <f>((0.643-C18)/0.643)*100</f>
        <v>26.905132192846036</v>
      </c>
      <c r="C18" s="5">
        <v>0.47</v>
      </c>
    </row>
    <row r="19" spans="1:19">
      <c r="A19" s="8">
        <v>7.81</v>
      </c>
      <c r="B19" s="11">
        <f t="shared" ref="B19:B26" si="1">((0.643-C19)/0.643)*100</f>
        <v>37.480559875583204</v>
      </c>
      <c r="C19" s="5">
        <v>0.40200000000000002</v>
      </c>
      <c r="R19" t="s">
        <v>5</v>
      </c>
      <c r="S19" s="4" t="s">
        <v>4</v>
      </c>
    </row>
    <row r="20" spans="1:19">
      <c r="A20" s="8">
        <v>15.62</v>
      </c>
      <c r="B20" s="11">
        <f t="shared" si="1"/>
        <v>47.900466562985997</v>
      </c>
      <c r="C20" s="5">
        <v>0.33500000000000002</v>
      </c>
      <c r="Q20">
        <f>50-18.767</f>
        <v>31.233000000000001</v>
      </c>
      <c r="R20">
        <f>Q20/9.9997</f>
        <v>3.1233937018110542</v>
      </c>
      <c r="S20" s="3">
        <f>EXP(R20)</f>
        <v>22.723365262013004</v>
      </c>
    </row>
    <row r="21" spans="1:19">
      <c r="A21" s="11">
        <v>31.25</v>
      </c>
      <c r="B21" s="11">
        <f t="shared" si="1"/>
        <v>58.009331259720064</v>
      </c>
      <c r="C21" s="5">
        <v>0.27</v>
      </c>
      <c r="Q21">
        <f>50-19.117</f>
        <v>30.882999999999999</v>
      </c>
      <c r="R21">
        <f>Q21/9.7604</f>
        <v>3.1641121265521903</v>
      </c>
      <c r="S21" s="3">
        <f t="shared" ref="S21:S22" si="2">EXP(R21)</f>
        <v>23.667720760376167</v>
      </c>
    </row>
    <row r="22" spans="1:19">
      <c r="A22" s="11">
        <v>62.5</v>
      </c>
      <c r="B22" s="11">
        <f t="shared" si="1"/>
        <v>63.452566096423027</v>
      </c>
      <c r="C22" s="5">
        <v>0.23499999999999999</v>
      </c>
      <c r="Q22">
        <f>50-18.982</f>
        <v>31.018000000000001</v>
      </c>
      <c r="R22">
        <f>Q22/9.9811</f>
        <v>3.10767350292052</v>
      </c>
      <c r="S22" s="3">
        <f t="shared" si="2"/>
        <v>22.368942537346129</v>
      </c>
    </row>
    <row r="23" spans="1:19">
      <c r="A23" s="11">
        <v>125</v>
      </c>
      <c r="B23" s="11">
        <f t="shared" si="1"/>
        <v>67.807153965785389</v>
      </c>
      <c r="C23" s="5">
        <v>0.20699999999999999</v>
      </c>
      <c r="R23" t="s">
        <v>26</v>
      </c>
      <c r="S23">
        <f>AVERAGE(S20:S22)</f>
        <v>22.920009519911769</v>
      </c>
    </row>
    <row r="24" spans="1:19">
      <c r="A24" s="11">
        <v>250</v>
      </c>
      <c r="B24" s="11">
        <f t="shared" si="1"/>
        <v>72.006220839813366</v>
      </c>
      <c r="C24" s="5">
        <v>0.18</v>
      </c>
      <c r="R24" t="s">
        <v>3</v>
      </c>
      <c r="S24">
        <f>STDEV(S20:S22)</f>
        <v>0.67134785415437337</v>
      </c>
    </row>
    <row r="25" spans="1:19">
      <c r="A25" s="11">
        <v>500</v>
      </c>
      <c r="B25" s="11">
        <f t="shared" si="1"/>
        <v>79.004665629860028</v>
      </c>
      <c r="C25" s="5">
        <v>0.13500000000000001</v>
      </c>
    </row>
    <row r="26" spans="1:19">
      <c r="A26" s="11">
        <v>1000</v>
      </c>
      <c r="B26" s="11">
        <f t="shared" si="1"/>
        <v>82.737169517884908</v>
      </c>
      <c r="C26" s="5">
        <v>0.111</v>
      </c>
    </row>
    <row r="28" spans="1:19" ht="15.75" thickBot="1"/>
    <row r="29" spans="1:19" ht="26.25">
      <c r="A29" s="7" t="s">
        <v>1</v>
      </c>
      <c r="B29" s="7"/>
      <c r="C29" s="7"/>
    </row>
    <row r="30" spans="1:19" ht="26.25">
      <c r="A30" s="9" t="s">
        <v>22</v>
      </c>
      <c r="B30" s="9" t="s">
        <v>0</v>
      </c>
      <c r="C30" s="9" t="s">
        <v>2</v>
      </c>
    </row>
    <row r="31" spans="1:19">
      <c r="A31" s="9">
        <v>0</v>
      </c>
      <c r="B31" s="11">
        <v>0</v>
      </c>
      <c r="C31" s="5">
        <v>0.64300000000000002</v>
      </c>
    </row>
    <row r="32" spans="1:19">
      <c r="A32" s="8">
        <v>3.91</v>
      </c>
      <c r="B32" s="11">
        <f>((0.643-C32)/0.643)*100</f>
        <v>27.527216174183511</v>
      </c>
      <c r="C32" s="5">
        <v>0.46600000000000003</v>
      </c>
    </row>
    <row r="33" spans="1:3">
      <c r="A33" s="8">
        <v>7.81</v>
      </c>
      <c r="B33" s="11">
        <f t="shared" ref="B33:B40" si="3">((0.643-C33)/0.643)*100</f>
        <v>36.080870917573876</v>
      </c>
      <c r="C33" s="5">
        <v>0.41099999999999998</v>
      </c>
    </row>
    <row r="34" spans="1:3">
      <c r="A34" s="8">
        <v>15.62</v>
      </c>
      <c r="B34" s="11">
        <f t="shared" si="3"/>
        <v>48.522550544323487</v>
      </c>
      <c r="C34" s="5">
        <v>0.33100000000000002</v>
      </c>
    </row>
    <row r="35" spans="1:3">
      <c r="A35" s="11">
        <v>31.25</v>
      </c>
      <c r="B35" s="11">
        <f t="shared" si="3"/>
        <v>58.942457231726287</v>
      </c>
      <c r="C35" s="5">
        <v>0.26400000000000001</v>
      </c>
    </row>
    <row r="36" spans="1:3">
      <c r="A36" s="11">
        <v>62.5</v>
      </c>
      <c r="B36" s="11">
        <f t="shared" si="3"/>
        <v>64.38569206842925</v>
      </c>
      <c r="C36" s="5">
        <v>0.22900000000000001</v>
      </c>
    </row>
    <row r="37" spans="1:3">
      <c r="A37" s="11">
        <v>125</v>
      </c>
      <c r="B37" s="11">
        <f t="shared" si="3"/>
        <v>69.828926905132192</v>
      </c>
      <c r="C37" s="5">
        <v>0.19400000000000001</v>
      </c>
    </row>
    <row r="38" spans="1:3">
      <c r="A38" s="11">
        <v>250</v>
      </c>
      <c r="B38" s="11">
        <f t="shared" si="3"/>
        <v>74.494556765163296</v>
      </c>
      <c r="C38" s="5">
        <v>0.16400000000000001</v>
      </c>
    </row>
    <row r="39" spans="1:3">
      <c r="A39" s="11">
        <v>500</v>
      </c>
      <c r="B39" s="11">
        <f t="shared" si="3"/>
        <v>79.47122861586314</v>
      </c>
      <c r="C39" s="5">
        <v>0.13200000000000001</v>
      </c>
    </row>
    <row r="40" spans="1:3">
      <c r="A40" s="11">
        <v>1000</v>
      </c>
      <c r="B40" s="11">
        <f t="shared" si="3"/>
        <v>83.048211508553663</v>
      </c>
      <c r="C40" s="5">
        <v>0.109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sqref="A1:C12"/>
    </sheetView>
  </sheetViews>
  <sheetFormatPr defaultRowHeight="15"/>
  <sheetData>
    <row r="1" spans="1:3" ht="26.25">
      <c r="A1" s="7" t="s">
        <v>1</v>
      </c>
      <c r="B1" s="7"/>
      <c r="C1" s="7"/>
    </row>
    <row r="2" spans="1:3" ht="26.25">
      <c r="A2" s="9" t="s">
        <v>22</v>
      </c>
      <c r="B2" s="9" t="s">
        <v>0</v>
      </c>
      <c r="C2" s="9" t="s">
        <v>2</v>
      </c>
    </row>
    <row r="3" spans="1:3">
      <c r="A3" s="9">
        <v>0</v>
      </c>
      <c r="B3" s="11">
        <v>0</v>
      </c>
      <c r="C3" s="5">
        <v>0.64300000000000002</v>
      </c>
    </row>
    <row r="4" spans="1:3">
      <c r="A4" s="8">
        <v>3.91</v>
      </c>
      <c r="B4" s="11">
        <f>((0.643-C4)/0.643)*100</f>
        <v>23.017107309486782</v>
      </c>
      <c r="C4" s="5">
        <v>0.495</v>
      </c>
    </row>
    <row r="5" spans="1:3">
      <c r="A5" s="8">
        <v>7.81</v>
      </c>
      <c r="B5" s="11">
        <f t="shared" ref="B5:B12" si="0">((0.643-C5)/0.643)*100</f>
        <v>35.4587869362364</v>
      </c>
      <c r="C5" s="5">
        <v>0.41499999999999998</v>
      </c>
    </row>
    <row r="6" spans="1:3">
      <c r="A6" s="8">
        <v>15.62</v>
      </c>
      <c r="B6" s="11">
        <f t="shared" si="0"/>
        <v>42.301710730948678</v>
      </c>
      <c r="C6" s="5">
        <v>0.371</v>
      </c>
    </row>
    <row r="7" spans="1:3">
      <c r="A7" s="11">
        <v>31.25</v>
      </c>
      <c r="B7" s="11">
        <f t="shared" si="0"/>
        <v>51.632970451010884</v>
      </c>
      <c r="C7" s="5">
        <v>0.311</v>
      </c>
    </row>
    <row r="8" spans="1:3">
      <c r="A8" s="11">
        <v>62.5</v>
      </c>
      <c r="B8" s="11">
        <f t="shared" si="0"/>
        <v>55.365474339035771</v>
      </c>
      <c r="C8" s="5">
        <v>0.28699999999999998</v>
      </c>
    </row>
    <row r="9" spans="1:3">
      <c r="A9" s="11">
        <v>125</v>
      </c>
      <c r="B9" s="11">
        <f t="shared" si="0"/>
        <v>62.519440124416803</v>
      </c>
      <c r="C9" s="5">
        <v>0.24099999999999999</v>
      </c>
    </row>
    <row r="10" spans="1:3">
      <c r="A10" s="11">
        <v>250</v>
      </c>
      <c r="B10" s="11">
        <f t="shared" si="0"/>
        <v>68.584758942457242</v>
      </c>
      <c r="C10" s="5">
        <v>0.20200000000000001</v>
      </c>
    </row>
    <row r="11" spans="1:3">
      <c r="A11" s="11">
        <v>500</v>
      </c>
      <c r="B11" s="11">
        <f t="shared" si="0"/>
        <v>76.516329704510113</v>
      </c>
      <c r="C11" s="5">
        <v>0.151</v>
      </c>
    </row>
    <row r="12" spans="1:3">
      <c r="A12" s="11">
        <v>1000</v>
      </c>
      <c r="B12" s="11">
        <f t="shared" si="0"/>
        <v>81.181959564541216</v>
      </c>
      <c r="C12" s="5">
        <v>0.121</v>
      </c>
    </row>
    <row r="14" spans="1:3" ht="15.75" thickBot="1"/>
    <row r="15" spans="1:3" ht="26.25">
      <c r="A15" s="7" t="s">
        <v>1</v>
      </c>
      <c r="B15" s="7"/>
      <c r="C15" s="7"/>
    </row>
    <row r="16" spans="1:3" ht="26.25">
      <c r="A16" s="9" t="s">
        <v>22</v>
      </c>
      <c r="B16" s="9" t="s">
        <v>0</v>
      </c>
      <c r="C16" s="9" t="s">
        <v>2</v>
      </c>
    </row>
    <row r="17" spans="1:19">
      <c r="A17" s="9">
        <v>0</v>
      </c>
      <c r="B17" s="11">
        <v>0</v>
      </c>
      <c r="C17" s="5">
        <v>0.64300000000000002</v>
      </c>
    </row>
    <row r="18" spans="1:19">
      <c r="A18" s="8">
        <v>3.91</v>
      </c>
      <c r="B18" s="11">
        <f>((0.643-C18)/0.643)*100</f>
        <v>23.794712286158635</v>
      </c>
      <c r="C18" s="5">
        <v>0.49</v>
      </c>
    </row>
    <row r="19" spans="1:19">
      <c r="A19" s="8">
        <v>7.81</v>
      </c>
      <c r="B19" s="11">
        <f t="shared" ref="B19:B26" si="1">((0.643-C19)/0.643)*100</f>
        <v>36.080870917573876</v>
      </c>
      <c r="C19" s="5">
        <v>0.41099999999999998</v>
      </c>
      <c r="R19" t="s">
        <v>5</v>
      </c>
      <c r="S19" s="4" t="s">
        <v>4</v>
      </c>
    </row>
    <row r="20" spans="1:19">
      <c r="A20" s="8">
        <v>15.62</v>
      </c>
      <c r="B20" s="11">
        <f t="shared" si="1"/>
        <v>42.146189735614307</v>
      </c>
      <c r="C20" s="5">
        <v>0.372</v>
      </c>
      <c r="Q20">
        <f>50-13.484</f>
        <v>36.515999999999998</v>
      </c>
      <c r="R20">
        <f>Q20/10.082</f>
        <v>3.6219004165840105</v>
      </c>
      <c r="S20" s="3">
        <f>EXP(R20)</f>
        <v>37.40859222174695</v>
      </c>
    </row>
    <row r="21" spans="1:19">
      <c r="A21" s="11">
        <v>31.25</v>
      </c>
      <c r="B21" s="11">
        <f t="shared" si="1"/>
        <v>51.166407465007779</v>
      </c>
      <c r="C21" s="5">
        <v>0.314</v>
      </c>
      <c r="Q21">
        <f>50-14.525</f>
        <v>35.475000000000001</v>
      </c>
      <c r="R21">
        <f>Q21/9.8053</f>
        <v>3.6179413174507662</v>
      </c>
      <c r="S21" s="3">
        <f t="shared" ref="S21:S22" si="2">EXP(R21)</f>
        <v>37.260780690031673</v>
      </c>
    </row>
    <row r="22" spans="1:19">
      <c r="A22" s="11">
        <v>62.5</v>
      </c>
      <c r="B22" s="11">
        <f t="shared" si="1"/>
        <v>55.832037325038883</v>
      </c>
      <c r="C22" s="5">
        <v>0.28399999999999997</v>
      </c>
      <c r="Q22">
        <f>50-14.192</f>
        <v>35.808</v>
      </c>
      <c r="R22">
        <f>Q22/9.8315</f>
        <v>3.642170574174846</v>
      </c>
      <c r="S22" s="3">
        <f t="shared" si="2"/>
        <v>38.174607680218898</v>
      </c>
    </row>
    <row r="23" spans="1:19">
      <c r="A23" s="11">
        <v>125</v>
      </c>
      <c r="B23" s="11">
        <f t="shared" si="1"/>
        <v>62.363919129082426</v>
      </c>
      <c r="C23" s="5">
        <v>0.24199999999999999</v>
      </c>
      <c r="R23" t="s">
        <v>26</v>
      </c>
      <c r="S23">
        <f>AVERAGE(S20:S22)</f>
        <v>37.614660197332505</v>
      </c>
    </row>
    <row r="24" spans="1:19">
      <c r="A24" s="11">
        <v>250</v>
      </c>
      <c r="B24" s="11">
        <f t="shared" si="1"/>
        <v>68.429237947122857</v>
      </c>
      <c r="C24" s="5">
        <v>0.20300000000000001</v>
      </c>
      <c r="R24" t="s">
        <v>3</v>
      </c>
      <c r="S24">
        <f>STDEV(S20:S22)</f>
        <v>0.49052823559924447</v>
      </c>
    </row>
    <row r="25" spans="1:19">
      <c r="A25" s="11">
        <v>500</v>
      </c>
      <c r="B25" s="11">
        <f t="shared" si="1"/>
        <v>75.894245723172631</v>
      </c>
      <c r="C25" s="5">
        <v>0.155</v>
      </c>
    </row>
    <row r="26" spans="1:19">
      <c r="A26" s="11">
        <v>1000</v>
      </c>
      <c r="B26" s="11">
        <f t="shared" si="1"/>
        <v>79.937791601866252</v>
      </c>
      <c r="C26" s="5">
        <v>0.129</v>
      </c>
    </row>
    <row r="28" spans="1:19" ht="15.75" thickBot="1"/>
    <row r="29" spans="1:19" ht="26.25">
      <c r="A29" s="7" t="s">
        <v>1</v>
      </c>
      <c r="B29" s="7"/>
      <c r="C29" s="7"/>
    </row>
    <row r="30" spans="1:19" ht="26.25">
      <c r="A30" s="9" t="s">
        <v>22</v>
      </c>
      <c r="B30" s="9" t="s">
        <v>0</v>
      </c>
      <c r="C30" s="9" t="s">
        <v>2</v>
      </c>
    </row>
    <row r="31" spans="1:19">
      <c r="A31" s="9">
        <v>0</v>
      </c>
      <c r="B31" s="11">
        <v>0</v>
      </c>
      <c r="C31" s="5">
        <v>0.64300000000000002</v>
      </c>
    </row>
    <row r="32" spans="1:19">
      <c r="A32" s="8">
        <v>3.91</v>
      </c>
      <c r="B32" s="11">
        <f>((0.643-C32)/0.643)*100</f>
        <v>23.639191290824265</v>
      </c>
      <c r="C32" s="5">
        <v>0.49099999999999999</v>
      </c>
    </row>
    <row r="33" spans="1:3">
      <c r="A33" s="8">
        <v>7.81</v>
      </c>
      <c r="B33" s="11">
        <f t="shared" ref="B33:B40" si="3">((0.643-C33)/0.643)*100</f>
        <v>35.4587869362364</v>
      </c>
      <c r="C33" s="5">
        <v>0.41499999999999998</v>
      </c>
    </row>
    <row r="34" spans="1:3">
      <c r="A34" s="8">
        <v>15.62</v>
      </c>
      <c r="B34" s="11">
        <f t="shared" si="3"/>
        <v>42.457231726283048</v>
      </c>
      <c r="C34" s="5">
        <v>0.37</v>
      </c>
    </row>
    <row r="35" spans="1:3">
      <c r="A35" s="11">
        <v>31.25</v>
      </c>
      <c r="B35" s="11">
        <f t="shared" si="3"/>
        <v>51.166407465007779</v>
      </c>
      <c r="C35" s="5">
        <v>0.314</v>
      </c>
    </row>
    <row r="36" spans="1:3">
      <c r="A36" s="11">
        <v>62.5</v>
      </c>
      <c r="B36" s="11">
        <f t="shared" si="3"/>
        <v>55.2099533437014</v>
      </c>
      <c r="C36" s="5">
        <v>0.28799999999999998</v>
      </c>
    </row>
    <row r="37" spans="1:3">
      <c r="A37" s="11">
        <v>125</v>
      </c>
      <c r="B37" s="11">
        <f t="shared" si="3"/>
        <v>62.052877138413685</v>
      </c>
      <c r="C37" s="5">
        <v>0.24399999999999999</v>
      </c>
    </row>
    <row r="38" spans="1:3">
      <c r="A38" s="11">
        <v>250</v>
      </c>
      <c r="B38" s="11">
        <f t="shared" si="3"/>
        <v>67.340590979782277</v>
      </c>
      <c r="C38" s="5">
        <v>0.21</v>
      </c>
    </row>
    <row r="39" spans="1:3">
      <c r="A39" s="11">
        <v>500</v>
      </c>
      <c r="B39" s="11">
        <f t="shared" si="3"/>
        <v>76.049766718507001</v>
      </c>
      <c r="C39" s="5">
        <v>0.154</v>
      </c>
    </row>
    <row r="40" spans="1:3">
      <c r="A40" s="11">
        <v>1000</v>
      </c>
      <c r="B40" s="11">
        <f t="shared" si="3"/>
        <v>80.248833592534993</v>
      </c>
      <c r="C40" s="5">
        <v>0.127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opLeftCell="A5" workbookViewId="0">
      <selection activeCell="R9" sqref="R9"/>
    </sheetView>
  </sheetViews>
  <sheetFormatPr defaultRowHeight="15"/>
  <cols>
    <col min="2" max="2" width="12.42578125" customWidth="1"/>
    <col min="7" max="7" width="9.140625" style="14"/>
  </cols>
  <sheetData>
    <row r="1" spans="1:19" ht="15.75" customHeight="1">
      <c r="A1" s="7" t="s">
        <v>1</v>
      </c>
      <c r="B1" s="7"/>
      <c r="C1" s="7"/>
    </row>
    <row r="2" spans="1:19">
      <c r="A2" s="9" t="s">
        <v>22</v>
      </c>
      <c r="B2" s="9" t="s">
        <v>0</v>
      </c>
      <c r="C2" s="9" t="s">
        <v>2</v>
      </c>
    </row>
    <row r="3" spans="1:19">
      <c r="A3" s="9">
        <v>0</v>
      </c>
      <c r="B3" s="11">
        <v>0</v>
      </c>
      <c r="C3" s="11">
        <v>0.52400000000000002</v>
      </c>
    </row>
    <row r="4" spans="1:19">
      <c r="A4" s="8">
        <v>3.91</v>
      </c>
      <c r="B4" s="11">
        <f>((0.524-C4)/0.524)*100</f>
        <v>7.6335877862595494</v>
      </c>
      <c r="C4" s="11">
        <v>0.48399999999999999</v>
      </c>
    </row>
    <row r="5" spans="1:19">
      <c r="A5" s="8">
        <v>7.81</v>
      </c>
      <c r="B5" s="11">
        <f t="shared" ref="B5:B12" si="0">((0.524-C5)/0.524)*100</f>
        <v>13.16793893129771</v>
      </c>
      <c r="C5" s="11">
        <v>0.45500000000000002</v>
      </c>
      <c r="R5" t="s">
        <v>5</v>
      </c>
      <c r="S5" s="4" t="s">
        <v>4</v>
      </c>
    </row>
    <row r="6" spans="1:19">
      <c r="A6" s="8">
        <v>15.62</v>
      </c>
      <c r="B6" s="11">
        <f t="shared" si="0"/>
        <v>19.465648854961838</v>
      </c>
      <c r="C6" s="11">
        <v>0.42199999999999999</v>
      </c>
      <c r="Q6">
        <f>50+7.2979</f>
        <v>57.297899999999998</v>
      </c>
      <c r="R6">
        <f>Q6/9.077</f>
        <v>6.312427013330395</v>
      </c>
      <c r="S6" s="3">
        <f>EXP(R6)</f>
        <v>551.38153653714983</v>
      </c>
    </row>
    <row r="7" spans="1:19">
      <c r="A7" s="11">
        <v>31.25</v>
      </c>
      <c r="B7" s="11">
        <f t="shared" si="0"/>
        <v>23.282442748091604</v>
      </c>
      <c r="C7" s="5">
        <v>0.40200000000000002</v>
      </c>
      <c r="Q7">
        <f>50+6.5367</f>
        <v>56.536699999999996</v>
      </c>
      <c r="R7">
        <f>Q7/8.9853</f>
        <v>6.2921327056414356</v>
      </c>
      <c r="S7" s="3">
        <f t="shared" ref="S7:S8" si="1">EXP(R7)</f>
        <v>540.30441145481109</v>
      </c>
    </row>
    <row r="8" spans="1:19">
      <c r="A8" s="11">
        <v>62.5</v>
      </c>
      <c r="B8" s="11">
        <f t="shared" si="0"/>
        <v>25.954198473282442</v>
      </c>
      <c r="C8" s="5">
        <v>0.38800000000000001</v>
      </c>
      <c r="Q8">
        <f>50+6.4965</f>
        <v>56.496499999999997</v>
      </c>
      <c r="R8">
        <f>Q8/8.9807</f>
        <v>6.290879330119032</v>
      </c>
      <c r="S8" s="3">
        <f t="shared" si="1"/>
        <v>539.62763134925513</v>
      </c>
    </row>
    <row r="9" spans="1:19">
      <c r="A9" s="11">
        <v>125</v>
      </c>
      <c r="B9" s="11">
        <f t="shared" si="0"/>
        <v>30.534351145038173</v>
      </c>
      <c r="C9" s="5">
        <v>0.36399999999999999</v>
      </c>
      <c r="R9" t="s">
        <v>26</v>
      </c>
      <c r="S9">
        <f>AVERAGE(S6:S8)</f>
        <v>543.7711931137386</v>
      </c>
    </row>
    <row r="10" spans="1:19">
      <c r="A10" s="11">
        <v>250</v>
      </c>
      <c r="B10" s="11">
        <f t="shared" si="0"/>
        <v>39.503816793893129</v>
      </c>
      <c r="C10" s="5">
        <v>0.317</v>
      </c>
      <c r="R10" t="s">
        <v>3</v>
      </c>
      <c r="S10">
        <f>STDEV(S6:S8)</f>
        <v>6.5994320281757624</v>
      </c>
    </row>
    <row r="11" spans="1:19">
      <c r="A11" s="11">
        <v>500</v>
      </c>
      <c r="B11" s="11">
        <f t="shared" si="0"/>
        <v>50.190839694656489</v>
      </c>
      <c r="C11" s="5">
        <v>0.26100000000000001</v>
      </c>
    </row>
    <row r="12" spans="1:19">
      <c r="A12" s="11">
        <v>1000</v>
      </c>
      <c r="B12" s="11">
        <f t="shared" si="0"/>
        <v>62.404580152671748</v>
      </c>
      <c r="C12" s="5">
        <v>0.19700000000000001</v>
      </c>
    </row>
    <row r="14" spans="1:19" ht="15.75" thickBot="1"/>
    <row r="15" spans="1:19" ht="26.25">
      <c r="A15" s="7" t="s">
        <v>1</v>
      </c>
      <c r="B15" s="7"/>
      <c r="C15" s="7"/>
    </row>
    <row r="16" spans="1:19">
      <c r="A16" s="9" t="s">
        <v>22</v>
      </c>
      <c r="B16" s="9" t="s">
        <v>0</v>
      </c>
      <c r="C16" s="9" t="s">
        <v>2</v>
      </c>
    </row>
    <row r="17" spans="1:3">
      <c r="A17" s="9">
        <v>0</v>
      </c>
      <c r="B17" s="11">
        <v>0</v>
      </c>
      <c r="C17" s="11">
        <v>0.52400000000000002</v>
      </c>
    </row>
    <row r="18" spans="1:3">
      <c r="A18" s="8">
        <v>3.91</v>
      </c>
      <c r="B18" s="11">
        <f>((0.524-C18)/0.524)*100</f>
        <v>8.3969465648855035</v>
      </c>
      <c r="C18" s="11">
        <v>0.48</v>
      </c>
    </row>
    <row r="19" spans="1:3">
      <c r="A19" s="8">
        <v>7.81</v>
      </c>
      <c r="B19" s="11">
        <f t="shared" ref="B19:B26" si="2">((0.524-C19)/0.524)*100</f>
        <v>13.740458015267176</v>
      </c>
      <c r="C19" s="11">
        <v>0.45200000000000001</v>
      </c>
    </row>
    <row r="20" spans="1:3">
      <c r="A20" s="8">
        <v>15.62</v>
      </c>
      <c r="B20" s="11">
        <f t="shared" si="2"/>
        <v>19.656488549618327</v>
      </c>
      <c r="C20" s="11">
        <v>0.42099999999999999</v>
      </c>
    </row>
    <row r="21" spans="1:3">
      <c r="A21" s="11">
        <v>31.25</v>
      </c>
      <c r="B21" s="11">
        <f t="shared" si="2"/>
        <v>23.664122137404579</v>
      </c>
      <c r="C21" s="5">
        <v>0.4</v>
      </c>
    </row>
    <row r="22" spans="1:3">
      <c r="A22" s="11">
        <v>62.5</v>
      </c>
      <c r="B22" s="11">
        <f t="shared" si="2"/>
        <v>27.671755725190845</v>
      </c>
      <c r="C22" s="5">
        <v>0.379</v>
      </c>
    </row>
    <row r="23" spans="1:3">
      <c r="A23" s="11">
        <v>125</v>
      </c>
      <c r="B23" s="11">
        <f t="shared" si="2"/>
        <v>30.152671755725198</v>
      </c>
      <c r="C23" s="5">
        <v>0.36599999999999999</v>
      </c>
    </row>
    <row r="24" spans="1:3">
      <c r="A24" s="11">
        <v>250</v>
      </c>
      <c r="B24" s="11">
        <f t="shared" si="2"/>
        <v>39.31297709923664</v>
      </c>
      <c r="C24" s="5">
        <v>0.318</v>
      </c>
    </row>
    <row r="25" spans="1:3">
      <c r="A25" s="11">
        <v>500</v>
      </c>
      <c r="B25" s="11">
        <f t="shared" si="2"/>
        <v>49.236641221374043</v>
      </c>
      <c r="C25" s="5">
        <v>0.26600000000000001</v>
      </c>
    </row>
    <row r="26" spans="1:3">
      <c r="A26" s="11">
        <v>1000</v>
      </c>
      <c r="B26" s="11">
        <f t="shared" si="2"/>
        <v>63.74045801526718</v>
      </c>
      <c r="C26" s="5">
        <v>0.19</v>
      </c>
    </row>
    <row r="28" spans="1:3" ht="15.75" thickBot="1"/>
    <row r="29" spans="1:3" ht="26.25">
      <c r="A29" s="7" t="s">
        <v>1</v>
      </c>
      <c r="B29" s="7"/>
      <c r="C29" s="7"/>
    </row>
    <row r="30" spans="1:3">
      <c r="A30" s="9" t="s">
        <v>22</v>
      </c>
      <c r="B30" s="9" t="s">
        <v>0</v>
      </c>
      <c r="C30" s="9" t="s">
        <v>2</v>
      </c>
    </row>
    <row r="31" spans="1:3">
      <c r="A31" s="9">
        <v>0</v>
      </c>
      <c r="B31" s="11">
        <v>0</v>
      </c>
      <c r="C31" s="11">
        <v>0.52400000000000002</v>
      </c>
    </row>
    <row r="32" spans="1:3">
      <c r="A32" s="8">
        <v>3.91</v>
      </c>
      <c r="B32" s="11">
        <f>((0.524-C32)/0.524)*100</f>
        <v>8.3969465648855035</v>
      </c>
      <c r="C32" s="11">
        <v>0.48</v>
      </c>
    </row>
    <row r="33" spans="1:3">
      <c r="A33" s="8">
        <v>7.81</v>
      </c>
      <c r="B33" s="11">
        <f t="shared" ref="B33:B40" si="3">((0.524-C33)/0.524)*100</f>
        <v>13.931297709923665</v>
      </c>
      <c r="C33" s="11">
        <v>0.45100000000000001</v>
      </c>
    </row>
    <row r="34" spans="1:3">
      <c r="A34" s="8">
        <v>15.62</v>
      </c>
      <c r="B34" s="11">
        <f t="shared" si="3"/>
        <v>19.465648854961838</v>
      </c>
      <c r="C34" s="11">
        <v>0.42199999999999999</v>
      </c>
    </row>
    <row r="35" spans="1:3">
      <c r="A35" s="11">
        <v>31.25</v>
      </c>
      <c r="B35" s="11">
        <f t="shared" si="3"/>
        <v>23.664122137404579</v>
      </c>
      <c r="C35" s="5">
        <v>0.4</v>
      </c>
    </row>
    <row r="36" spans="1:3">
      <c r="A36" s="11">
        <v>62.5</v>
      </c>
      <c r="B36" s="11">
        <f t="shared" si="3"/>
        <v>27.862595419847331</v>
      </c>
      <c r="C36" s="5">
        <v>0.378</v>
      </c>
    </row>
    <row r="37" spans="1:3">
      <c r="A37" s="11">
        <v>125</v>
      </c>
      <c r="B37" s="11">
        <f t="shared" si="3"/>
        <v>29.770992366412219</v>
      </c>
      <c r="C37" s="5">
        <v>0.36799999999999999</v>
      </c>
    </row>
    <row r="38" spans="1:3">
      <c r="A38" s="11">
        <v>250</v>
      </c>
      <c r="B38" s="11">
        <f t="shared" si="3"/>
        <v>40.076335877862597</v>
      </c>
      <c r="C38" s="5">
        <v>0.314</v>
      </c>
    </row>
    <row r="39" spans="1:3">
      <c r="A39" s="11">
        <v>500</v>
      </c>
      <c r="B39" s="11">
        <f t="shared" si="3"/>
        <v>48.854961832061065</v>
      </c>
      <c r="C39" s="5">
        <v>0.26800000000000002</v>
      </c>
    </row>
    <row r="40" spans="1:3">
      <c r="A40" s="11">
        <v>1000</v>
      </c>
      <c r="B40" s="11">
        <f t="shared" si="3"/>
        <v>63.74045801526718</v>
      </c>
      <c r="C40" s="5">
        <v>0.19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workbookViewId="0">
      <selection sqref="A1:XFD1048576"/>
    </sheetView>
  </sheetViews>
  <sheetFormatPr defaultRowHeight="15"/>
  <cols>
    <col min="2" max="2" width="12.42578125" customWidth="1"/>
    <col min="7" max="8" width="9.140625" style="14"/>
  </cols>
  <sheetData>
    <row r="1" spans="1:20" ht="15.75" customHeight="1">
      <c r="A1" s="7" t="s">
        <v>1</v>
      </c>
      <c r="B1" s="7"/>
      <c r="C1" s="7"/>
    </row>
    <row r="2" spans="1:20">
      <c r="A2" s="9" t="s">
        <v>22</v>
      </c>
      <c r="B2" s="9" t="s">
        <v>0</v>
      </c>
      <c r="C2" s="9" t="s">
        <v>2</v>
      </c>
    </row>
    <row r="3" spans="1:20">
      <c r="A3" s="9">
        <v>0</v>
      </c>
      <c r="B3" s="11">
        <v>0</v>
      </c>
      <c r="C3" s="11">
        <v>0.52400000000000002</v>
      </c>
    </row>
    <row r="4" spans="1:20">
      <c r="A4" s="8">
        <v>3.91</v>
      </c>
      <c r="B4" s="11">
        <f>((0.524-C4)/0.524)*100</f>
        <v>7.6335877862595494</v>
      </c>
      <c r="C4" s="11">
        <v>0.48399999999999999</v>
      </c>
    </row>
    <row r="5" spans="1:20">
      <c r="A5" s="8">
        <v>7.81</v>
      </c>
      <c r="B5" s="11">
        <f t="shared" ref="B5:B12" si="0">((0.524-C5)/0.524)*100</f>
        <v>13.16793893129771</v>
      </c>
      <c r="C5" s="11">
        <v>0.45500000000000002</v>
      </c>
      <c r="S5" t="s">
        <v>5</v>
      </c>
      <c r="T5" s="4" t="s">
        <v>4</v>
      </c>
    </row>
    <row r="6" spans="1:20">
      <c r="A6" s="8">
        <v>15.62</v>
      </c>
      <c r="B6" s="11">
        <f t="shared" si="0"/>
        <v>19.465648854961838</v>
      </c>
      <c r="C6" s="11">
        <v>0.42199999999999999</v>
      </c>
      <c r="R6">
        <f>50+13.848</f>
        <v>63.847999999999999</v>
      </c>
      <c r="S6">
        <f>R6/12.358</f>
        <v>5.16653180126234</v>
      </c>
      <c r="T6" s="3">
        <f>EXP(S6)</f>
        <v>175.30578663195791</v>
      </c>
    </row>
    <row r="7" spans="1:20">
      <c r="A7" s="11">
        <v>31.25</v>
      </c>
      <c r="B7" s="11">
        <f t="shared" si="0"/>
        <v>24.618320610687022</v>
      </c>
      <c r="C7" s="5">
        <v>0.39500000000000002</v>
      </c>
      <c r="R7">
        <f>50+12.966</f>
        <v>62.966000000000001</v>
      </c>
      <c r="S7">
        <f>R7/12.166</f>
        <v>5.1755712641788589</v>
      </c>
      <c r="T7" s="3">
        <f t="shared" ref="T7:T8" si="1">EXP(S7)</f>
        <v>176.89764070275382</v>
      </c>
    </row>
    <row r="8" spans="1:20">
      <c r="A8" s="11">
        <v>62.5</v>
      </c>
      <c r="B8" s="11">
        <f t="shared" si="0"/>
        <v>33.015267175572525</v>
      </c>
      <c r="C8" s="5">
        <v>0.35099999999999998</v>
      </c>
      <c r="R8">
        <f>50+11.643</f>
        <v>61.643000000000001</v>
      </c>
      <c r="S8">
        <f>R8/11.876</f>
        <v>5.1905523745368818</v>
      </c>
      <c r="T8" s="3">
        <f t="shared" si="1"/>
        <v>179.5677141751946</v>
      </c>
    </row>
    <row r="9" spans="1:20">
      <c r="A9" s="11">
        <v>125</v>
      </c>
      <c r="B9" s="11">
        <f t="shared" si="0"/>
        <v>42.557251908396957</v>
      </c>
      <c r="C9" s="5">
        <v>0.30099999999999999</v>
      </c>
      <c r="H9"/>
      <c r="S9" t="s">
        <v>26</v>
      </c>
      <c r="T9">
        <f>AVERAGE(T6:T8)</f>
        <v>177.25704716996879</v>
      </c>
    </row>
    <row r="10" spans="1:20">
      <c r="A10" s="11">
        <v>250</v>
      </c>
      <c r="B10" s="11">
        <f t="shared" si="0"/>
        <v>54.198473282442748</v>
      </c>
      <c r="C10" s="5">
        <v>0.24</v>
      </c>
      <c r="H10"/>
      <c r="S10" t="s">
        <v>3</v>
      </c>
      <c r="T10">
        <f>STDEV(T6:T8)</f>
        <v>2.1535752488494135</v>
      </c>
    </row>
    <row r="11" spans="1:20">
      <c r="A11" s="11">
        <v>500</v>
      </c>
      <c r="B11" s="11">
        <f t="shared" si="0"/>
        <v>66.030534351145036</v>
      </c>
      <c r="C11" s="5">
        <v>0.17799999999999999</v>
      </c>
      <c r="H11"/>
    </row>
    <row r="12" spans="1:20">
      <c r="A12" s="11">
        <v>1000</v>
      </c>
      <c r="B12" s="11">
        <f t="shared" si="0"/>
        <v>74.618320610687022</v>
      </c>
      <c r="C12" s="5">
        <v>0.13300000000000001</v>
      </c>
      <c r="H12"/>
    </row>
    <row r="13" spans="1:20">
      <c r="H13"/>
    </row>
    <row r="14" spans="1:20">
      <c r="H14"/>
    </row>
    <row r="17" spans="1:3" ht="15.75" thickBot="1"/>
    <row r="18" spans="1:3" ht="26.25">
      <c r="A18" s="7" t="s">
        <v>1</v>
      </c>
      <c r="B18" s="7"/>
      <c r="C18" s="7"/>
    </row>
    <row r="19" spans="1:3">
      <c r="A19" s="9" t="s">
        <v>22</v>
      </c>
      <c r="B19" s="9" t="s">
        <v>0</v>
      </c>
      <c r="C19" s="9" t="s">
        <v>2</v>
      </c>
    </row>
    <row r="20" spans="1:3">
      <c r="A20" s="9">
        <v>0</v>
      </c>
      <c r="B20" s="11">
        <v>0</v>
      </c>
      <c r="C20" s="11">
        <v>0.52400000000000002</v>
      </c>
    </row>
    <row r="21" spans="1:3">
      <c r="A21" s="8">
        <v>3.91</v>
      </c>
      <c r="B21" s="11">
        <f>((0.524-C21)/0.524)*100</f>
        <v>8.3969465648855035</v>
      </c>
      <c r="C21" s="11">
        <v>0.48</v>
      </c>
    </row>
    <row r="22" spans="1:3">
      <c r="A22" s="8">
        <v>7.81</v>
      </c>
      <c r="B22" s="11">
        <f t="shared" ref="B22:B29" si="2">((0.524-C22)/0.524)*100</f>
        <v>13.740458015267176</v>
      </c>
      <c r="C22" s="11">
        <v>0.45200000000000001</v>
      </c>
    </row>
    <row r="23" spans="1:3">
      <c r="A23" s="8">
        <v>15.62</v>
      </c>
      <c r="B23" s="11">
        <f t="shared" si="2"/>
        <v>19.656488549618327</v>
      </c>
      <c r="C23" s="11">
        <v>0.42099999999999999</v>
      </c>
    </row>
    <row r="24" spans="1:3">
      <c r="A24" s="11">
        <v>31.25</v>
      </c>
      <c r="B24" s="11">
        <f t="shared" si="2"/>
        <v>25.572519083969464</v>
      </c>
      <c r="C24" s="5">
        <v>0.39</v>
      </c>
    </row>
    <row r="25" spans="1:3">
      <c r="A25" s="11">
        <v>62.5</v>
      </c>
      <c r="B25" s="11">
        <f t="shared" si="2"/>
        <v>32.251908396946568</v>
      </c>
      <c r="C25" s="5">
        <v>0.35499999999999998</v>
      </c>
    </row>
    <row r="26" spans="1:3">
      <c r="A26" s="11">
        <v>125</v>
      </c>
      <c r="B26" s="11">
        <f t="shared" si="2"/>
        <v>41.984732824427482</v>
      </c>
      <c r="C26" s="5">
        <v>0.30399999999999999</v>
      </c>
    </row>
    <row r="27" spans="1:3">
      <c r="A27" s="11">
        <v>250</v>
      </c>
      <c r="B27" s="11">
        <f t="shared" si="2"/>
        <v>54.007633587786266</v>
      </c>
      <c r="C27" s="5">
        <v>0.24099999999999999</v>
      </c>
    </row>
    <row r="28" spans="1:3">
      <c r="A28" s="11">
        <v>500</v>
      </c>
      <c r="B28" s="11">
        <f t="shared" si="2"/>
        <v>66.221374045801525</v>
      </c>
      <c r="C28" s="5">
        <v>0.17699999999999999</v>
      </c>
    </row>
    <row r="29" spans="1:3">
      <c r="A29" s="11">
        <v>1000</v>
      </c>
      <c r="B29" s="11">
        <f t="shared" si="2"/>
        <v>74.236641221374043</v>
      </c>
      <c r="C29" s="5">
        <v>0.13500000000000001</v>
      </c>
    </row>
    <row r="31" spans="1:3" ht="15.75" thickBot="1"/>
    <row r="32" spans="1:3" ht="26.25">
      <c r="A32" s="7" t="s">
        <v>1</v>
      </c>
      <c r="B32" s="7"/>
      <c r="C32" s="7"/>
    </row>
    <row r="33" spans="1:3">
      <c r="A33" s="9" t="s">
        <v>22</v>
      </c>
      <c r="B33" s="9" t="s">
        <v>0</v>
      </c>
      <c r="C33" s="9" t="s">
        <v>2</v>
      </c>
    </row>
    <row r="34" spans="1:3">
      <c r="A34" s="9">
        <v>0</v>
      </c>
      <c r="B34" s="11">
        <v>0</v>
      </c>
      <c r="C34" s="11">
        <v>0.52400000000000002</v>
      </c>
    </row>
    <row r="35" spans="1:3">
      <c r="A35" s="8">
        <v>3.91</v>
      </c>
      <c r="B35" s="11">
        <f>((0.524-C35)/0.524)*100</f>
        <v>9.5419847328244352</v>
      </c>
      <c r="C35" s="11">
        <v>0.47399999999999998</v>
      </c>
    </row>
    <row r="36" spans="1:3">
      <c r="A36" s="8">
        <v>7.81</v>
      </c>
      <c r="B36" s="11">
        <f t="shared" ref="B36:B43" si="3">((0.524-C36)/0.524)*100</f>
        <v>14.503816793893131</v>
      </c>
      <c r="C36" s="11">
        <v>0.44800000000000001</v>
      </c>
    </row>
    <row r="37" spans="1:3">
      <c r="A37" s="8">
        <v>15.62</v>
      </c>
      <c r="B37" s="11">
        <f t="shared" si="3"/>
        <v>19.847328244274813</v>
      </c>
      <c r="C37" s="11">
        <v>0.42</v>
      </c>
    </row>
    <row r="38" spans="1:3">
      <c r="A38" s="11">
        <v>31.25</v>
      </c>
      <c r="B38" s="11">
        <f t="shared" si="3"/>
        <v>25.763358778625957</v>
      </c>
      <c r="C38" s="5">
        <v>0.38900000000000001</v>
      </c>
    </row>
    <row r="39" spans="1:3">
      <c r="A39" s="11">
        <v>62.5</v>
      </c>
      <c r="B39" s="11">
        <f t="shared" si="3"/>
        <v>33.206106870229014</v>
      </c>
      <c r="C39" s="5">
        <v>0.35</v>
      </c>
    </row>
    <row r="40" spans="1:3">
      <c r="A40" s="11">
        <v>125</v>
      </c>
      <c r="B40" s="11">
        <f t="shared" si="3"/>
        <v>41.030534351145043</v>
      </c>
      <c r="C40" s="5">
        <v>0.309</v>
      </c>
    </row>
    <row r="41" spans="1:3">
      <c r="A41" s="11">
        <v>250</v>
      </c>
      <c r="B41" s="11">
        <f t="shared" si="3"/>
        <v>53.625954198473281</v>
      </c>
      <c r="C41" s="5">
        <v>0.24299999999999999</v>
      </c>
    </row>
    <row r="42" spans="1:3">
      <c r="A42" s="11">
        <v>500</v>
      </c>
      <c r="B42" s="11">
        <f t="shared" si="3"/>
        <v>66.030534351145036</v>
      </c>
      <c r="C42" s="5">
        <v>0.17799999999999999</v>
      </c>
    </row>
    <row r="43" spans="1:3">
      <c r="A43" s="11">
        <v>1000</v>
      </c>
      <c r="B43" s="11">
        <f t="shared" si="3"/>
        <v>73.664122137404576</v>
      </c>
      <c r="C43" s="5">
        <v>0.13800000000000001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opLeftCell="A10" workbookViewId="0">
      <selection activeCell="A10" sqref="A1:XFD1048576"/>
    </sheetView>
  </sheetViews>
  <sheetFormatPr defaultRowHeight="15"/>
  <cols>
    <col min="2" max="2" width="12.42578125" customWidth="1"/>
    <col min="7" max="8" width="9.140625" style="14"/>
  </cols>
  <sheetData>
    <row r="1" spans="1:20" ht="15.75" customHeight="1">
      <c r="A1" s="7" t="s">
        <v>1</v>
      </c>
      <c r="B1" s="7"/>
      <c r="C1" s="7"/>
    </row>
    <row r="2" spans="1:20">
      <c r="A2" s="9" t="s">
        <v>22</v>
      </c>
      <c r="B2" s="9" t="s">
        <v>0</v>
      </c>
      <c r="C2" s="9" t="s">
        <v>2</v>
      </c>
    </row>
    <row r="3" spans="1:20">
      <c r="A3" s="9">
        <v>0</v>
      </c>
      <c r="B3" s="11">
        <v>0</v>
      </c>
      <c r="C3" s="11">
        <v>0.52400000000000002</v>
      </c>
    </row>
    <row r="4" spans="1:20">
      <c r="A4" s="8">
        <v>3.91</v>
      </c>
      <c r="B4" s="11">
        <f>((0.524-C4)/0.524)*100</f>
        <v>5.5343511450381726</v>
      </c>
      <c r="C4" s="11">
        <v>0.495</v>
      </c>
    </row>
    <row r="5" spans="1:20">
      <c r="A5" s="8">
        <v>7.81</v>
      </c>
      <c r="B5" s="11">
        <f t="shared" ref="B5:B12" si="0">((0.524-C5)/0.524)*100</f>
        <v>12.022900763358777</v>
      </c>
      <c r="C5" s="11">
        <v>0.46100000000000002</v>
      </c>
      <c r="S5" t="s">
        <v>5</v>
      </c>
      <c r="T5" s="4" t="s">
        <v>4</v>
      </c>
    </row>
    <row r="6" spans="1:20">
      <c r="A6" s="8">
        <v>15.62</v>
      </c>
      <c r="B6" s="11">
        <f t="shared" si="0"/>
        <v>19.656488549618327</v>
      </c>
      <c r="C6" s="11">
        <v>0.42099999999999999</v>
      </c>
      <c r="R6">
        <f>50+2.351</f>
        <v>52.350999999999999</v>
      </c>
      <c r="S6">
        <f>R6/7.6038</f>
        <v>6.8848470501591308</v>
      </c>
      <c r="T6" s="3">
        <f>EXP(S6)</f>
        <v>977.35217241699797</v>
      </c>
    </row>
    <row r="7" spans="1:20">
      <c r="A7" s="11">
        <v>31.25</v>
      </c>
      <c r="B7" s="11">
        <f t="shared" si="0"/>
        <v>27.099236641221374</v>
      </c>
      <c r="C7" s="5">
        <v>0.38200000000000001</v>
      </c>
      <c r="R7">
        <f>50+12.966</f>
        <v>62.966000000000001</v>
      </c>
      <c r="S7">
        <f>R7/12.166</f>
        <v>5.1755712641788589</v>
      </c>
      <c r="T7" s="3">
        <f t="shared" ref="T7:T8" si="1">EXP(S7)</f>
        <v>176.89764070275382</v>
      </c>
    </row>
    <row r="8" spans="1:20">
      <c r="A8" s="11">
        <v>62.5</v>
      </c>
      <c r="B8" s="11">
        <f t="shared" si="0"/>
        <v>30.152671755725198</v>
      </c>
      <c r="C8" s="5">
        <v>0.36599999999999999</v>
      </c>
      <c r="R8">
        <f>50+11.643</f>
        <v>61.643000000000001</v>
      </c>
      <c r="S8">
        <f>R8/11.876</f>
        <v>5.1905523745368818</v>
      </c>
      <c r="T8" s="3">
        <f t="shared" si="1"/>
        <v>179.5677141751946</v>
      </c>
    </row>
    <row r="9" spans="1:20">
      <c r="A9" s="11">
        <v>125</v>
      </c>
      <c r="B9" s="11">
        <f t="shared" si="0"/>
        <v>34.732824427480914</v>
      </c>
      <c r="C9" s="5">
        <v>0.34200000000000003</v>
      </c>
      <c r="H9"/>
      <c r="S9" t="s">
        <v>26</v>
      </c>
      <c r="T9">
        <f>AVERAGE(T6:T8)</f>
        <v>444.6058424316488</v>
      </c>
    </row>
    <row r="10" spans="1:20">
      <c r="A10" s="11">
        <v>250</v>
      </c>
      <c r="B10" s="11">
        <f t="shared" si="0"/>
        <v>40.076335877862597</v>
      </c>
      <c r="C10" s="5">
        <v>0.314</v>
      </c>
      <c r="H10"/>
      <c r="S10" t="s">
        <v>3</v>
      </c>
      <c r="T10">
        <f>STDEV(T6:T8)</f>
        <v>461.37378708345688</v>
      </c>
    </row>
    <row r="11" spans="1:20">
      <c r="A11" s="11">
        <v>500</v>
      </c>
      <c r="B11" s="11">
        <f t="shared" si="0"/>
        <v>44.274809160305352</v>
      </c>
      <c r="C11" s="5">
        <v>0.29199999999999998</v>
      </c>
      <c r="H11"/>
    </row>
    <row r="12" spans="1:20">
      <c r="A12" s="11">
        <v>1000</v>
      </c>
      <c r="B12" s="11">
        <f t="shared" si="0"/>
        <v>48.282442748091604</v>
      </c>
      <c r="C12" s="5">
        <v>0.27100000000000002</v>
      </c>
      <c r="H12"/>
    </row>
    <row r="13" spans="1:20">
      <c r="H13"/>
    </row>
    <row r="14" spans="1:20" ht="15.75" thickBot="1"/>
    <row r="15" spans="1:20" ht="26.25">
      <c r="A15" s="7" t="s">
        <v>1</v>
      </c>
      <c r="B15" s="7"/>
      <c r="C15" s="7"/>
    </row>
    <row r="16" spans="1:20">
      <c r="A16" s="9" t="s">
        <v>22</v>
      </c>
      <c r="B16" s="9" t="s">
        <v>0</v>
      </c>
      <c r="C16" s="9" t="s">
        <v>2</v>
      </c>
    </row>
    <row r="17" spans="1:3">
      <c r="A17" s="9">
        <v>0</v>
      </c>
      <c r="B17" s="11">
        <v>0</v>
      </c>
      <c r="C17" s="11">
        <v>0.52400000000000002</v>
      </c>
    </row>
    <row r="18" spans="1:3">
      <c r="A18" s="8">
        <v>3.91</v>
      </c>
      <c r="B18" s="11">
        <f>((0.524-C18)/0.524)*100</f>
        <v>4.7709923664122176</v>
      </c>
      <c r="C18" s="11">
        <v>0.499</v>
      </c>
    </row>
    <row r="19" spans="1:3">
      <c r="A19" s="8">
        <v>7.81</v>
      </c>
      <c r="B19" s="11">
        <f t="shared" ref="B19:B26" si="2">((0.524-C19)/0.524)*100</f>
        <v>11.068702290076335</v>
      </c>
      <c r="C19" s="11">
        <v>0.46600000000000003</v>
      </c>
    </row>
    <row r="20" spans="1:3">
      <c r="A20" s="8">
        <v>15.62</v>
      </c>
      <c r="B20" s="11">
        <f t="shared" si="2"/>
        <v>19.465648854961838</v>
      </c>
      <c r="C20" s="11">
        <v>0.42199999999999999</v>
      </c>
    </row>
    <row r="21" spans="1:3">
      <c r="A21" s="11">
        <v>31.25</v>
      </c>
      <c r="B21" s="11">
        <f t="shared" si="2"/>
        <v>25.954198473282442</v>
      </c>
      <c r="C21" s="5">
        <v>0.38800000000000001</v>
      </c>
    </row>
    <row r="22" spans="1:3">
      <c r="A22" s="11">
        <v>62.5</v>
      </c>
      <c r="B22" s="11">
        <f t="shared" si="2"/>
        <v>31.106870229007637</v>
      </c>
      <c r="C22" s="5">
        <v>0.36099999999999999</v>
      </c>
    </row>
    <row r="23" spans="1:3">
      <c r="A23" s="11">
        <v>125</v>
      </c>
      <c r="B23" s="11">
        <f t="shared" si="2"/>
        <v>34.35114503816795</v>
      </c>
      <c r="C23" s="5">
        <v>0.34399999999999997</v>
      </c>
    </row>
    <row r="24" spans="1:3">
      <c r="A24" s="11">
        <v>250</v>
      </c>
      <c r="B24" s="11">
        <f t="shared" si="2"/>
        <v>40.648854961832065</v>
      </c>
      <c r="C24" s="5">
        <v>0.311</v>
      </c>
    </row>
    <row r="25" spans="1:3">
      <c r="A25" s="11">
        <v>500</v>
      </c>
      <c r="B25" s="11">
        <f t="shared" si="2"/>
        <v>44.465648854961835</v>
      </c>
      <c r="C25" s="5">
        <v>0.29099999999999998</v>
      </c>
    </row>
    <row r="26" spans="1:3">
      <c r="A26" s="11">
        <v>1000</v>
      </c>
      <c r="B26" s="11">
        <f t="shared" si="2"/>
        <v>47.137404580152669</v>
      </c>
      <c r="C26" s="5">
        <v>0.27700000000000002</v>
      </c>
    </row>
    <row r="28" spans="1:3" ht="15.75" thickBot="1"/>
    <row r="29" spans="1:3" ht="26.25">
      <c r="A29" s="7" t="s">
        <v>1</v>
      </c>
      <c r="B29" s="7"/>
      <c r="C29" s="7"/>
    </row>
    <row r="30" spans="1:3">
      <c r="A30" s="9" t="s">
        <v>22</v>
      </c>
      <c r="B30" s="9" t="s">
        <v>0</v>
      </c>
      <c r="C30" s="9" t="s">
        <v>2</v>
      </c>
    </row>
    <row r="31" spans="1:3">
      <c r="A31" s="9">
        <v>0</v>
      </c>
      <c r="B31" s="11">
        <v>0</v>
      </c>
      <c r="C31" s="11">
        <v>0.52400000000000002</v>
      </c>
    </row>
    <row r="32" spans="1:3">
      <c r="A32" s="8">
        <v>3.91</v>
      </c>
      <c r="B32" s="11">
        <f>((0.524-C32)/0.524)*100</f>
        <v>6.4885496183206159</v>
      </c>
      <c r="C32" s="11">
        <v>0.49</v>
      </c>
    </row>
    <row r="33" spans="1:3">
      <c r="A33" s="8">
        <v>7.81</v>
      </c>
      <c r="B33" s="11">
        <f t="shared" ref="B33:B40" si="3">((0.524-C33)/0.524)*100</f>
        <v>12.022900763358777</v>
      </c>
      <c r="C33" s="11">
        <v>0.46100000000000002</v>
      </c>
    </row>
    <row r="34" spans="1:3">
      <c r="A34" s="8">
        <v>15.62</v>
      </c>
      <c r="B34" s="11">
        <f t="shared" si="3"/>
        <v>19.656488549618327</v>
      </c>
      <c r="C34" s="11">
        <v>0.42099999999999999</v>
      </c>
    </row>
    <row r="35" spans="1:3">
      <c r="A35" s="11">
        <v>31.25</v>
      </c>
      <c r="B35" s="11">
        <f t="shared" si="3"/>
        <v>27.099236641221374</v>
      </c>
      <c r="C35" s="5">
        <v>0.38200000000000001</v>
      </c>
    </row>
    <row r="36" spans="1:3">
      <c r="A36" s="11">
        <v>62.5</v>
      </c>
      <c r="B36" s="11">
        <f t="shared" si="3"/>
        <v>31.297709923664129</v>
      </c>
      <c r="C36" s="5">
        <v>0.36</v>
      </c>
    </row>
    <row r="37" spans="1:3">
      <c r="A37" s="11">
        <v>125</v>
      </c>
      <c r="B37" s="11">
        <f t="shared" si="3"/>
        <v>35.305343511450381</v>
      </c>
      <c r="C37" s="5">
        <v>0.33900000000000002</v>
      </c>
    </row>
    <row r="38" spans="1:3">
      <c r="A38" s="11">
        <v>250</v>
      </c>
      <c r="B38" s="11">
        <f t="shared" si="3"/>
        <v>42.36641221374046</v>
      </c>
      <c r="C38" s="5">
        <v>0.30199999999999999</v>
      </c>
    </row>
    <row r="39" spans="1:3">
      <c r="A39" s="11">
        <v>500</v>
      </c>
      <c r="B39" s="11">
        <f t="shared" si="3"/>
        <v>45.038167938931309</v>
      </c>
      <c r="C39" s="5">
        <v>0.28799999999999998</v>
      </c>
    </row>
    <row r="40" spans="1:3">
      <c r="A40" s="11">
        <v>1000</v>
      </c>
      <c r="B40" s="11">
        <f t="shared" si="3"/>
        <v>48.854961832061065</v>
      </c>
      <c r="C40" s="5">
        <v>0.26800000000000002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Ic50</vt:lpstr>
      <vt:lpstr>Trolox</vt:lpstr>
      <vt:lpstr>MFLUCC15-1112</vt:lpstr>
      <vt:lpstr> MFLUCC15-1113</vt:lpstr>
      <vt:lpstr>MFLUCC15-1130</vt:lpstr>
      <vt:lpstr>MFLUCC15-1131</vt:lpstr>
      <vt:lpstr>MFLUCC15-1132</vt:lpstr>
      <vt:lpstr> MFLUCC15-1133</vt:lpstr>
      <vt:lpstr>MFLUCC15-1134</vt:lpstr>
      <vt:lpstr>MFLUCC15-1135</vt:lpstr>
      <vt:lpstr>MFLUCC15-1136</vt:lpstr>
      <vt:lpstr>MFLUCC15-1137</vt:lpstr>
      <vt:lpstr>MFLUCC15-1138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</dc:creator>
  <cp:lastModifiedBy>HP</cp:lastModifiedBy>
  <dcterms:created xsi:type="dcterms:W3CDTF">2018-06-09T06:15:09Z</dcterms:created>
  <dcterms:modified xsi:type="dcterms:W3CDTF">2018-11-16T05:59:56Z</dcterms:modified>
</cp:coreProperties>
</file>