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120" yWindow="0" windowWidth="25600" windowHeight="17540" tabRatio="500"/>
  </bookViews>
  <sheets>
    <sheet name="App. Tabl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<sst xmlns="http://schemas.openxmlformats.org/spreadsheetml/2006/main" count="40" uniqueCount="30">
  <si>
    <t>Subsample "All"</t>
  </si>
  <si>
    <t>Subsample "Unhappy" (LS≤5)</t>
  </si>
  <si>
    <t>Subsample "Happy" (LS&gt;5)</t>
  </si>
  <si>
    <t>SA1</t>
  </si>
  <si>
    <t>SA2</t>
  </si>
  <si>
    <t>SA3</t>
  </si>
  <si>
    <t>SA4</t>
  </si>
  <si>
    <t>State</t>
  </si>
  <si>
    <t>Age (last birthday on June 30, 2016)</t>
  </si>
  <si>
    <t>Male (prop. of individuals)</t>
  </si>
  <si>
    <t>Australia born (prop. of individuals)</t>
  </si>
  <si>
    <t>Immigrant from English speaking country (prop. of individuals)</t>
  </si>
  <si>
    <t>Indigenous (aboroginal/torres strait) (prop. of individuals)</t>
  </si>
  <si>
    <t>Speaks english well (prop. of individuals)</t>
  </si>
  <si>
    <t>Unemployed (prop. of individuals)</t>
  </si>
  <si>
    <t>Homeowner (prop. of individuals)</t>
  </si>
  <si>
    <t>Household disposable income</t>
  </si>
  <si>
    <t>Below poverty line (prop. of individuals)</t>
  </si>
  <si>
    <t>Bachelor's or higher qualification (prop. of individuals)</t>
  </si>
  <si>
    <t>Hours worked at all jobs (per week)</t>
  </si>
  <si>
    <t>Hours spent doing volunteer/charity work (per week)</t>
  </si>
  <si>
    <t>Have 1 child (prop. of individuals)</t>
  </si>
  <si>
    <t>Have 2 or more children (prop. of individuals)</t>
  </si>
  <si>
    <t>In a relationship (prop. of individuals)</t>
  </si>
  <si>
    <t>Separated or divorced (prop. of individuals)</t>
  </si>
  <si>
    <t>Engages in no physical activity at all (prop. of individuals)</t>
  </si>
  <si>
    <t>Long-term health condition (prop. of individuals)</t>
  </si>
  <si>
    <t>Weighted average NDVI</t>
  </si>
  <si>
    <t>Any other adults present during survey (prop. of individuals)</t>
  </si>
  <si>
    <t>Appendix table 1: Average of each objective variable used in our regression and the the standard diviation between the areas (reported in parentheses).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</si>
</sst>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164" fontId="0" fillId="2" borderId="0" xfId="1" applyNumberFormat="1" applyFont="1" applyFill="1" applyAlignment="1">
      <alignment horizontal="left" vertical="center"/>
    </xf>
    <xf numFmtId="49" fontId="0" fillId="2" borderId="0" xfId="1" applyNumberFormat="1" applyFont="1" applyFill="1" applyAlignment="1">
      <alignment horizontal="left" vertical="center"/>
    </xf>
    <xf numFmtId="3" fontId="0" fillId="2" borderId="4" xfId="1" applyNumberFormat="1" applyFont="1" applyFill="1" applyBorder="1" applyAlignment="1">
      <alignment horizontal="left" vertical="center"/>
    </xf>
    <xf numFmtId="3" fontId="0" fillId="2" borderId="0" xfId="1" applyNumberFormat="1" applyFont="1" applyFill="1" applyBorder="1" applyAlignment="1">
      <alignment horizontal="left" vertical="center"/>
    </xf>
    <xf numFmtId="3" fontId="0" fillId="2" borderId="5" xfId="1" applyNumberFormat="1" applyFont="1" applyFill="1" applyBorder="1" applyAlignment="1">
      <alignment horizontal="left" vertical="center"/>
    </xf>
    <xf numFmtId="37" fontId="0" fillId="2" borderId="0" xfId="1" applyNumberFormat="1" applyFont="1" applyFill="1" applyAlignment="1">
      <alignment horizontal="left" vertical="center"/>
    </xf>
    <xf numFmtId="37" fontId="0" fillId="2" borderId="4" xfId="1" applyNumberFormat="1" applyFont="1" applyFill="1" applyBorder="1" applyAlignment="1">
      <alignment horizontal="left" vertical="center"/>
    </xf>
    <xf numFmtId="37" fontId="0" fillId="2" borderId="0" xfId="1" applyNumberFormat="1" applyFont="1" applyFill="1" applyBorder="1" applyAlignment="1">
      <alignment horizontal="left" vertical="center"/>
    </xf>
    <xf numFmtId="37" fontId="0" fillId="2" borderId="5" xfId="1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B35" sqref="B35"/>
    </sheetView>
  </sheetViews>
  <sheetFormatPr baseColWidth="10" defaultColWidth="8.83203125" defaultRowHeight="14" x14ac:dyDescent="0"/>
  <cols>
    <col min="1" max="1" width="2.33203125" style="36" customWidth="1"/>
    <col min="2" max="2" width="50" bestFit="1" customWidth="1"/>
    <col min="3" max="3" width="10.33203125" style="37" bestFit="1" customWidth="1"/>
    <col min="4" max="6" width="10.33203125" style="35" bestFit="1" customWidth="1"/>
    <col min="7" max="7" width="10.33203125" style="38" bestFit="1" customWidth="1"/>
    <col min="8" max="8" width="10.33203125" style="37" bestFit="1" customWidth="1"/>
    <col min="9" max="11" width="10.33203125" style="35" bestFit="1" customWidth="1"/>
    <col min="12" max="12" width="10.33203125" style="38" bestFit="1" customWidth="1"/>
    <col min="13" max="13" width="10.33203125" style="37" bestFit="1" customWidth="1"/>
    <col min="14" max="16" width="10.33203125" style="35" bestFit="1" customWidth="1"/>
    <col min="17" max="17" width="10.33203125" style="38" bestFit="1" customWidth="1"/>
    <col min="18" max="24" width="8.83203125" style="36"/>
  </cols>
  <sheetData>
    <row r="1" spans="1:24" s="1" customForma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s="4" customFormat="1" ht="18">
      <c r="A2" s="3"/>
      <c r="C2" s="5" t="s">
        <v>0</v>
      </c>
      <c r="D2" s="6"/>
      <c r="E2" s="6"/>
      <c r="F2" s="6"/>
      <c r="G2" s="7"/>
      <c r="H2" s="5" t="s">
        <v>1</v>
      </c>
      <c r="I2" s="6"/>
      <c r="J2" s="6"/>
      <c r="K2" s="6"/>
      <c r="L2" s="7"/>
      <c r="M2" s="5" t="s">
        <v>2</v>
      </c>
      <c r="N2" s="6"/>
      <c r="O2" s="6"/>
      <c r="P2" s="6"/>
      <c r="Q2" s="7"/>
      <c r="R2" s="3"/>
      <c r="S2" s="3"/>
      <c r="T2" s="3"/>
      <c r="U2" s="3"/>
      <c r="V2" s="3"/>
      <c r="W2" s="3"/>
      <c r="X2" s="3"/>
    </row>
    <row r="3" spans="1:24" s="9" customFormat="1" ht="15">
      <c r="A3" s="8"/>
      <c r="C3" s="10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0" t="s">
        <v>3</v>
      </c>
      <c r="I3" s="11" t="s">
        <v>4</v>
      </c>
      <c r="J3" s="11" t="s">
        <v>5</v>
      </c>
      <c r="K3" s="11" t="s">
        <v>6</v>
      </c>
      <c r="L3" s="12" t="s">
        <v>7</v>
      </c>
      <c r="M3" s="10" t="s">
        <v>3</v>
      </c>
      <c r="N3" s="11" t="s">
        <v>4</v>
      </c>
      <c r="O3" s="11" t="s">
        <v>5</v>
      </c>
      <c r="P3" s="11" t="s">
        <v>6</v>
      </c>
      <c r="Q3" s="12" t="s">
        <v>7</v>
      </c>
      <c r="R3" s="8"/>
      <c r="S3" s="8"/>
      <c r="T3" s="8"/>
      <c r="U3" s="8"/>
      <c r="V3" s="8"/>
      <c r="W3" s="8"/>
      <c r="X3" s="8"/>
    </row>
    <row r="4" spans="1:24" s="13" customFormat="1">
      <c r="B4" s="13" t="s">
        <v>8</v>
      </c>
      <c r="C4" s="14" t="str">
        <f>"42.41"</f>
        <v>42.41</v>
      </c>
      <c r="D4" s="15" t="str">
        <f>"42.08"</f>
        <v>42.08</v>
      </c>
      <c r="E4" s="15" t="str">
        <f>"43.65"</f>
        <v>43.65</v>
      </c>
      <c r="F4" s="15" t="str">
        <f>"44.17"</f>
        <v>44.17</v>
      </c>
      <c r="G4" s="16" t="str">
        <f>"43.07"</f>
        <v>43.07</v>
      </c>
      <c r="H4" s="14" t="str">
        <f>"45.28"</f>
        <v>45.28</v>
      </c>
      <c r="I4" s="15" t="str">
        <f>"45.17"</f>
        <v>45.17</v>
      </c>
      <c r="J4" s="15" t="str">
        <f>"45.37"</f>
        <v>45.37</v>
      </c>
      <c r="K4" s="15" t="str">
        <f>"45.12"</f>
        <v>45.12</v>
      </c>
      <c r="L4" s="16" t="str">
        <f>"43.97"</f>
        <v>43.97</v>
      </c>
      <c r="M4" s="14" t="str">
        <f>"42.25"</f>
        <v>42.25</v>
      </c>
      <c r="N4" s="15" t="str">
        <f>"41.94"</f>
        <v>41.94</v>
      </c>
      <c r="O4" s="15" t="str">
        <f>"43.55"</f>
        <v>43.55</v>
      </c>
      <c r="P4" s="15" t="str">
        <f>"44.10"</f>
        <v>44.10</v>
      </c>
      <c r="Q4" s="16" t="str">
        <f>"43.00"</f>
        <v>43.00</v>
      </c>
    </row>
    <row r="5" spans="1:24" s="13" customFormat="1">
      <c r="C5" s="14" t="str">
        <f>"(15.62)"</f>
        <v>(15.62)</v>
      </c>
      <c r="D5" s="15" t="str">
        <f>"(11.50)"</f>
        <v>(11.50)</v>
      </c>
      <c r="E5" s="15" t="str">
        <f>"(6.216)"</f>
        <v>(6.216)</v>
      </c>
      <c r="F5" s="15" t="str">
        <f>"(3.476)"</f>
        <v>(3.476)</v>
      </c>
      <c r="G5" s="16" t="str">
        <f>"(2.338)"</f>
        <v>(2.338)</v>
      </c>
      <c r="H5" s="14" t="str">
        <f>"(16.08)"</f>
        <v>(16.08)</v>
      </c>
      <c r="I5" s="15" t="str">
        <f>"(14.88)"</f>
        <v>(14.88)</v>
      </c>
      <c r="J5" s="15" t="str">
        <f>"(11.73)"</f>
        <v>(11.73)</v>
      </c>
      <c r="K5" s="15" t="str">
        <f>"(7.365)"</f>
        <v>(7.365)</v>
      </c>
      <c r="L5" s="16" t="str">
        <f>"(3.980)"</f>
        <v>(3.980)</v>
      </c>
      <c r="M5" s="14" t="str">
        <f>"(15.81)"</f>
        <v>(15.81)</v>
      </c>
      <c r="N5" s="15" t="str">
        <f>"(11.76)"</f>
        <v>(11.76)</v>
      </c>
      <c r="O5" s="15" t="str">
        <f>"(6.392)"</f>
        <v>(6.392)</v>
      </c>
      <c r="P5" s="15" t="str">
        <f>"(3.588)"</f>
        <v>(3.588)</v>
      </c>
      <c r="Q5" s="16" t="str">
        <f>"(2.327)"</f>
        <v>(2.327)</v>
      </c>
    </row>
    <row r="6" spans="1:24" s="17" customFormat="1">
      <c r="A6" s="13"/>
      <c r="B6" s="17" t="s">
        <v>9</v>
      </c>
      <c r="C6" s="18" t="str">
        <f>"0.468"</f>
        <v>0.468</v>
      </c>
      <c r="D6" s="19" t="str">
        <f>"0.473"</f>
        <v>0.473</v>
      </c>
      <c r="E6" s="19" t="str">
        <f>"0.477"</f>
        <v>0.477</v>
      </c>
      <c r="F6" s="19" t="str">
        <f>"0.476"</f>
        <v>0.476</v>
      </c>
      <c r="G6" s="20" t="str">
        <f>"0.476"</f>
        <v>0.476</v>
      </c>
      <c r="H6" s="18" t="str">
        <f>"0.468"</f>
        <v>0.468</v>
      </c>
      <c r="I6" s="19" t="str">
        <f>"0.470"</f>
        <v>0.470</v>
      </c>
      <c r="J6" s="19" t="str">
        <f>"0.475"</f>
        <v>0.475</v>
      </c>
      <c r="K6" s="19" t="str">
        <f>"0.473"</f>
        <v>0.473</v>
      </c>
      <c r="L6" s="20" t="str">
        <f>"0.461"</f>
        <v>0.461</v>
      </c>
      <c r="M6" s="18" t="str">
        <f>"0.468"</f>
        <v>0.468</v>
      </c>
      <c r="N6" s="19" t="str">
        <f>"0.473"</f>
        <v>0.473</v>
      </c>
      <c r="O6" s="19" t="str">
        <f>"0.477"</f>
        <v>0.477</v>
      </c>
      <c r="P6" s="19" t="str">
        <f>"0.476"</f>
        <v>0.476</v>
      </c>
      <c r="Q6" s="20" t="str">
        <f>"0.477"</f>
        <v>0.477</v>
      </c>
      <c r="R6" s="13"/>
      <c r="S6" s="13"/>
      <c r="T6" s="13"/>
      <c r="U6" s="13"/>
      <c r="V6" s="13"/>
      <c r="W6" s="13"/>
      <c r="X6" s="13"/>
    </row>
    <row r="7" spans="1:24" s="17" customFormat="1">
      <c r="A7" s="13"/>
      <c r="C7" s="18" t="str">
        <f>"(0.306)"</f>
        <v>(0.306)</v>
      </c>
      <c r="D7" s="19" t="str">
        <f>"(0.211)"</f>
        <v>(0.211)</v>
      </c>
      <c r="E7" s="19" t="str">
        <f>"(0.0902)"</f>
        <v>(0.0902)</v>
      </c>
      <c r="F7" s="19" t="str">
        <f>"(0.0296)"</f>
        <v>(0.0296)</v>
      </c>
      <c r="G7" s="20" t="str">
        <f>"(0.0135)"</f>
        <v>(0.0135)</v>
      </c>
      <c r="H7" s="18" t="str">
        <f>"(0.464)"</f>
        <v>(0.464)</v>
      </c>
      <c r="I7" s="19" t="str">
        <f>"(0.428)"</f>
        <v>(0.428)</v>
      </c>
      <c r="J7" s="19" t="str">
        <f>"(0.327)"</f>
        <v>(0.327)</v>
      </c>
      <c r="K7" s="19" t="str">
        <f>"(0.186)"</f>
        <v>(0.186)</v>
      </c>
      <c r="L7" s="20" t="str">
        <f>"(0.105)"</f>
        <v>(0.105)</v>
      </c>
      <c r="M7" s="18" t="str">
        <f>"(0.313)"</f>
        <v>(0.313)</v>
      </c>
      <c r="N7" s="19" t="str">
        <f>"(0.220)"</f>
        <v>(0.220)</v>
      </c>
      <c r="O7" s="19" t="str">
        <f>"(0.0952)"</f>
        <v>(0.0952)</v>
      </c>
      <c r="P7" s="19" t="str">
        <f>"(0.0308)"</f>
        <v>(0.0308)</v>
      </c>
      <c r="Q7" s="20" t="str">
        <f>"(0.0153)"</f>
        <v>(0.0153)</v>
      </c>
      <c r="R7" s="13"/>
      <c r="S7" s="13"/>
      <c r="T7" s="13"/>
      <c r="U7" s="13"/>
      <c r="V7" s="13"/>
      <c r="W7" s="13"/>
      <c r="X7" s="13"/>
    </row>
    <row r="8" spans="1:24" s="13" customFormat="1">
      <c r="B8" s="13" t="s">
        <v>10</v>
      </c>
      <c r="C8" s="14" t="str">
        <f>"0.796"</f>
        <v>0.796</v>
      </c>
      <c r="D8" s="15" t="str">
        <f>"0.793"</f>
        <v>0.793</v>
      </c>
      <c r="E8" s="15" t="str">
        <f>"0.792"</f>
        <v>0.792</v>
      </c>
      <c r="F8" s="15" t="str">
        <f>"0.795"</f>
        <v>0.795</v>
      </c>
      <c r="G8" s="16" t="str">
        <f>"0.778"</f>
        <v>0.778</v>
      </c>
      <c r="H8" s="14" t="str">
        <f>"0.742"</f>
        <v>0.742</v>
      </c>
      <c r="I8" s="15" t="str">
        <f>"0.745"</f>
        <v>0.745</v>
      </c>
      <c r="J8" s="15" t="str">
        <f>"0.749"</f>
        <v>0.749</v>
      </c>
      <c r="K8" s="15" t="str">
        <f>"0.760"</f>
        <v>0.760</v>
      </c>
      <c r="L8" s="16" t="str">
        <f>"0.739"</f>
        <v>0.739</v>
      </c>
      <c r="M8" s="14" t="str">
        <f>"0.798"</f>
        <v>0.798</v>
      </c>
      <c r="N8" s="15" t="str">
        <f>"0.795"</f>
        <v>0.795</v>
      </c>
      <c r="O8" s="15" t="str">
        <f>"0.794"</f>
        <v>0.794</v>
      </c>
      <c r="P8" s="15" t="str">
        <f>"0.798"</f>
        <v>0.798</v>
      </c>
      <c r="Q8" s="16" t="str">
        <f>"0.781"</f>
        <v>0.781</v>
      </c>
    </row>
    <row r="9" spans="1:24" s="13" customFormat="1">
      <c r="C9" s="14" t="str">
        <f>"(0.334)"</f>
        <v>(0.334)</v>
      </c>
      <c r="D9" s="15" t="str">
        <f>"(0.256)"</f>
        <v>(0.256)</v>
      </c>
      <c r="E9" s="15" t="str">
        <f>"(0.155)"</f>
        <v>(0.155)</v>
      </c>
      <c r="F9" s="15" t="str">
        <f>"(0.120)"</f>
        <v>(0.120)</v>
      </c>
      <c r="G9" s="16" t="str">
        <f>"(0.0616)"</f>
        <v>(0.0616)</v>
      </c>
      <c r="H9" s="14" t="str">
        <f>"(0.419)"</f>
        <v>(0.419)</v>
      </c>
      <c r="I9" s="15" t="str">
        <f>"(0.391)"</f>
        <v>(0.391)</v>
      </c>
      <c r="J9" s="15" t="str">
        <f>"(0.310)"</f>
        <v>(0.310)</v>
      </c>
      <c r="K9" s="15" t="str">
        <f>"(0.213)"</f>
        <v>(0.213)</v>
      </c>
      <c r="L9" s="16" t="str">
        <f>"(0.121)"</f>
        <v>(0.121)</v>
      </c>
      <c r="M9" s="14" t="str">
        <f>"(0.335)"</f>
        <v>(0.335)</v>
      </c>
      <c r="N9" s="15" t="str">
        <f>"(0.258)"</f>
        <v>(0.258)</v>
      </c>
      <c r="O9" s="15" t="str">
        <f>"(0.154)"</f>
        <v>(0.154)</v>
      </c>
      <c r="P9" s="15" t="str">
        <f>"(0.118)"</f>
        <v>(0.118)</v>
      </c>
      <c r="Q9" s="16" t="str">
        <f>"(0.0605)"</f>
        <v>(0.0605)</v>
      </c>
    </row>
    <row r="10" spans="1:24" s="17" customFormat="1">
      <c r="A10" s="13"/>
      <c r="B10" s="17" t="s">
        <v>11</v>
      </c>
      <c r="C10" s="18" t="str">
        <f>"0.0958"</f>
        <v>0.0958</v>
      </c>
      <c r="D10" s="19" t="str">
        <f>"0.0969"</f>
        <v>0.0969</v>
      </c>
      <c r="E10" s="19" t="str">
        <f>"0.0994"</f>
        <v>0.0994</v>
      </c>
      <c r="F10" s="19" t="str">
        <f>"0.0965"</f>
        <v>0.0965</v>
      </c>
      <c r="G10" s="20" t="str">
        <f>"0.109"</f>
        <v>0.109</v>
      </c>
      <c r="H10" s="18" t="str">
        <f>"0.0898"</f>
        <v>0.0898</v>
      </c>
      <c r="I10" s="19" t="str">
        <f>"0.0914"</f>
        <v>0.0914</v>
      </c>
      <c r="J10" s="19" t="str">
        <f>"0.0909"</f>
        <v>0.0909</v>
      </c>
      <c r="K10" s="19" t="str">
        <f>"0.0890"</f>
        <v>0.0890</v>
      </c>
      <c r="L10" s="20" t="str">
        <f>"0.0983"</f>
        <v>0.0983</v>
      </c>
      <c r="M10" s="18" t="str">
        <f>"0.0960"</f>
        <v>0.0960</v>
      </c>
      <c r="N10" s="19" t="str">
        <f>"0.0972"</f>
        <v>0.0972</v>
      </c>
      <c r="O10" s="19" t="str">
        <f>"0.0998"</f>
        <v>0.0998</v>
      </c>
      <c r="P10" s="19" t="str">
        <f>"0.0971"</f>
        <v>0.0971</v>
      </c>
      <c r="Q10" s="20" t="str">
        <f>"0.110"</f>
        <v>0.110</v>
      </c>
      <c r="R10" s="13"/>
      <c r="S10" s="13"/>
      <c r="T10" s="13"/>
      <c r="U10" s="13"/>
      <c r="V10" s="13"/>
      <c r="W10" s="13"/>
      <c r="X10" s="13"/>
    </row>
    <row r="11" spans="1:24" s="17" customFormat="1">
      <c r="A11" s="13"/>
      <c r="C11" s="18" t="str">
        <f>"(0.237)"</f>
        <v>(0.237)</v>
      </c>
      <c r="D11" s="19" t="str">
        <f>"(0.176)"</f>
        <v>(0.176)</v>
      </c>
      <c r="E11" s="19" t="str">
        <f>"(0.0935)"</f>
        <v>(0.0935)</v>
      </c>
      <c r="F11" s="19" t="str">
        <f>"(0.0517)"</f>
        <v>(0.0517)</v>
      </c>
      <c r="G11" s="20" t="str">
        <f>"(0.0333)"</f>
        <v>(0.0333)</v>
      </c>
      <c r="H11" s="18" t="str">
        <f>"(0.271)"</f>
        <v>(0.271)</v>
      </c>
      <c r="I11" s="19" t="str">
        <f>"(0.253)"</f>
        <v>(0.253)</v>
      </c>
      <c r="J11" s="19" t="str">
        <f>"(0.194)"</f>
        <v>(0.194)</v>
      </c>
      <c r="K11" s="19" t="str">
        <f>"(0.114)"</f>
        <v>(0.114)</v>
      </c>
      <c r="L11" s="20" t="str">
        <f>"(0.0652)"</f>
        <v>(0.0652)</v>
      </c>
      <c r="M11" s="18" t="str">
        <f>"(0.239)"</f>
        <v>(0.239)</v>
      </c>
      <c r="N11" s="19" t="str">
        <f>"(0.179)"</f>
        <v>(0.179)</v>
      </c>
      <c r="O11" s="19" t="str">
        <f>"(0.0943)"</f>
        <v>(0.0943)</v>
      </c>
      <c r="P11" s="19" t="str">
        <f>"(0.0524)"</f>
        <v>(0.0524)</v>
      </c>
      <c r="Q11" s="20" t="str">
        <f>"(0.0334)"</f>
        <v>(0.0334)</v>
      </c>
      <c r="R11" s="13"/>
      <c r="S11" s="13"/>
      <c r="T11" s="13"/>
      <c r="U11" s="13"/>
      <c r="V11" s="13"/>
      <c r="W11" s="13"/>
      <c r="X11" s="13"/>
    </row>
    <row r="12" spans="1:24" s="13" customFormat="1">
      <c r="B12" s="13" t="s">
        <v>12</v>
      </c>
      <c r="C12" s="14" t="str">
        <f>"0.0214"</f>
        <v>0.0214</v>
      </c>
      <c r="D12" s="15" t="str">
        <f>"0.0212"</f>
        <v>0.0212</v>
      </c>
      <c r="E12" s="15" t="str">
        <f>"0.0221"</f>
        <v>0.0221</v>
      </c>
      <c r="F12" s="15" t="str">
        <f>"0.0210"</f>
        <v>0.0210</v>
      </c>
      <c r="G12" s="16" t="str">
        <f>"0.0201"</f>
        <v>0.0201</v>
      </c>
      <c r="H12" s="14" t="str">
        <f>"0.0269"</f>
        <v>0.0269</v>
      </c>
      <c r="I12" s="15" t="str">
        <f>"0.0277"</f>
        <v>0.0277</v>
      </c>
      <c r="J12" s="15" t="str">
        <f>"0.0303"</f>
        <v>0.0303</v>
      </c>
      <c r="K12" s="15" t="str">
        <f>"0.0303"</f>
        <v>0.0303</v>
      </c>
      <c r="L12" s="16" t="str">
        <f>"0.0329"</f>
        <v>0.0329</v>
      </c>
      <c r="M12" s="14" t="str">
        <f>"0.0210"</f>
        <v>0.0210</v>
      </c>
      <c r="N12" s="15" t="str">
        <f>"0.0209"</f>
        <v>0.0209</v>
      </c>
      <c r="O12" s="15" t="str">
        <f>"0.0214"</f>
        <v>0.0214</v>
      </c>
      <c r="P12" s="15" t="str">
        <f>"0.0205"</f>
        <v>0.0205</v>
      </c>
      <c r="Q12" s="16" t="str">
        <f>"0.0192"</f>
        <v>0.0192</v>
      </c>
    </row>
    <row r="13" spans="1:24" s="13" customFormat="1">
      <c r="C13" s="14" t="str">
        <f>"(0.125)"</f>
        <v>(0.125)</v>
      </c>
      <c r="D13" s="15" t="str">
        <f>"(0.0962)"</f>
        <v>(0.0962)</v>
      </c>
      <c r="E13" s="15" t="str">
        <f>"(0.0596)"</f>
        <v>(0.0596)</v>
      </c>
      <c r="F13" s="15" t="str">
        <f>"(0.0374)"</f>
        <v>(0.0374)</v>
      </c>
      <c r="G13" s="16" t="str">
        <f>"(0.0219)"</f>
        <v>(0.0219)</v>
      </c>
      <c r="H13" s="14" t="str">
        <f>"(0.156)"</f>
        <v>(0.156)</v>
      </c>
      <c r="I13" s="15" t="str">
        <f>"(0.148)"</f>
        <v>(0.148)</v>
      </c>
      <c r="J13" s="15" t="str">
        <f>"(0.124)"</f>
        <v>(0.124)</v>
      </c>
      <c r="K13" s="15" t="str">
        <f>"(0.0834)"</f>
        <v>(0.0834)</v>
      </c>
      <c r="L13" s="16" t="str">
        <f>"(0.0441)"</f>
        <v>(0.0441)</v>
      </c>
      <c r="M13" s="14" t="str">
        <f>"(0.125)"</f>
        <v>(0.125)</v>
      </c>
      <c r="N13" s="15" t="str">
        <f>"(0.0972)"</f>
        <v>(0.0972)</v>
      </c>
      <c r="O13" s="15" t="str">
        <f>"(0.0586)"</f>
        <v>(0.0586)</v>
      </c>
      <c r="P13" s="15" t="str">
        <f>"(0.0372)"</f>
        <v>(0.0372)</v>
      </c>
      <c r="Q13" s="16" t="str">
        <f>"(0.0211)"</f>
        <v>(0.0211)</v>
      </c>
    </row>
    <row r="14" spans="1:24" s="17" customFormat="1">
      <c r="A14" s="13"/>
      <c r="B14" s="17" t="s">
        <v>13</v>
      </c>
      <c r="C14" s="18" t="str">
        <f>"0.983"</f>
        <v>0.983</v>
      </c>
      <c r="D14" s="19" t="str">
        <f>"0.982"</f>
        <v>0.982</v>
      </c>
      <c r="E14" s="19" t="str">
        <f>"0.979"</f>
        <v>0.979</v>
      </c>
      <c r="F14" s="19" t="str">
        <f>"0.978"</f>
        <v>0.978</v>
      </c>
      <c r="G14" s="20" t="str">
        <f>"0.982"</f>
        <v>0.982</v>
      </c>
      <c r="H14" s="18" t="str">
        <f>"0.940"</f>
        <v>0.940</v>
      </c>
      <c r="I14" s="19" t="str">
        <f>"0.943"</f>
        <v>0.943</v>
      </c>
      <c r="J14" s="19" t="str">
        <f>"0.942"</f>
        <v>0.942</v>
      </c>
      <c r="K14" s="19" t="str">
        <f>"0.943"</f>
        <v>0.943</v>
      </c>
      <c r="L14" s="20" t="str">
        <f>"0.955"</f>
        <v>0.955</v>
      </c>
      <c r="M14" s="18" t="str">
        <f>"0.985"</f>
        <v>0.985</v>
      </c>
      <c r="N14" s="19" t="str">
        <f>"0.984"</f>
        <v>0.984</v>
      </c>
      <c r="O14" s="19" t="str">
        <f>"0.981"</f>
        <v>0.981</v>
      </c>
      <c r="P14" s="19" t="str">
        <f>"0.980"</f>
        <v>0.980</v>
      </c>
      <c r="Q14" s="20" t="str">
        <f>"0.983"</f>
        <v>0.983</v>
      </c>
      <c r="R14" s="13"/>
      <c r="S14" s="13"/>
      <c r="T14" s="13"/>
      <c r="U14" s="13"/>
      <c r="V14" s="13"/>
      <c r="W14" s="13"/>
      <c r="X14" s="13"/>
    </row>
    <row r="15" spans="1:24" s="17" customFormat="1">
      <c r="A15" s="13"/>
      <c r="C15" s="18" t="str">
        <f>"(0.0972)"</f>
        <v>(0.0972)</v>
      </c>
      <c r="D15" s="19" t="str">
        <f>"(0.0762)"</f>
        <v>(0.0762)</v>
      </c>
      <c r="E15" s="19" t="str">
        <f>"(0.0505)"</f>
        <v>(0.0505)</v>
      </c>
      <c r="F15" s="19" t="str">
        <f>"(0.0399)"</f>
        <v>(0.0399)</v>
      </c>
      <c r="G15" s="20" t="str">
        <f>"(0.0242)"</f>
        <v>(0.0242)</v>
      </c>
      <c r="H15" s="18" t="str">
        <f>"(0.220)"</f>
        <v>(0.220)</v>
      </c>
      <c r="I15" s="19" t="str">
        <f>"(0.198)"</f>
        <v>(0.198)</v>
      </c>
      <c r="J15" s="19" t="str">
        <f>"(0.161)"</f>
        <v>(0.161)</v>
      </c>
      <c r="K15" s="19" t="str">
        <f>"(0.119)"</f>
        <v>(0.119)</v>
      </c>
      <c r="L15" s="20" t="str">
        <f>"(0.0774)"</f>
        <v>(0.0774)</v>
      </c>
      <c r="M15" s="18" t="str">
        <f>"(0.0929)"</f>
        <v>(0.0929)</v>
      </c>
      <c r="N15" s="19" t="str">
        <f>"(0.0725)"</f>
        <v>(0.0725)</v>
      </c>
      <c r="O15" s="19" t="str">
        <f>"(0.0478)"</f>
        <v>(0.0478)</v>
      </c>
      <c r="P15" s="19" t="str">
        <f>"(0.0383)"</f>
        <v>(0.0383)</v>
      </c>
      <c r="Q15" s="20" t="str">
        <f>"(0.0243)"</f>
        <v>(0.0243)</v>
      </c>
      <c r="R15" s="13"/>
      <c r="S15" s="13"/>
      <c r="T15" s="13"/>
      <c r="U15" s="13"/>
      <c r="V15" s="13"/>
      <c r="W15" s="13"/>
      <c r="X15" s="13"/>
    </row>
    <row r="16" spans="1:24" s="13" customFormat="1">
      <c r="B16" s="13" t="s">
        <v>14</v>
      </c>
      <c r="C16" s="14" t="str">
        <f>"0.0422"</f>
        <v>0.0422</v>
      </c>
      <c r="D16" s="15" t="str">
        <f>"0.0418"</f>
        <v>0.0418</v>
      </c>
      <c r="E16" s="15" t="str">
        <f>"0.0390"</f>
        <v>0.0390</v>
      </c>
      <c r="F16" s="15" t="str">
        <f>"0.0380"</f>
        <v>0.0380</v>
      </c>
      <c r="G16" s="16" t="str">
        <f>"0.0369"</f>
        <v>0.0369</v>
      </c>
      <c r="H16" s="14" t="str">
        <f>"0.0848"</f>
        <v>0.0848</v>
      </c>
      <c r="I16" s="15" t="str">
        <f>"0.0826"</f>
        <v>0.0826</v>
      </c>
      <c r="J16" s="15" t="str">
        <f>"0.0804"</f>
        <v>0.0804</v>
      </c>
      <c r="K16" s="15" t="str">
        <f>"0.0800"</f>
        <v>0.0800</v>
      </c>
      <c r="L16" s="16" t="str">
        <f>"0.0793"</f>
        <v>0.0793</v>
      </c>
      <c r="M16" s="14" t="str">
        <f>"0.0390"</f>
        <v>0.0390</v>
      </c>
      <c r="N16" s="15" t="str">
        <f>"0.0387"</f>
        <v>0.0387</v>
      </c>
      <c r="O16" s="15" t="str">
        <f>"0.0360"</f>
        <v>0.0360</v>
      </c>
      <c r="P16" s="15" t="str">
        <f>"0.0349"</f>
        <v>0.0349</v>
      </c>
      <c r="Q16" s="16" t="str">
        <f>"0.0337"</f>
        <v>0.0337</v>
      </c>
    </row>
    <row r="17" spans="1:24" s="13" customFormat="1">
      <c r="C17" s="14" t="str">
        <f>"(0.159)"</f>
        <v>(0.159)</v>
      </c>
      <c r="D17" s="15" t="str">
        <f>"(0.114)"</f>
        <v>(0.114)</v>
      </c>
      <c r="E17" s="15" t="str">
        <f>"(0.0532)"</f>
        <v>(0.0532)</v>
      </c>
      <c r="F17" s="15" t="str">
        <f>"(0.0221)"</f>
        <v>(0.0221)</v>
      </c>
      <c r="G17" s="16" t="str">
        <f>"(0.0117)"</f>
        <v>(0.0117)</v>
      </c>
      <c r="H17" s="14" t="str">
        <f>"(0.265)"</f>
        <v>(0.265)</v>
      </c>
      <c r="I17" s="15" t="str">
        <f>"(0.239)"</f>
        <v>(0.239)</v>
      </c>
      <c r="J17" s="15" t="str">
        <f>"(0.180)"</f>
        <v>(0.180)</v>
      </c>
      <c r="K17" s="15" t="str">
        <f>"(0.107)"</f>
        <v>(0.107)</v>
      </c>
      <c r="L17" s="16" t="str">
        <f>"(0.0538)"</f>
        <v>(0.0538)</v>
      </c>
      <c r="M17" s="14" t="str">
        <f>"(0.154)"</f>
        <v>(0.154)</v>
      </c>
      <c r="N17" s="15" t="str">
        <f>"(0.113)"</f>
        <v>(0.113)</v>
      </c>
      <c r="O17" s="15" t="str">
        <f>"(0.0513)"</f>
        <v>(0.0513)</v>
      </c>
      <c r="P17" s="15" t="str">
        <f>"(0.0213)"</f>
        <v>(0.0213)</v>
      </c>
      <c r="Q17" s="16" t="str">
        <f>"(0.0110)"</f>
        <v>(0.0110)</v>
      </c>
    </row>
    <row r="18" spans="1:24" s="17" customFormat="1">
      <c r="A18" s="13"/>
      <c r="B18" s="17" t="s">
        <v>15</v>
      </c>
      <c r="C18" s="18" t="str">
        <f>"0.549"</f>
        <v>0.549</v>
      </c>
      <c r="D18" s="19" t="str">
        <f>"0.573"</f>
        <v>0.573</v>
      </c>
      <c r="E18" s="19" t="str">
        <f>"0.620"</f>
        <v>0.620</v>
      </c>
      <c r="F18" s="19" t="str">
        <f>"0.635"</f>
        <v>0.635</v>
      </c>
      <c r="G18" s="20" t="str">
        <f>"0.633"</f>
        <v>0.633</v>
      </c>
      <c r="H18" s="18" t="str">
        <f>"0.493"</f>
        <v>0.493</v>
      </c>
      <c r="I18" s="19" t="str">
        <f>"0.493"</f>
        <v>0.493</v>
      </c>
      <c r="J18" s="19" t="str">
        <f>"0.498"</f>
        <v>0.498</v>
      </c>
      <c r="K18" s="19" t="str">
        <f>"0.490"</f>
        <v>0.490</v>
      </c>
      <c r="L18" s="20" t="str">
        <f>"0.492"</f>
        <v>0.492</v>
      </c>
      <c r="M18" s="18" t="str">
        <f>"0.561"</f>
        <v>0.561</v>
      </c>
      <c r="N18" s="19" t="str">
        <f>"0.584"</f>
        <v>0.584</v>
      </c>
      <c r="O18" s="19" t="str">
        <f>"0.629"</f>
        <v>0.629</v>
      </c>
      <c r="P18" s="19" t="str">
        <f>"0.645"</f>
        <v>0.645</v>
      </c>
      <c r="Q18" s="20" t="str">
        <f>"0.642"</f>
        <v>0.642</v>
      </c>
      <c r="R18" s="13"/>
      <c r="S18" s="13"/>
      <c r="T18" s="13"/>
      <c r="U18" s="13"/>
      <c r="V18" s="13"/>
      <c r="W18" s="13"/>
      <c r="X18" s="13"/>
    </row>
    <row r="19" spans="1:24" s="17" customFormat="1">
      <c r="A19" s="13"/>
      <c r="C19" s="18" t="str">
        <f>"(0.477)"</f>
        <v>(0.477)</v>
      </c>
      <c r="D19" s="19" t="str">
        <f>"(0.377)"</f>
        <v>(0.377)</v>
      </c>
      <c r="E19" s="19" t="str">
        <f>"(0.244)"</f>
        <v>(0.244)</v>
      </c>
      <c r="F19" s="19" t="str">
        <f>"(0.192)"</f>
        <v>(0.192)</v>
      </c>
      <c r="G19" s="20" t="str">
        <f>"(0.175)"</f>
        <v>(0.175)</v>
      </c>
      <c r="H19" s="18" t="str">
        <f>"(0.490)"</f>
        <v>(0.490)</v>
      </c>
      <c r="I19" s="19" t="str">
        <f>"(0.461)"</f>
        <v>(0.461)</v>
      </c>
      <c r="J19" s="19" t="str">
        <f>"(0.371)"</f>
        <v>(0.371)</v>
      </c>
      <c r="K19" s="19" t="str">
        <f>"(0.256)"</f>
        <v>(0.256)</v>
      </c>
      <c r="L19" s="20" t="str">
        <f>"(0.177)"</f>
        <v>(0.177)</v>
      </c>
      <c r="M19" s="18" t="str">
        <f>"(0.476)"</f>
        <v>(0.476)</v>
      </c>
      <c r="N19" s="19" t="str">
        <f>"(0.378)"</f>
        <v>(0.378)</v>
      </c>
      <c r="O19" s="19" t="str">
        <f>"(0.246)"</f>
        <v>(0.246)</v>
      </c>
      <c r="P19" s="19" t="str">
        <f>"(0.194)"</f>
        <v>(0.194)</v>
      </c>
      <c r="Q19" s="20" t="str">
        <f>"(0.178)"</f>
        <v>(0.178)</v>
      </c>
      <c r="R19" s="13"/>
      <c r="S19" s="13"/>
      <c r="T19" s="13"/>
      <c r="U19" s="13"/>
      <c r="V19" s="13"/>
      <c r="W19" s="13"/>
      <c r="X19" s="13"/>
    </row>
    <row r="20" spans="1:24" s="21" customFormat="1">
      <c r="B20" s="22" t="s">
        <v>16</v>
      </c>
      <c r="C20" s="23">
        <v>76243.8</v>
      </c>
      <c r="D20" s="24">
        <v>77705.899999999994</v>
      </c>
      <c r="E20" s="24">
        <v>78606.399999999994</v>
      </c>
      <c r="F20" s="24">
        <v>78866.3</v>
      </c>
      <c r="G20" s="25">
        <v>83018.3</v>
      </c>
      <c r="H20" s="23">
        <v>60240.3</v>
      </c>
      <c r="I20" s="24">
        <v>60818.5</v>
      </c>
      <c r="J20" s="24">
        <v>60632.9</v>
      </c>
      <c r="K20" s="24">
        <v>59045.4</v>
      </c>
      <c r="L20" s="25">
        <v>63126.2</v>
      </c>
      <c r="M20" s="23">
        <v>77916.899999999994</v>
      </c>
      <c r="N20" s="24">
        <v>79095.8</v>
      </c>
      <c r="O20" s="24">
        <v>79832.899999999994</v>
      </c>
      <c r="P20" s="24">
        <v>80190.8</v>
      </c>
      <c r="Q20" s="25">
        <v>84397.5</v>
      </c>
    </row>
    <row r="21" spans="1:24" s="26" customFormat="1">
      <c r="C21" s="27">
        <v>-74190.899999999994</v>
      </c>
      <c r="D21" s="28">
        <v>-52142.7</v>
      </c>
      <c r="E21" s="28">
        <v>-32624.7</v>
      </c>
      <c r="F21" s="28">
        <v>-25525.3</v>
      </c>
      <c r="G21" s="29">
        <v>-23193.7</v>
      </c>
      <c r="H21" s="27">
        <v>-59005.4</v>
      </c>
      <c r="I21" s="28">
        <v>-57641.8</v>
      </c>
      <c r="J21" s="28">
        <v>-53624</v>
      </c>
      <c r="K21" s="28">
        <v>-28153.599999999999</v>
      </c>
      <c r="L21" s="29">
        <v>-27498.3</v>
      </c>
      <c r="M21" s="27">
        <v>-75034.100000000006</v>
      </c>
      <c r="N21" s="28">
        <v>-52770.6</v>
      </c>
      <c r="O21" s="28">
        <v>-33266.1</v>
      </c>
      <c r="P21" s="28">
        <v>-25964.5</v>
      </c>
      <c r="Q21" s="29">
        <v>-23355.7</v>
      </c>
    </row>
    <row r="22" spans="1:24" s="17" customFormat="1">
      <c r="A22" s="13"/>
      <c r="B22" s="17" t="s">
        <v>17</v>
      </c>
      <c r="C22" s="18" t="str">
        <f>"0.109"</f>
        <v>0.109</v>
      </c>
      <c r="D22" s="19" t="str">
        <f>"0.112"</f>
        <v>0.112</v>
      </c>
      <c r="E22" s="19" t="str">
        <f>"0.118"</f>
        <v>0.118</v>
      </c>
      <c r="F22" s="19" t="str">
        <f>"0.117"</f>
        <v>0.117</v>
      </c>
      <c r="G22" s="20" t="str">
        <f>"0.104"</f>
        <v>0.104</v>
      </c>
      <c r="H22" s="18" t="str">
        <f>"0.167"</f>
        <v>0.167</v>
      </c>
      <c r="I22" s="19" t="str">
        <f>"0.166"</f>
        <v>0.166</v>
      </c>
      <c r="J22" s="19" t="str">
        <f>"0.175"</f>
        <v>0.175</v>
      </c>
      <c r="K22" s="19" t="str">
        <f>"0.182"</f>
        <v>0.182</v>
      </c>
      <c r="L22" s="20" t="str">
        <f>"0.166"</f>
        <v>0.166</v>
      </c>
      <c r="M22" s="18" t="str">
        <f>"0.104"</f>
        <v>0.104</v>
      </c>
      <c r="N22" s="19" t="str">
        <f>"0.106"</f>
        <v>0.106</v>
      </c>
      <c r="O22" s="19" t="str">
        <f>"0.113"</f>
        <v>0.113</v>
      </c>
      <c r="P22" s="19" t="str">
        <f>"0.112"</f>
        <v>0.112</v>
      </c>
      <c r="Q22" s="20" t="str">
        <f>"0.0992"</f>
        <v>0.0992</v>
      </c>
      <c r="R22" s="13"/>
      <c r="S22" s="13"/>
      <c r="T22" s="13"/>
      <c r="U22" s="13"/>
      <c r="V22" s="13"/>
      <c r="W22" s="13"/>
      <c r="X22" s="13"/>
    </row>
    <row r="23" spans="1:24" s="17" customFormat="1">
      <c r="A23" s="13"/>
      <c r="C23" s="18" t="str">
        <f>"(0.281)"</f>
        <v>(0.281)</v>
      </c>
      <c r="D23" s="19" t="str">
        <f>"(0.223)"</f>
        <v>(0.223)</v>
      </c>
      <c r="E23" s="19" t="str">
        <f>"(0.138)"</f>
        <v>(0.138)</v>
      </c>
      <c r="F23" s="19" t="str">
        <f>"(0.0926)"</f>
        <v>(0.0926)</v>
      </c>
      <c r="G23" s="20" t="str">
        <f>"(0.0788)"</f>
        <v>(0.0788)</v>
      </c>
      <c r="H23" s="18" t="str">
        <f>"(0.357)"</f>
        <v>(0.357)</v>
      </c>
      <c r="I23" s="19" t="str">
        <f>"(0.329)"</f>
        <v>(0.329)</v>
      </c>
      <c r="J23" s="19" t="str">
        <f>"(0.269)"</f>
        <v>(0.269)</v>
      </c>
      <c r="K23" s="19" t="str">
        <f>"(0.182)"</f>
        <v>(0.182)</v>
      </c>
      <c r="L23" s="20" t="str">
        <f>"(0.129)"</f>
        <v>(0.129)</v>
      </c>
      <c r="M23" s="18" t="str">
        <f>"(0.275)"</f>
        <v>(0.275)</v>
      </c>
      <c r="N23" s="19" t="str">
        <f>"(0.220)"</f>
        <v>(0.220)</v>
      </c>
      <c r="O23" s="19" t="str">
        <f>"(0.137)"</f>
        <v>(0.137)</v>
      </c>
      <c r="P23" s="19" t="str">
        <f>"(0.0914)"</f>
        <v>(0.0914)</v>
      </c>
      <c r="Q23" s="20" t="str">
        <f>"(0.0762)"</f>
        <v>(0.0762)</v>
      </c>
      <c r="R23" s="13"/>
      <c r="S23" s="13"/>
      <c r="T23" s="13"/>
      <c r="U23" s="13"/>
      <c r="V23" s="13"/>
      <c r="W23" s="13"/>
      <c r="X23" s="13"/>
    </row>
    <row r="24" spans="1:24" s="13" customFormat="1">
      <c r="B24" s="13" t="s">
        <v>18</v>
      </c>
      <c r="C24" s="14" t="str">
        <f>"0.237"</f>
        <v>0.237</v>
      </c>
      <c r="D24" s="15" t="str">
        <f>"0.231"</f>
        <v>0.231</v>
      </c>
      <c r="E24" s="15" t="str">
        <f>"0.213"</f>
        <v>0.213</v>
      </c>
      <c r="F24" s="15" t="str">
        <f>"0.206"</f>
        <v>0.206</v>
      </c>
      <c r="G24" s="16" t="str">
        <f>"0.233"</f>
        <v>0.233</v>
      </c>
      <c r="H24" s="14" t="str">
        <f>"0.160"</f>
        <v>0.160</v>
      </c>
      <c r="I24" s="15" t="str">
        <f>"0.164"</f>
        <v>0.164</v>
      </c>
      <c r="J24" s="15" t="str">
        <f>"0.161"</f>
        <v>0.161</v>
      </c>
      <c r="K24" s="15" t="str">
        <f>"0.154"</f>
        <v>0.154</v>
      </c>
      <c r="L24" s="16" t="str">
        <f>"0.165"</f>
        <v>0.165</v>
      </c>
      <c r="M24" s="14" t="str">
        <f>"0.241"</f>
        <v>0.241</v>
      </c>
      <c r="N24" s="15" t="str">
        <f>"0.234"</f>
        <v>0.234</v>
      </c>
      <c r="O24" s="15" t="str">
        <f>"0.217"</f>
        <v>0.217</v>
      </c>
      <c r="P24" s="15" t="str">
        <f>"0.209"</f>
        <v>0.209</v>
      </c>
      <c r="Q24" s="16" t="str">
        <f>"0.237"</f>
        <v>0.237</v>
      </c>
    </row>
    <row r="25" spans="1:24" s="13" customFormat="1">
      <c r="C25" s="14" t="str">
        <f>"(0.354)"</f>
        <v>(0.354)</v>
      </c>
      <c r="D25" s="15" t="str">
        <f>"(0.272)"</f>
        <v>(0.272)</v>
      </c>
      <c r="E25" s="15" t="str">
        <f>"(0.168)"</f>
        <v>(0.168)</v>
      </c>
      <c r="F25" s="15" t="str">
        <f>"(0.126)"</f>
        <v>(0.126)</v>
      </c>
      <c r="G25" s="16" t="str">
        <f>"(0.0848)"</f>
        <v>(0.0848)</v>
      </c>
      <c r="H25" s="14" t="str">
        <f>"(0.352)"</f>
        <v>(0.352)</v>
      </c>
      <c r="I25" s="15" t="str">
        <f>"(0.334)"</f>
        <v>(0.334)</v>
      </c>
      <c r="J25" s="15" t="str">
        <f>"(0.260)"</f>
        <v>(0.260)</v>
      </c>
      <c r="K25" s="15" t="str">
        <f>"(0.172)"</f>
        <v>(0.172)</v>
      </c>
      <c r="L25" s="16" t="str">
        <f>"(0.0769)"</f>
        <v>(0.0769)</v>
      </c>
      <c r="M25" s="14" t="str">
        <f>"(0.357)"</f>
        <v>(0.357)</v>
      </c>
      <c r="N25" s="15" t="str">
        <f>"(0.276)"</f>
        <v>(0.276)</v>
      </c>
      <c r="O25" s="15" t="str">
        <f>"(0.171)"</f>
        <v>(0.171)</v>
      </c>
      <c r="P25" s="15" t="str">
        <f>"(0.127)"</f>
        <v>(0.127)</v>
      </c>
      <c r="Q25" s="16" t="str">
        <f>"(0.0875)"</f>
        <v>(0.0875)</v>
      </c>
    </row>
    <row r="26" spans="1:24" s="17" customFormat="1">
      <c r="A26" s="13"/>
      <c r="B26" s="17" t="s">
        <v>19</v>
      </c>
      <c r="C26" s="18" t="str">
        <f>"24.58"</f>
        <v>24.58</v>
      </c>
      <c r="D26" s="19" t="str">
        <f>"24.66"</f>
        <v>24.66</v>
      </c>
      <c r="E26" s="19" t="str">
        <f>"23.90"</f>
        <v>23.90</v>
      </c>
      <c r="F26" s="19" t="str">
        <f>"23.44"</f>
        <v>23.44</v>
      </c>
      <c r="G26" s="20" t="str">
        <f>"24.67"</f>
        <v>24.67</v>
      </c>
      <c r="H26" s="18" t="str">
        <f>"17.42"</f>
        <v>17.42</v>
      </c>
      <c r="I26" s="19" t="str">
        <f>"17.72"</f>
        <v>17.72</v>
      </c>
      <c r="J26" s="19" t="str">
        <f>"18.14"</f>
        <v>18.14</v>
      </c>
      <c r="K26" s="19" t="str">
        <f>"18.34"</f>
        <v>18.34</v>
      </c>
      <c r="L26" s="20" t="str">
        <f>"18.78"</f>
        <v>18.78</v>
      </c>
      <c r="M26" s="18" t="str">
        <f>"25.02"</f>
        <v>25.02</v>
      </c>
      <c r="N26" s="19" t="str">
        <f>"25.08"</f>
        <v>25.08</v>
      </c>
      <c r="O26" s="19" t="str">
        <f>"24.30"</f>
        <v>24.30</v>
      </c>
      <c r="P26" s="19" t="str">
        <f>"23.81"</f>
        <v>23.81</v>
      </c>
      <c r="Q26" s="20" t="str">
        <f>"25.07"</f>
        <v>25.07</v>
      </c>
      <c r="R26" s="13"/>
      <c r="S26" s="13"/>
      <c r="T26" s="13"/>
      <c r="U26" s="13"/>
      <c r="V26" s="13"/>
      <c r="W26" s="13"/>
      <c r="X26" s="13"/>
    </row>
    <row r="27" spans="1:24" s="17" customFormat="1">
      <c r="A27" s="13"/>
      <c r="C27" s="18" t="str">
        <f>"(17.11)"</f>
        <v>(17.11)</v>
      </c>
      <c r="D27" s="19" t="str">
        <f>"(12.99)"</f>
        <v>(12.99)</v>
      </c>
      <c r="E27" s="19" t="str">
        <f>"(7.337)"</f>
        <v>(7.337)</v>
      </c>
      <c r="F27" s="19" t="str">
        <f>"(4.250)"</f>
        <v>(4.250)</v>
      </c>
      <c r="G27" s="20" t="str">
        <f>"(4.359)"</f>
        <v>(4.359)</v>
      </c>
      <c r="H27" s="18" t="str">
        <f>"(21.11)"</f>
        <v>(21.11)</v>
      </c>
      <c r="I27" s="19" t="str">
        <f>"(19.77)"</f>
        <v>(19.77)</v>
      </c>
      <c r="J27" s="19" t="str">
        <f>"(16.09)"</f>
        <v>(16.09)</v>
      </c>
      <c r="K27" s="19" t="str">
        <f>"(10.28)"</f>
        <v>(10.28)</v>
      </c>
      <c r="L27" s="20" t="str">
        <f>"(5.837)"</f>
        <v>(5.837)</v>
      </c>
      <c r="M27" s="18" t="str">
        <f>"(17.11)"</f>
        <v>(17.11)</v>
      </c>
      <c r="N27" s="19" t="str">
        <f>"(13.05)"</f>
        <v>(13.05)</v>
      </c>
      <c r="O27" s="19" t="str">
        <f>"(7.367)"</f>
        <v>(7.367)</v>
      </c>
      <c r="P27" s="19" t="str">
        <f>"(4.233)"</f>
        <v>(4.233)</v>
      </c>
      <c r="Q27" s="20" t="str">
        <f>"(4.317)"</f>
        <v>(4.317)</v>
      </c>
      <c r="R27" s="13"/>
      <c r="S27" s="13"/>
      <c r="T27" s="13"/>
      <c r="U27" s="13"/>
      <c r="V27" s="13"/>
      <c r="W27" s="13"/>
      <c r="X27" s="13"/>
    </row>
    <row r="28" spans="1:24" s="13" customFormat="1">
      <c r="B28" s="13" t="s">
        <v>20</v>
      </c>
      <c r="C28" s="14" t="str">
        <f>"0.955"</f>
        <v>0.955</v>
      </c>
      <c r="D28" s="15" t="str">
        <f>"0.979"</f>
        <v>0.979</v>
      </c>
      <c r="E28" s="15" t="str">
        <f>"1.035"</f>
        <v>1.035</v>
      </c>
      <c r="F28" s="15" t="str">
        <f>"1.059"</f>
        <v>1.059</v>
      </c>
      <c r="G28" s="16" t="str">
        <f>"1.084"</f>
        <v>1.084</v>
      </c>
      <c r="H28" s="14" t="str">
        <f>"0.823"</f>
        <v>0.823</v>
      </c>
      <c r="I28" s="15" t="str">
        <f>"0.837"</f>
        <v>0.837</v>
      </c>
      <c r="J28" s="15" t="str">
        <f>"0.816"</f>
        <v>0.816</v>
      </c>
      <c r="K28" s="15" t="str">
        <f>"0.842"</f>
        <v>0.842</v>
      </c>
      <c r="L28" s="16" t="str">
        <f>"0.809"</f>
        <v>0.809</v>
      </c>
      <c r="M28" s="14" t="str">
        <f>"0.965"</f>
        <v>0.965</v>
      </c>
      <c r="N28" s="15" t="str">
        <f>"0.988"</f>
        <v>0.988</v>
      </c>
      <c r="O28" s="15" t="str">
        <f>"1.049"</f>
        <v>1.049</v>
      </c>
      <c r="P28" s="15" t="str">
        <f>"1.073"</f>
        <v>1.073</v>
      </c>
      <c r="Q28" s="16" t="str">
        <f>"1.098"</f>
        <v>1.098</v>
      </c>
    </row>
    <row r="29" spans="1:24" s="13" customFormat="1">
      <c r="C29" s="14" t="str">
        <f>"(2.790)"</f>
        <v>(2.790)</v>
      </c>
      <c r="D29" s="15" t="str">
        <f>"(2.110)"</f>
        <v>(2.110)</v>
      </c>
      <c r="E29" s="15" t="str">
        <f>"(0.932)"</f>
        <v>(0.932)</v>
      </c>
      <c r="F29" s="15" t="str">
        <f>"(0.425)"</f>
        <v>(0.425)</v>
      </c>
      <c r="G29" s="16" t="str">
        <f>"(0.236)"</f>
        <v>(0.236)</v>
      </c>
      <c r="H29" s="14" t="str">
        <f>"(3.543)"</f>
        <v>(3.543)</v>
      </c>
      <c r="I29" s="15" t="str">
        <f>"(3.542)"</f>
        <v>(3.542)</v>
      </c>
      <c r="J29" s="15" t="str">
        <f>"(2.383)"</f>
        <v>(2.383)</v>
      </c>
      <c r="K29" s="15" t="str">
        <f>"(1.692)"</f>
        <v>(1.692)</v>
      </c>
      <c r="L29" s="16" t="str">
        <f>"(0.749)"</f>
        <v>(0.749)</v>
      </c>
      <c r="M29" s="14" t="str">
        <f>"(2.793)"</f>
        <v>(2.793)</v>
      </c>
      <c r="N29" s="15" t="str">
        <f>"(2.117)"</f>
        <v>(2.117)</v>
      </c>
      <c r="O29" s="15" t="str">
        <f>"(0.988)"</f>
        <v>(0.988)</v>
      </c>
      <c r="P29" s="15" t="str">
        <f>"(0.440)"</f>
        <v>(0.440)</v>
      </c>
      <c r="Q29" s="16" t="str">
        <f>"(0.255)"</f>
        <v>(0.255)</v>
      </c>
    </row>
    <row r="30" spans="1:24" s="17" customFormat="1">
      <c r="A30" s="13"/>
      <c r="B30" s="17" t="s">
        <v>21</v>
      </c>
      <c r="C30" s="18" t="str">
        <f>"0.131"</f>
        <v>0.131</v>
      </c>
      <c r="D30" s="19" t="str">
        <f>"0.141"</f>
        <v>0.141</v>
      </c>
      <c r="E30" s="19" t="str">
        <f>"0.142"</f>
        <v>0.142</v>
      </c>
      <c r="F30" s="19" t="str">
        <f>"0.141"</f>
        <v>0.141</v>
      </c>
      <c r="G30" s="20" t="str">
        <f>"0.145"</f>
        <v>0.145</v>
      </c>
      <c r="H30" s="18" t="str">
        <f>"0.139"</f>
        <v>0.139</v>
      </c>
      <c r="I30" s="19" t="str">
        <f>"0.138"</f>
        <v>0.138</v>
      </c>
      <c r="J30" s="19" t="str">
        <f>"0.139"</f>
        <v>0.139</v>
      </c>
      <c r="K30" s="19" t="str">
        <f>"0.135"</f>
        <v>0.135</v>
      </c>
      <c r="L30" s="20" t="str">
        <f>"0.156"</f>
        <v>0.156</v>
      </c>
      <c r="M30" s="18" t="str">
        <f>"0.132"</f>
        <v>0.132</v>
      </c>
      <c r="N30" s="19" t="str">
        <f>"0.141"</f>
        <v>0.141</v>
      </c>
      <c r="O30" s="19" t="str">
        <f>"0.142"</f>
        <v>0.142</v>
      </c>
      <c r="P30" s="19" t="str">
        <f>"0.141"</f>
        <v>0.141</v>
      </c>
      <c r="Q30" s="20" t="str">
        <f>"0.144"</f>
        <v>0.144</v>
      </c>
      <c r="R30" s="13"/>
      <c r="S30" s="13"/>
      <c r="T30" s="13"/>
      <c r="U30" s="13"/>
      <c r="V30" s="13"/>
      <c r="W30" s="13"/>
      <c r="X30" s="13"/>
    </row>
    <row r="31" spans="1:24" s="17" customFormat="1">
      <c r="A31" s="13"/>
      <c r="C31" s="18" t="str">
        <f>"(0.315)"</f>
        <v>(0.315)</v>
      </c>
      <c r="D31" s="19" t="str">
        <f>"(0.246)"</f>
        <v>(0.246)</v>
      </c>
      <c r="E31" s="19" t="str">
        <f>"(0.122)"</f>
        <v>(0.122)</v>
      </c>
      <c r="F31" s="19" t="str">
        <f>"(0.0534)"</f>
        <v>(0.0534)</v>
      </c>
      <c r="G31" s="20" t="str">
        <f>"(0.0282)"</f>
        <v>(0.0282)</v>
      </c>
      <c r="H31" s="18" t="str">
        <f>"(0.335)"</f>
        <v>(0.335)</v>
      </c>
      <c r="I31" s="19" t="str">
        <f>"(0.308)"</f>
        <v>(0.308)</v>
      </c>
      <c r="J31" s="19" t="str">
        <f>"(0.239)"</f>
        <v>(0.239)</v>
      </c>
      <c r="K31" s="19" t="str">
        <f>"(0.137)"</f>
        <v>(0.137)</v>
      </c>
      <c r="L31" s="20" t="str">
        <f>"(0.108)"</f>
        <v>(0.108)</v>
      </c>
      <c r="M31" s="18" t="str">
        <f>"(0.317)"</f>
        <v>(0.317)</v>
      </c>
      <c r="N31" s="19" t="str">
        <f>"(0.247)"</f>
        <v>(0.247)</v>
      </c>
      <c r="O31" s="19" t="str">
        <f>"(0.125)"</f>
        <v>(0.125)</v>
      </c>
      <c r="P31" s="19" t="str">
        <f>"(0.0542)"</f>
        <v>(0.0542)</v>
      </c>
      <c r="Q31" s="20" t="str">
        <f>"(0.0266)"</f>
        <v>(0.0266)</v>
      </c>
      <c r="R31" s="13"/>
      <c r="S31" s="13"/>
      <c r="T31" s="13"/>
      <c r="U31" s="13"/>
      <c r="V31" s="13"/>
      <c r="W31" s="13"/>
      <c r="X31" s="13"/>
    </row>
    <row r="32" spans="1:24" s="13" customFormat="1">
      <c r="B32" s="13" t="s">
        <v>22</v>
      </c>
      <c r="C32" s="14" t="str">
        <f>"0.179"</f>
        <v>0.179</v>
      </c>
      <c r="D32" s="15" t="str">
        <f>"0.191"</f>
        <v>0.191</v>
      </c>
      <c r="E32" s="15" t="str">
        <f>"0.189"</f>
        <v>0.189</v>
      </c>
      <c r="F32" s="15" t="str">
        <f>"0.187"</f>
        <v>0.187</v>
      </c>
      <c r="G32" s="16" t="str">
        <f>"0.187"</f>
        <v>0.187</v>
      </c>
      <c r="H32" s="14" t="str">
        <f>"0.168"</f>
        <v>0.168</v>
      </c>
      <c r="I32" s="15" t="str">
        <f>"0.170"</f>
        <v>0.170</v>
      </c>
      <c r="J32" s="15" t="str">
        <f>"0.172"</f>
        <v>0.172</v>
      </c>
      <c r="K32" s="15" t="str">
        <f>"0.177"</f>
        <v>0.177</v>
      </c>
      <c r="L32" s="16" t="str">
        <f>"0.192"</f>
        <v>0.192</v>
      </c>
      <c r="M32" s="14" t="str">
        <f>"0.182"</f>
        <v>0.182</v>
      </c>
      <c r="N32" s="15" t="str">
        <f>"0.192"</f>
        <v>0.192</v>
      </c>
      <c r="O32" s="15" t="str">
        <f>"0.190"</f>
        <v>0.190</v>
      </c>
      <c r="P32" s="15" t="str">
        <f>"0.188"</f>
        <v>0.188</v>
      </c>
      <c r="Q32" s="16" t="str">
        <f>"0.187"</f>
        <v>0.187</v>
      </c>
    </row>
    <row r="33" spans="1:24" s="13" customFormat="1">
      <c r="C33" s="14" t="str">
        <f>"(0.360)"</f>
        <v>(0.360)</v>
      </c>
      <c r="D33" s="15" t="str">
        <f>"(0.284)"</f>
        <v>(0.284)</v>
      </c>
      <c r="E33" s="15" t="str">
        <f>"(0.143)"</f>
        <v>(0.143)</v>
      </c>
      <c r="F33" s="15" t="str">
        <f>"(0.0630)"</f>
        <v>(0.0630)</v>
      </c>
      <c r="G33" s="16" t="str">
        <f>"(0.0256)"</f>
        <v>(0.0256)</v>
      </c>
      <c r="H33" s="14" t="str">
        <f>"(0.362)"</f>
        <v>(0.362)</v>
      </c>
      <c r="I33" s="15" t="str">
        <f>"(0.338)"</f>
        <v>(0.338)</v>
      </c>
      <c r="J33" s="15" t="str">
        <f>"(0.265)"</f>
        <v>(0.265)</v>
      </c>
      <c r="K33" s="15" t="str">
        <f>"(0.168)"</f>
        <v>(0.168)</v>
      </c>
      <c r="L33" s="16" t="str">
        <f>"(0.118)"</f>
        <v>(0.118)</v>
      </c>
      <c r="M33" s="14" t="str">
        <f>"(0.362)"</f>
        <v>(0.362)</v>
      </c>
      <c r="N33" s="15" t="str">
        <f>"(0.286)"</f>
        <v>(0.286)</v>
      </c>
      <c r="O33" s="15" t="str">
        <f>"(0.145)"</f>
        <v>(0.145)</v>
      </c>
      <c r="P33" s="15" t="str">
        <f>"(0.0641)"</f>
        <v>(0.0641)</v>
      </c>
      <c r="Q33" s="16" t="str">
        <f>"(0.0254)"</f>
        <v>(0.0254)</v>
      </c>
    </row>
    <row r="34" spans="1:24" s="17" customFormat="1">
      <c r="A34" s="13"/>
      <c r="B34" s="17" t="s">
        <v>23</v>
      </c>
      <c r="C34" s="18" t="str">
        <f>"0.549"</f>
        <v>0.549</v>
      </c>
      <c r="D34" s="19" t="str">
        <f>"0.591"</f>
        <v>0.591</v>
      </c>
      <c r="E34" s="19" t="str">
        <f>"0.617"</f>
        <v>0.617</v>
      </c>
      <c r="F34" s="19" t="str">
        <f>"0.624"</f>
        <v>0.624</v>
      </c>
      <c r="G34" s="20" t="str">
        <f>"0.629"</f>
        <v>0.629</v>
      </c>
      <c r="H34" s="18" t="str">
        <f>"0.444"</f>
        <v>0.444</v>
      </c>
      <c r="I34" s="19" t="str">
        <f>"0.447"</f>
        <v>0.447</v>
      </c>
      <c r="J34" s="19" t="str">
        <f>"0.455"</f>
        <v>0.455</v>
      </c>
      <c r="K34" s="19" t="str">
        <f>"0.457"</f>
        <v>0.457</v>
      </c>
      <c r="L34" s="20" t="str">
        <f>"0.456"</f>
        <v>0.456</v>
      </c>
      <c r="M34" s="18" t="str">
        <f>"0.567"</f>
        <v>0.567</v>
      </c>
      <c r="N34" s="19" t="str">
        <f>"0.605"</f>
        <v>0.605</v>
      </c>
      <c r="O34" s="19" t="str">
        <f>"0.629"</f>
        <v>0.629</v>
      </c>
      <c r="P34" s="19" t="str">
        <f>"0.636"</f>
        <v>0.636</v>
      </c>
      <c r="Q34" s="20" t="str">
        <f>"0.641"</f>
        <v>0.641</v>
      </c>
      <c r="R34" s="13"/>
      <c r="S34" s="13"/>
      <c r="T34" s="13"/>
      <c r="U34" s="13"/>
      <c r="V34" s="13"/>
      <c r="W34" s="13"/>
      <c r="X34" s="13"/>
    </row>
    <row r="35" spans="1:24" s="17" customFormat="1">
      <c r="A35" s="13"/>
      <c r="C35" s="18" t="str">
        <f>"(0.436)"</f>
        <v>(0.436)</v>
      </c>
      <c r="D35" s="19" t="str">
        <f>"(0.321)"</f>
        <v>(0.321)</v>
      </c>
      <c r="E35" s="19" t="str">
        <f>"(0.148)"</f>
        <v>(0.148)</v>
      </c>
      <c r="F35" s="19" t="str">
        <f>"(0.0624)"</f>
        <v>(0.0624)</v>
      </c>
      <c r="G35" s="20" t="str">
        <f>"(0.0335)"</f>
        <v>(0.0335)</v>
      </c>
      <c r="H35" s="18" t="str">
        <f>"(0.477)"</f>
        <v>(0.477)</v>
      </c>
      <c r="I35" s="19" t="str">
        <f>"(0.442)"</f>
        <v>(0.442)</v>
      </c>
      <c r="J35" s="19" t="str">
        <f>"(0.342)"</f>
        <v>(0.342)</v>
      </c>
      <c r="K35" s="19" t="str">
        <f>"(0.206)"</f>
        <v>(0.206)</v>
      </c>
      <c r="L35" s="20" t="str">
        <f>"(0.110)"</f>
        <v>(0.110)</v>
      </c>
      <c r="M35" s="18" t="str">
        <f>"(0.434)"</f>
        <v>(0.434)</v>
      </c>
      <c r="N35" s="19" t="str">
        <f>"(0.321)"</f>
        <v>(0.321)</v>
      </c>
      <c r="O35" s="19" t="str">
        <f>"(0.148)"</f>
        <v>(0.148)</v>
      </c>
      <c r="P35" s="19" t="str">
        <f>"(0.0631)"</f>
        <v>(0.0631)</v>
      </c>
      <c r="Q35" s="20" t="str">
        <f>"(0.0351)"</f>
        <v>(0.0351)</v>
      </c>
      <c r="R35" s="13"/>
      <c r="S35" s="13"/>
      <c r="T35" s="13"/>
      <c r="U35" s="13"/>
      <c r="V35" s="13"/>
      <c r="W35" s="13"/>
      <c r="X35" s="13"/>
    </row>
    <row r="36" spans="1:24" s="13" customFormat="1">
      <c r="B36" s="13" t="s">
        <v>24</v>
      </c>
      <c r="C36" s="14" t="str">
        <f>"0.126"</f>
        <v>0.126</v>
      </c>
      <c r="D36" s="15" t="str">
        <f>"0.106"</f>
        <v>0.106</v>
      </c>
      <c r="E36" s="15" t="str">
        <f>"0.0919"</f>
        <v>0.0919</v>
      </c>
      <c r="F36" s="15" t="str">
        <f>"0.0881"</f>
        <v>0.0881</v>
      </c>
      <c r="G36" s="16" t="str">
        <f>"0.0866"</f>
        <v>0.0866</v>
      </c>
      <c r="H36" s="14" t="str">
        <f>"0.217"</f>
        <v>0.217</v>
      </c>
      <c r="I36" s="15" t="str">
        <f>"0.216"</f>
        <v>0.216</v>
      </c>
      <c r="J36" s="15" t="str">
        <f>"0.212"</f>
        <v>0.212</v>
      </c>
      <c r="K36" s="15" t="str">
        <f>"0.204"</f>
        <v>0.204</v>
      </c>
      <c r="L36" s="16" t="str">
        <f>"0.211"</f>
        <v>0.211</v>
      </c>
      <c r="M36" s="14" t="str">
        <f>"0.113"</f>
        <v>0.113</v>
      </c>
      <c r="N36" s="15" t="str">
        <f>"0.0948"</f>
        <v>0.0948</v>
      </c>
      <c r="O36" s="15" t="str">
        <f>"0.0834"</f>
        <v>0.0834</v>
      </c>
      <c r="P36" s="15" t="str">
        <f>"0.0798"</f>
        <v>0.0798</v>
      </c>
      <c r="Q36" s="16" t="str">
        <f>"0.0779"</f>
        <v>0.0779</v>
      </c>
    </row>
    <row r="37" spans="1:24" s="13" customFormat="1">
      <c r="C37" s="14" t="str">
        <f>"(0.295)"</f>
        <v>(0.295)</v>
      </c>
      <c r="D37" s="15" t="str">
        <f>"(0.203)"</f>
        <v>(0.203)</v>
      </c>
      <c r="E37" s="15" t="str">
        <f>"(0.0836)"</f>
        <v>(0.0836)</v>
      </c>
      <c r="F37" s="15" t="str">
        <f>"(0.0313)"</f>
        <v>(0.0313)</v>
      </c>
      <c r="G37" s="16" t="str">
        <f>"(0.0191)"</f>
        <v>(0.0191)</v>
      </c>
      <c r="H37" s="14" t="str">
        <f>"(0.395)"</f>
        <v>(0.395)</v>
      </c>
      <c r="I37" s="15" t="str">
        <f>"(0.364)"</f>
        <v>(0.364)</v>
      </c>
      <c r="J37" s="15" t="str">
        <f>"(0.277)"</f>
        <v>(0.277)</v>
      </c>
      <c r="K37" s="15" t="str">
        <f>"(0.160)"</f>
        <v>(0.160)</v>
      </c>
      <c r="L37" s="16" t="str">
        <f>"(0.0821)"</f>
        <v>(0.0821)</v>
      </c>
      <c r="M37" s="14" t="str">
        <f>"(0.282)"</f>
        <v>(0.282)</v>
      </c>
      <c r="N37" s="15" t="str">
        <f>"(0.194)"</f>
        <v>(0.194)</v>
      </c>
      <c r="O37" s="15" t="str">
        <f>"(0.0820)"</f>
        <v>(0.0820)</v>
      </c>
      <c r="P37" s="15" t="str">
        <f>"(0.0301)"</f>
        <v>(0.0301)</v>
      </c>
      <c r="Q37" s="16" t="str">
        <f>"(0.0196)"</f>
        <v>(0.0196)</v>
      </c>
    </row>
    <row r="38" spans="1:24" s="17" customFormat="1">
      <c r="A38" s="13"/>
      <c r="B38" s="17" t="s">
        <v>25</v>
      </c>
      <c r="C38" s="18" t="str">
        <f>"0.0951"</f>
        <v>0.0951</v>
      </c>
      <c r="D38" s="19" t="str">
        <f>"0.0937"</f>
        <v>0.0937</v>
      </c>
      <c r="E38" s="19" t="str">
        <f>"0.0957"</f>
        <v>0.0957</v>
      </c>
      <c r="F38" s="19" t="str">
        <f>"0.0992"</f>
        <v>0.0992</v>
      </c>
      <c r="G38" s="20" t="str">
        <f>"0.0941"</f>
        <v>0.0941</v>
      </c>
      <c r="H38" s="18" t="str">
        <f>"0.201"</f>
        <v>0.201</v>
      </c>
      <c r="I38" s="19" t="str">
        <f>"0.199"</f>
        <v>0.199</v>
      </c>
      <c r="J38" s="19" t="str">
        <f>"0.191"</f>
        <v>0.191</v>
      </c>
      <c r="K38" s="19" t="str">
        <f>"0.192"</f>
        <v>0.192</v>
      </c>
      <c r="L38" s="20" t="str">
        <f>"0.188"</f>
        <v>0.188</v>
      </c>
      <c r="M38" s="18" t="str">
        <f>"0.0888"</f>
        <v>0.0888</v>
      </c>
      <c r="N38" s="19" t="str">
        <f>"0.0869"</f>
        <v>0.0869</v>
      </c>
      <c r="O38" s="19" t="str">
        <f>"0.0894"</f>
        <v>0.0894</v>
      </c>
      <c r="P38" s="19" t="str">
        <f>"0.0926"</f>
        <v>0.0926</v>
      </c>
      <c r="Q38" s="20" t="str">
        <f>"0.0872"</f>
        <v>0.0872</v>
      </c>
      <c r="R38" s="13"/>
      <c r="S38" s="13"/>
      <c r="T38" s="13"/>
      <c r="U38" s="13"/>
      <c r="V38" s="13"/>
      <c r="W38" s="13"/>
      <c r="X38" s="13"/>
    </row>
    <row r="39" spans="1:24" s="17" customFormat="1">
      <c r="A39" s="13"/>
      <c r="C39" s="18" t="str">
        <f>"(0.225)"</f>
        <v>(0.225)</v>
      </c>
      <c r="D39" s="19" t="str">
        <f>"(0.162)"</f>
        <v>(0.162)</v>
      </c>
      <c r="E39" s="19" t="str">
        <f>"(0.0709)"</f>
        <v>(0.0709)</v>
      </c>
      <c r="F39" s="19" t="str">
        <f>"(0.0355)"</f>
        <v>(0.0355)</v>
      </c>
      <c r="G39" s="20" t="str">
        <f>"(0.0221)"</f>
        <v>(0.0221)</v>
      </c>
      <c r="H39" s="18" t="str">
        <f>"(0.378)"</f>
        <v>(0.378)</v>
      </c>
      <c r="I39" s="19" t="str">
        <f>"(0.346)"</f>
        <v>(0.346)</v>
      </c>
      <c r="J39" s="19" t="str">
        <f>"(0.257)"</f>
        <v>(0.257)</v>
      </c>
      <c r="K39" s="19" t="str">
        <f>"(0.149)"</f>
        <v>(0.149)</v>
      </c>
      <c r="L39" s="20" t="str">
        <f>"(0.0809)"</f>
        <v>(0.0809)</v>
      </c>
      <c r="M39" s="18" t="str">
        <f>"(0.221)"</f>
        <v>(0.221)</v>
      </c>
      <c r="N39" s="19" t="str">
        <f>"(0.159)"</f>
        <v>(0.159)</v>
      </c>
      <c r="O39" s="19" t="str">
        <f>"(0.0703)"</f>
        <v>(0.0703)</v>
      </c>
      <c r="P39" s="19" t="str">
        <f>"(0.0351)"</f>
        <v>(0.0351)</v>
      </c>
      <c r="Q39" s="20" t="str">
        <f>"(0.0214)"</f>
        <v>(0.0214)</v>
      </c>
      <c r="R39" s="13"/>
      <c r="S39" s="13"/>
      <c r="T39" s="13"/>
      <c r="U39" s="13"/>
      <c r="V39" s="13"/>
      <c r="W39" s="13"/>
      <c r="X39" s="13"/>
    </row>
    <row r="40" spans="1:24" s="13" customFormat="1">
      <c r="B40" s="13" t="s">
        <v>26</v>
      </c>
      <c r="C40" s="14" t="str">
        <f>"0.265"</f>
        <v>0.265</v>
      </c>
      <c r="D40" s="15" t="str">
        <f>"0.258"</f>
        <v>0.258</v>
      </c>
      <c r="E40" s="15" t="str">
        <f>"0.269"</f>
        <v>0.269</v>
      </c>
      <c r="F40" s="15" t="str">
        <f>"0.272"</f>
        <v>0.272</v>
      </c>
      <c r="G40" s="16" t="str">
        <f>"0.264"</f>
        <v>0.264</v>
      </c>
      <c r="H40" s="14" t="str">
        <f>"0.540"</f>
        <v>0.540</v>
      </c>
      <c r="I40" s="15" t="str">
        <f>"0.535"</f>
        <v>0.535</v>
      </c>
      <c r="J40" s="15" t="str">
        <f>"0.533"</f>
        <v>0.533</v>
      </c>
      <c r="K40" s="15" t="str">
        <f>"0.532"</f>
        <v>0.532</v>
      </c>
      <c r="L40" s="16" t="str">
        <f>"0.530"</f>
        <v>0.530</v>
      </c>
      <c r="M40" s="14" t="str">
        <f>"0.246"</f>
        <v>0.246</v>
      </c>
      <c r="N40" s="15" t="str">
        <f>"0.239"</f>
        <v>0.239</v>
      </c>
      <c r="O40" s="15" t="str">
        <f>"0.251"</f>
        <v>0.251</v>
      </c>
      <c r="P40" s="15" t="str">
        <f>"0.254"</f>
        <v>0.254</v>
      </c>
      <c r="Q40" s="16" t="str">
        <f>"0.246"</f>
        <v>0.246</v>
      </c>
    </row>
    <row r="41" spans="1:24" s="13" customFormat="1">
      <c r="C41" s="14" t="str">
        <f>"(0.356)"</f>
        <v>(0.356)</v>
      </c>
      <c r="D41" s="15" t="str">
        <f>"(0.261)"</f>
        <v>(0.261)</v>
      </c>
      <c r="E41" s="15" t="str">
        <f>"(0.141)"</f>
        <v>(0.141)</v>
      </c>
      <c r="F41" s="15" t="str">
        <f>"(0.0808)"</f>
        <v>(0.0808)</v>
      </c>
      <c r="G41" s="16" t="str">
        <f>"(0.0641)"</f>
        <v>(0.0641)</v>
      </c>
      <c r="H41" s="14" t="str">
        <f>"(0.474)"</f>
        <v>(0.474)</v>
      </c>
      <c r="I41" s="15" t="str">
        <f>"(0.440)"</f>
        <v>(0.440)</v>
      </c>
      <c r="J41" s="15" t="str">
        <f>"(0.343)"</f>
        <v>(0.343)</v>
      </c>
      <c r="K41" s="15" t="str">
        <f>"(0.212)"</f>
        <v>(0.212)</v>
      </c>
      <c r="L41" s="16" t="str">
        <f>"(0.139)"</f>
        <v>(0.139)</v>
      </c>
      <c r="M41" s="14" t="str">
        <f>"(0.349)"</f>
        <v>(0.349)</v>
      </c>
      <c r="N41" s="15" t="str">
        <f>"(0.256)"</f>
        <v>(0.256)</v>
      </c>
      <c r="O41" s="15" t="str">
        <f>"(0.140)"</f>
        <v>(0.140)</v>
      </c>
      <c r="P41" s="15" t="str">
        <f>"(0.0797)"</f>
        <v>(0.0797)</v>
      </c>
      <c r="Q41" s="16" t="str">
        <f>"(0.0612)"</f>
        <v>(0.0612)</v>
      </c>
    </row>
    <row r="42" spans="1:24" s="17" customFormat="1">
      <c r="A42" s="13"/>
      <c r="B42" s="17" t="s">
        <v>27</v>
      </c>
      <c r="C42" s="18" t="str">
        <f>"0.304"</f>
        <v>0.304</v>
      </c>
      <c r="D42" s="19" t="str">
        <f>"0.314"</f>
        <v>0.314</v>
      </c>
      <c r="E42" s="19" t="str">
        <f>"0.329"</f>
        <v>0.329</v>
      </c>
      <c r="F42" s="19" t="str">
        <f>"0.341"</f>
        <v>0.341</v>
      </c>
      <c r="G42" s="20" t="str">
        <f>"0.269"</f>
        <v>0.269</v>
      </c>
      <c r="H42" s="18" t="str">
        <f>"0.303"</f>
        <v>0.303</v>
      </c>
      <c r="I42" s="19" t="str">
        <f>"0.311"</f>
        <v>0.311</v>
      </c>
      <c r="J42" s="19" t="str">
        <f>"0.328"</f>
        <v>0.328</v>
      </c>
      <c r="K42" s="19" t="str">
        <f>"0.341"</f>
        <v>0.341</v>
      </c>
      <c r="L42" s="20" t="str">
        <f>"0.269"</f>
        <v>0.269</v>
      </c>
      <c r="M42" s="18" t="str">
        <f>"0.304"</f>
        <v>0.304</v>
      </c>
      <c r="N42" s="19" t="str">
        <f>"0.314"</f>
        <v>0.314</v>
      </c>
      <c r="O42" s="19" t="str">
        <f>"0.329"</f>
        <v>0.329</v>
      </c>
      <c r="P42" s="19" t="str">
        <f>"0.341"</f>
        <v>0.341</v>
      </c>
      <c r="Q42" s="20" t="str">
        <f>"0.269"</f>
        <v>0.269</v>
      </c>
      <c r="R42" s="13"/>
      <c r="S42" s="13"/>
      <c r="T42" s="13"/>
      <c r="U42" s="13"/>
      <c r="V42" s="13"/>
      <c r="W42" s="13"/>
      <c r="X42" s="13"/>
    </row>
    <row r="43" spans="1:24" s="19" customFormat="1">
      <c r="A43" s="15"/>
      <c r="C43" s="18" t="str">
        <f>"(0.121)"</f>
        <v>(0.121)</v>
      </c>
      <c r="D43" s="19" t="str">
        <f>"(0.120)"</f>
        <v>(0.120)</v>
      </c>
      <c r="E43" s="19" t="str">
        <f>"(0.125)"</f>
        <v>(0.125)</v>
      </c>
      <c r="F43" s="19" t="str">
        <f>"(0.126)"</f>
        <v>(0.126)</v>
      </c>
      <c r="G43" s="20" t="str">
        <f>"(0.126)"</f>
        <v>(0.126)</v>
      </c>
      <c r="H43" s="18" t="str">
        <f>"(0.118)"</f>
        <v>(0.118)</v>
      </c>
      <c r="I43" s="19" t="str">
        <f>"(0.119)"</f>
        <v>(0.119)</v>
      </c>
      <c r="J43" s="19" t="str">
        <f>"(0.124)"</f>
        <v>(0.124)</v>
      </c>
      <c r="K43" s="19" t="str">
        <f>"(0.126)"</f>
        <v>(0.126)</v>
      </c>
      <c r="L43" s="20" t="str">
        <f>"(0.126)"</f>
        <v>(0.126)</v>
      </c>
      <c r="M43" s="18" t="str">
        <f>"(0.121)"</f>
        <v>(0.121)</v>
      </c>
      <c r="N43" s="19" t="str">
        <f>"(0.120)"</f>
        <v>(0.120)</v>
      </c>
      <c r="O43" s="19" t="str">
        <f>"(0.126)"</f>
        <v>(0.126)</v>
      </c>
      <c r="P43" s="19" t="str">
        <f>"(0.126)"</f>
        <v>(0.126)</v>
      </c>
      <c r="Q43" s="20" t="str">
        <f>"(0.126)"</f>
        <v>(0.126)</v>
      </c>
      <c r="R43" s="15"/>
      <c r="S43" s="15"/>
      <c r="T43" s="15"/>
      <c r="U43" s="15"/>
      <c r="V43" s="15"/>
      <c r="W43" s="15"/>
      <c r="X43" s="15"/>
    </row>
    <row r="44" spans="1:24" s="13" customFormat="1">
      <c r="B44" s="13" t="s">
        <v>28</v>
      </c>
      <c r="C44" s="14" t="str">
        <f>"1.681"</f>
        <v>1.681</v>
      </c>
      <c r="D44" s="15" t="str">
        <f>"1.657"</f>
        <v>1.657</v>
      </c>
      <c r="E44" s="15" t="str">
        <f>"1.638"</f>
        <v>1.638</v>
      </c>
      <c r="F44" s="15" t="str">
        <f>"1.622"</f>
        <v>1.622</v>
      </c>
      <c r="G44" s="16" t="str">
        <f>"1.635"</f>
        <v>1.635</v>
      </c>
      <c r="H44" s="14" t="str">
        <f>"1.688"</f>
        <v>1.688</v>
      </c>
      <c r="I44" s="15" t="str">
        <f>"1.687"</f>
        <v>1.687</v>
      </c>
      <c r="J44" s="15" t="str">
        <f>"1.686"</f>
        <v>1.686</v>
      </c>
      <c r="K44" s="15" t="str">
        <f>"1.674"</f>
        <v>1.674</v>
      </c>
      <c r="L44" s="16" t="str">
        <f>"1.666"</f>
        <v>1.666</v>
      </c>
      <c r="M44" s="14" t="str">
        <f>"1.673"</f>
        <v>1.673</v>
      </c>
      <c r="N44" s="15" t="str">
        <f>"1.652"</f>
        <v>1.652</v>
      </c>
      <c r="O44" s="15" t="str">
        <f>"1.635"</f>
        <v>1.635</v>
      </c>
      <c r="P44" s="15" t="str">
        <f>"1.619"</f>
        <v>1.619</v>
      </c>
      <c r="Q44" s="16" t="str">
        <f>"1.633"</f>
        <v>1.633</v>
      </c>
    </row>
    <row r="45" spans="1:24" s="13" customFormat="1">
      <c r="B45" s="30"/>
      <c r="C45" s="31" t="str">
        <f>"(0.399)"</f>
        <v>(0.399)</v>
      </c>
      <c r="D45" s="30" t="str">
        <f>"(0.309)"</f>
        <v>(0.309)</v>
      </c>
      <c r="E45" s="30" t="str">
        <f>"(0.172)"</f>
        <v>(0.172)</v>
      </c>
      <c r="F45" s="30" t="str">
        <f>"(0.104)"</f>
        <v>(0.104)</v>
      </c>
      <c r="G45" s="32" t="str">
        <f>"(0.0635)"</f>
        <v>(0.0635)</v>
      </c>
      <c r="H45" s="31" t="str">
        <f>"(0.459)"</f>
        <v>(0.459)</v>
      </c>
      <c r="I45" s="30" t="str">
        <f>"(0.417)"</f>
        <v>(0.417)</v>
      </c>
      <c r="J45" s="30" t="str">
        <f>"(0.326)"</f>
        <v>(0.326)</v>
      </c>
      <c r="K45" s="30" t="str">
        <f>"(0.201)"</f>
        <v>(0.201)</v>
      </c>
      <c r="L45" s="32" t="str">
        <f>"(0.115)"</f>
        <v>(0.115)</v>
      </c>
      <c r="M45" s="31" t="str">
        <f>"(0.404)"</f>
        <v>(0.404)</v>
      </c>
      <c r="N45" s="30" t="str">
        <f>"(0.315)"</f>
        <v>(0.315)</v>
      </c>
      <c r="O45" s="30" t="str">
        <f>"(0.176)"</f>
        <v>(0.176)</v>
      </c>
      <c r="P45" s="30" t="str">
        <f>"(0.107)"</f>
        <v>(0.107)</v>
      </c>
      <c r="Q45" s="32" t="str">
        <f>"(0.0667)"</f>
        <v>(0.0667)</v>
      </c>
    </row>
    <row r="46" spans="1:24" s="1" customFormat="1"/>
    <row r="47" spans="1:24" s="1" customFormat="1">
      <c r="B47" s="33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4" s="1" customForma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4" s="1" customForma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4" s="1" customForma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4" s="34" customFormat="1">
      <c r="A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"/>
      <c r="S51" s="1"/>
      <c r="T51" s="1"/>
      <c r="U51" s="1"/>
      <c r="V51" s="1"/>
      <c r="W51" s="1"/>
      <c r="X51" s="1"/>
    </row>
    <row r="52" spans="1:24" s="34" customFormat="1">
      <c r="A52" s="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1"/>
      <c r="S52" s="1"/>
      <c r="T52" s="1"/>
      <c r="U52" s="1"/>
      <c r="V52" s="1"/>
      <c r="W52" s="1"/>
      <c r="X52" s="1"/>
    </row>
    <row r="53" spans="1:24" s="34" customFormat="1">
      <c r="A53" s="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"/>
      <c r="S53" s="1"/>
      <c r="T53" s="1"/>
      <c r="U53" s="1"/>
      <c r="V53" s="1"/>
      <c r="W53" s="1"/>
      <c r="X53" s="1"/>
    </row>
    <row r="54" spans="1:24" s="34" customFormat="1">
      <c r="A54" s="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1"/>
      <c r="S54" s="1"/>
      <c r="T54" s="1"/>
      <c r="U54" s="1"/>
      <c r="V54" s="1"/>
      <c r="W54" s="1"/>
      <c r="X54" s="1"/>
    </row>
  </sheetData>
  <mergeCells count="3">
    <mergeCell ref="C2:G2"/>
    <mergeCell ref="H2:L2"/>
    <mergeCell ref="M2:Q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App. Table 1</vt:lpstr>
    </vt:vector>
  </TitlesOfParts>
  <Company>Portland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Kubiszewski</dc:creator>
  <cp:lastModifiedBy>Ida Kubiszewski</cp:lastModifiedBy>
  <dcterms:created xsi:type="dcterms:W3CDTF">2018-09-20T05:00:51Z</dcterms:created>
  <dcterms:modified xsi:type="dcterms:W3CDTF">2018-09-20T05:01:41Z</dcterms:modified>
</cp:coreProperties>
</file>