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776" activeTab="12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15" r:id="rId7"/>
    <sheet name="Sheet8" sheetId="7" r:id="rId8"/>
    <sheet name="Sheet10" sheetId="10" r:id="rId9"/>
    <sheet name="Sheet11" sheetId="11" r:id="rId10"/>
    <sheet name="Sheet9" sheetId="16" r:id="rId11"/>
    <sheet name="Sheet13" sheetId="13" r:id="rId12"/>
    <sheet name="Sheet14" sheetId="14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7" l="1"/>
  <c r="D11" i="7"/>
  <c r="D10" i="7"/>
  <c r="D9" i="7"/>
  <c r="D8" i="7"/>
  <c r="D7" i="7"/>
  <c r="D6" i="7"/>
  <c r="D5" i="7"/>
  <c r="C13" i="7"/>
  <c r="C14" i="7"/>
  <c r="C15" i="7"/>
  <c r="C16" i="7"/>
  <c r="C17" i="7"/>
  <c r="C18" i="7"/>
  <c r="C19" i="7"/>
  <c r="C21" i="7"/>
  <c r="A3" i="6" l="1"/>
  <c r="C6" i="15"/>
  <c r="B27" i="5"/>
  <c r="C27" i="5"/>
  <c r="B28" i="5"/>
  <c r="C28" i="5"/>
  <c r="B29" i="5"/>
  <c r="C29" i="5"/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6" i="1"/>
  <c r="E5" i="1"/>
  <c r="C2" i="14" l="1"/>
  <c r="C3" i="14"/>
  <c r="C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4" i="14"/>
  <c r="G3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2" i="14"/>
  <c r="M21" i="10" l="1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20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20" i="10"/>
  <c r="M3" i="10"/>
  <c r="M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2" i="10"/>
  <c r="O2" i="11"/>
  <c r="L3" i="10"/>
  <c r="L4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2" i="10"/>
  <c r="K3" i="10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2" i="10"/>
  <c r="I3" i="10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2" i="10"/>
  <c r="H3" i="10"/>
  <c r="H4" i="10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J2" i="11"/>
  <c r="H2" i="10"/>
  <c r="P21" i="11" l="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20" i="11"/>
  <c r="P3" i="11"/>
  <c r="P4" i="11"/>
  <c r="P5" i="11"/>
  <c r="P6" i="11"/>
  <c r="P7" i="11"/>
  <c r="P8" i="11"/>
  <c r="P9" i="11"/>
  <c r="P10" i="11"/>
  <c r="P11" i="11"/>
  <c r="P12" i="11"/>
  <c r="P13" i="11"/>
  <c r="P14" i="11"/>
  <c r="P15" i="11"/>
  <c r="P16" i="11"/>
  <c r="P17" i="11"/>
  <c r="P18" i="11"/>
  <c r="P2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20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20" i="11"/>
  <c r="O3" i="11"/>
  <c r="O4" i="11"/>
  <c r="O5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N3" i="11"/>
  <c r="N4" i="11"/>
  <c r="N5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2" i="11"/>
  <c r="M3" i="11"/>
  <c r="M4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2" i="11"/>
  <c r="L3" i="11"/>
  <c r="L4" i="11"/>
  <c r="L5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2" i="11"/>
  <c r="J3" i="11"/>
  <c r="J4" i="11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K3" i="11"/>
  <c r="K4" i="11"/>
  <c r="K5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2" i="11"/>
  <c r="C2" i="11"/>
  <c r="G26" i="6" l="1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25" i="6"/>
  <c r="E41" i="6"/>
  <c r="F6" i="15" l="1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5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5" i="15"/>
  <c r="C7" i="5" l="1"/>
  <c r="B7" i="5"/>
  <c r="C6" i="5"/>
  <c r="F11" i="5"/>
  <c r="B22" i="5"/>
  <c r="B19" i="5"/>
  <c r="B20" i="5"/>
  <c r="B18" i="5"/>
  <c r="B21" i="5"/>
  <c r="B17" i="5"/>
  <c r="B16" i="5"/>
  <c r="B15" i="5"/>
  <c r="B14" i="5"/>
  <c r="B13" i="5"/>
  <c r="B12" i="5"/>
  <c r="B11" i="5"/>
  <c r="B10" i="5"/>
  <c r="B9" i="5"/>
  <c r="B8" i="5"/>
  <c r="B6" i="5"/>
  <c r="C22" i="5"/>
  <c r="F11" i="14" l="1"/>
  <c r="B11" i="14"/>
  <c r="D18" i="14"/>
  <c r="H36" i="11"/>
  <c r="K21" i="7"/>
  <c r="J21" i="7"/>
  <c r="F21" i="7"/>
  <c r="D21" i="7"/>
  <c r="G21" i="7" s="1"/>
  <c r="J20" i="7"/>
  <c r="F20" i="7"/>
  <c r="D20" i="7"/>
  <c r="K20" i="7" s="1"/>
  <c r="J19" i="7"/>
  <c r="F19" i="7"/>
  <c r="D19" i="7"/>
  <c r="K19" i="7" s="1"/>
  <c r="J18" i="7"/>
  <c r="F18" i="7"/>
  <c r="D18" i="7"/>
  <c r="G18" i="7" s="1"/>
  <c r="J17" i="7"/>
  <c r="F17" i="7"/>
  <c r="D17" i="7"/>
  <c r="K17" i="7" s="1"/>
  <c r="J16" i="7"/>
  <c r="F16" i="7"/>
  <c r="D16" i="7"/>
  <c r="K16" i="7" s="1"/>
  <c r="K15" i="7"/>
  <c r="J15" i="7"/>
  <c r="F15" i="7"/>
  <c r="D15" i="7"/>
  <c r="G15" i="7" s="1"/>
  <c r="J14" i="7"/>
  <c r="F14" i="7"/>
  <c r="D14" i="7"/>
  <c r="K14" i="7" s="1"/>
  <c r="K13" i="7"/>
  <c r="J13" i="7"/>
  <c r="F13" i="7"/>
  <c r="D13" i="7"/>
  <c r="G13" i="7" s="1"/>
  <c r="J12" i="7"/>
  <c r="F12" i="7"/>
  <c r="J11" i="7"/>
  <c r="F11" i="7"/>
  <c r="J10" i="7"/>
  <c r="F10" i="7"/>
  <c r="J9" i="7"/>
  <c r="F9" i="7"/>
  <c r="J8" i="7"/>
  <c r="F8" i="7"/>
  <c r="J7" i="7"/>
  <c r="F7" i="7"/>
  <c r="J6" i="7"/>
  <c r="F6" i="7"/>
  <c r="J5" i="7"/>
  <c r="F5" i="7"/>
  <c r="F41" i="6"/>
  <c r="F40" i="6"/>
  <c r="E40" i="6"/>
  <c r="F39" i="6"/>
  <c r="E39" i="6"/>
  <c r="F38" i="6"/>
  <c r="E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F26" i="6"/>
  <c r="E26" i="6"/>
  <c r="F25" i="6"/>
  <c r="E25" i="6"/>
  <c r="I21" i="6"/>
  <c r="H21" i="6"/>
  <c r="I20" i="6"/>
  <c r="H20" i="6"/>
  <c r="I19" i="6"/>
  <c r="H19" i="6"/>
  <c r="I18" i="6"/>
  <c r="H18" i="6"/>
  <c r="I17" i="6"/>
  <c r="H17" i="6"/>
  <c r="I16" i="6"/>
  <c r="H16" i="6"/>
  <c r="I15" i="6"/>
  <c r="H15" i="6"/>
  <c r="I14" i="6"/>
  <c r="H14" i="6"/>
  <c r="I13" i="6"/>
  <c r="H13" i="6"/>
  <c r="I12" i="6"/>
  <c r="H12" i="6"/>
  <c r="I11" i="6"/>
  <c r="H11" i="6"/>
  <c r="I10" i="6"/>
  <c r="H10" i="6"/>
  <c r="I9" i="6"/>
  <c r="H9" i="6"/>
  <c r="I8" i="6"/>
  <c r="H8" i="6"/>
  <c r="I7" i="6"/>
  <c r="H7" i="6"/>
  <c r="I6" i="6"/>
  <c r="H6" i="6"/>
  <c r="C43" i="5"/>
  <c r="B43" i="5"/>
  <c r="C42" i="5"/>
  <c r="B42" i="5"/>
  <c r="C41" i="5"/>
  <c r="B41" i="5"/>
  <c r="C40" i="5"/>
  <c r="B40" i="5"/>
  <c r="C39" i="5"/>
  <c r="B39" i="5"/>
  <c r="C38" i="5"/>
  <c r="B38" i="5"/>
  <c r="C37" i="5"/>
  <c r="B37" i="5"/>
  <c r="C36" i="5"/>
  <c r="B36" i="5"/>
  <c r="C35" i="5"/>
  <c r="B35" i="5"/>
  <c r="C34" i="5"/>
  <c r="B34" i="5"/>
  <c r="C33" i="5"/>
  <c r="B33" i="5"/>
  <c r="C32" i="5"/>
  <c r="B32" i="5"/>
  <c r="C31" i="5"/>
  <c r="B31" i="5"/>
  <c r="C30" i="5"/>
  <c r="B30" i="5"/>
  <c r="G22" i="5"/>
  <c r="F22" i="5"/>
  <c r="G21" i="5"/>
  <c r="F21" i="5"/>
  <c r="C21" i="5"/>
  <c r="G20" i="5"/>
  <c r="F20" i="5"/>
  <c r="C20" i="5"/>
  <c r="G19" i="5"/>
  <c r="F19" i="5"/>
  <c r="C19" i="5"/>
  <c r="G18" i="5"/>
  <c r="F18" i="5"/>
  <c r="C18" i="5"/>
  <c r="G17" i="5"/>
  <c r="F17" i="5"/>
  <c r="C17" i="5"/>
  <c r="G16" i="5"/>
  <c r="F16" i="5"/>
  <c r="C16" i="5"/>
  <c r="G15" i="5"/>
  <c r="F15" i="5"/>
  <c r="C15" i="5"/>
  <c r="G14" i="5"/>
  <c r="F14" i="5"/>
  <c r="C14" i="5"/>
  <c r="G13" i="5"/>
  <c r="F13" i="5"/>
  <c r="C13" i="5"/>
  <c r="G12" i="5"/>
  <c r="F12" i="5"/>
  <c r="C12" i="5"/>
  <c r="G11" i="5"/>
  <c r="C11" i="5"/>
  <c r="G10" i="5"/>
  <c r="F10" i="5"/>
  <c r="C10" i="5"/>
  <c r="G9" i="5"/>
  <c r="F9" i="5"/>
  <c r="C9" i="5"/>
  <c r="G8" i="5"/>
  <c r="F8" i="5"/>
  <c r="C8" i="5"/>
  <c r="G7" i="5"/>
  <c r="F7" i="5"/>
  <c r="G6" i="5"/>
  <c r="F6" i="5"/>
  <c r="J22" i="4"/>
  <c r="I22" i="4"/>
  <c r="E22" i="4"/>
  <c r="D22" i="4"/>
  <c r="J21" i="4"/>
  <c r="I21" i="4"/>
  <c r="E21" i="4"/>
  <c r="D21" i="4"/>
  <c r="J20" i="4"/>
  <c r="I20" i="4"/>
  <c r="E20" i="4"/>
  <c r="D20" i="4"/>
  <c r="J19" i="4"/>
  <c r="I19" i="4"/>
  <c r="E19" i="4"/>
  <c r="D19" i="4"/>
  <c r="J18" i="4"/>
  <c r="I18" i="4"/>
  <c r="E18" i="4"/>
  <c r="D18" i="4"/>
  <c r="J17" i="4"/>
  <c r="I17" i="4"/>
  <c r="E17" i="4"/>
  <c r="D17" i="4"/>
  <c r="J16" i="4"/>
  <c r="I16" i="4"/>
  <c r="E16" i="4"/>
  <c r="D16" i="4"/>
  <c r="J15" i="4"/>
  <c r="I15" i="4"/>
  <c r="E15" i="4"/>
  <c r="D15" i="4"/>
  <c r="J14" i="4"/>
  <c r="I14" i="4"/>
  <c r="E14" i="4"/>
  <c r="D14" i="4"/>
  <c r="J13" i="4"/>
  <c r="I13" i="4"/>
  <c r="E13" i="4"/>
  <c r="D13" i="4"/>
  <c r="J12" i="4"/>
  <c r="I12" i="4"/>
  <c r="E12" i="4"/>
  <c r="D12" i="4"/>
  <c r="J11" i="4"/>
  <c r="I11" i="4"/>
  <c r="E11" i="4"/>
  <c r="D11" i="4"/>
  <c r="J10" i="4"/>
  <c r="I10" i="4"/>
  <c r="E10" i="4"/>
  <c r="D10" i="4"/>
  <c r="J9" i="4"/>
  <c r="I9" i="4"/>
  <c r="E9" i="4"/>
  <c r="D9" i="4"/>
  <c r="J8" i="4"/>
  <c r="I8" i="4"/>
  <c r="E8" i="4"/>
  <c r="D8" i="4"/>
  <c r="J7" i="4"/>
  <c r="I7" i="4"/>
  <c r="E7" i="4"/>
  <c r="D7" i="4"/>
  <c r="J6" i="4"/>
  <c r="I6" i="4"/>
  <c r="E6" i="4"/>
  <c r="D6" i="4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H21" i="2"/>
  <c r="G21" i="2"/>
  <c r="F21" i="2" s="1"/>
  <c r="E21" i="2"/>
  <c r="D21" i="2"/>
  <c r="H20" i="2"/>
  <c r="G20" i="2"/>
  <c r="F20" i="2" s="1"/>
  <c r="E20" i="2"/>
  <c r="D20" i="2"/>
  <c r="H19" i="2"/>
  <c r="G19" i="2"/>
  <c r="F19" i="2" s="1"/>
  <c r="E19" i="2"/>
  <c r="D19" i="2"/>
  <c r="H18" i="2"/>
  <c r="G18" i="2"/>
  <c r="F18" i="2" s="1"/>
  <c r="E18" i="2"/>
  <c r="D18" i="2"/>
  <c r="H17" i="2"/>
  <c r="G17" i="2"/>
  <c r="F17" i="2" s="1"/>
  <c r="E17" i="2"/>
  <c r="D17" i="2"/>
  <c r="H16" i="2"/>
  <c r="G16" i="2"/>
  <c r="F16" i="2" s="1"/>
  <c r="E16" i="2"/>
  <c r="D16" i="2"/>
  <c r="H15" i="2"/>
  <c r="G15" i="2"/>
  <c r="F15" i="2" s="1"/>
  <c r="E15" i="2"/>
  <c r="D15" i="2"/>
  <c r="H14" i="2"/>
  <c r="G14" i="2"/>
  <c r="F14" i="2" s="1"/>
  <c r="E14" i="2"/>
  <c r="D14" i="2"/>
  <c r="H13" i="2"/>
  <c r="G13" i="2"/>
  <c r="F13" i="2" s="1"/>
  <c r="E13" i="2"/>
  <c r="D13" i="2"/>
  <c r="H12" i="2"/>
  <c r="G12" i="2"/>
  <c r="F12" i="2" s="1"/>
  <c r="E12" i="2"/>
  <c r="D12" i="2"/>
  <c r="H11" i="2"/>
  <c r="G11" i="2"/>
  <c r="F11" i="2" s="1"/>
  <c r="E11" i="2"/>
  <c r="D11" i="2"/>
  <c r="H10" i="2"/>
  <c r="G10" i="2"/>
  <c r="F10" i="2" s="1"/>
  <c r="E10" i="2"/>
  <c r="D10" i="2"/>
  <c r="H9" i="2"/>
  <c r="G9" i="2"/>
  <c r="F9" i="2" s="1"/>
  <c r="E9" i="2"/>
  <c r="D9" i="2"/>
  <c r="H8" i="2"/>
  <c r="G8" i="2"/>
  <c r="F8" i="2" s="1"/>
  <c r="E8" i="2"/>
  <c r="D8" i="2"/>
  <c r="H7" i="2"/>
  <c r="G7" i="2"/>
  <c r="F7" i="2" s="1"/>
  <c r="E7" i="2"/>
  <c r="D7" i="2"/>
  <c r="H6" i="2"/>
  <c r="G6" i="2"/>
  <c r="F6" i="2" s="1"/>
  <c r="E6" i="2"/>
  <c r="D6" i="2"/>
  <c r="H5" i="2"/>
  <c r="G5" i="2"/>
  <c r="F5" i="2" s="1"/>
  <c r="E5" i="2"/>
  <c r="D5" i="2"/>
  <c r="C21" i="1"/>
  <c r="F21" i="1" s="1"/>
  <c r="C20" i="1"/>
  <c r="F20" i="1" s="1"/>
  <c r="C19" i="1"/>
  <c r="F19" i="1" s="1"/>
  <c r="C18" i="1"/>
  <c r="F18" i="1" s="1"/>
  <c r="C17" i="1"/>
  <c r="F17" i="1" s="1"/>
  <c r="C16" i="1"/>
  <c r="F16" i="1" s="1"/>
  <c r="C15" i="1"/>
  <c r="F15" i="1" s="1"/>
  <c r="C14" i="1"/>
  <c r="F14" i="1" s="1"/>
  <c r="C13" i="1"/>
  <c r="F13" i="1" s="1"/>
  <c r="C12" i="1"/>
  <c r="F12" i="1" s="1"/>
  <c r="C11" i="1"/>
  <c r="F11" i="1" s="1"/>
  <c r="C10" i="1"/>
  <c r="F10" i="1" s="1"/>
  <c r="C9" i="1"/>
  <c r="F9" i="1" s="1"/>
  <c r="C8" i="1"/>
  <c r="F8" i="1" s="1"/>
  <c r="C7" i="1"/>
  <c r="F7" i="1" s="1"/>
  <c r="C6" i="1"/>
  <c r="F6" i="1" s="1"/>
  <c r="C5" i="1"/>
  <c r="F5" i="1" s="1"/>
  <c r="L15" i="7" l="1"/>
  <c r="G20" i="7"/>
  <c r="K18" i="7"/>
  <c r="L18" i="7" s="1"/>
  <c r="L20" i="7"/>
  <c r="G19" i="7"/>
  <c r="H19" i="7" s="1"/>
  <c r="G17" i="7"/>
  <c r="H17" i="7" s="1"/>
  <c r="G14" i="7"/>
  <c r="H14" i="7" s="1"/>
  <c r="L17" i="7"/>
  <c r="H13" i="7"/>
  <c r="G16" i="7"/>
  <c r="H16" i="7" s="1"/>
  <c r="L19" i="7"/>
  <c r="H21" i="7"/>
  <c r="H18" i="7"/>
  <c r="L14" i="7"/>
  <c r="L13" i="7"/>
  <c r="H15" i="7"/>
  <c r="L16" i="7"/>
  <c r="H20" i="7"/>
  <c r="L21" i="7"/>
  <c r="G11" i="7"/>
  <c r="H11" i="7"/>
  <c r="K6" i="7"/>
  <c r="L6" i="7"/>
  <c r="G5" i="7"/>
  <c r="H5" i="7" s="1"/>
  <c r="G12" i="7"/>
  <c r="H12" i="7" s="1"/>
  <c r="K11" i="7"/>
  <c r="L11" i="7" s="1"/>
  <c r="G10" i="7"/>
  <c r="H10" i="7"/>
  <c r="G9" i="7"/>
  <c r="H9" i="7" s="1"/>
  <c r="G6" i="7"/>
  <c r="H6" i="7" s="1"/>
  <c r="K9" i="7"/>
  <c r="L9" i="7" s="1"/>
  <c r="G8" i="7"/>
  <c r="H8" i="7" s="1"/>
  <c r="K7" i="7"/>
  <c r="L7" i="7" s="1"/>
  <c r="K5" i="7"/>
  <c r="L5" i="7"/>
  <c r="K12" i="7"/>
  <c r="L12" i="7" s="1"/>
  <c r="G7" i="7"/>
  <c r="H7" i="7" s="1"/>
  <c r="K10" i="7"/>
  <c r="L10" i="7"/>
  <c r="K8" i="7"/>
  <c r="L8" i="7" s="1"/>
</calcChain>
</file>

<file path=xl/sharedStrings.xml><?xml version="1.0" encoding="utf-8"?>
<sst xmlns="http://schemas.openxmlformats.org/spreadsheetml/2006/main" count="154" uniqueCount="101">
  <si>
    <t>海浪能</t>
    <phoneticPr fontId="1" type="noConversion"/>
  </si>
  <si>
    <t>畜产品</t>
    <phoneticPr fontId="1" type="noConversion"/>
  </si>
  <si>
    <t>1E+10J/t</t>
    <phoneticPr fontId="1" type="noConversion"/>
  </si>
  <si>
    <t>1E+1J/t</t>
    <phoneticPr fontId="1" type="noConversion"/>
  </si>
  <si>
    <t>2.09E+10J/t</t>
    <phoneticPr fontId="1" type="noConversion"/>
  </si>
  <si>
    <t>2.09E+10J/t</t>
    <phoneticPr fontId="1" type="noConversion"/>
  </si>
  <si>
    <t>4.7E+9J/t</t>
    <phoneticPr fontId="1" type="noConversion"/>
  </si>
  <si>
    <t>Solar</t>
    <phoneticPr fontId="1" type="noConversion"/>
  </si>
  <si>
    <t>Solar</t>
    <phoneticPr fontId="1" type="noConversion"/>
  </si>
  <si>
    <t>Solar energy=Energy (J) ¼ (area incl shelf)*(avginsolation)*(1-albedo)</t>
    <phoneticPr fontId="1" type="noConversion"/>
  </si>
  <si>
    <t>Dongying</t>
    <phoneticPr fontId="1" type="noConversion"/>
  </si>
  <si>
    <t>Binzhou</t>
    <phoneticPr fontId="1" type="noConversion"/>
  </si>
  <si>
    <t>Dongying-Binzhou</t>
    <phoneticPr fontId="1" type="noConversion"/>
  </si>
  <si>
    <t>Rain, chemical potential energy</t>
  </si>
  <si>
    <t>Dongying</t>
    <phoneticPr fontId="1" type="noConversion"/>
  </si>
  <si>
    <t>Binzhou</t>
    <phoneticPr fontId="1" type="noConversion"/>
  </si>
  <si>
    <t xml:space="preserve">Energy=(area)*(Evapotrans)*(Gibbs no.) </t>
    <phoneticPr fontId="1" type="noConversion"/>
  </si>
  <si>
    <t>Rain, geopotential energy</t>
  </si>
  <si>
    <t xml:space="preserve">energy=(area)*(rainfall)*(% runoff)*(avg elevation)*(1000 g/m3) (gravity) </t>
    <phoneticPr fontId="1" type="noConversion"/>
  </si>
  <si>
    <t>Dongying:avg elevation:8.8,m area:7923</t>
    <phoneticPr fontId="1" type="noConversion"/>
  </si>
  <si>
    <t>Binzhou:avg elevation: 11.4m area:9453</t>
    <phoneticPr fontId="1" type="noConversion"/>
  </si>
  <si>
    <t>Wind</t>
    <phoneticPr fontId="1" type="noConversion"/>
  </si>
  <si>
    <t>Dingying</t>
    <phoneticPr fontId="1" type="noConversion"/>
  </si>
  <si>
    <t>Dingying shore length：351000  Binzhou shore length：283900</t>
    <phoneticPr fontId="1" type="noConversion"/>
  </si>
  <si>
    <t>Tidal energy</t>
    <phoneticPr fontId="1" type="noConversion"/>
  </si>
  <si>
    <t>Dongying shore length</t>
    <phoneticPr fontId="1" type="noConversion"/>
  </si>
  <si>
    <t>Binzhou shore length</t>
    <phoneticPr fontId="1" type="noConversion"/>
  </si>
  <si>
    <t>Dongying shore length</t>
    <phoneticPr fontId="1" type="noConversion"/>
  </si>
  <si>
    <t>energy= (shelf)*(0.5)*(tides/yr)*(mean tidal range)²*(densityof seawater)*(gravity)</t>
    <phoneticPr fontId="1" type="noConversion"/>
  </si>
  <si>
    <t>energy=(shore length)*(1.68E+8 Kcal)*(4186 J/Kcal)</t>
    <phoneticPr fontId="1" type="noConversion"/>
  </si>
  <si>
    <t xml:space="preserve">Energy (J) =(area)*(avg air density)*(drag coefficient)*(velocity³) </t>
    <phoneticPr fontId="1" type="noConversion"/>
  </si>
  <si>
    <t>Average river geopotential work:</t>
    <phoneticPr fontId="1" type="noConversion"/>
  </si>
  <si>
    <t>energy=(ruanoff)*(1.00E+03 kg/m3)*(elevation)*(9.8 m/sec²)</t>
    <phoneticPr fontId="1" type="noConversion"/>
  </si>
  <si>
    <t>Chemical potential energy of river water relative to sea water salinity</t>
    <phoneticPr fontId="1" type="noConversion"/>
  </si>
  <si>
    <t xml:space="preserve">energy=(runoff)*(1.00E+03 kg/m3)*(4.94 J Gibbs free energy/g) </t>
    <phoneticPr fontId="1" type="noConversion"/>
  </si>
  <si>
    <t>Earth cycle:</t>
  </si>
  <si>
    <r>
      <t>Energy=</t>
    </r>
    <r>
      <rPr>
        <sz val="11"/>
        <color rgb="FF000000"/>
        <rFont val="AdvP4C4E74"/>
        <family val="2"/>
      </rPr>
      <t xml:space="preserve"> </t>
    </r>
    <r>
      <rPr>
        <sz val="11"/>
        <color rgb="FF000000"/>
        <rFont val="AdvOT863180fb"/>
        <family val="2"/>
      </rPr>
      <t xml:space="preserve">(Land area)*(Heat </t>
    </r>
    <r>
      <rPr>
        <sz val="11"/>
        <color rgb="FF000000"/>
        <rFont val="AdvOT863180fb+fb"/>
        <family val="2"/>
      </rPr>
      <t>fl</t>
    </r>
    <r>
      <rPr>
        <sz val="11"/>
        <color rgb="FF000000"/>
        <rFont val="AdvOT863180fb"/>
        <family val="2"/>
      </rPr>
      <t>ow)</t>
    </r>
    <phoneticPr fontId="1" type="noConversion"/>
  </si>
  <si>
    <t>Heat flow=1.45E+06J/㎡</t>
    <phoneticPr fontId="1" type="noConversion"/>
  </si>
  <si>
    <t>Dongying NPP</t>
    <phoneticPr fontId="1" type="noConversion"/>
  </si>
  <si>
    <t>Binzhou NPP</t>
    <phoneticPr fontId="1" type="noConversion"/>
  </si>
  <si>
    <t>energy= (NPP)*(8 KCal/g)*(4186 J/KCal)</t>
    <phoneticPr fontId="1" type="noConversion"/>
  </si>
  <si>
    <t>Dongying NPP</t>
    <phoneticPr fontId="1" type="noConversion"/>
  </si>
  <si>
    <t>energy</t>
    <phoneticPr fontId="1" type="noConversion"/>
  </si>
  <si>
    <t>Aquatic products</t>
  </si>
  <si>
    <t>milk</t>
    <phoneticPr fontId="1" type="noConversion"/>
  </si>
  <si>
    <t>egg</t>
    <phoneticPr fontId="1" type="noConversion"/>
  </si>
  <si>
    <t>Dongying meat/t</t>
    <phoneticPr fontId="1" type="noConversion"/>
  </si>
  <si>
    <t>Binzhou meat/t</t>
    <phoneticPr fontId="1" type="noConversion"/>
  </si>
  <si>
    <r>
      <t>Energy =</t>
    </r>
    <r>
      <rPr>
        <sz val="11"/>
        <color rgb="FF000000"/>
        <rFont val="AdvP4C4E74"/>
        <family val="2"/>
      </rPr>
      <t xml:space="preserve"> </t>
    </r>
    <r>
      <rPr>
        <sz val="11"/>
        <color rgb="FF000000"/>
        <rFont val="AdvOT863180fb"/>
        <family val="2"/>
      </rPr>
      <t>(Total production)*(energy content)</t>
    </r>
    <phoneticPr fontId="1" type="noConversion"/>
  </si>
  <si>
    <t>Dongying Total production</t>
    <phoneticPr fontId="1" type="noConversion"/>
  </si>
  <si>
    <t>Binzhou Total production</t>
    <phoneticPr fontId="1" type="noConversion"/>
  </si>
  <si>
    <r>
      <t>Energy =</t>
    </r>
    <r>
      <rPr>
        <sz val="11"/>
        <color rgb="FF000000"/>
        <rFont val="AdvP4C4E74"/>
        <family val="2"/>
      </rPr>
      <t xml:space="preserve"> </t>
    </r>
    <r>
      <rPr>
        <sz val="11"/>
        <color rgb="FF000000"/>
        <rFont val="AdvOT863180fb"/>
        <family val="2"/>
      </rPr>
      <t>(Total production)*(energy content)</t>
    </r>
    <phoneticPr fontId="1" type="noConversion"/>
  </si>
  <si>
    <t>Topsoil losses:</t>
  </si>
  <si>
    <t>Binzhou  Harvest cropland</t>
    <phoneticPr fontId="1" type="noConversion"/>
  </si>
  <si>
    <t>Dongying  Harvest cropland</t>
    <phoneticPr fontId="1" type="noConversion"/>
  </si>
  <si>
    <t>Soil loss</t>
  </si>
  <si>
    <t>Binzhou</t>
    <phoneticPr fontId="1" type="noConversion"/>
  </si>
  <si>
    <t>Dongying</t>
    <phoneticPr fontId="1" type="noConversion"/>
  </si>
  <si>
    <t>Binzhou</t>
    <phoneticPr fontId="1" type="noConversion"/>
  </si>
  <si>
    <t>Dongying</t>
    <phoneticPr fontId="1" type="noConversion"/>
  </si>
  <si>
    <t xml:space="preserve">energy=(Soil loss)*(Harvested cropland)*(organic content)*(5.4 Kcal/g)*(4186 J/Kcal) </t>
    <phoneticPr fontId="1" type="noConversion"/>
  </si>
  <si>
    <t>energy=(Harvested cropland)*(Average elevation)</t>
    <phoneticPr fontId="1" type="noConversion"/>
  </si>
  <si>
    <t>Donying-Binzhou</t>
    <phoneticPr fontId="1" type="noConversion"/>
  </si>
  <si>
    <t>Binzhou import energy</t>
    <phoneticPr fontId="1" type="noConversion"/>
  </si>
  <si>
    <t>Dongying import energy</t>
    <phoneticPr fontId="1" type="noConversion"/>
  </si>
  <si>
    <t>Raw coal(10kt)</t>
    <phoneticPr fontId="1" type="noConversion"/>
  </si>
  <si>
    <t>Nature gas（10e+05m³）</t>
    <phoneticPr fontId="1" type="noConversion"/>
  </si>
  <si>
    <t>Crude oill（10kt）</t>
    <phoneticPr fontId="1" type="noConversion"/>
  </si>
  <si>
    <t>Gasoline</t>
    <phoneticPr fontId="1" type="noConversion"/>
  </si>
  <si>
    <t>Diesel</t>
  </si>
  <si>
    <t>Fuel oil</t>
  </si>
  <si>
    <t>Raw coal(J)</t>
    <phoneticPr fontId="1" type="noConversion"/>
  </si>
  <si>
    <t>Nature gas（J）</t>
    <phoneticPr fontId="1" type="noConversion"/>
  </si>
  <si>
    <t>Crude oill（J）</t>
    <phoneticPr fontId="1" type="noConversion"/>
  </si>
  <si>
    <t>Gasoline(J)</t>
    <phoneticPr fontId="1" type="noConversion"/>
  </si>
  <si>
    <t>Diesel(J)</t>
    <phoneticPr fontId="1" type="noConversion"/>
  </si>
  <si>
    <t>Fuel oil(J)</t>
    <phoneticPr fontId="1" type="noConversion"/>
  </si>
  <si>
    <t>Gasoline（10kt）</t>
    <phoneticPr fontId="1" type="noConversion"/>
  </si>
  <si>
    <t>Crude oill（10E+05t）</t>
    <phoneticPr fontId="1" type="noConversion"/>
  </si>
  <si>
    <t>Raw coal(10E+05t)</t>
    <phoneticPr fontId="1" type="noConversion"/>
  </si>
  <si>
    <t>Diesel(10E+05t)</t>
    <phoneticPr fontId="1" type="noConversion"/>
  </si>
  <si>
    <t>Fuel oil(10E+05t)</t>
    <phoneticPr fontId="1" type="noConversion"/>
  </si>
  <si>
    <t>electricity（10e+04kw/h）</t>
    <phoneticPr fontId="1" type="noConversion"/>
  </si>
  <si>
    <t>Raw coal(J)</t>
    <phoneticPr fontId="1" type="noConversion"/>
  </si>
  <si>
    <t>Energy=(Consumption)*(energy content)</t>
    <phoneticPr fontId="1" type="noConversion"/>
  </si>
  <si>
    <t>Dongying Consumption</t>
    <phoneticPr fontId="1" type="noConversion"/>
  </si>
  <si>
    <t>Binzhou Consumption</t>
    <phoneticPr fontId="1" type="noConversion"/>
  </si>
  <si>
    <t>Dongying Investment output</t>
  </si>
  <si>
    <t>imput($)</t>
  </si>
  <si>
    <t>output($)</t>
  </si>
  <si>
    <t>Dongying Foreign investment</t>
  </si>
  <si>
    <t>Binzhou Foreign investment</t>
  </si>
  <si>
    <t>Tourism</t>
    <phoneticPr fontId="1" type="noConversion"/>
  </si>
  <si>
    <t>Binzhou tourism($)</t>
    <phoneticPr fontId="1" type="noConversion"/>
  </si>
  <si>
    <t>Dongying tourism($)</t>
    <phoneticPr fontId="1" type="noConversion"/>
  </si>
  <si>
    <t>Binzhou waste soild g</t>
    <phoneticPr fontId="1" type="noConversion"/>
  </si>
  <si>
    <t>Dongying waste soild g</t>
    <phoneticPr fontId="1" type="noConversion"/>
  </si>
  <si>
    <t>Dongying waste soild(J）</t>
    <phoneticPr fontId="1" type="noConversion"/>
  </si>
  <si>
    <t>Binzhou waste soild(J）</t>
    <phoneticPr fontId="1" type="noConversion"/>
  </si>
  <si>
    <t>Binzhou waste water gallon</t>
    <phoneticPr fontId="1" type="noConversion"/>
  </si>
  <si>
    <t>Dongying waste water gallon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</si>
</sst>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.00_);[Red]\(0.00\)"/>
  </numFmts>
  <fonts count="8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rgb="FF333333"/>
      <name val="Microsoft YaHei UI"/>
      <family val="2"/>
      <charset val="134"/>
    </font>
    <font>
      <sz val="11"/>
      <color rgb="FFFF0000"/>
      <name val="等线"/>
      <family val="2"/>
      <scheme val="minor"/>
    </font>
    <font>
      <sz val="8"/>
      <color rgb="FF000000"/>
      <name val="AdvOT863180fb"/>
      <family val="2"/>
    </font>
    <font>
      <sz val="11"/>
      <color rgb="FF000000"/>
      <name val="AdvOT863180fb"/>
      <family val="2"/>
    </font>
    <font>
      <sz val="11"/>
      <color rgb="FF000000"/>
      <name val="AdvP4C4E74"/>
      <family val="2"/>
    </font>
    <font>
      <sz val="11"/>
      <color rgb="FF000000"/>
      <name val="AdvOT863180fb+fb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11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/>
    <xf numFmtId="176" fontId="0" fillId="0" borderId="0" xfId="0" applyNumberFormat="1" applyAlignment="1"/>
    <xf numFmtId="177" fontId="0" fillId="0" borderId="0" xfId="0" applyNumberFormat="1"/>
    <xf numFmtId="0" fontId="0" fillId="0" borderId="0" xfId="0" quotePrefix="1"/>
    <xf numFmtId="0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11" fontId="3" fillId="0" borderId="0" xfId="0" applyNumberFormat="1" applyFont="1"/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177" fontId="0" fillId="0" borderId="0" xfId="0" applyNumberFormat="1" applyFont="1"/>
    <xf numFmtId="0" fontId="0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E23" sqref="E23"/>
    </sheetView>
  </sheetViews>
  <sheetFormatPr defaultColWidth="25.625" defaultRowHeight="14.25"/>
  <cols>
    <col min="1" max="1" width="57" customWidth="1"/>
  </cols>
  <sheetData>
    <row r="1" spans="1:6">
      <c r="A1" t="s">
        <v>8</v>
      </c>
      <c r="B1" s="1"/>
      <c r="C1" s="2" t="s">
        <v>10</v>
      </c>
      <c r="D1" s="2"/>
      <c r="E1" s="2" t="s">
        <v>11</v>
      </c>
      <c r="F1" t="s">
        <v>12</v>
      </c>
    </row>
    <row r="2" spans="1:6">
      <c r="A2" t="s">
        <v>9</v>
      </c>
      <c r="B2" s="1"/>
      <c r="C2" s="2"/>
      <c r="D2" s="2"/>
      <c r="E2" s="2"/>
    </row>
    <row r="3" spans="1:6">
      <c r="B3" s="1"/>
      <c r="C3" s="2"/>
      <c r="D3" s="2"/>
      <c r="E3" s="2"/>
    </row>
    <row r="4" spans="1:6">
      <c r="B4" s="1" t="s">
        <v>7</v>
      </c>
      <c r="C4" s="2"/>
      <c r="D4" s="1" t="s">
        <v>7</v>
      </c>
      <c r="E4" s="2"/>
    </row>
    <row r="5" spans="1:6">
      <c r="A5">
        <v>2000</v>
      </c>
      <c r="B5" s="1">
        <v>5264</v>
      </c>
      <c r="C5" s="2">
        <f t="shared" ref="C5:C21" si="0">B5*7923.1*0.8*1000000000000</f>
        <v>3.336575872E+19</v>
      </c>
      <c r="D5" s="1">
        <v>5264</v>
      </c>
      <c r="E5" s="2">
        <f>D5*9453*1000000000000*0.8</f>
        <v>3.98084736E+19</v>
      </c>
      <c r="F5" s="2">
        <f>C5+E5</f>
        <v>7.317423232E+19</v>
      </c>
    </row>
    <row r="6" spans="1:6">
      <c r="A6">
        <v>2001</v>
      </c>
      <c r="B6" s="1">
        <v>5015</v>
      </c>
      <c r="C6" s="2">
        <f t="shared" si="0"/>
        <v>3.1787477200000004E+19</v>
      </c>
      <c r="D6" s="1">
        <v>5015</v>
      </c>
      <c r="E6" s="2">
        <f>D6*9453*1000000000000*0.8</f>
        <v>3.7925436000000008E+19</v>
      </c>
      <c r="F6" s="2">
        <f t="shared" ref="F6:F21" si="1">C6+E6</f>
        <v>6.9712913200000008E+19</v>
      </c>
    </row>
    <row r="7" spans="1:6">
      <c r="A7">
        <v>2002</v>
      </c>
      <c r="B7" s="1">
        <v>5289</v>
      </c>
      <c r="C7" s="2">
        <f t="shared" si="0"/>
        <v>3.352422072E+19</v>
      </c>
      <c r="D7" s="1">
        <v>5289</v>
      </c>
      <c r="E7" s="2">
        <f t="shared" ref="E7:E21" si="2">D7*9453*1000000000000*0.8</f>
        <v>3.99975336E+19</v>
      </c>
      <c r="F7" s="2">
        <f t="shared" si="1"/>
        <v>7.352175432E+19</v>
      </c>
    </row>
    <row r="8" spans="1:6">
      <c r="A8">
        <v>2003</v>
      </c>
      <c r="B8" s="1">
        <v>5025</v>
      </c>
      <c r="C8" s="2">
        <f t="shared" si="0"/>
        <v>3.1850862E+19</v>
      </c>
      <c r="D8" s="1">
        <v>5025</v>
      </c>
      <c r="E8" s="2">
        <f t="shared" si="2"/>
        <v>3.800106E+19</v>
      </c>
      <c r="F8" s="2">
        <f t="shared" si="1"/>
        <v>6.9851922E+19</v>
      </c>
    </row>
    <row r="9" spans="1:6">
      <c r="A9">
        <v>2004</v>
      </c>
      <c r="B9" s="1">
        <v>5175</v>
      </c>
      <c r="C9" s="2">
        <f t="shared" si="0"/>
        <v>3.2801634E+19</v>
      </c>
      <c r="D9" s="1">
        <v>5175</v>
      </c>
      <c r="E9" s="2">
        <f t="shared" si="2"/>
        <v>3.9135420000000008E+19</v>
      </c>
      <c r="F9" s="2">
        <f t="shared" si="1"/>
        <v>7.1937054000000008E+19</v>
      </c>
    </row>
    <row r="10" spans="1:6">
      <c r="A10">
        <v>2005</v>
      </c>
      <c r="B10" s="1">
        <v>5274</v>
      </c>
      <c r="C10" s="2">
        <f t="shared" si="0"/>
        <v>3.342914352E+19</v>
      </c>
      <c r="D10" s="1">
        <v>5274</v>
      </c>
      <c r="E10" s="2">
        <f t="shared" si="2"/>
        <v>3.98840976E+19</v>
      </c>
      <c r="F10" s="2">
        <f t="shared" si="1"/>
        <v>7.331324112E+19</v>
      </c>
    </row>
    <row r="11" spans="1:6">
      <c r="A11">
        <v>2006</v>
      </c>
      <c r="B11" s="1">
        <v>4843</v>
      </c>
      <c r="C11" s="2">
        <f t="shared" si="0"/>
        <v>3.0697258640000004E+19</v>
      </c>
      <c r="D11" s="1">
        <v>4843</v>
      </c>
      <c r="E11" s="2">
        <f t="shared" si="2"/>
        <v>3.6624703200000004E+19</v>
      </c>
      <c r="F11" s="2">
        <f t="shared" si="1"/>
        <v>6.7321961840000008E+19</v>
      </c>
    </row>
    <row r="12" spans="1:6">
      <c r="A12">
        <v>2007</v>
      </c>
      <c r="B12" s="1">
        <v>5023</v>
      </c>
      <c r="C12" s="2">
        <f t="shared" si="0"/>
        <v>3.1838185040000008E+19</v>
      </c>
      <c r="D12" s="1">
        <v>5023</v>
      </c>
      <c r="E12" s="2">
        <f t="shared" si="2"/>
        <v>3.7985935200000008E+19</v>
      </c>
      <c r="F12" s="2">
        <f t="shared" si="1"/>
        <v>6.9824120240000016E+19</v>
      </c>
    </row>
    <row r="13" spans="1:6">
      <c r="A13">
        <v>2008</v>
      </c>
      <c r="B13" s="1">
        <v>4812</v>
      </c>
      <c r="C13" s="2">
        <f t="shared" si="0"/>
        <v>3.0500765760000004E+19</v>
      </c>
      <c r="D13" s="1">
        <v>4812</v>
      </c>
      <c r="E13" s="2">
        <f t="shared" si="2"/>
        <v>3.63902688E+19</v>
      </c>
      <c r="F13" s="2">
        <f t="shared" si="1"/>
        <v>6.689103456E+19</v>
      </c>
    </row>
    <row r="14" spans="1:6">
      <c r="A14">
        <v>2009</v>
      </c>
      <c r="B14" s="1">
        <v>5031</v>
      </c>
      <c r="C14" s="2">
        <f t="shared" si="0"/>
        <v>3.1888892880000004E+19</v>
      </c>
      <c r="D14" s="1">
        <v>5031</v>
      </c>
      <c r="E14" s="2">
        <f t="shared" si="2"/>
        <v>3.8046434400000008E+19</v>
      </c>
      <c r="F14" s="2">
        <f t="shared" si="1"/>
        <v>6.9935327280000008E+19</v>
      </c>
    </row>
    <row r="15" spans="1:6">
      <c r="A15">
        <v>2010</v>
      </c>
      <c r="B15" s="1">
        <v>4887</v>
      </c>
      <c r="C15" s="2">
        <f t="shared" si="0"/>
        <v>3.0976151760000004E+19</v>
      </c>
      <c r="D15" s="1">
        <v>4887</v>
      </c>
      <c r="E15" s="2">
        <f t="shared" si="2"/>
        <v>3.6957448800000008E+19</v>
      </c>
      <c r="F15" s="2">
        <f t="shared" si="1"/>
        <v>6.7933600560000008E+19</v>
      </c>
    </row>
    <row r="16" spans="1:6">
      <c r="A16">
        <v>2011</v>
      </c>
      <c r="B16" s="1">
        <v>4984</v>
      </c>
      <c r="C16" s="2">
        <f t="shared" si="0"/>
        <v>3.159098432E+19</v>
      </c>
      <c r="D16" s="1">
        <v>4984</v>
      </c>
      <c r="E16" s="2">
        <f t="shared" si="2"/>
        <v>3.76910016E+19</v>
      </c>
      <c r="F16" s="2">
        <f t="shared" si="1"/>
        <v>6.928198592E+19</v>
      </c>
    </row>
    <row r="17" spans="1:6">
      <c r="A17">
        <v>2012</v>
      </c>
      <c r="B17" s="1">
        <v>4943</v>
      </c>
      <c r="C17" s="2">
        <f t="shared" si="0"/>
        <v>3.1331106640000004E+19</v>
      </c>
      <c r="D17" s="1">
        <v>4943</v>
      </c>
      <c r="E17" s="2">
        <f t="shared" si="2"/>
        <v>3.7380943200000008E+19</v>
      </c>
      <c r="F17" s="2">
        <f t="shared" si="1"/>
        <v>6.8712049840000008E+19</v>
      </c>
    </row>
    <row r="18" spans="1:6">
      <c r="A18">
        <v>2013</v>
      </c>
      <c r="B18" s="1">
        <v>5036</v>
      </c>
      <c r="C18" s="2">
        <f t="shared" si="0"/>
        <v>3.192058528E+19</v>
      </c>
      <c r="D18" s="1">
        <v>5036</v>
      </c>
      <c r="E18" s="2">
        <f t="shared" si="2"/>
        <v>3.80842464E+19</v>
      </c>
      <c r="F18" s="2">
        <f t="shared" si="1"/>
        <v>7.000483168E+19</v>
      </c>
    </row>
    <row r="19" spans="1:6">
      <c r="A19">
        <v>2014</v>
      </c>
      <c r="B19" s="1">
        <v>4926</v>
      </c>
      <c r="C19" s="2">
        <f t="shared" si="0"/>
        <v>3.1223352480000004E+19</v>
      </c>
      <c r="D19" s="1">
        <v>4926</v>
      </c>
      <c r="E19" s="2">
        <f t="shared" si="2"/>
        <v>3.72523824E+19</v>
      </c>
      <c r="F19" s="2">
        <f t="shared" si="1"/>
        <v>6.847573488E+19</v>
      </c>
    </row>
    <row r="20" spans="1:6">
      <c r="A20">
        <v>2015</v>
      </c>
      <c r="B20" s="1">
        <v>4702</v>
      </c>
      <c r="C20" s="2">
        <f t="shared" si="0"/>
        <v>2.9803532960000004E+19</v>
      </c>
      <c r="D20" s="1">
        <v>4702</v>
      </c>
      <c r="E20" s="2">
        <f t="shared" si="2"/>
        <v>3.55584048E+19</v>
      </c>
      <c r="F20" s="2">
        <f t="shared" si="1"/>
        <v>6.536193776E+19</v>
      </c>
    </row>
    <row r="21" spans="1:6">
      <c r="A21">
        <v>2016</v>
      </c>
      <c r="B21" s="1">
        <v>5025</v>
      </c>
      <c r="C21" s="2">
        <f t="shared" si="0"/>
        <v>3.1850862E+19</v>
      </c>
      <c r="D21" s="1">
        <v>5025</v>
      </c>
      <c r="E21" s="2">
        <f t="shared" si="2"/>
        <v>3.800106E+19</v>
      </c>
      <c r="F21" s="2">
        <f t="shared" si="1"/>
        <v>6.9851922E+19</v>
      </c>
    </row>
  </sheetData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G1" workbookViewId="0">
      <selection activeCell="P24" sqref="P24"/>
    </sheetView>
  </sheetViews>
  <sheetFormatPr defaultColWidth="20.625" defaultRowHeight="14.25"/>
  <cols>
    <col min="9" max="9" width="35.625" customWidth="1"/>
  </cols>
  <sheetData>
    <row r="1" spans="1:16">
      <c r="A1" t="s">
        <v>85</v>
      </c>
      <c r="B1" t="s">
        <v>79</v>
      </c>
      <c r="C1" t="s">
        <v>66</v>
      </c>
      <c r="D1" t="s">
        <v>78</v>
      </c>
      <c r="E1" t="s">
        <v>77</v>
      </c>
      <c r="F1" t="s">
        <v>80</v>
      </c>
      <c r="G1" t="s">
        <v>81</v>
      </c>
      <c r="H1" t="s">
        <v>82</v>
      </c>
      <c r="I1" s="2" t="s">
        <v>84</v>
      </c>
      <c r="J1" t="s">
        <v>83</v>
      </c>
      <c r="K1" t="s">
        <v>66</v>
      </c>
      <c r="L1" t="s">
        <v>78</v>
      </c>
      <c r="M1" t="s">
        <v>77</v>
      </c>
      <c r="N1" t="s">
        <v>80</v>
      </c>
      <c r="O1" t="s">
        <v>81</v>
      </c>
      <c r="P1" t="s">
        <v>82</v>
      </c>
    </row>
    <row r="2" spans="1:16">
      <c r="A2">
        <v>2016</v>
      </c>
      <c r="B2">
        <v>1512</v>
      </c>
      <c r="C2">
        <f>34092</f>
        <v>34092</v>
      </c>
      <c r="D2">
        <v>2222</v>
      </c>
      <c r="E2">
        <v>5.5</v>
      </c>
      <c r="F2">
        <v>71.2</v>
      </c>
      <c r="G2">
        <v>2311</v>
      </c>
      <c r="H2" s="2">
        <v>2453497</v>
      </c>
      <c r="I2">
        <v>2016</v>
      </c>
      <c r="J2" s="2">
        <f>B2*10000*31800000000</f>
        <v>4.80816E+17</v>
      </c>
      <c r="K2" s="2">
        <f>C2*10000*8966*4186</f>
        <v>1.279529898192E+16</v>
      </c>
      <c r="L2" s="2">
        <f>D2*10000*41800000000</f>
        <v>9.28796E+17</v>
      </c>
      <c r="M2" s="2">
        <f>E2*10000*46100000000</f>
        <v>2535500000000000</v>
      </c>
      <c r="N2" s="2">
        <f>F2*10000*41800000000</f>
        <v>2.97616E+16</v>
      </c>
      <c r="O2" s="2">
        <f>G2*10000*47800000000</f>
        <v>1.104658E+18</v>
      </c>
      <c r="P2" s="2">
        <f>H2*3590000*10000</f>
        <v>8.80805423E+16</v>
      </c>
    </row>
    <row r="3" spans="1:16">
      <c r="A3">
        <v>2015</v>
      </c>
      <c r="B3">
        <v>1421</v>
      </c>
      <c r="C3">
        <v>27711</v>
      </c>
      <c r="D3">
        <v>1791</v>
      </c>
      <c r="E3">
        <v>6.8</v>
      </c>
      <c r="F3">
        <v>35.299999999999997</v>
      </c>
      <c r="G3">
        <v>1924</v>
      </c>
      <c r="H3" s="2">
        <v>2310000</v>
      </c>
      <c r="I3">
        <v>2015</v>
      </c>
      <c r="J3" s="2">
        <f t="shared" ref="J3:J18" si="0">B3*10000*31800000000</f>
        <v>4.51878E+17</v>
      </c>
      <c r="K3" s="2">
        <f t="shared" ref="K3:K18" si="1">C3*10000*8966*4186</f>
        <v>1.040040273636E+16</v>
      </c>
      <c r="L3" s="2">
        <f t="shared" ref="L3:L18" si="2">D3*10000*41800000000</f>
        <v>7.48638E+17</v>
      </c>
      <c r="M3" s="2">
        <f t="shared" ref="M3:M18" si="3">E3*10000*46100000000</f>
        <v>3134800000000000</v>
      </c>
      <c r="N3" s="2">
        <f t="shared" ref="N3:N18" si="4">F3*10000*41800000000</f>
        <v>1.47554E+16</v>
      </c>
      <c r="O3" s="2">
        <f t="shared" ref="O3:O18" si="5">G3*10000*47800000000</f>
        <v>9.19672E+17</v>
      </c>
      <c r="P3" s="2">
        <f t="shared" ref="P3:P18" si="6">H3*3590000*10000</f>
        <v>8.2929E+16</v>
      </c>
    </row>
    <row r="4" spans="1:16">
      <c r="A4">
        <v>2014</v>
      </c>
      <c r="B4">
        <v>2318</v>
      </c>
      <c r="C4">
        <v>26907</v>
      </c>
      <c r="D4">
        <v>1534</v>
      </c>
      <c r="E4">
        <v>5.6</v>
      </c>
      <c r="F4">
        <v>14.2</v>
      </c>
      <c r="G4">
        <v>1235.8</v>
      </c>
      <c r="H4" s="2">
        <v>2187532</v>
      </c>
      <c r="I4">
        <v>2014</v>
      </c>
      <c r="J4" s="2">
        <f t="shared" si="0"/>
        <v>7.37124E+17</v>
      </c>
      <c r="K4" s="2">
        <f t="shared" si="1"/>
        <v>1.009864806132E+16</v>
      </c>
      <c r="L4" s="2">
        <f t="shared" si="2"/>
        <v>6.41212E+17</v>
      </c>
      <c r="M4" s="2">
        <f t="shared" si="3"/>
        <v>2581600000000000</v>
      </c>
      <c r="N4" s="2">
        <f t="shared" si="4"/>
        <v>5935600000000000</v>
      </c>
      <c r="O4" s="2">
        <f t="shared" si="5"/>
        <v>5.907124E+17</v>
      </c>
      <c r="P4" s="2">
        <f t="shared" si="6"/>
        <v>7.85323988E+16</v>
      </c>
    </row>
    <row r="5" spans="1:16">
      <c r="A5">
        <v>2013</v>
      </c>
      <c r="B5">
        <v>2169</v>
      </c>
      <c r="C5">
        <v>25762</v>
      </c>
      <c r="D5">
        <v>1464</v>
      </c>
      <c r="E5">
        <v>6</v>
      </c>
      <c r="F5">
        <v>36.299999999999997</v>
      </c>
      <c r="G5">
        <v>833.8</v>
      </c>
      <c r="H5" s="2">
        <v>1948601</v>
      </c>
      <c r="I5">
        <v>2013</v>
      </c>
      <c r="J5" s="2">
        <f t="shared" si="0"/>
        <v>6.89742E+17</v>
      </c>
      <c r="K5" s="2">
        <f t="shared" si="1"/>
        <v>9668910371120000</v>
      </c>
      <c r="L5" s="2">
        <f t="shared" si="2"/>
        <v>6.11952E+17</v>
      </c>
      <c r="M5" s="2">
        <f t="shared" si="3"/>
        <v>2766000000000000</v>
      </c>
      <c r="N5" s="2">
        <f t="shared" si="4"/>
        <v>1.51734E+16</v>
      </c>
      <c r="O5" s="2">
        <f t="shared" si="5"/>
        <v>3.985564E+17</v>
      </c>
      <c r="P5" s="2">
        <f t="shared" si="6"/>
        <v>6.99547759E+16</v>
      </c>
    </row>
    <row r="6" spans="1:16">
      <c r="A6">
        <v>2012</v>
      </c>
      <c r="B6">
        <v>2033</v>
      </c>
      <c r="C6">
        <v>25591</v>
      </c>
      <c r="D6">
        <v>1244</v>
      </c>
      <c r="E6">
        <v>5.6</v>
      </c>
      <c r="F6">
        <v>4.8</v>
      </c>
      <c r="G6">
        <v>677</v>
      </c>
      <c r="H6" s="2">
        <v>1850929</v>
      </c>
      <c r="I6">
        <v>2012</v>
      </c>
      <c r="J6" s="2">
        <f t="shared" si="0"/>
        <v>6.46494E+17</v>
      </c>
      <c r="K6" s="2">
        <f t="shared" si="1"/>
        <v>9604731205160000</v>
      </c>
      <c r="L6" s="2">
        <f t="shared" si="2"/>
        <v>5.19992E+17</v>
      </c>
      <c r="M6" s="2">
        <f t="shared" si="3"/>
        <v>2581600000000000</v>
      </c>
      <c r="N6" s="2">
        <f t="shared" si="4"/>
        <v>2006400000000000</v>
      </c>
      <c r="O6" s="2">
        <f t="shared" si="5"/>
        <v>3.23606E+17</v>
      </c>
      <c r="P6" s="2">
        <f t="shared" si="6"/>
        <v>6.64483511E+16</v>
      </c>
    </row>
    <row r="7" spans="1:16">
      <c r="A7">
        <v>2011</v>
      </c>
      <c r="B7">
        <v>1735</v>
      </c>
      <c r="C7">
        <v>25240</v>
      </c>
      <c r="D7">
        <v>1079</v>
      </c>
      <c r="E7">
        <v>4.5999999999999996</v>
      </c>
      <c r="F7">
        <v>5.4</v>
      </c>
      <c r="G7">
        <v>645</v>
      </c>
      <c r="H7" s="2">
        <v>1625644</v>
      </c>
      <c r="I7">
        <v>2011</v>
      </c>
      <c r="J7" s="2">
        <f t="shared" si="0"/>
        <v>5.5173E+17</v>
      </c>
      <c r="K7" s="2">
        <f t="shared" si="1"/>
        <v>9472995022400000</v>
      </c>
      <c r="L7" s="2">
        <f t="shared" si="2"/>
        <v>4.51022E+17</v>
      </c>
      <c r="M7" s="2">
        <f t="shared" si="3"/>
        <v>2120600000000000</v>
      </c>
      <c r="N7" s="2">
        <f t="shared" si="4"/>
        <v>2257200000000000</v>
      </c>
      <c r="O7" s="2">
        <f t="shared" si="5"/>
        <v>3.0831E+17</v>
      </c>
      <c r="P7" s="2">
        <f t="shared" si="6"/>
        <v>5.83606196E+16</v>
      </c>
    </row>
    <row r="8" spans="1:16">
      <c r="A8">
        <v>2010</v>
      </c>
      <c r="B8">
        <v>1388</v>
      </c>
      <c r="C8">
        <v>24039</v>
      </c>
      <c r="D8">
        <v>1137</v>
      </c>
      <c r="E8">
        <v>3.7</v>
      </c>
      <c r="F8">
        <v>5.5</v>
      </c>
      <c r="G8">
        <v>251</v>
      </c>
      <c r="H8" s="2">
        <v>1497658</v>
      </c>
      <c r="I8">
        <v>2010</v>
      </c>
      <c r="J8" s="2">
        <f t="shared" si="0"/>
        <v>4.41384E+17</v>
      </c>
      <c r="K8" s="2">
        <f t="shared" si="1"/>
        <v>9022239593640000</v>
      </c>
      <c r="L8" s="2">
        <f t="shared" si="2"/>
        <v>4.75266E+17</v>
      </c>
      <c r="M8" s="2">
        <f t="shared" si="3"/>
        <v>1705700000000000</v>
      </c>
      <c r="N8" s="2">
        <f t="shared" si="4"/>
        <v>2299000000000000</v>
      </c>
      <c r="O8" s="2">
        <f t="shared" si="5"/>
        <v>1.19978E+17</v>
      </c>
      <c r="P8" s="2">
        <f t="shared" si="6"/>
        <v>5.37659222E+16</v>
      </c>
    </row>
    <row r="9" spans="1:16">
      <c r="A9">
        <v>2009</v>
      </c>
      <c r="B9">
        <v>1312</v>
      </c>
      <c r="C9">
        <v>22718</v>
      </c>
      <c r="D9">
        <v>1176</v>
      </c>
      <c r="E9">
        <v>3.9</v>
      </c>
      <c r="F9">
        <v>5.7</v>
      </c>
      <c r="G9">
        <v>187</v>
      </c>
      <c r="H9" s="2">
        <v>1408762</v>
      </c>
      <c r="I9">
        <v>2009</v>
      </c>
      <c r="J9" s="2">
        <f t="shared" si="0"/>
        <v>4.17216E+17</v>
      </c>
      <c r="K9" s="2">
        <f t="shared" si="1"/>
        <v>8526446153680000</v>
      </c>
      <c r="L9" s="2">
        <f t="shared" si="2"/>
        <v>4.91568E+17</v>
      </c>
      <c r="M9" s="2">
        <f t="shared" si="3"/>
        <v>1797900000000000</v>
      </c>
      <c r="N9" s="2">
        <f t="shared" si="4"/>
        <v>2382600000000000</v>
      </c>
      <c r="O9" s="2">
        <f t="shared" si="5"/>
        <v>8.9386E+16</v>
      </c>
      <c r="P9" s="2">
        <f t="shared" si="6"/>
        <v>5.05745558E+16</v>
      </c>
    </row>
    <row r="10" spans="1:16">
      <c r="A10">
        <v>2008</v>
      </c>
      <c r="B10">
        <v>1223</v>
      </c>
      <c r="C10">
        <v>21625</v>
      </c>
      <c r="D10">
        <v>1126.4000000000001</v>
      </c>
      <c r="E10">
        <v>4.2</v>
      </c>
      <c r="F10">
        <v>6.5</v>
      </c>
      <c r="G10">
        <v>154</v>
      </c>
      <c r="H10" s="2">
        <v>1307196</v>
      </c>
      <c r="I10">
        <v>2008</v>
      </c>
      <c r="J10" s="2">
        <f t="shared" si="0"/>
        <v>3.88914E+17</v>
      </c>
      <c r="K10" s="2">
        <f t="shared" si="1"/>
        <v>8116224935000000</v>
      </c>
      <c r="L10" s="2">
        <f t="shared" si="2"/>
        <v>4.708352E+17</v>
      </c>
      <c r="M10" s="2">
        <f t="shared" si="3"/>
        <v>1936200000000000</v>
      </c>
      <c r="N10" s="2">
        <f t="shared" si="4"/>
        <v>2717000000000000</v>
      </c>
      <c r="O10" s="2">
        <f t="shared" si="5"/>
        <v>7.3612E+16</v>
      </c>
      <c r="P10" s="2">
        <f t="shared" si="6"/>
        <v>4.69283364E+16</v>
      </c>
    </row>
    <row r="11" spans="1:16">
      <c r="A11">
        <v>2007</v>
      </c>
      <c r="B11">
        <v>1104</v>
      </c>
      <c r="C11">
        <v>20332</v>
      </c>
      <c r="D11">
        <v>984.6</v>
      </c>
      <c r="E11">
        <v>6.3</v>
      </c>
      <c r="F11">
        <v>22.7</v>
      </c>
      <c r="G11">
        <v>75.8</v>
      </c>
      <c r="H11" s="2">
        <v>1160359</v>
      </c>
      <c r="I11">
        <v>2007</v>
      </c>
      <c r="J11" s="2">
        <f t="shared" si="0"/>
        <v>3.51072E+17</v>
      </c>
      <c r="K11" s="2">
        <f t="shared" si="1"/>
        <v>7630940364320000</v>
      </c>
      <c r="L11" s="2">
        <f t="shared" si="2"/>
        <v>4.115628E+17</v>
      </c>
      <c r="M11" s="2">
        <f t="shared" si="3"/>
        <v>2904300000000000</v>
      </c>
      <c r="N11" s="2">
        <f t="shared" si="4"/>
        <v>9488600000000000</v>
      </c>
      <c r="O11" s="2">
        <f t="shared" si="5"/>
        <v>3.62324E+16</v>
      </c>
      <c r="P11" s="2">
        <f t="shared" si="6"/>
        <v>4.16568881E+16</v>
      </c>
    </row>
    <row r="12" spans="1:16">
      <c r="A12">
        <v>2006</v>
      </c>
      <c r="B12">
        <v>734</v>
      </c>
      <c r="C12">
        <v>51780</v>
      </c>
      <c r="D12">
        <v>792.1</v>
      </c>
      <c r="E12">
        <v>6.6</v>
      </c>
      <c r="F12">
        <v>21.5</v>
      </c>
      <c r="G12">
        <v>49</v>
      </c>
      <c r="H12" s="2">
        <v>900946</v>
      </c>
      <c r="I12">
        <v>2006</v>
      </c>
      <c r="J12" s="2">
        <f t="shared" si="0"/>
        <v>2.33412E+17</v>
      </c>
      <c r="K12" s="2">
        <f t="shared" si="1"/>
        <v>1.94339018328E+16</v>
      </c>
      <c r="L12" s="2">
        <f t="shared" si="2"/>
        <v>3.310978E+17</v>
      </c>
      <c r="M12" s="2">
        <f t="shared" si="3"/>
        <v>3042600000000000</v>
      </c>
      <c r="N12" s="2">
        <f t="shared" si="4"/>
        <v>8987000000000000</v>
      </c>
      <c r="O12" s="2">
        <f t="shared" si="5"/>
        <v>2.3422E+16</v>
      </c>
      <c r="P12" s="2">
        <f t="shared" si="6"/>
        <v>3.23439614E+16</v>
      </c>
    </row>
    <row r="13" spans="1:16">
      <c r="A13">
        <v>2005</v>
      </c>
      <c r="B13">
        <v>771</v>
      </c>
      <c r="C13">
        <v>51220</v>
      </c>
      <c r="D13">
        <v>671.2</v>
      </c>
      <c r="E13">
        <v>6.1</v>
      </c>
      <c r="F13">
        <v>20.9</v>
      </c>
      <c r="G13">
        <v>28.1</v>
      </c>
      <c r="H13" s="2">
        <v>790378</v>
      </c>
      <c r="I13">
        <v>2005</v>
      </c>
      <c r="J13" s="2">
        <f t="shared" si="0"/>
        <v>2.45178E+17</v>
      </c>
      <c r="K13" s="2">
        <f t="shared" si="1"/>
        <v>1.92237244472E+16</v>
      </c>
      <c r="L13" s="2">
        <f t="shared" si="2"/>
        <v>2.805616E+17</v>
      </c>
      <c r="M13" s="2">
        <f t="shared" si="3"/>
        <v>2812100000000000</v>
      </c>
      <c r="N13" s="2">
        <f t="shared" si="4"/>
        <v>8736200000000000</v>
      </c>
      <c r="O13" s="2">
        <f t="shared" si="5"/>
        <v>1.34318E+16</v>
      </c>
      <c r="P13" s="2">
        <f t="shared" si="6"/>
        <v>2.83745702E+16</v>
      </c>
    </row>
    <row r="14" spans="1:16">
      <c r="A14">
        <v>2004</v>
      </c>
      <c r="B14">
        <v>735</v>
      </c>
      <c r="C14">
        <v>51210</v>
      </c>
      <c r="D14">
        <v>541.20000000000005</v>
      </c>
      <c r="E14">
        <v>5.7</v>
      </c>
      <c r="F14">
        <v>20.3</v>
      </c>
      <c r="G14">
        <v>18.2</v>
      </c>
      <c r="H14" s="2">
        <v>706199</v>
      </c>
      <c r="I14">
        <v>2004</v>
      </c>
      <c r="J14" s="2">
        <f t="shared" si="0"/>
        <v>2.3373E+17</v>
      </c>
      <c r="K14" s="2">
        <f t="shared" si="1"/>
        <v>1.92199712796E+16</v>
      </c>
      <c r="L14" s="2">
        <f t="shared" si="2"/>
        <v>2.262216E+17</v>
      </c>
      <c r="M14" s="2">
        <f t="shared" si="3"/>
        <v>2627700000000000</v>
      </c>
      <c r="N14" s="2">
        <f t="shared" si="4"/>
        <v>8485400000000000</v>
      </c>
      <c r="O14" s="2">
        <f t="shared" si="5"/>
        <v>8699600000000000</v>
      </c>
      <c r="P14" s="2">
        <f t="shared" si="6"/>
        <v>2.53525441E+16</v>
      </c>
    </row>
    <row r="15" spans="1:16">
      <c r="A15">
        <v>2003</v>
      </c>
      <c r="B15">
        <v>1272</v>
      </c>
      <c r="C15">
        <v>51106</v>
      </c>
      <c r="D15">
        <v>462.7</v>
      </c>
      <c r="E15">
        <v>6.6</v>
      </c>
      <c r="F15">
        <v>35.6</v>
      </c>
      <c r="G15">
        <v>19.899999999999999</v>
      </c>
      <c r="H15" s="2">
        <v>686993</v>
      </c>
      <c r="I15">
        <v>2003</v>
      </c>
      <c r="J15" s="2">
        <f t="shared" si="0"/>
        <v>4.04496E+17</v>
      </c>
      <c r="K15" s="2">
        <f t="shared" si="1"/>
        <v>1.918093833656E+16</v>
      </c>
      <c r="L15" s="2">
        <f t="shared" si="2"/>
        <v>1.934086E+17</v>
      </c>
      <c r="M15" s="2">
        <f t="shared" si="3"/>
        <v>3042600000000000</v>
      </c>
      <c r="N15" s="2">
        <f t="shared" si="4"/>
        <v>1.48808E+16</v>
      </c>
      <c r="O15" s="2">
        <f t="shared" si="5"/>
        <v>9512200000000000</v>
      </c>
      <c r="P15" s="2">
        <f t="shared" si="6"/>
        <v>2.46630487E+16</v>
      </c>
    </row>
    <row r="16" spans="1:16">
      <c r="A16">
        <v>2002</v>
      </c>
      <c r="B16">
        <v>1169</v>
      </c>
      <c r="C16">
        <v>52201</v>
      </c>
      <c r="D16">
        <v>436.2</v>
      </c>
      <c r="E16">
        <v>4.8</v>
      </c>
      <c r="F16">
        <v>21.7</v>
      </c>
      <c r="G16">
        <v>23.9</v>
      </c>
      <c r="H16" s="2">
        <v>632573</v>
      </c>
      <c r="I16">
        <v>2002</v>
      </c>
      <c r="J16" s="2">
        <f t="shared" si="0"/>
        <v>3.71742E+17</v>
      </c>
      <c r="K16" s="2">
        <f t="shared" si="1"/>
        <v>1.959191018876E+16</v>
      </c>
      <c r="L16" s="2">
        <f t="shared" si="2"/>
        <v>1.823316E+17</v>
      </c>
      <c r="M16" s="2">
        <f t="shared" si="3"/>
        <v>2212800000000000</v>
      </c>
      <c r="N16" s="2">
        <f t="shared" si="4"/>
        <v>9070600000000000</v>
      </c>
      <c r="O16" s="2">
        <f t="shared" si="5"/>
        <v>1.14242E+16</v>
      </c>
      <c r="P16" s="2">
        <f t="shared" si="6"/>
        <v>2.27093707E+16</v>
      </c>
    </row>
    <row r="17" spans="1:16">
      <c r="A17">
        <v>2001</v>
      </c>
      <c r="B17">
        <v>1012</v>
      </c>
      <c r="C17">
        <v>81649</v>
      </c>
      <c r="D17">
        <v>380.3</v>
      </c>
      <c r="E17">
        <v>5.0999999999999996</v>
      </c>
      <c r="F17">
        <v>19.3</v>
      </c>
      <c r="G17">
        <v>20.5</v>
      </c>
      <c r="H17" s="2">
        <v>639936</v>
      </c>
      <c r="I17">
        <v>2001</v>
      </c>
      <c r="J17" s="2">
        <f t="shared" si="0"/>
        <v>3.21816E+17</v>
      </c>
      <c r="K17" s="2">
        <f t="shared" si="1"/>
        <v>3.064423813724E+16</v>
      </c>
      <c r="L17" s="2">
        <f t="shared" si="2"/>
        <v>1.589654E+17</v>
      </c>
      <c r="M17" s="2">
        <f t="shared" si="3"/>
        <v>2351100000000000</v>
      </c>
      <c r="N17" s="2">
        <f t="shared" si="4"/>
        <v>8067400000000000</v>
      </c>
      <c r="O17" s="2">
        <f t="shared" si="5"/>
        <v>9799000000000000</v>
      </c>
      <c r="P17" s="2">
        <f t="shared" si="6"/>
        <v>2.29737024E+16</v>
      </c>
    </row>
    <row r="18" spans="1:16">
      <c r="A18">
        <v>2000</v>
      </c>
      <c r="B18">
        <v>977</v>
      </c>
      <c r="C18">
        <v>78262</v>
      </c>
      <c r="D18">
        <v>368.5</v>
      </c>
      <c r="E18">
        <v>4.4000000000000004</v>
      </c>
      <c r="F18">
        <v>17.899999999999999</v>
      </c>
      <c r="G18">
        <v>22.2</v>
      </c>
      <c r="H18" s="2">
        <v>669395</v>
      </c>
      <c r="I18">
        <v>2000</v>
      </c>
      <c r="J18" s="2">
        <f t="shared" si="0"/>
        <v>3.10686E+17</v>
      </c>
      <c r="K18" s="2">
        <f t="shared" si="1"/>
        <v>2.937304027112E+16</v>
      </c>
      <c r="L18" s="2">
        <f t="shared" si="2"/>
        <v>1.54033E+17</v>
      </c>
      <c r="M18" s="2">
        <f t="shared" si="3"/>
        <v>2028400000000000</v>
      </c>
      <c r="N18" s="2">
        <f t="shared" si="4"/>
        <v>7482200000000000</v>
      </c>
      <c r="O18" s="2">
        <f t="shared" si="5"/>
        <v>1.06116E+16</v>
      </c>
      <c r="P18" s="2">
        <f t="shared" si="6"/>
        <v>2.40312805E+16</v>
      </c>
    </row>
    <row r="19" spans="1:16">
      <c r="A19" t="s">
        <v>86</v>
      </c>
      <c r="B19" t="s">
        <v>79</v>
      </c>
      <c r="C19" t="s">
        <v>66</v>
      </c>
      <c r="D19" t="s">
        <v>78</v>
      </c>
      <c r="E19" t="s">
        <v>77</v>
      </c>
      <c r="F19" t="s">
        <v>80</v>
      </c>
      <c r="G19" t="s">
        <v>81</v>
      </c>
      <c r="H19" t="s">
        <v>82</v>
      </c>
      <c r="I19" s="2" t="s">
        <v>84</v>
      </c>
      <c r="J19" t="s">
        <v>83</v>
      </c>
      <c r="K19" t="s">
        <v>66</v>
      </c>
      <c r="L19" t="s">
        <v>78</v>
      </c>
      <c r="M19" t="s">
        <v>77</v>
      </c>
      <c r="N19" t="s">
        <v>80</v>
      </c>
      <c r="O19" t="s">
        <v>81</v>
      </c>
      <c r="P19" t="s">
        <v>82</v>
      </c>
    </row>
    <row r="20" spans="1:16">
      <c r="A20">
        <v>2016</v>
      </c>
      <c r="B20">
        <v>5692</v>
      </c>
      <c r="C20">
        <v>67542</v>
      </c>
      <c r="D20">
        <v>551</v>
      </c>
      <c r="E20">
        <v>0.6</v>
      </c>
      <c r="F20">
        <v>1.2</v>
      </c>
      <c r="G20">
        <v>680</v>
      </c>
      <c r="H20" s="2">
        <v>1550000</v>
      </c>
      <c r="I20">
        <v>2016</v>
      </c>
      <c r="J20" s="2">
        <f>B20*10000*31800000000</f>
        <v>1.810056E+18</v>
      </c>
      <c r="K20" s="2">
        <f>C20*10000*8966*4186</f>
        <v>2.534964460392E+16</v>
      </c>
      <c r="L20" s="2">
        <f>D20*10000*41800000000</f>
        <v>2.30318E+17</v>
      </c>
      <c r="M20" s="2">
        <f>E20*10000*46100000000</f>
        <v>276600000000000</v>
      </c>
      <c r="N20" s="2">
        <f>F20*10000*41800000000</f>
        <v>501600000000000</v>
      </c>
      <c r="O20" s="2">
        <f>G20*10000*47800000000</f>
        <v>3.2504E+17</v>
      </c>
      <c r="P20" s="2">
        <f>H20*3590000*10000</f>
        <v>5.5645E+16</v>
      </c>
    </row>
    <row r="21" spans="1:16">
      <c r="A21">
        <v>2015</v>
      </c>
      <c r="B21">
        <v>3654</v>
      </c>
      <c r="C21">
        <v>44748</v>
      </c>
      <c r="D21">
        <v>344</v>
      </c>
      <c r="E21">
        <v>0.7</v>
      </c>
      <c r="F21">
        <v>1.3</v>
      </c>
      <c r="G21">
        <v>495</v>
      </c>
      <c r="H21" s="2">
        <v>1540000</v>
      </c>
      <c r="I21">
        <v>2015</v>
      </c>
      <c r="J21" s="2">
        <f t="shared" ref="J21:J36" si="7">B21*10000*31800000000</f>
        <v>1.161972E+18</v>
      </c>
      <c r="K21" s="2">
        <f t="shared" ref="K21:K36" si="8">C21*10000*8966*4186</f>
        <v>1.679467437648E+16</v>
      </c>
      <c r="L21" s="2">
        <f t="shared" ref="L21:L36" si="9">D21*10000*41800000000</f>
        <v>1.43792E+17</v>
      </c>
      <c r="M21" s="2">
        <f t="shared" ref="M21:M36" si="10">E21*10000*46100000000</f>
        <v>322700000000000</v>
      </c>
      <c r="N21" s="2">
        <f t="shared" ref="N21:N36" si="11">F21*10000*41800000000</f>
        <v>543400000000000</v>
      </c>
      <c r="O21" s="2">
        <f t="shared" ref="O21:O36" si="12">G21*10000*47800000000</f>
        <v>2.3661E+17</v>
      </c>
      <c r="P21" s="2">
        <f t="shared" ref="P21:P36" si="13">H21*3590000*10000</f>
        <v>5.5286E+16</v>
      </c>
    </row>
    <row r="22" spans="1:16">
      <c r="A22">
        <v>2014</v>
      </c>
      <c r="B22">
        <v>1334</v>
      </c>
      <c r="C22">
        <v>33623</v>
      </c>
      <c r="D22">
        <v>337</v>
      </c>
      <c r="E22">
        <v>0.9</v>
      </c>
      <c r="F22">
        <v>1.1000000000000001</v>
      </c>
      <c r="G22">
        <v>263</v>
      </c>
      <c r="H22" s="2">
        <v>1510000</v>
      </c>
      <c r="I22">
        <v>2014</v>
      </c>
      <c r="J22" s="2">
        <f t="shared" si="7"/>
        <v>4.24212E+17</v>
      </c>
      <c r="K22" s="2">
        <f t="shared" si="8"/>
        <v>1.261927542148E+16</v>
      </c>
      <c r="L22" s="2">
        <f t="shared" si="9"/>
        <v>1.40866E+17</v>
      </c>
      <c r="M22" s="2">
        <f t="shared" si="10"/>
        <v>414900000000000</v>
      </c>
      <c r="N22" s="2">
        <f t="shared" si="11"/>
        <v>459800000000000</v>
      </c>
      <c r="O22" s="2">
        <f t="shared" si="12"/>
        <v>1.25714E+17</v>
      </c>
      <c r="P22" s="2">
        <f t="shared" si="13"/>
        <v>5.4209E+16</v>
      </c>
    </row>
    <row r="23" spans="1:16">
      <c r="A23">
        <v>2013</v>
      </c>
      <c r="B23">
        <v>1287</v>
      </c>
      <c r="C23">
        <v>30700</v>
      </c>
      <c r="D23">
        <v>324</v>
      </c>
      <c r="E23">
        <v>0.7</v>
      </c>
      <c r="F23">
        <v>1.3</v>
      </c>
      <c r="G23">
        <v>225</v>
      </c>
      <c r="H23" s="2">
        <v>1480000</v>
      </c>
      <c r="I23">
        <v>2013</v>
      </c>
      <c r="J23" s="2">
        <f t="shared" si="7"/>
        <v>4.09266E+17</v>
      </c>
      <c r="K23" s="2">
        <f t="shared" si="8"/>
        <v>1.1522224532E+16</v>
      </c>
      <c r="L23" s="2">
        <f t="shared" si="9"/>
        <v>1.35432E+17</v>
      </c>
      <c r="M23" s="2">
        <f t="shared" si="10"/>
        <v>322700000000000</v>
      </c>
      <c r="N23" s="2">
        <f t="shared" si="11"/>
        <v>543400000000000</v>
      </c>
      <c r="O23" s="2">
        <f t="shared" si="12"/>
        <v>1.0755E+17</v>
      </c>
      <c r="P23" s="2">
        <f t="shared" si="13"/>
        <v>5.3132E+16</v>
      </c>
    </row>
    <row r="24" spans="1:16">
      <c r="A24">
        <v>2012</v>
      </c>
      <c r="B24">
        <v>1281</v>
      </c>
      <c r="C24">
        <v>18318</v>
      </c>
      <c r="D24">
        <v>263</v>
      </c>
      <c r="E24">
        <v>0.8</v>
      </c>
      <c r="F24">
        <v>1.2</v>
      </c>
      <c r="G24">
        <v>246</v>
      </c>
      <c r="H24" s="2">
        <v>1460000</v>
      </c>
      <c r="I24">
        <v>2012</v>
      </c>
      <c r="J24" s="2">
        <f t="shared" si="7"/>
        <v>4.07358E+17</v>
      </c>
      <c r="K24" s="2">
        <f t="shared" si="8"/>
        <v>6875052409680000</v>
      </c>
      <c r="L24" s="2">
        <f t="shared" si="9"/>
        <v>1.09934E+17</v>
      </c>
      <c r="M24" s="2">
        <f t="shared" si="10"/>
        <v>368800000000000</v>
      </c>
      <c r="N24" s="2">
        <f t="shared" si="11"/>
        <v>501600000000000</v>
      </c>
      <c r="O24" s="2">
        <f t="shared" si="12"/>
        <v>1.17588E+17</v>
      </c>
      <c r="P24" s="2">
        <f t="shared" si="13"/>
        <v>5.2414E+16</v>
      </c>
    </row>
    <row r="25" spans="1:16">
      <c r="A25">
        <v>2011</v>
      </c>
      <c r="B25">
        <v>1307</v>
      </c>
      <c r="C25">
        <v>15662</v>
      </c>
      <c r="D25">
        <v>246</v>
      </c>
      <c r="E25">
        <v>0.6</v>
      </c>
      <c r="F25">
        <v>1.3</v>
      </c>
      <c r="G25">
        <v>214</v>
      </c>
      <c r="H25" s="2">
        <v>1430000</v>
      </c>
      <c r="I25">
        <v>2011</v>
      </c>
      <c r="J25" s="2">
        <f t="shared" si="7"/>
        <v>4.15626E+17</v>
      </c>
      <c r="K25" s="2">
        <f t="shared" si="8"/>
        <v>5878211095120000</v>
      </c>
      <c r="L25" s="2">
        <f t="shared" si="9"/>
        <v>1.02828E+17</v>
      </c>
      <c r="M25" s="2">
        <f t="shared" si="10"/>
        <v>276600000000000</v>
      </c>
      <c r="N25" s="2">
        <f t="shared" si="11"/>
        <v>543400000000000</v>
      </c>
      <c r="O25" s="2">
        <f t="shared" si="12"/>
        <v>1.02292E+17</v>
      </c>
      <c r="P25" s="2">
        <f t="shared" si="13"/>
        <v>5.1337E+16</v>
      </c>
    </row>
    <row r="26" spans="1:16">
      <c r="A26">
        <v>2010</v>
      </c>
      <c r="B26">
        <v>1232</v>
      </c>
      <c r="C26">
        <v>11609</v>
      </c>
      <c r="D26">
        <v>290</v>
      </c>
      <c r="E26">
        <v>0.7</v>
      </c>
      <c r="F26">
        <v>1.5</v>
      </c>
      <c r="G26">
        <v>154</v>
      </c>
      <c r="H26" s="2">
        <v>1450000</v>
      </c>
      <c r="I26">
        <v>2010</v>
      </c>
      <c r="J26" s="2">
        <f t="shared" si="7"/>
        <v>3.91776E+17</v>
      </c>
      <c r="K26" s="2">
        <f t="shared" si="8"/>
        <v>4357052266840000</v>
      </c>
      <c r="L26" s="2">
        <f t="shared" si="9"/>
        <v>1.2122E+17</v>
      </c>
      <c r="M26" s="2">
        <f t="shared" si="10"/>
        <v>322700000000000</v>
      </c>
      <c r="N26" s="2">
        <f t="shared" si="11"/>
        <v>627000000000000</v>
      </c>
      <c r="O26" s="2">
        <f t="shared" si="12"/>
        <v>7.3612E+16</v>
      </c>
      <c r="P26" s="2">
        <f t="shared" si="13"/>
        <v>5.2055E+16</v>
      </c>
    </row>
    <row r="27" spans="1:16">
      <c r="A27">
        <v>2009</v>
      </c>
      <c r="B27">
        <v>1187</v>
      </c>
      <c r="C27">
        <v>10253</v>
      </c>
      <c r="D27">
        <v>286</v>
      </c>
      <c r="E27">
        <v>0.8</v>
      </c>
      <c r="F27">
        <v>1.6</v>
      </c>
      <c r="G27">
        <v>109</v>
      </c>
      <c r="H27" s="2">
        <v>1450000</v>
      </c>
      <c r="I27">
        <v>2009</v>
      </c>
      <c r="J27" s="2">
        <f t="shared" si="7"/>
        <v>3.77466E+17</v>
      </c>
      <c r="K27" s="2">
        <f t="shared" si="8"/>
        <v>3848122740280000</v>
      </c>
      <c r="L27" s="2">
        <f t="shared" si="9"/>
        <v>1.19548E+17</v>
      </c>
      <c r="M27" s="2">
        <f t="shared" si="10"/>
        <v>368800000000000</v>
      </c>
      <c r="N27" s="2">
        <f t="shared" si="11"/>
        <v>668800000000000</v>
      </c>
      <c r="O27" s="2">
        <f t="shared" si="12"/>
        <v>5.2102E+16</v>
      </c>
      <c r="P27" s="2">
        <f t="shared" si="13"/>
        <v>5.2055E+16</v>
      </c>
    </row>
    <row r="28" spans="1:16">
      <c r="A28">
        <v>2008</v>
      </c>
      <c r="B28">
        <v>1152</v>
      </c>
      <c r="C28">
        <v>9453</v>
      </c>
      <c r="D28">
        <v>310</v>
      </c>
      <c r="E28">
        <v>1</v>
      </c>
      <c r="F28">
        <v>1.7</v>
      </c>
      <c r="G28">
        <v>62</v>
      </c>
      <c r="H28" s="2">
        <v>1420000</v>
      </c>
      <c r="I28">
        <v>2008</v>
      </c>
      <c r="J28" s="2">
        <f t="shared" si="7"/>
        <v>3.66336E+17</v>
      </c>
      <c r="K28" s="2">
        <f t="shared" si="8"/>
        <v>3547869332280000</v>
      </c>
      <c r="L28" s="2">
        <f t="shared" si="9"/>
        <v>1.2958E+17</v>
      </c>
      <c r="M28" s="2">
        <f t="shared" si="10"/>
        <v>461000000000000</v>
      </c>
      <c r="N28" s="2">
        <f t="shared" si="11"/>
        <v>710600000000000</v>
      </c>
      <c r="O28" s="2">
        <f t="shared" si="12"/>
        <v>2.9636E+16</v>
      </c>
      <c r="P28" s="2">
        <f t="shared" si="13"/>
        <v>5.0978E+16</v>
      </c>
    </row>
    <row r="29" spans="1:16">
      <c r="A29">
        <v>2007</v>
      </c>
      <c r="B29">
        <v>1095</v>
      </c>
      <c r="C29">
        <v>8764</v>
      </c>
      <c r="D29">
        <v>304</v>
      </c>
      <c r="E29">
        <v>1.1000000000000001</v>
      </c>
      <c r="F29">
        <v>1.8</v>
      </c>
      <c r="G29">
        <v>54</v>
      </c>
      <c r="H29" s="2">
        <v>1590000</v>
      </c>
      <c r="I29">
        <v>2007</v>
      </c>
      <c r="J29" s="2">
        <f t="shared" si="7"/>
        <v>3.4821E+17</v>
      </c>
      <c r="K29" s="2">
        <f t="shared" si="8"/>
        <v>3289276084640000</v>
      </c>
      <c r="L29" s="2">
        <f t="shared" si="9"/>
        <v>1.27072E+17</v>
      </c>
      <c r="M29" s="2">
        <f t="shared" si="10"/>
        <v>507100000000000</v>
      </c>
      <c r="N29" s="2">
        <f t="shared" si="11"/>
        <v>752400000000000</v>
      </c>
      <c r="O29" s="2">
        <f t="shared" si="12"/>
        <v>2.5812E+16</v>
      </c>
      <c r="P29" s="2">
        <f t="shared" si="13"/>
        <v>5.7081E+16</v>
      </c>
    </row>
    <row r="30" spans="1:16">
      <c r="A30">
        <v>2006</v>
      </c>
      <c r="B30">
        <v>1034</v>
      </c>
      <c r="C30">
        <v>8652</v>
      </c>
      <c r="D30">
        <v>297</v>
      </c>
      <c r="E30">
        <v>1.3</v>
      </c>
      <c r="F30">
        <v>2.1</v>
      </c>
      <c r="G30">
        <v>40</v>
      </c>
      <c r="H30" s="2">
        <v>1360000</v>
      </c>
      <c r="I30">
        <v>2006</v>
      </c>
      <c r="J30" s="2">
        <f t="shared" si="7"/>
        <v>3.28812E+17</v>
      </c>
      <c r="K30" s="2">
        <f t="shared" si="8"/>
        <v>3247240607520000</v>
      </c>
      <c r="L30" s="2">
        <f t="shared" si="9"/>
        <v>1.24146E+17</v>
      </c>
      <c r="M30" s="2">
        <f t="shared" si="10"/>
        <v>599300000000000</v>
      </c>
      <c r="N30" s="2">
        <f t="shared" si="11"/>
        <v>877800000000000</v>
      </c>
      <c r="O30" s="2">
        <f t="shared" si="12"/>
        <v>1.912E+16</v>
      </c>
      <c r="P30" s="2">
        <f t="shared" si="13"/>
        <v>4.8824E+16</v>
      </c>
    </row>
    <row r="31" spans="1:16">
      <c r="A31">
        <v>2005</v>
      </c>
      <c r="B31">
        <v>963</v>
      </c>
      <c r="C31">
        <v>8211</v>
      </c>
      <c r="D31">
        <v>288</v>
      </c>
      <c r="E31">
        <v>1.1000000000000001</v>
      </c>
      <c r="F31">
        <v>3.4</v>
      </c>
      <c r="G31">
        <v>28</v>
      </c>
      <c r="H31" s="2">
        <v>999000</v>
      </c>
      <c r="I31">
        <v>2005</v>
      </c>
      <c r="J31" s="2">
        <f t="shared" si="7"/>
        <v>3.06234E+17</v>
      </c>
      <c r="K31" s="2">
        <f t="shared" si="8"/>
        <v>3081725916360000</v>
      </c>
      <c r="L31" s="2">
        <f t="shared" si="9"/>
        <v>1.20384E+17</v>
      </c>
      <c r="M31" s="2">
        <f t="shared" si="10"/>
        <v>507100000000000</v>
      </c>
      <c r="N31" s="2">
        <f t="shared" si="11"/>
        <v>1421200000000000</v>
      </c>
      <c r="O31" s="2">
        <f t="shared" si="12"/>
        <v>1.3384E+16</v>
      </c>
      <c r="P31" s="2">
        <f t="shared" si="13"/>
        <v>3.58641E+16</v>
      </c>
    </row>
    <row r="32" spans="1:16">
      <c r="A32">
        <v>2004</v>
      </c>
      <c r="B32">
        <v>822</v>
      </c>
      <c r="C32">
        <v>7834</v>
      </c>
      <c r="D32">
        <v>259</v>
      </c>
      <c r="E32">
        <v>1</v>
      </c>
      <c r="F32">
        <v>4.0999999999999996</v>
      </c>
      <c r="G32">
        <v>24</v>
      </c>
      <c r="H32" s="2">
        <v>663000</v>
      </c>
      <c r="I32">
        <v>2004</v>
      </c>
      <c r="J32" s="2">
        <f t="shared" si="7"/>
        <v>2.61396E+17</v>
      </c>
      <c r="K32" s="2">
        <f t="shared" si="8"/>
        <v>2940231497840000</v>
      </c>
      <c r="L32" s="2">
        <f t="shared" si="9"/>
        <v>1.08262E+17</v>
      </c>
      <c r="M32" s="2">
        <f t="shared" si="10"/>
        <v>461000000000000</v>
      </c>
      <c r="N32" s="2">
        <f t="shared" si="11"/>
        <v>1713800000000000</v>
      </c>
      <c r="O32" s="2">
        <f t="shared" si="12"/>
        <v>1.1472E+16</v>
      </c>
      <c r="P32" s="2">
        <f t="shared" si="13"/>
        <v>2.38017E+16</v>
      </c>
    </row>
    <row r="33" spans="1:16">
      <c r="A33">
        <v>2003</v>
      </c>
      <c r="B33">
        <v>671</v>
      </c>
      <c r="C33">
        <v>6987</v>
      </c>
      <c r="D33">
        <v>206</v>
      </c>
      <c r="E33">
        <v>1.4</v>
      </c>
      <c r="F33">
        <v>1.8</v>
      </c>
      <c r="G33">
        <v>8.1999999999999993</v>
      </c>
      <c r="H33" s="2">
        <v>394000</v>
      </c>
      <c r="I33">
        <v>2003</v>
      </c>
      <c r="J33" s="2">
        <f t="shared" si="7"/>
        <v>2.13378E+17</v>
      </c>
      <c r="K33" s="2">
        <f t="shared" si="8"/>
        <v>2622338202120000</v>
      </c>
      <c r="L33" s="2">
        <f t="shared" si="9"/>
        <v>8.6108E+16</v>
      </c>
      <c r="M33" s="2">
        <f t="shared" si="10"/>
        <v>645400000000000</v>
      </c>
      <c r="N33" s="2">
        <f t="shared" si="11"/>
        <v>752400000000000</v>
      </c>
      <c r="O33" s="2">
        <f t="shared" si="12"/>
        <v>3919600000000000</v>
      </c>
      <c r="P33" s="2">
        <f t="shared" si="13"/>
        <v>1.41446E+16</v>
      </c>
    </row>
    <row r="34" spans="1:16">
      <c r="A34">
        <v>2002</v>
      </c>
      <c r="B34">
        <v>492</v>
      </c>
      <c r="C34">
        <v>6319</v>
      </c>
      <c r="D34">
        <v>197</v>
      </c>
      <c r="E34">
        <v>1.2</v>
      </c>
      <c r="F34">
        <v>2.1</v>
      </c>
      <c r="G34">
        <v>4.9000000000000004</v>
      </c>
      <c r="H34" s="2">
        <v>369000</v>
      </c>
      <c r="I34">
        <v>2002</v>
      </c>
      <c r="J34" s="2">
        <f t="shared" si="7"/>
        <v>1.56456E+17</v>
      </c>
      <c r="K34" s="2">
        <f t="shared" si="8"/>
        <v>2371626606440000</v>
      </c>
      <c r="L34" s="2">
        <f t="shared" si="9"/>
        <v>8.2346E+16</v>
      </c>
      <c r="M34" s="2">
        <f t="shared" si="10"/>
        <v>553200000000000</v>
      </c>
      <c r="N34" s="2">
        <f t="shared" si="11"/>
        <v>877800000000000</v>
      </c>
      <c r="O34" s="2">
        <f t="shared" si="12"/>
        <v>2342200000000000</v>
      </c>
      <c r="P34" s="2">
        <f t="shared" si="13"/>
        <v>1.32471E+16</v>
      </c>
    </row>
    <row r="35" spans="1:16">
      <c r="A35">
        <v>2001</v>
      </c>
      <c r="B35">
        <v>407</v>
      </c>
      <c r="C35">
        <v>5572</v>
      </c>
      <c r="D35">
        <v>154</v>
      </c>
      <c r="E35">
        <v>1.2</v>
      </c>
      <c r="F35">
        <v>1.4</v>
      </c>
      <c r="G35">
        <v>1.7</v>
      </c>
      <c r="H35" s="2">
        <v>286000</v>
      </c>
      <c r="I35">
        <v>2001</v>
      </c>
      <c r="J35" s="2">
        <f t="shared" si="7"/>
        <v>1.29426E+17</v>
      </c>
      <c r="K35" s="2">
        <f t="shared" si="8"/>
        <v>2091264986720000</v>
      </c>
      <c r="L35" s="2">
        <f t="shared" si="9"/>
        <v>6.4372E+16</v>
      </c>
      <c r="M35" s="2">
        <f t="shared" si="10"/>
        <v>553200000000000</v>
      </c>
      <c r="N35" s="2">
        <f t="shared" si="11"/>
        <v>585200000000000</v>
      </c>
      <c r="O35" s="2">
        <f t="shared" si="12"/>
        <v>812600000000000</v>
      </c>
      <c r="P35" s="2">
        <f t="shared" si="13"/>
        <v>1.02674E+16</v>
      </c>
    </row>
    <row r="36" spans="1:16">
      <c r="A36">
        <v>2000</v>
      </c>
      <c r="B36">
        <v>335</v>
      </c>
      <c r="C36">
        <v>5493</v>
      </c>
      <c r="D36">
        <v>112</v>
      </c>
      <c r="E36">
        <v>1.1000000000000001</v>
      </c>
      <c r="F36">
        <v>1.8</v>
      </c>
      <c r="G36">
        <v>0.3</v>
      </c>
      <c r="H36" s="2">
        <f>13.99*10000</f>
        <v>139900</v>
      </c>
      <c r="I36">
        <v>2000</v>
      </c>
      <c r="J36" s="2">
        <f t="shared" si="7"/>
        <v>1.0653E+17</v>
      </c>
      <c r="K36" s="2">
        <f t="shared" si="8"/>
        <v>2061614962680000</v>
      </c>
      <c r="L36" s="2">
        <f t="shared" si="9"/>
        <v>4.6816E+16</v>
      </c>
      <c r="M36" s="2">
        <f t="shared" si="10"/>
        <v>507100000000000</v>
      </c>
      <c r="N36" s="2">
        <f t="shared" si="11"/>
        <v>752400000000000</v>
      </c>
      <c r="O36" s="2">
        <f t="shared" si="12"/>
        <v>143400000000000</v>
      </c>
      <c r="P36" s="2">
        <f t="shared" si="13"/>
        <v>5022410000000000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H14" sqref="H14"/>
    </sheetView>
  </sheetViews>
  <sheetFormatPr defaultRowHeight="14.25"/>
  <cols>
    <col min="2" max="2" width="26.25" customWidth="1"/>
    <col min="3" max="3" width="27" customWidth="1"/>
    <col min="4" max="4" width="37.875" customWidth="1"/>
    <col min="5" max="5" width="24.75" customWidth="1"/>
  </cols>
  <sheetData>
    <row r="1" spans="1:5">
      <c r="B1" t="s">
        <v>90</v>
      </c>
      <c r="C1" t="s">
        <v>87</v>
      </c>
      <c r="D1" t="s">
        <v>88</v>
      </c>
      <c r="E1" t="s">
        <v>89</v>
      </c>
    </row>
    <row r="2" spans="1:5">
      <c r="A2">
        <v>2000</v>
      </c>
      <c r="B2">
        <v>1790000</v>
      </c>
      <c r="C2">
        <v>42660000</v>
      </c>
      <c r="D2">
        <v>29580000</v>
      </c>
      <c r="E2">
        <v>74870000</v>
      </c>
    </row>
    <row r="3" spans="1:5">
      <c r="A3">
        <v>2001</v>
      </c>
      <c r="B3">
        <v>2030000</v>
      </c>
      <c r="C3">
        <v>47450000</v>
      </c>
      <c r="D3">
        <v>178220000</v>
      </c>
      <c r="E3">
        <v>181770000</v>
      </c>
    </row>
    <row r="4" spans="1:5">
      <c r="A4">
        <v>2002</v>
      </c>
      <c r="B4">
        <v>3170000</v>
      </c>
      <c r="C4">
        <v>81020000</v>
      </c>
      <c r="D4">
        <v>223160000</v>
      </c>
      <c r="E4">
        <v>295960000</v>
      </c>
    </row>
    <row r="5" spans="1:5">
      <c r="A5">
        <v>2003</v>
      </c>
      <c r="B5">
        <v>6240000</v>
      </c>
      <c r="C5">
        <v>263330000</v>
      </c>
      <c r="D5">
        <v>391920000</v>
      </c>
      <c r="E5">
        <v>443760000</v>
      </c>
    </row>
    <row r="6" spans="1:5">
      <c r="A6">
        <v>2004</v>
      </c>
      <c r="B6">
        <v>8230000</v>
      </c>
      <c r="C6">
        <v>201720000</v>
      </c>
      <c r="D6">
        <v>450520000</v>
      </c>
      <c r="E6">
        <v>605610000</v>
      </c>
    </row>
    <row r="7" spans="1:5">
      <c r="A7">
        <v>2005</v>
      </c>
      <c r="B7">
        <v>9680000</v>
      </c>
      <c r="C7">
        <v>115690000</v>
      </c>
      <c r="D7">
        <v>628100000</v>
      </c>
      <c r="E7">
        <v>854480000</v>
      </c>
    </row>
    <row r="8" spans="1:5">
      <c r="A8">
        <v>2006</v>
      </c>
      <c r="B8">
        <v>12300000</v>
      </c>
      <c r="C8">
        <v>139330000</v>
      </c>
      <c r="D8">
        <v>759150000</v>
      </c>
      <c r="E8">
        <v>1120830000</v>
      </c>
    </row>
    <row r="9" spans="1:5">
      <c r="A9">
        <v>2007</v>
      </c>
      <c r="B9">
        <v>19230000</v>
      </c>
      <c r="C9">
        <v>167170000</v>
      </c>
      <c r="D9">
        <v>1250930000</v>
      </c>
      <c r="E9">
        <v>1401400000</v>
      </c>
    </row>
    <row r="10" spans="1:5">
      <c r="A10">
        <v>2008</v>
      </c>
      <c r="B10">
        <v>17480000</v>
      </c>
      <c r="C10">
        <v>179610000</v>
      </c>
      <c r="D10">
        <v>2146980000</v>
      </c>
      <c r="E10">
        <v>1972330000</v>
      </c>
    </row>
    <row r="11" spans="1:5">
      <c r="A11">
        <v>2009</v>
      </c>
      <c r="B11">
        <v>38260000</v>
      </c>
      <c r="C11">
        <v>165060000</v>
      </c>
      <c r="D11">
        <v>2205000000</v>
      </c>
      <c r="E11">
        <v>1755390000</v>
      </c>
    </row>
    <row r="12" spans="1:5">
      <c r="A12">
        <v>2010</v>
      </c>
      <c r="B12">
        <v>26670000</v>
      </c>
      <c r="C12">
        <v>209750000</v>
      </c>
      <c r="D12">
        <v>5202090000</v>
      </c>
      <c r="E12">
        <v>2758090000</v>
      </c>
    </row>
    <row r="13" spans="1:5">
      <c r="A13">
        <v>2011</v>
      </c>
      <c r="B13">
        <v>40350000</v>
      </c>
      <c r="C13">
        <v>140350000</v>
      </c>
      <c r="D13">
        <v>5858870000</v>
      </c>
      <c r="E13">
        <v>4359190000</v>
      </c>
    </row>
    <row r="14" spans="1:5">
      <c r="A14">
        <v>2012</v>
      </c>
      <c r="B14">
        <v>86060000</v>
      </c>
      <c r="C14">
        <v>162320000</v>
      </c>
      <c r="D14">
        <v>7386390000</v>
      </c>
      <c r="E14">
        <v>4983460000</v>
      </c>
    </row>
    <row r="15" spans="1:5">
      <c r="A15">
        <v>2013</v>
      </c>
      <c r="B15">
        <v>130990000</v>
      </c>
      <c r="C15">
        <v>193350000</v>
      </c>
      <c r="D15">
        <v>7345020000</v>
      </c>
      <c r="E15">
        <v>5802900000</v>
      </c>
    </row>
    <row r="16" spans="1:5">
      <c r="A16">
        <v>2014</v>
      </c>
      <c r="B16">
        <v>261020000</v>
      </c>
      <c r="C16">
        <v>215100000</v>
      </c>
      <c r="D16">
        <v>7161190000</v>
      </c>
      <c r="E16">
        <v>6094880000</v>
      </c>
    </row>
    <row r="17" spans="1:5">
      <c r="A17">
        <v>2015</v>
      </c>
      <c r="B17">
        <v>218350000</v>
      </c>
      <c r="C17">
        <v>221940000</v>
      </c>
      <c r="D17">
        <v>7944340000</v>
      </c>
      <c r="E17">
        <v>4967870000</v>
      </c>
    </row>
    <row r="18" spans="1:5">
      <c r="A18">
        <v>2016</v>
      </c>
      <c r="B18">
        <v>273020000</v>
      </c>
      <c r="C18">
        <v>223040000</v>
      </c>
      <c r="D18">
        <v>10518180000</v>
      </c>
      <c r="E18">
        <v>4570960000</v>
      </c>
    </row>
    <row r="19" spans="1:5">
      <c r="B19" t="s">
        <v>91</v>
      </c>
      <c r="C19" t="s">
        <v>87</v>
      </c>
      <c r="D19" t="s">
        <v>88</v>
      </c>
      <c r="E19" t="s">
        <v>89</v>
      </c>
    </row>
    <row r="20" spans="1:5">
      <c r="A20">
        <v>2000</v>
      </c>
      <c r="B20">
        <v>1700000</v>
      </c>
      <c r="C20">
        <v>48300000</v>
      </c>
      <c r="D20">
        <v>86300000</v>
      </c>
      <c r="E20">
        <v>279580000</v>
      </c>
    </row>
    <row r="21" spans="1:5">
      <c r="A21">
        <v>2001</v>
      </c>
      <c r="B21">
        <v>2100000</v>
      </c>
      <c r="C21">
        <v>66500000</v>
      </c>
      <c r="D21">
        <v>142370000</v>
      </c>
      <c r="E21">
        <v>341040000</v>
      </c>
    </row>
    <row r="22" spans="1:5">
      <c r="A22">
        <v>2002</v>
      </c>
      <c r="B22">
        <v>5340000</v>
      </c>
      <c r="C22">
        <v>382000000</v>
      </c>
      <c r="D22">
        <v>311120000</v>
      </c>
      <c r="E22">
        <v>458150000</v>
      </c>
    </row>
    <row r="23" spans="1:5">
      <c r="A23">
        <v>2003</v>
      </c>
      <c r="B23">
        <v>22500000</v>
      </c>
      <c r="C23">
        <v>346000000</v>
      </c>
      <c r="D23">
        <v>681460000</v>
      </c>
      <c r="E23">
        <v>700760000</v>
      </c>
    </row>
    <row r="24" spans="1:5">
      <c r="A24">
        <v>2004</v>
      </c>
      <c r="B24">
        <v>19200000</v>
      </c>
      <c r="C24">
        <v>94000000</v>
      </c>
      <c r="D24">
        <v>1001350000</v>
      </c>
      <c r="E24">
        <v>903920000</v>
      </c>
    </row>
    <row r="25" spans="1:5">
      <c r="A25">
        <v>2005</v>
      </c>
      <c r="B25">
        <v>16300000</v>
      </c>
      <c r="C25">
        <v>152000000</v>
      </c>
      <c r="D25">
        <v>1003080000</v>
      </c>
      <c r="E25">
        <v>1240960000</v>
      </c>
    </row>
    <row r="26" spans="1:5">
      <c r="A26">
        <v>2006</v>
      </c>
      <c r="B26">
        <v>32400000</v>
      </c>
      <c r="C26">
        <v>252000000</v>
      </c>
      <c r="D26">
        <v>1120080000</v>
      </c>
      <c r="E26">
        <v>1582640000</v>
      </c>
    </row>
    <row r="27" spans="1:5">
      <c r="A27">
        <v>2007</v>
      </c>
      <c r="B27">
        <v>63400000</v>
      </c>
      <c r="C27">
        <v>301000000</v>
      </c>
      <c r="D27">
        <v>1477430000</v>
      </c>
      <c r="E27">
        <v>1881250000</v>
      </c>
    </row>
    <row r="28" spans="1:5">
      <c r="A28">
        <v>2008</v>
      </c>
      <c r="B28">
        <v>9448818.8976377957</v>
      </c>
      <c r="C28">
        <v>169000000</v>
      </c>
      <c r="D28">
        <v>2227300000</v>
      </c>
      <c r="E28">
        <v>2301080000</v>
      </c>
    </row>
    <row r="29" spans="1:5">
      <c r="A29">
        <v>2009</v>
      </c>
      <c r="B29">
        <v>12000000</v>
      </c>
      <c r="C29">
        <v>310000000</v>
      </c>
      <c r="D29">
        <v>1600840000</v>
      </c>
      <c r="E29">
        <v>1765670000</v>
      </c>
    </row>
    <row r="30" spans="1:5">
      <c r="A30">
        <v>2010</v>
      </c>
      <c r="B30">
        <v>42900000</v>
      </c>
      <c r="C30">
        <v>1040000000</v>
      </c>
      <c r="D30">
        <v>2541610000</v>
      </c>
      <c r="E30">
        <v>2550730000</v>
      </c>
    </row>
    <row r="31" spans="1:5">
      <c r="A31">
        <v>2011</v>
      </c>
      <c r="B31">
        <v>73900000</v>
      </c>
      <c r="C31">
        <v>549000000</v>
      </c>
      <c r="D31">
        <v>3846090000</v>
      </c>
      <c r="E31">
        <v>2846590000</v>
      </c>
    </row>
    <row r="32" spans="1:5">
      <c r="A32">
        <v>2012</v>
      </c>
      <c r="B32">
        <v>115000000</v>
      </c>
      <c r="C32">
        <v>303000000</v>
      </c>
      <c r="D32">
        <v>3457160000</v>
      </c>
      <c r="E32">
        <v>2829330000</v>
      </c>
    </row>
    <row r="33" spans="1:5">
      <c r="A33">
        <v>2013</v>
      </c>
      <c r="B33">
        <v>141000000</v>
      </c>
      <c r="C33">
        <v>304000000</v>
      </c>
      <c r="D33">
        <v>4780230000</v>
      </c>
      <c r="E33">
        <v>3544730000</v>
      </c>
    </row>
    <row r="34" spans="1:5">
      <c r="A34">
        <v>2014</v>
      </c>
      <c r="B34">
        <v>113000000</v>
      </c>
      <c r="C34">
        <v>383000000</v>
      </c>
      <c r="D34">
        <v>3432380000</v>
      </c>
      <c r="E34">
        <v>3787830000</v>
      </c>
    </row>
    <row r="35" spans="1:5">
      <c r="A35">
        <v>2015</v>
      </c>
      <c r="B35">
        <v>376000000</v>
      </c>
      <c r="C35">
        <v>410000000</v>
      </c>
      <c r="D35">
        <v>4506730000</v>
      </c>
      <c r="E35">
        <v>3632030000</v>
      </c>
    </row>
    <row r="36" spans="1:5">
      <c r="A36">
        <v>2016</v>
      </c>
      <c r="B36">
        <v>398560000</v>
      </c>
      <c r="C36">
        <v>411000000</v>
      </c>
      <c r="D36">
        <v>5317941400</v>
      </c>
      <c r="E36">
        <v>3995233000.0000005</v>
      </c>
    </row>
  </sheetData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workbookViewId="0">
      <selection activeCell="F16" sqref="F16"/>
    </sheetView>
  </sheetViews>
  <sheetFormatPr defaultColWidth="20.625" defaultRowHeight="14.25"/>
  <cols>
    <col min="8" max="8" width="20.625" style="6"/>
  </cols>
  <sheetData>
    <row r="1" spans="1:22">
      <c r="A1" t="s">
        <v>92</v>
      </c>
      <c r="C1" t="s">
        <v>93</v>
      </c>
      <c r="E1" t="s">
        <v>94</v>
      </c>
    </row>
    <row r="2" spans="1:22">
      <c r="B2">
        <v>2000</v>
      </c>
      <c r="C2" s="2">
        <v>38674698.795180723</v>
      </c>
      <c r="D2">
        <v>2000</v>
      </c>
      <c r="E2" s="2">
        <v>45663203.672384635</v>
      </c>
      <c r="F2" s="2"/>
      <c r="G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>
        <v>13255000000</v>
      </c>
    </row>
    <row r="3" spans="1:22">
      <c r="B3">
        <v>2001</v>
      </c>
      <c r="C3" s="2">
        <v>50259755.950223513</v>
      </c>
      <c r="D3">
        <v>2001</v>
      </c>
      <c r="E3" s="2">
        <v>58830635.419183373</v>
      </c>
      <c r="F3" s="2"/>
    </row>
    <row r="4" spans="1:22">
      <c r="B4">
        <v>2002</v>
      </c>
      <c r="C4" s="2">
        <v>82517820.466352552</v>
      </c>
      <c r="D4">
        <v>2002</v>
      </c>
      <c r="E4" s="2">
        <v>73326890.553273737</v>
      </c>
      <c r="F4" s="2"/>
    </row>
    <row r="5" spans="1:22">
      <c r="B5">
        <v>2003</v>
      </c>
      <c r="C5" s="2">
        <v>127159090.90909089</v>
      </c>
      <c r="D5">
        <v>2003</v>
      </c>
      <c r="E5" s="2">
        <v>86977530.804542154</v>
      </c>
      <c r="F5" s="2"/>
    </row>
    <row r="6" spans="1:22">
      <c r="B6">
        <v>2004</v>
      </c>
      <c r="C6" s="2">
        <v>142184102.44020295</v>
      </c>
      <c r="D6">
        <v>2004</v>
      </c>
      <c r="E6" s="2">
        <v>107513892.2445035</v>
      </c>
      <c r="F6" s="2"/>
    </row>
    <row r="7" spans="1:22">
      <c r="B7">
        <v>2005</v>
      </c>
      <c r="C7" s="2">
        <v>174703943.35246</v>
      </c>
      <c r="D7">
        <v>2005</v>
      </c>
      <c r="E7" s="2">
        <v>141604938.27160496</v>
      </c>
      <c r="F7" s="2"/>
    </row>
    <row r="8" spans="1:22">
      <c r="B8">
        <v>2006</v>
      </c>
      <c r="C8" s="2">
        <v>213048933.50062737</v>
      </c>
      <c r="D8">
        <v>2006</v>
      </c>
      <c r="E8" s="2">
        <v>184379001.28040975</v>
      </c>
      <c r="F8" s="2"/>
    </row>
    <row r="9" spans="1:22">
      <c r="B9">
        <v>2007</v>
      </c>
      <c r="C9" s="2">
        <v>273289473.68421054</v>
      </c>
      <c r="D9">
        <v>2007</v>
      </c>
      <c r="E9" s="2">
        <v>277401894.45196211</v>
      </c>
      <c r="F9" s="2"/>
    </row>
    <row r="10" spans="1:22">
      <c r="B10">
        <v>2008</v>
      </c>
      <c r="C10" s="2">
        <v>383285302.59365994</v>
      </c>
      <c r="D10">
        <v>2008</v>
      </c>
      <c r="E10" s="2">
        <v>418394160.58394164</v>
      </c>
      <c r="F10" s="2"/>
    </row>
    <row r="11" spans="1:22">
      <c r="B11">
        <v>2009</v>
      </c>
      <c r="C11" s="2">
        <v>495021961.93265009</v>
      </c>
      <c r="D11">
        <v>2009</v>
      </c>
      <c r="E11" s="2">
        <v>500881057.26872247</v>
      </c>
      <c r="F11" s="2"/>
    </row>
    <row r="12" spans="1:22">
      <c r="B12">
        <v>2010</v>
      </c>
      <c r="C12" s="2">
        <v>649408284.02366865</v>
      </c>
      <c r="D12">
        <v>2010</v>
      </c>
      <c r="E12" s="2">
        <v>685347432.02416921</v>
      </c>
      <c r="F12" s="2"/>
    </row>
    <row r="13" spans="1:22">
      <c r="B13">
        <v>2011</v>
      </c>
      <c r="C13" s="2">
        <v>869457364.3410852</v>
      </c>
      <c r="D13">
        <v>2011</v>
      </c>
      <c r="E13" s="2">
        <v>859909228.44175482</v>
      </c>
      <c r="F13" s="2"/>
    </row>
    <row r="14" spans="1:22">
      <c r="B14">
        <v>2012</v>
      </c>
      <c r="C14" s="2">
        <v>1126720000</v>
      </c>
      <c r="D14">
        <v>2012</v>
      </c>
      <c r="E14" s="2">
        <v>1129600000</v>
      </c>
      <c r="F14" s="2"/>
    </row>
    <row r="15" spans="1:22">
      <c r="B15">
        <v>2013</v>
      </c>
      <c r="C15" s="2">
        <v>1338879736.4085667</v>
      </c>
      <c r="D15">
        <v>2013</v>
      </c>
      <c r="E15" s="2">
        <v>1411861614.4975288</v>
      </c>
      <c r="F15" s="2"/>
    </row>
    <row r="16" spans="1:22">
      <c r="B16">
        <v>2014</v>
      </c>
      <c r="C16" s="2">
        <v>1521172638.4364822</v>
      </c>
      <c r="D16">
        <v>2014</v>
      </c>
      <c r="E16" s="2">
        <v>1641322314.0495868</v>
      </c>
      <c r="F16" s="2"/>
    </row>
    <row r="17" spans="2:6">
      <c r="B17">
        <v>2015</v>
      </c>
      <c r="C17" s="2">
        <v>1790446841.2942989</v>
      </c>
      <c r="D17">
        <v>2015</v>
      </c>
      <c r="E17" s="2">
        <v>1923112480.7395992</v>
      </c>
      <c r="F17" s="2"/>
    </row>
    <row r="18" spans="2:6">
      <c r="B18">
        <v>2016</v>
      </c>
      <c r="C18" s="2">
        <v>1918234442.8364689</v>
      </c>
      <c r="D18">
        <v>2016</v>
      </c>
      <c r="E18" s="2">
        <v>2063965267.7279305</v>
      </c>
      <c r="F18" s="2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H21" sqref="H21"/>
    </sheetView>
  </sheetViews>
  <sheetFormatPr defaultColWidth="20.625" defaultRowHeight="14.25"/>
  <cols>
    <col min="2" max="2" width="24.625" customWidth="1"/>
    <col min="5" max="5" width="20.625" style="8"/>
    <col min="6" max="6" width="26" customWidth="1"/>
    <col min="7" max="7" width="20.625" style="2"/>
  </cols>
  <sheetData>
    <row r="1" spans="1:8">
      <c r="B1" t="s">
        <v>99</v>
      </c>
      <c r="C1" s="2" t="s">
        <v>98</v>
      </c>
      <c r="D1" t="s">
        <v>95</v>
      </c>
      <c r="F1" t="s">
        <v>100</v>
      </c>
      <c r="G1" s="2" t="s">
        <v>97</v>
      </c>
      <c r="H1" t="s">
        <v>96</v>
      </c>
    </row>
    <row r="2" spans="1:8">
      <c r="A2">
        <v>2000</v>
      </c>
      <c r="B2" s="2">
        <v>64350000000000</v>
      </c>
      <c r="C2" s="2">
        <f t="shared" ref="C2:C3" si="0">D2*3350</f>
        <v>2696750000000000</v>
      </c>
      <c r="D2" s="2">
        <v>805000000000</v>
      </c>
      <c r="E2" s="8">
        <v>2000</v>
      </c>
      <c r="F2" s="2">
        <v>87640000000000</v>
      </c>
      <c r="G2" s="2">
        <f>H2*3350</f>
        <v>2576150000000000</v>
      </c>
      <c r="H2" s="2">
        <v>769000000000</v>
      </c>
    </row>
    <row r="3" spans="1:8">
      <c r="A3">
        <v>2001</v>
      </c>
      <c r="B3" s="2">
        <v>81390000000000</v>
      </c>
      <c r="C3" s="2">
        <f t="shared" si="0"/>
        <v>2934600000000000</v>
      </c>
      <c r="D3" s="2">
        <v>876000000000</v>
      </c>
      <c r="E3" s="8">
        <v>2001</v>
      </c>
      <c r="F3" s="2">
        <v>109770000000000</v>
      </c>
      <c r="G3" s="2">
        <f>H3*3350</f>
        <v>3618000000000000</v>
      </c>
      <c r="H3" s="2">
        <v>1080000000000</v>
      </c>
    </row>
    <row r="4" spans="1:8">
      <c r="A4">
        <v>2002</v>
      </c>
      <c r="B4" s="2">
        <v>66820000000000</v>
      </c>
      <c r="C4" s="2">
        <f>D4*3350</f>
        <v>3306450000000000</v>
      </c>
      <c r="D4" s="2">
        <v>987000000000</v>
      </c>
      <c r="E4" s="8">
        <v>2002</v>
      </c>
      <c r="F4" s="2">
        <v>99370000000000</v>
      </c>
      <c r="G4" s="2">
        <f>H4*3350</f>
        <v>3417000000000000</v>
      </c>
      <c r="H4" s="2">
        <v>1020000000000</v>
      </c>
    </row>
    <row r="5" spans="1:8">
      <c r="A5">
        <v>2003</v>
      </c>
      <c r="B5" s="2">
        <v>72540000000000</v>
      </c>
      <c r="C5" s="2">
        <f t="shared" ref="C5:C18" si="1">D5*3350</f>
        <v>3450500000000000</v>
      </c>
      <c r="D5" s="2">
        <v>1030000000000</v>
      </c>
      <c r="E5" s="8">
        <v>2003</v>
      </c>
      <c r="F5" s="2">
        <v>108980000000000</v>
      </c>
      <c r="G5" s="2">
        <f>H5*3350</f>
        <v>3551000000000000</v>
      </c>
      <c r="H5" s="2">
        <v>1060000000000</v>
      </c>
    </row>
    <row r="6" spans="1:8">
      <c r="A6">
        <v>2004</v>
      </c>
      <c r="B6" s="2">
        <v>136060000000000</v>
      </c>
      <c r="C6" s="2">
        <f t="shared" si="1"/>
        <v>5594500000000000</v>
      </c>
      <c r="D6" s="2">
        <v>1670000000000</v>
      </c>
      <c r="E6" s="8">
        <v>2004</v>
      </c>
      <c r="F6" s="2">
        <v>110670000000000</v>
      </c>
      <c r="G6" s="2">
        <f>H6*3350</f>
        <v>5159000000000000</v>
      </c>
      <c r="H6" s="2">
        <v>1540000000000</v>
      </c>
    </row>
    <row r="7" spans="1:8">
      <c r="A7">
        <v>2005</v>
      </c>
      <c r="B7" s="2">
        <v>146470000000000</v>
      </c>
      <c r="C7" s="2">
        <f t="shared" si="1"/>
        <v>7169000000000000</v>
      </c>
      <c r="D7" s="2">
        <v>2140000000000</v>
      </c>
      <c r="E7" s="8">
        <v>2005</v>
      </c>
      <c r="F7" s="2">
        <v>111280000000000</v>
      </c>
      <c r="G7" s="2">
        <f>H7*3350</f>
        <v>5628000000000000</v>
      </c>
      <c r="H7" s="2">
        <v>1680000000000</v>
      </c>
    </row>
    <row r="8" spans="1:8">
      <c r="A8">
        <v>2006</v>
      </c>
      <c r="B8" s="2">
        <v>156310000000000</v>
      </c>
      <c r="C8" s="2">
        <f t="shared" si="1"/>
        <v>1.24285E+16</v>
      </c>
      <c r="D8" s="2">
        <v>3710000000000</v>
      </c>
      <c r="E8" s="8">
        <v>2006</v>
      </c>
      <c r="F8" s="2">
        <v>128430000000000</v>
      </c>
      <c r="G8" s="2">
        <f>H8*3350</f>
        <v>5460500000000000</v>
      </c>
      <c r="H8" s="2">
        <v>1630000000000</v>
      </c>
    </row>
    <row r="9" spans="1:8">
      <c r="A9">
        <v>2007</v>
      </c>
      <c r="B9" s="2">
        <v>171180000000000</v>
      </c>
      <c r="C9" s="2">
        <f t="shared" si="1"/>
        <v>1.3266E+16</v>
      </c>
      <c r="D9" s="2">
        <v>3960000000000</v>
      </c>
      <c r="E9" s="8">
        <v>2007</v>
      </c>
      <c r="F9" s="2">
        <v>135660000000000</v>
      </c>
      <c r="G9" s="2">
        <f>H9*3350</f>
        <v>5427000000000000</v>
      </c>
      <c r="H9" s="2">
        <v>1620000000000</v>
      </c>
    </row>
    <row r="10" spans="1:8">
      <c r="A10">
        <v>2008</v>
      </c>
      <c r="B10" s="2">
        <v>187350000000000</v>
      </c>
      <c r="C10" s="2">
        <f t="shared" si="1"/>
        <v>1.47065E+16</v>
      </c>
      <c r="D10" s="2">
        <v>4390000000000</v>
      </c>
      <c r="E10" s="8">
        <v>2008</v>
      </c>
      <c r="F10" s="2">
        <v>141360000000000</v>
      </c>
      <c r="G10" s="2">
        <f>H10*3350</f>
        <v>5427000000000000</v>
      </c>
      <c r="H10" s="2">
        <v>1620000000000</v>
      </c>
    </row>
    <row r="11" spans="1:8">
      <c r="A11">
        <v>2009</v>
      </c>
      <c r="B11" s="2">
        <f>38/43*228430000000000</f>
        <v>201868372093023.25</v>
      </c>
      <c r="C11" s="2">
        <f t="shared" si="1"/>
        <v>1.6281E+16</v>
      </c>
      <c r="D11" s="2">
        <v>4860000000000</v>
      </c>
      <c r="E11" s="8">
        <v>2009</v>
      </c>
      <c r="F11" s="2">
        <f>38/43*187430000000000</f>
        <v>165635813953488.38</v>
      </c>
      <c r="G11" s="2">
        <f>H11*3350</f>
        <v>6633000000000000</v>
      </c>
      <c r="H11" s="2">
        <v>1980000000000</v>
      </c>
    </row>
    <row r="12" spans="1:8">
      <c r="A12">
        <v>2010</v>
      </c>
      <c r="B12" s="2">
        <v>228340000000000</v>
      </c>
      <c r="C12" s="2">
        <f t="shared" si="1"/>
        <v>1.8626E+16</v>
      </c>
      <c r="D12" s="2">
        <v>5560000000000</v>
      </c>
      <c r="E12" s="8">
        <v>2010</v>
      </c>
      <c r="F12" s="2">
        <v>187340000000000</v>
      </c>
      <c r="G12" s="2">
        <f>H12*3350</f>
        <v>8040000000000000</v>
      </c>
      <c r="H12" s="2">
        <v>2400000000000</v>
      </c>
    </row>
    <row r="13" spans="1:8">
      <c r="A13">
        <v>2011</v>
      </c>
      <c r="B13" s="2">
        <v>236280000000000</v>
      </c>
      <c r="C13" s="2">
        <f t="shared" si="1"/>
        <v>2.46225E+16</v>
      </c>
      <c r="D13" s="2">
        <v>7350000000000</v>
      </c>
      <c r="E13" s="8">
        <v>2011</v>
      </c>
      <c r="F13" s="2">
        <v>200050000000000</v>
      </c>
      <c r="G13" s="2">
        <f>H13*3350</f>
        <v>1.0519E+16</v>
      </c>
      <c r="H13" s="2">
        <v>3140000000000</v>
      </c>
    </row>
    <row r="14" spans="1:8">
      <c r="A14">
        <v>2012</v>
      </c>
      <c r="B14" s="2">
        <v>278490000000000</v>
      </c>
      <c r="C14" s="2">
        <f t="shared" si="1"/>
        <v>2.41535E+16</v>
      </c>
      <c r="D14" s="2">
        <v>7210000000000</v>
      </c>
      <c r="E14" s="8">
        <v>2012</v>
      </c>
      <c r="F14" s="2">
        <v>205400000000000</v>
      </c>
      <c r="G14" s="2">
        <f>H14*3350</f>
        <v>1.0921E+16</v>
      </c>
      <c r="H14" s="2">
        <v>3260000000000</v>
      </c>
    </row>
    <row r="15" spans="1:8">
      <c r="A15">
        <v>2013</v>
      </c>
      <c r="B15" s="2">
        <v>259300000000000</v>
      </c>
      <c r="C15" s="2">
        <f t="shared" si="1"/>
        <v>2.66325E+16</v>
      </c>
      <c r="D15" s="2">
        <v>7950000000000</v>
      </c>
      <c r="E15" s="8">
        <v>2013</v>
      </c>
      <c r="F15" s="2">
        <v>206940000000000</v>
      </c>
      <c r="G15" s="2">
        <f>H15*3350</f>
        <v>1.10885E+16</v>
      </c>
      <c r="H15" s="2">
        <v>3310000000000</v>
      </c>
    </row>
    <row r="16" spans="1:8">
      <c r="A16">
        <v>2014</v>
      </c>
      <c r="B16" s="2">
        <v>268210000000000</v>
      </c>
      <c r="C16" s="2">
        <f t="shared" si="1"/>
        <v>5.96635E+16</v>
      </c>
      <c r="D16" s="2">
        <v>17810000000000</v>
      </c>
      <c r="E16" s="8">
        <v>2014</v>
      </c>
      <c r="F16" s="2">
        <v>194250000000000</v>
      </c>
      <c r="G16" s="2">
        <f>H16*3350</f>
        <v>1.15575E+16</v>
      </c>
      <c r="H16" s="2">
        <v>3450000000000</v>
      </c>
    </row>
    <row r="17" spans="1:8">
      <c r="A17">
        <v>2015</v>
      </c>
      <c r="B17" s="2">
        <v>349940000000000</v>
      </c>
      <c r="C17" s="2">
        <f t="shared" si="1"/>
        <v>8.47215E+16</v>
      </c>
      <c r="D17" s="2">
        <v>25290000000000</v>
      </c>
      <c r="E17" s="8">
        <v>2015</v>
      </c>
      <c r="F17" s="2">
        <v>197380000000000</v>
      </c>
      <c r="G17" s="2">
        <f>H17*3350</f>
        <v>1.17585E+16</v>
      </c>
      <c r="H17" s="2">
        <v>3510000000000</v>
      </c>
    </row>
    <row r="18" spans="1:8">
      <c r="A18">
        <v>2016</v>
      </c>
      <c r="B18" s="2">
        <v>322300000000000</v>
      </c>
      <c r="C18" s="2">
        <f t="shared" si="1"/>
        <v>1.58388E+17</v>
      </c>
      <c r="D18" s="2">
        <f>4728*10000*1000000</f>
        <v>47280000000000</v>
      </c>
      <c r="E18" s="8">
        <v>2016</v>
      </c>
      <c r="F18" s="2">
        <v>191830000000000</v>
      </c>
      <c r="G18" s="2">
        <f>H18*3350</f>
        <v>1.0854E+16</v>
      </c>
      <c r="H18" s="2">
        <v>3240000000000</v>
      </c>
    </row>
    <row r="19" spans="1:8">
      <c r="D19" s="2"/>
    </row>
    <row r="20" spans="1:8">
      <c r="D20" s="2"/>
    </row>
    <row r="21" spans="1:8">
      <c r="D21" s="2"/>
    </row>
    <row r="22" spans="1:8">
      <c r="D22" s="2"/>
    </row>
    <row r="23" spans="1:8">
      <c r="D23" s="2"/>
    </row>
    <row r="24" spans="1:8">
      <c r="D24" s="2"/>
    </row>
    <row r="25" spans="1:8">
      <c r="D25" s="2"/>
    </row>
    <row r="26" spans="1:8">
      <c r="D26" s="2"/>
    </row>
    <row r="27" spans="1:8">
      <c r="D27" s="2"/>
    </row>
    <row r="28" spans="1:8">
      <c r="D28" s="2"/>
    </row>
    <row r="29" spans="1:8">
      <c r="D29" s="2"/>
    </row>
    <row r="30" spans="1:8">
      <c r="D30" s="2"/>
    </row>
    <row r="31" spans="1:8">
      <c r="D31" s="2"/>
    </row>
    <row r="32" spans="1:8">
      <c r="D32" s="2"/>
    </row>
    <row r="33" spans="4:4">
      <c r="D33" s="2"/>
    </row>
    <row r="34" spans="4:4">
      <c r="D34" s="2"/>
    </row>
    <row r="35" spans="4:4">
      <c r="D35" s="2"/>
    </row>
    <row r="36" spans="4:4">
      <c r="D36" s="2"/>
    </row>
    <row r="37" spans="4:4">
      <c r="D37" s="2"/>
    </row>
    <row r="38" spans="4:4">
      <c r="D38" s="2"/>
    </row>
    <row r="39" spans="4:4">
      <c r="D39" s="2"/>
    </row>
    <row r="40" spans="4:4">
      <c r="D40" s="2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A8" sqref="A8"/>
    </sheetView>
  </sheetViews>
  <sheetFormatPr defaultColWidth="25.625" defaultRowHeight="14.25"/>
  <cols>
    <col min="1" max="1" width="56.375" customWidth="1"/>
    <col min="6" max="6" width="52.5" customWidth="1"/>
  </cols>
  <sheetData>
    <row r="1" spans="1:9">
      <c r="A1" s="14" t="s">
        <v>13</v>
      </c>
      <c r="B1" s="1" t="s">
        <v>14</v>
      </c>
      <c r="C1" s="1" t="s">
        <v>15</v>
      </c>
      <c r="D1" s="1" t="s">
        <v>14</v>
      </c>
      <c r="E1" s="1" t="s">
        <v>14</v>
      </c>
      <c r="F1" t="s">
        <v>17</v>
      </c>
      <c r="G1" s="2"/>
      <c r="H1" s="2"/>
    </row>
    <row r="2" spans="1:9" ht="21" customHeight="1">
      <c r="B2" s="1"/>
      <c r="C2" s="1"/>
      <c r="D2" s="2"/>
      <c r="E2" s="2"/>
      <c r="F2" t="s">
        <v>18</v>
      </c>
      <c r="G2" s="2"/>
      <c r="H2" s="2"/>
    </row>
    <row r="3" spans="1:9" ht="21" customHeight="1">
      <c r="A3" t="s">
        <v>16</v>
      </c>
      <c r="B3" s="1"/>
      <c r="C3" s="1"/>
      <c r="D3" s="2"/>
      <c r="E3" s="2"/>
      <c r="G3" s="2"/>
      <c r="H3" s="2"/>
    </row>
    <row r="4" spans="1:9">
      <c r="B4" s="1"/>
      <c r="C4" s="1"/>
      <c r="D4" s="2"/>
      <c r="E4" s="2"/>
      <c r="G4" s="2"/>
      <c r="H4" s="2"/>
    </row>
    <row r="5" spans="1:9" s="9" customFormat="1">
      <c r="A5" t="s">
        <v>19</v>
      </c>
      <c r="B5" s="10">
        <v>357.7</v>
      </c>
      <c r="C5" s="10">
        <v>599.70000000000005</v>
      </c>
      <c r="D5" s="11">
        <f t="shared" ref="D3:D21" si="0">B5*7923*4.94*1000000000</f>
        <v>1.4000242074E+16</v>
      </c>
      <c r="E5" s="11">
        <f t="shared" ref="E2:E21" si="1">C5*9453*4.94*1000000000*0.8</f>
        <v>2.2403746123200008E+16</v>
      </c>
      <c r="F5" s="11">
        <f>G5+H5</f>
        <v>1755491507112000.5</v>
      </c>
      <c r="G5" s="11">
        <f t="shared" ref="G2:G21" si="2">B5*7923*1000000*8.8*1000*9.8*0.002</f>
        <v>488818168608000.13</v>
      </c>
      <c r="H5" s="11">
        <f t="shared" ref="H3:H21" si="3">C5*9453*1000000*1000*11.4*9.8*0.002</f>
        <v>1266673338504000.5</v>
      </c>
      <c r="I5" s="9">
        <v>2000</v>
      </c>
    </row>
    <row r="6" spans="1:9">
      <c r="A6" t="s">
        <v>20</v>
      </c>
      <c r="B6" s="1">
        <v>575</v>
      </c>
      <c r="C6" s="1">
        <v>415.9</v>
      </c>
      <c r="D6" s="2">
        <f t="shared" si="0"/>
        <v>2.25052815E+16</v>
      </c>
      <c r="E6" s="2">
        <f t="shared" si="1"/>
        <v>1.55372986704E+16</v>
      </c>
      <c r="F6" s="11">
        <f t="shared" ref="F6:F21" si="4">G6+H6</f>
        <v>1664226411288000</v>
      </c>
      <c r="G6" s="2">
        <f t="shared" si="2"/>
        <v>785771448000000</v>
      </c>
      <c r="H6" s="2">
        <f t="shared" si="3"/>
        <v>878454963287999.88</v>
      </c>
      <c r="I6">
        <v>2001</v>
      </c>
    </row>
    <row r="7" spans="1:9">
      <c r="B7" s="1">
        <v>555.9</v>
      </c>
      <c r="C7" s="1">
        <v>308.7</v>
      </c>
      <c r="D7" s="2">
        <f t="shared" si="0"/>
        <v>2.1757714758E+16</v>
      </c>
      <c r="E7" s="2">
        <f t="shared" si="1"/>
        <v>1.1532493627200002E+16</v>
      </c>
      <c r="F7" s="11">
        <f t="shared" si="4"/>
        <v>1411699617720000</v>
      </c>
      <c r="G7" s="2">
        <f t="shared" si="2"/>
        <v>759670170336000</v>
      </c>
      <c r="H7" s="2">
        <f t="shared" si="3"/>
        <v>652029447384000</v>
      </c>
      <c r="I7">
        <v>2002</v>
      </c>
    </row>
    <row r="8" spans="1:9">
      <c r="B8" s="1">
        <v>782.3</v>
      </c>
      <c r="C8" s="1">
        <v>779.5</v>
      </c>
      <c r="D8" s="2">
        <f t="shared" si="0"/>
        <v>3.0618924726E+16</v>
      </c>
      <c r="E8" s="2">
        <f t="shared" si="1"/>
        <v>2.9120760552000008E+16</v>
      </c>
      <c r="F8" s="11">
        <f t="shared" si="4"/>
        <v>2715502137432000</v>
      </c>
      <c r="G8" s="2">
        <f t="shared" si="2"/>
        <v>1069059136991999.9</v>
      </c>
      <c r="H8" s="2">
        <f t="shared" si="3"/>
        <v>1646443000440000</v>
      </c>
      <c r="I8">
        <v>2003</v>
      </c>
    </row>
    <row r="9" spans="1:9">
      <c r="B9" s="1">
        <v>555.9</v>
      </c>
      <c r="C9" s="1">
        <v>780.8</v>
      </c>
      <c r="D9" s="2">
        <f t="shared" si="0"/>
        <v>2.1757714758E+16</v>
      </c>
      <c r="E9" s="2">
        <f t="shared" si="1"/>
        <v>2.91693262848E+16</v>
      </c>
      <c r="F9" s="11">
        <f t="shared" si="4"/>
        <v>2408859002592000</v>
      </c>
      <c r="G9" s="2">
        <f t="shared" si="2"/>
        <v>759670170336000</v>
      </c>
      <c r="H9" s="2">
        <f t="shared" si="3"/>
        <v>1649188832255999.8</v>
      </c>
      <c r="I9">
        <v>2004</v>
      </c>
    </row>
    <row r="10" spans="1:9">
      <c r="B10" s="1">
        <v>660.1</v>
      </c>
      <c r="C10" s="1">
        <v>661.8</v>
      </c>
      <c r="D10" s="2">
        <f t="shared" si="0"/>
        <v>2.5836063162E+16</v>
      </c>
      <c r="E10" s="2">
        <f t="shared" si="1"/>
        <v>2.47236938208E+16</v>
      </c>
      <c r="F10" s="11">
        <f t="shared" si="4"/>
        <v>2299905234480000</v>
      </c>
      <c r="G10" s="2">
        <f>B10*7923*1000000*8.8*1000*9.8*0.002</f>
        <v>902065622304000.13</v>
      </c>
      <c r="H10" s="2">
        <f t="shared" si="3"/>
        <v>1397839612176000</v>
      </c>
      <c r="I10">
        <v>2005</v>
      </c>
    </row>
    <row r="11" spans="1:9">
      <c r="B11" s="1">
        <v>449.3</v>
      </c>
      <c r="C11" s="1">
        <v>500.8</v>
      </c>
      <c r="D11" s="2">
        <f t="shared" si="0"/>
        <v>1.7585431266000002E+16</v>
      </c>
      <c r="E11" s="2">
        <f t="shared" si="1"/>
        <v>1.8709014604800004E+16</v>
      </c>
      <c r="F11" s="11">
        <f t="shared" si="4"/>
        <v>1671773879328000.3</v>
      </c>
      <c r="G11" s="2">
        <f t="shared" si="2"/>
        <v>613994976672000.13</v>
      </c>
      <c r="H11" s="2">
        <f t="shared" si="3"/>
        <v>1057778902656000.1</v>
      </c>
      <c r="I11">
        <v>2006</v>
      </c>
    </row>
    <row r="12" spans="1:9">
      <c r="B12" s="1">
        <v>595</v>
      </c>
      <c r="C12" s="1">
        <v>587.20000000000005</v>
      </c>
      <c r="D12" s="2">
        <f t="shared" si="0"/>
        <v>2.3288073900000004E+16</v>
      </c>
      <c r="E12" s="2">
        <f t="shared" si="1"/>
        <v>2.1936767923200008E+16</v>
      </c>
      <c r="F12" s="11">
        <f t="shared" si="4"/>
        <v>2053373738304000.5</v>
      </c>
      <c r="G12" s="2">
        <f t="shared" si="2"/>
        <v>813102628800000</v>
      </c>
      <c r="H12" s="2">
        <f t="shared" si="3"/>
        <v>1240271109504000.5</v>
      </c>
      <c r="I12">
        <v>2007</v>
      </c>
    </row>
    <row r="13" spans="1:9">
      <c r="B13" s="1">
        <v>410.1</v>
      </c>
      <c r="C13" s="1">
        <v>490.3</v>
      </c>
      <c r="D13" s="2">
        <f t="shared" si="0"/>
        <v>1.6051158162000002E+16</v>
      </c>
      <c r="E13" s="2">
        <f t="shared" si="1"/>
        <v>1.8316752916800004E+16</v>
      </c>
      <c r="F13" s="11">
        <f t="shared" si="4"/>
        <v>1596026892600000.3</v>
      </c>
      <c r="G13" s="2">
        <f t="shared" si="2"/>
        <v>560425862304000.19</v>
      </c>
      <c r="H13" s="2">
        <f t="shared" si="3"/>
        <v>1035601030296000.1</v>
      </c>
      <c r="I13">
        <v>2008</v>
      </c>
    </row>
    <row r="14" spans="1:9">
      <c r="B14" s="1">
        <v>634.1</v>
      </c>
      <c r="C14" s="1">
        <v>632</v>
      </c>
      <c r="D14" s="2">
        <f t="shared" si="0"/>
        <v>2.4818433042E+16</v>
      </c>
      <c r="E14" s="2">
        <f t="shared" si="1"/>
        <v>2.3610417792000004E+16</v>
      </c>
      <c r="F14" s="11">
        <f t="shared" si="4"/>
        <v>2201431785504000</v>
      </c>
      <c r="G14" s="2">
        <f t="shared" si="2"/>
        <v>866535087264000</v>
      </c>
      <c r="H14" s="2">
        <f t="shared" si="3"/>
        <v>1334896698240000</v>
      </c>
      <c r="I14">
        <v>2009</v>
      </c>
    </row>
    <row r="15" spans="1:9">
      <c r="B15" s="1">
        <v>548.1</v>
      </c>
      <c r="C15" s="1">
        <v>640.20000000000005</v>
      </c>
      <c r="D15" s="2">
        <f t="shared" si="0"/>
        <v>2.1452425722E+16</v>
      </c>
      <c r="E15" s="2">
        <f t="shared" si="1"/>
        <v>2.3916755491200004E+16</v>
      </c>
      <c r="F15" s="11">
        <f t="shared" si="4"/>
        <v>2101227570288000.5</v>
      </c>
      <c r="G15" s="2">
        <f t="shared" si="2"/>
        <v>749011009824000</v>
      </c>
      <c r="H15" s="2">
        <f t="shared" si="3"/>
        <v>1352216560464000.5</v>
      </c>
      <c r="I15">
        <v>2010</v>
      </c>
    </row>
    <row r="16" spans="1:9">
      <c r="B16" s="1">
        <v>592.6</v>
      </c>
      <c r="C16" s="1">
        <v>537.6</v>
      </c>
      <c r="D16" s="2">
        <f t="shared" si="0"/>
        <v>2.3194138812000004E+16</v>
      </c>
      <c r="E16" s="2">
        <f t="shared" si="1"/>
        <v>2.00837984256E+16</v>
      </c>
      <c r="F16" s="11">
        <f t="shared" si="4"/>
        <v>1945329951936000.3</v>
      </c>
      <c r="G16" s="2">
        <f t="shared" si="2"/>
        <v>809822887104000</v>
      </c>
      <c r="H16" s="2">
        <f t="shared" si="3"/>
        <v>1135507064832000.3</v>
      </c>
      <c r="I16">
        <v>2011</v>
      </c>
    </row>
    <row r="17" spans="2:9">
      <c r="B17" s="1">
        <v>634.70000000000005</v>
      </c>
      <c r="C17" s="1">
        <v>635.4</v>
      </c>
      <c r="D17" s="2">
        <f t="shared" si="0"/>
        <v>2.4841916814000004E+16</v>
      </c>
      <c r="E17" s="2">
        <f t="shared" si="1"/>
        <v>2.37374358624E+16</v>
      </c>
      <c r="F17" s="11">
        <f t="shared" si="4"/>
        <v>2209433127216000.5</v>
      </c>
      <c r="G17" s="2">
        <f t="shared" si="2"/>
        <v>867355022688000.38</v>
      </c>
      <c r="H17" s="2">
        <f t="shared" si="3"/>
        <v>1342078104528000</v>
      </c>
      <c r="I17">
        <v>2012</v>
      </c>
    </row>
    <row r="18" spans="2:9">
      <c r="B18" s="1">
        <v>720.8</v>
      </c>
      <c r="C18" s="1">
        <v>710.9</v>
      </c>
      <c r="D18" s="2">
        <f t="shared" si="0"/>
        <v>2.8211838096E+16</v>
      </c>
      <c r="E18" s="2">
        <f t="shared" si="1"/>
        <v>2.65579841904E+16</v>
      </c>
      <c r="F18" s="11">
        <f t="shared" si="4"/>
        <v>2486563323720000</v>
      </c>
      <c r="G18" s="2">
        <f t="shared" si="2"/>
        <v>985015756031999.88</v>
      </c>
      <c r="H18" s="2">
        <f t="shared" si="3"/>
        <v>1501547567688000</v>
      </c>
      <c r="I18">
        <v>2013</v>
      </c>
    </row>
    <row r="19" spans="2:9" ht="16.5">
      <c r="B19" s="3">
        <v>357.8</v>
      </c>
      <c r="C19" s="3">
        <v>442.8</v>
      </c>
      <c r="D19" s="2">
        <f t="shared" si="0"/>
        <v>1.4004156036E+16</v>
      </c>
      <c r="E19" s="2">
        <f t="shared" si="1"/>
        <v>1.6542235756800004E+16</v>
      </c>
      <c r="F19" s="11">
        <f t="shared" si="4"/>
        <v>1424227384608000.3</v>
      </c>
      <c r="G19" s="2">
        <f t="shared" si="2"/>
        <v>488954824512000.13</v>
      </c>
      <c r="H19" s="2">
        <f t="shared" si="3"/>
        <v>935272560096000.13</v>
      </c>
      <c r="I19">
        <v>2014</v>
      </c>
    </row>
    <row r="20" spans="2:9">
      <c r="B20" s="1">
        <v>555.9</v>
      </c>
      <c r="C20" s="1">
        <v>678.2</v>
      </c>
      <c r="D20" s="2">
        <f t="shared" si="0"/>
        <v>2.1757714758E+16</v>
      </c>
      <c r="E20" s="2">
        <f t="shared" si="1"/>
        <v>2.5336369219200004E+16</v>
      </c>
      <c r="F20" s="11">
        <f t="shared" si="4"/>
        <v>2192149506960000.5</v>
      </c>
      <c r="G20" s="2">
        <f t="shared" si="2"/>
        <v>759670170336000</v>
      </c>
      <c r="H20" s="2">
        <f t="shared" si="3"/>
        <v>1432479336624000.5</v>
      </c>
      <c r="I20">
        <v>2015</v>
      </c>
    </row>
    <row r="21" spans="2:9">
      <c r="B21" s="1">
        <v>609.79999999999995</v>
      </c>
      <c r="C21" s="1">
        <v>592</v>
      </c>
      <c r="D21" s="2">
        <f t="shared" si="0"/>
        <v>2.3867340276E+16</v>
      </c>
      <c r="E21" s="2">
        <f t="shared" si="1"/>
        <v>2.2116087552E+16</v>
      </c>
      <c r="F21" s="11">
        <f t="shared" si="4"/>
        <v>2083737268032000</v>
      </c>
      <c r="G21" s="2">
        <f t="shared" si="2"/>
        <v>833327702591999.88</v>
      </c>
      <c r="H21" s="2">
        <f t="shared" si="3"/>
        <v>1250409565440000</v>
      </c>
      <c r="I21">
        <v>2016</v>
      </c>
    </row>
  </sheetData>
  <phoneticPr fontId="1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A2" sqref="A2"/>
    </sheetView>
  </sheetViews>
  <sheetFormatPr defaultColWidth="25.625" defaultRowHeight="14.25"/>
  <cols>
    <col min="1" max="1" width="53.25" customWidth="1"/>
  </cols>
  <sheetData>
    <row r="1" spans="1:5">
      <c r="A1" t="s">
        <v>21</v>
      </c>
      <c r="B1" t="s">
        <v>22</v>
      </c>
      <c r="C1" t="s">
        <v>15</v>
      </c>
      <c r="D1" s="2"/>
      <c r="E1" s="2"/>
    </row>
    <row r="2" spans="1:5">
      <c r="A2" t="s">
        <v>30</v>
      </c>
      <c r="D2" s="2"/>
      <c r="E2" s="2"/>
    </row>
    <row r="3" spans="1:5">
      <c r="D3" s="2"/>
      <c r="E3" s="2"/>
    </row>
    <row r="4" spans="1:5">
      <c r="D4" s="2"/>
      <c r="E4" s="2"/>
    </row>
    <row r="5" spans="1:5">
      <c r="B5">
        <v>2.9</v>
      </c>
      <c r="C5">
        <v>2.7</v>
      </c>
      <c r="D5" s="2">
        <v>1.05E+17</v>
      </c>
      <c r="E5" s="2">
        <f t="shared" ref="E2:E22" si="0">D5*2.7*2.7*2.7/2.9/2.9/2.9*9453/7923</f>
        <v>1.0110359534621768E+17</v>
      </c>
    </row>
    <row r="6" spans="1:5">
      <c r="B6">
        <v>2.9</v>
      </c>
      <c r="C6">
        <v>2.7</v>
      </c>
      <c r="D6" s="2">
        <v>1.05E+17</v>
      </c>
      <c r="E6" s="2">
        <f t="shared" si="0"/>
        <v>1.0110359534621768E+17</v>
      </c>
    </row>
    <row r="7" spans="1:5">
      <c r="B7">
        <v>2.9</v>
      </c>
      <c r="C7">
        <v>2.7</v>
      </c>
      <c r="D7" s="2">
        <v>1.05E+17</v>
      </c>
      <c r="E7" s="2">
        <f t="shared" si="0"/>
        <v>1.0110359534621768E+17</v>
      </c>
    </row>
    <row r="8" spans="1:5">
      <c r="B8">
        <v>2.9</v>
      </c>
      <c r="C8">
        <v>2.7</v>
      </c>
      <c r="D8" s="2">
        <v>1.05E+17</v>
      </c>
      <c r="E8" s="2">
        <f t="shared" si="0"/>
        <v>1.0110359534621768E+17</v>
      </c>
    </row>
    <row r="9" spans="1:5">
      <c r="B9">
        <v>2.9</v>
      </c>
      <c r="C9">
        <v>2.7</v>
      </c>
      <c r="D9" s="2">
        <v>1.05E+17</v>
      </c>
      <c r="E9" s="2">
        <f t="shared" si="0"/>
        <v>1.0110359534621768E+17</v>
      </c>
    </row>
    <row r="10" spans="1:5">
      <c r="B10">
        <v>2.9</v>
      </c>
      <c r="C10">
        <v>2.7</v>
      </c>
      <c r="D10" s="2">
        <v>1.05E+17</v>
      </c>
      <c r="E10" s="2">
        <f t="shared" si="0"/>
        <v>1.0110359534621768E+17</v>
      </c>
    </row>
    <row r="11" spans="1:5">
      <c r="B11">
        <v>2.9</v>
      </c>
      <c r="C11">
        <v>2.7</v>
      </c>
      <c r="D11" s="2">
        <v>1.05E+17</v>
      </c>
      <c r="E11" s="2">
        <f t="shared" si="0"/>
        <v>1.0110359534621768E+17</v>
      </c>
    </row>
    <row r="12" spans="1:5">
      <c r="B12">
        <v>2.9</v>
      </c>
      <c r="C12">
        <v>2.7</v>
      </c>
      <c r="D12" s="2">
        <v>1.05E+17</v>
      </c>
      <c r="E12" s="2">
        <f t="shared" si="0"/>
        <v>1.0110359534621768E+17</v>
      </c>
    </row>
    <row r="13" spans="1:5">
      <c r="B13">
        <v>2.9</v>
      </c>
      <c r="C13">
        <v>2.7</v>
      </c>
      <c r="D13" s="2">
        <v>1.05E+17</v>
      </c>
      <c r="E13" s="2">
        <f t="shared" si="0"/>
        <v>1.0110359534621768E+17</v>
      </c>
    </row>
    <row r="14" spans="1:5">
      <c r="B14">
        <v>2.9</v>
      </c>
      <c r="C14">
        <v>2.7</v>
      </c>
      <c r="D14" s="2">
        <v>1.05E+17</v>
      </c>
      <c r="E14" s="2">
        <f t="shared" si="0"/>
        <v>1.0110359534621768E+17</v>
      </c>
    </row>
    <row r="15" spans="1:5">
      <c r="B15">
        <v>2.9</v>
      </c>
      <c r="C15">
        <v>2.7</v>
      </c>
      <c r="D15" s="2">
        <v>1.05E+17</v>
      </c>
      <c r="E15" s="2">
        <f t="shared" si="0"/>
        <v>1.0110359534621768E+17</v>
      </c>
    </row>
    <row r="16" spans="1:5">
      <c r="B16">
        <v>2.9</v>
      </c>
      <c r="C16">
        <v>2.7</v>
      </c>
      <c r="D16" s="2">
        <v>1.05E+17</v>
      </c>
      <c r="E16" s="2">
        <f t="shared" si="0"/>
        <v>1.0110359534621768E+17</v>
      </c>
    </row>
    <row r="17" spans="2:5">
      <c r="B17">
        <v>2.9</v>
      </c>
      <c r="C17">
        <v>2.7</v>
      </c>
      <c r="D17" s="2">
        <v>1.05E+17</v>
      </c>
      <c r="E17" s="2">
        <f t="shared" si="0"/>
        <v>1.0110359534621768E+17</v>
      </c>
    </row>
    <row r="18" spans="2:5">
      <c r="B18">
        <v>2.9</v>
      </c>
      <c r="C18">
        <v>2.7</v>
      </c>
      <c r="D18" s="2">
        <v>1.05E+17</v>
      </c>
      <c r="E18" s="2">
        <f t="shared" si="0"/>
        <v>1.0110359534621768E+17</v>
      </c>
    </row>
    <row r="19" spans="2:5">
      <c r="B19">
        <v>2.9</v>
      </c>
      <c r="C19">
        <v>2.7</v>
      </c>
      <c r="D19" s="2">
        <v>1.05E+17</v>
      </c>
      <c r="E19" s="2">
        <f t="shared" si="0"/>
        <v>1.0110359534621768E+17</v>
      </c>
    </row>
    <row r="20" spans="2:5">
      <c r="B20">
        <v>2.9</v>
      </c>
      <c r="C20">
        <v>2.7</v>
      </c>
      <c r="D20" s="2">
        <v>1.05E+17</v>
      </c>
      <c r="E20" s="2">
        <f t="shared" si="0"/>
        <v>1.0110359534621768E+17</v>
      </c>
    </row>
    <row r="21" spans="2:5">
      <c r="B21">
        <v>2.9</v>
      </c>
      <c r="C21">
        <v>2.7</v>
      </c>
      <c r="D21" s="2">
        <v>1.05E+17</v>
      </c>
      <c r="E21" s="2">
        <f t="shared" si="0"/>
        <v>1.0110359534621768E+17</v>
      </c>
    </row>
    <row r="22" spans="2:5">
      <c r="B22">
        <v>2.9</v>
      </c>
      <c r="C22">
        <v>2.7</v>
      </c>
      <c r="D22" s="2">
        <v>1.05E+17</v>
      </c>
      <c r="E22" s="2">
        <f t="shared" si="0"/>
        <v>1.0110359534621768E+17</v>
      </c>
    </row>
  </sheetData>
  <phoneticPr fontId="1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C1" workbookViewId="0">
      <selection activeCell="A2" sqref="A2"/>
    </sheetView>
  </sheetViews>
  <sheetFormatPr defaultColWidth="25.625" defaultRowHeight="14.25"/>
  <cols>
    <col min="1" max="1" width="59.125" customWidth="1"/>
    <col min="6" max="6" width="82.5" customWidth="1"/>
  </cols>
  <sheetData>
    <row r="1" spans="1:10">
      <c r="A1" t="s">
        <v>0</v>
      </c>
      <c r="B1" t="s">
        <v>25</v>
      </c>
      <c r="C1" t="s">
        <v>26</v>
      </c>
      <c r="D1" t="s">
        <v>27</v>
      </c>
      <c r="E1" t="s">
        <v>26</v>
      </c>
      <c r="F1" t="s">
        <v>24</v>
      </c>
      <c r="G1" s="2"/>
      <c r="H1" s="2"/>
      <c r="I1" s="2"/>
      <c r="J1" s="2"/>
    </row>
    <row r="2" spans="1:10">
      <c r="A2" t="s">
        <v>29</v>
      </c>
      <c r="D2" s="2"/>
      <c r="E2" s="2"/>
      <c r="F2" t="s">
        <v>28</v>
      </c>
      <c r="G2" s="2"/>
      <c r="H2" s="2"/>
      <c r="I2" s="2"/>
      <c r="J2" s="2"/>
    </row>
    <row r="3" spans="1:10">
      <c r="A3" t="s">
        <v>23</v>
      </c>
      <c r="D3" s="2"/>
      <c r="E3" s="2"/>
      <c r="G3" s="2"/>
      <c r="H3" s="2"/>
      <c r="I3" s="2"/>
      <c r="J3" s="2"/>
    </row>
    <row r="4" spans="1:10">
      <c r="D4" s="2"/>
      <c r="E4" s="2"/>
      <c r="G4" s="2"/>
      <c r="H4" s="2"/>
      <c r="I4" s="2"/>
      <c r="J4" s="2"/>
    </row>
    <row r="5" spans="1:10">
      <c r="D5" s="2"/>
      <c r="E5" s="2"/>
      <c r="G5" s="2"/>
      <c r="H5" s="2"/>
      <c r="I5" s="2"/>
      <c r="J5" s="2"/>
    </row>
    <row r="6" spans="1:10">
      <c r="A6">
        <v>2000</v>
      </c>
      <c r="B6">
        <v>351000</v>
      </c>
      <c r="C6">
        <v>283900</v>
      </c>
      <c r="D6" s="2">
        <f t="shared" ref="D2:D22" si="0">B6*168000000*4186</f>
        <v>2.46840048E+17</v>
      </c>
      <c r="E6" s="2">
        <f t="shared" ref="E2:E22" si="1">C6*168000000*4186</f>
        <v>1.996521072E+17</v>
      </c>
      <c r="G6" s="2">
        <v>4800000000</v>
      </c>
      <c r="H6" s="2">
        <v>2000000000</v>
      </c>
      <c r="I6" s="2">
        <f t="shared" ref="I2:I22" si="2">G6*0.5*730*1.2*1.2*1030*9.8</f>
        <v>2.546595072E+16</v>
      </c>
      <c r="J6" s="2">
        <f t="shared" ref="J2:J22" si="3">H6*0.5*730*1.2*1.2*1030*9.8</f>
        <v>1.06108128E+16</v>
      </c>
    </row>
    <row r="7" spans="1:10">
      <c r="A7">
        <v>2001</v>
      </c>
      <c r="B7">
        <v>351000</v>
      </c>
      <c r="C7">
        <v>283900</v>
      </c>
      <c r="D7" s="2">
        <f t="shared" si="0"/>
        <v>2.46840048E+17</v>
      </c>
      <c r="E7" s="2">
        <f t="shared" si="1"/>
        <v>1.996521072E+17</v>
      </c>
      <c r="G7" s="2">
        <v>4800000000</v>
      </c>
      <c r="H7" s="2">
        <v>2000000000</v>
      </c>
      <c r="I7" s="2">
        <f t="shared" si="2"/>
        <v>2.546595072E+16</v>
      </c>
      <c r="J7" s="2">
        <f t="shared" si="3"/>
        <v>1.06108128E+16</v>
      </c>
    </row>
    <row r="8" spans="1:10">
      <c r="A8">
        <v>2002</v>
      </c>
      <c r="B8">
        <v>351000</v>
      </c>
      <c r="C8">
        <v>283900</v>
      </c>
      <c r="D8" s="2">
        <f t="shared" si="0"/>
        <v>2.46840048E+17</v>
      </c>
      <c r="E8" s="2">
        <f t="shared" si="1"/>
        <v>1.996521072E+17</v>
      </c>
      <c r="G8" s="2">
        <v>4800000000</v>
      </c>
      <c r="H8" s="2">
        <v>2000000000</v>
      </c>
      <c r="I8" s="2">
        <f t="shared" si="2"/>
        <v>2.546595072E+16</v>
      </c>
      <c r="J8" s="2">
        <f t="shared" si="3"/>
        <v>1.06108128E+16</v>
      </c>
    </row>
    <row r="9" spans="1:10">
      <c r="A9">
        <v>2003</v>
      </c>
      <c r="B9">
        <v>351000</v>
      </c>
      <c r="C9">
        <v>283900</v>
      </c>
      <c r="D9" s="2">
        <f t="shared" si="0"/>
        <v>2.46840048E+17</v>
      </c>
      <c r="E9" s="2">
        <f t="shared" si="1"/>
        <v>1.996521072E+17</v>
      </c>
      <c r="G9" s="2">
        <v>4800000000</v>
      </c>
      <c r="H9" s="2">
        <v>2000000000</v>
      </c>
      <c r="I9" s="2">
        <f t="shared" si="2"/>
        <v>2.546595072E+16</v>
      </c>
      <c r="J9" s="2">
        <f t="shared" si="3"/>
        <v>1.06108128E+16</v>
      </c>
    </row>
    <row r="10" spans="1:10">
      <c r="A10">
        <v>2004</v>
      </c>
      <c r="B10">
        <v>351000</v>
      </c>
      <c r="C10">
        <v>283900</v>
      </c>
      <c r="D10" s="2">
        <f t="shared" si="0"/>
        <v>2.46840048E+17</v>
      </c>
      <c r="E10" s="2">
        <f t="shared" si="1"/>
        <v>1.996521072E+17</v>
      </c>
      <c r="G10" s="2">
        <v>4800000000</v>
      </c>
      <c r="H10" s="2">
        <v>2000000000</v>
      </c>
      <c r="I10" s="2">
        <f t="shared" si="2"/>
        <v>2.546595072E+16</v>
      </c>
      <c r="J10" s="2">
        <f t="shared" si="3"/>
        <v>1.06108128E+16</v>
      </c>
    </row>
    <row r="11" spans="1:10">
      <c r="A11">
        <v>2005</v>
      </c>
      <c r="B11">
        <v>351000</v>
      </c>
      <c r="C11">
        <v>283900</v>
      </c>
      <c r="D11" s="2">
        <f t="shared" si="0"/>
        <v>2.46840048E+17</v>
      </c>
      <c r="E11" s="2">
        <f t="shared" si="1"/>
        <v>1.996521072E+17</v>
      </c>
      <c r="G11" s="2">
        <v>4800000000</v>
      </c>
      <c r="H11" s="2">
        <v>2000000000</v>
      </c>
      <c r="I11" s="2">
        <f t="shared" si="2"/>
        <v>2.546595072E+16</v>
      </c>
      <c r="J11" s="2">
        <f t="shared" si="3"/>
        <v>1.06108128E+16</v>
      </c>
    </row>
    <row r="12" spans="1:10">
      <c r="A12">
        <v>2006</v>
      </c>
      <c r="B12">
        <v>351000</v>
      </c>
      <c r="C12">
        <v>283900</v>
      </c>
      <c r="D12" s="2">
        <f t="shared" si="0"/>
        <v>2.46840048E+17</v>
      </c>
      <c r="E12" s="2">
        <f t="shared" si="1"/>
        <v>1.996521072E+17</v>
      </c>
      <c r="G12" s="2">
        <v>4800000000</v>
      </c>
      <c r="H12" s="2">
        <v>2000000000</v>
      </c>
      <c r="I12" s="2">
        <f t="shared" si="2"/>
        <v>2.546595072E+16</v>
      </c>
      <c r="J12" s="2">
        <f t="shared" si="3"/>
        <v>1.06108128E+16</v>
      </c>
    </row>
    <row r="13" spans="1:10">
      <c r="A13">
        <v>2007</v>
      </c>
      <c r="B13">
        <v>351000</v>
      </c>
      <c r="C13">
        <v>283900</v>
      </c>
      <c r="D13" s="2">
        <f t="shared" si="0"/>
        <v>2.46840048E+17</v>
      </c>
      <c r="E13" s="2">
        <f t="shared" si="1"/>
        <v>1.996521072E+17</v>
      </c>
      <c r="G13" s="2">
        <v>4800000000</v>
      </c>
      <c r="H13" s="2">
        <v>2000000000</v>
      </c>
      <c r="I13" s="2">
        <f t="shared" si="2"/>
        <v>2.546595072E+16</v>
      </c>
      <c r="J13" s="2">
        <f t="shared" si="3"/>
        <v>1.06108128E+16</v>
      </c>
    </row>
    <row r="14" spans="1:10">
      <c r="A14">
        <v>2008</v>
      </c>
      <c r="B14">
        <v>351000</v>
      </c>
      <c r="C14">
        <v>283900</v>
      </c>
      <c r="D14" s="2">
        <f t="shared" si="0"/>
        <v>2.46840048E+17</v>
      </c>
      <c r="E14" s="2">
        <f t="shared" si="1"/>
        <v>1.996521072E+17</v>
      </c>
      <c r="G14" s="2">
        <v>4800000000</v>
      </c>
      <c r="H14" s="2">
        <v>2000000000</v>
      </c>
      <c r="I14" s="2">
        <f t="shared" si="2"/>
        <v>2.546595072E+16</v>
      </c>
      <c r="J14" s="2">
        <f t="shared" si="3"/>
        <v>1.06108128E+16</v>
      </c>
    </row>
    <row r="15" spans="1:10">
      <c r="A15">
        <v>2009</v>
      </c>
      <c r="B15">
        <v>351000</v>
      </c>
      <c r="C15">
        <v>283900</v>
      </c>
      <c r="D15" s="2">
        <f t="shared" si="0"/>
        <v>2.46840048E+17</v>
      </c>
      <c r="E15" s="2">
        <f t="shared" si="1"/>
        <v>1.996521072E+17</v>
      </c>
      <c r="G15" s="2">
        <v>4800000000</v>
      </c>
      <c r="H15" s="2">
        <v>2000000000</v>
      </c>
      <c r="I15" s="2">
        <f t="shared" si="2"/>
        <v>2.546595072E+16</v>
      </c>
      <c r="J15" s="2">
        <f t="shared" si="3"/>
        <v>1.06108128E+16</v>
      </c>
    </row>
    <row r="16" spans="1:10">
      <c r="A16">
        <v>2010</v>
      </c>
      <c r="B16">
        <v>351000</v>
      </c>
      <c r="C16">
        <v>283900</v>
      </c>
      <c r="D16" s="2">
        <f t="shared" si="0"/>
        <v>2.46840048E+17</v>
      </c>
      <c r="E16" s="2">
        <f t="shared" si="1"/>
        <v>1.996521072E+17</v>
      </c>
      <c r="G16" s="2">
        <v>4800000000</v>
      </c>
      <c r="H16" s="2">
        <v>2000000000</v>
      </c>
      <c r="I16" s="2">
        <f t="shared" si="2"/>
        <v>2.546595072E+16</v>
      </c>
      <c r="J16" s="2">
        <f t="shared" si="3"/>
        <v>1.06108128E+16</v>
      </c>
    </row>
    <row r="17" spans="1:10">
      <c r="A17">
        <v>2011</v>
      </c>
      <c r="B17">
        <v>351000</v>
      </c>
      <c r="C17">
        <v>283900</v>
      </c>
      <c r="D17" s="2">
        <f t="shared" si="0"/>
        <v>2.46840048E+17</v>
      </c>
      <c r="E17" s="2">
        <f t="shared" si="1"/>
        <v>1.996521072E+17</v>
      </c>
      <c r="G17" s="2">
        <v>4800000000</v>
      </c>
      <c r="H17" s="2">
        <v>2000000000</v>
      </c>
      <c r="I17" s="2">
        <f t="shared" si="2"/>
        <v>2.546595072E+16</v>
      </c>
      <c r="J17" s="2">
        <f t="shared" si="3"/>
        <v>1.06108128E+16</v>
      </c>
    </row>
    <row r="18" spans="1:10">
      <c r="A18">
        <v>2012</v>
      </c>
      <c r="B18">
        <v>351000</v>
      </c>
      <c r="C18">
        <v>283900</v>
      </c>
      <c r="D18" s="2">
        <f t="shared" si="0"/>
        <v>2.46840048E+17</v>
      </c>
      <c r="E18" s="2">
        <f t="shared" si="1"/>
        <v>1.996521072E+17</v>
      </c>
      <c r="G18" s="2">
        <v>4800000000</v>
      </c>
      <c r="H18" s="2">
        <v>2000000000</v>
      </c>
      <c r="I18" s="2">
        <f t="shared" si="2"/>
        <v>2.546595072E+16</v>
      </c>
      <c r="J18" s="2">
        <f t="shared" si="3"/>
        <v>1.06108128E+16</v>
      </c>
    </row>
    <row r="19" spans="1:10">
      <c r="A19">
        <v>2013</v>
      </c>
      <c r="B19">
        <v>351000</v>
      </c>
      <c r="C19">
        <v>283900</v>
      </c>
      <c r="D19" s="2">
        <f t="shared" si="0"/>
        <v>2.46840048E+17</v>
      </c>
      <c r="E19" s="2">
        <f t="shared" si="1"/>
        <v>1.996521072E+17</v>
      </c>
      <c r="G19" s="2">
        <v>4800000000</v>
      </c>
      <c r="H19" s="2">
        <v>2000000000</v>
      </c>
      <c r="I19" s="2">
        <f t="shared" si="2"/>
        <v>2.546595072E+16</v>
      </c>
      <c r="J19" s="2">
        <f t="shared" si="3"/>
        <v>1.06108128E+16</v>
      </c>
    </row>
    <row r="20" spans="1:10">
      <c r="A20">
        <v>2014</v>
      </c>
      <c r="B20">
        <v>351000</v>
      </c>
      <c r="C20">
        <v>283900</v>
      </c>
      <c r="D20" s="2">
        <f t="shared" si="0"/>
        <v>2.46840048E+17</v>
      </c>
      <c r="E20" s="2">
        <f t="shared" si="1"/>
        <v>1.996521072E+17</v>
      </c>
      <c r="G20" s="2">
        <v>4800000000</v>
      </c>
      <c r="H20" s="2">
        <v>2000000000</v>
      </c>
      <c r="I20" s="2">
        <f t="shared" si="2"/>
        <v>2.546595072E+16</v>
      </c>
      <c r="J20" s="2">
        <f t="shared" si="3"/>
        <v>1.06108128E+16</v>
      </c>
    </row>
    <row r="21" spans="1:10">
      <c r="A21">
        <v>2015</v>
      </c>
      <c r="B21">
        <v>351000</v>
      </c>
      <c r="C21">
        <v>283900</v>
      </c>
      <c r="D21" s="2">
        <f t="shared" si="0"/>
        <v>2.46840048E+17</v>
      </c>
      <c r="E21" s="2">
        <f t="shared" si="1"/>
        <v>1.996521072E+17</v>
      </c>
      <c r="G21" s="2">
        <v>4800000000</v>
      </c>
      <c r="H21" s="2">
        <v>2000000000</v>
      </c>
      <c r="I21" s="2">
        <f t="shared" si="2"/>
        <v>2.546595072E+16</v>
      </c>
      <c r="J21" s="2">
        <f t="shared" si="3"/>
        <v>1.06108128E+16</v>
      </c>
    </row>
    <row r="22" spans="1:10">
      <c r="A22">
        <v>2016</v>
      </c>
      <c r="B22">
        <v>351000</v>
      </c>
      <c r="C22">
        <v>283900</v>
      </c>
      <c r="D22" s="2">
        <f t="shared" si="0"/>
        <v>2.46840048E+17</v>
      </c>
      <c r="E22" s="2">
        <f t="shared" si="1"/>
        <v>1.996521072E+17</v>
      </c>
      <c r="G22" s="2">
        <v>4800000000</v>
      </c>
      <c r="H22" s="2">
        <v>2000000000</v>
      </c>
      <c r="I22" s="2">
        <f t="shared" si="2"/>
        <v>2.546595072E+16</v>
      </c>
      <c r="J22" s="2">
        <f t="shared" si="3"/>
        <v>1.06108128E+16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13" workbookViewId="0">
      <selection activeCell="A31" sqref="A31"/>
    </sheetView>
  </sheetViews>
  <sheetFormatPr defaultColWidth="25.625" defaultRowHeight="14.25"/>
  <cols>
    <col min="1" max="1" width="58.5" customWidth="1"/>
    <col min="5" max="5" width="57.875" customWidth="1"/>
  </cols>
  <sheetData>
    <row r="1" spans="1:7">
      <c r="A1" t="s">
        <v>31</v>
      </c>
      <c r="B1" s="2" t="s">
        <v>14</v>
      </c>
      <c r="C1" s="2" t="s">
        <v>15</v>
      </c>
      <c r="E1" t="s">
        <v>33</v>
      </c>
      <c r="F1" s="2" t="s">
        <v>14</v>
      </c>
      <c r="G1" s="2" t="s">
        <v>15</v>
      </c>
    </row>
    <row r="2" spans="1:7">
      <c r="A2" t="s">
        <v>32</v>
      </c>
      <c r="B2" s="2"/>
      <c r="C2" s="2"/>
      <c r="E2" s="14" t="s">
        <v>34</v>
      </c>
      <c r="F2" s="2"/>
      <c r="G2" s="2"/>
    </row>
    <row r="3" spans="1:7">
      <c r="B3" s="2"/>
      <c r="C3" s="2"/>
      <c r="E3" s="13"/>
      <c r="F3" s="2"/>
      <c r="G3" s="2"/>
    </row>
    <row r="4" spans="1:7">
      <c r="B4" s="2"/>
      <c r="C4" s="2"/>
      <c r="F4" s="2"/>
      <c r="G4" s="2"/>
    </row>
    <row r="5" spans="1:7">
      <c r="B5" s="2"/>
      <c r="C5" s="2"/>
      <c r="F5" s="2"/>
      <c r="G5" s="2"/>
    </row>
    <row r="6" spans="1:7" s="9" customFormat="1">
      <c r="A6" s="9">
        <v>2000</v>
      </c>
      <c r="B6" s="11">
        <f>140.2*100000000*875*1000*9.8</f>
        <v>1.2022149999999998E+17</v>
      </c>
      <c r="C6" s="11">
        <f>140*875*100000000*1000*9.8</f>
        <v>1.2005000000000002E+17</v>
      </c>
      <c r="E6" s="9">
        <v>2000</v>
      </c>
      <c r="F6" s="11">
        <f t="shared" ref="F3:F22" si="0">355.25*100000000*4.94*1000000</f>
        <v>1.754935E+17</v>
      </c>
      <c r="G6" s="11">
        <f t="shared" ref="G2:G22" si="1">303.5*100000000*4.94*1000000</f>
        <v>1.49929E+17</v>
      </c>
    </row>
    <row r="7" spans="1:7">
      <c r="A7" s="9">
        <v>2001</v>
      </c>
      <c r="B7" s="2">
        <f>113.27*100000000*875*1000*9.8</f>
        <v>9.7129025E+16</v>
      </c>
      <c r="C7" s="2">
        <f>113.27*875*100000000*1000*9.8</f>
        <v>9.7129025E+16</v>
      </c>
      <c r="E7">
        <v>2001</v>
      </c>
      <c r="F7" s="2">
        <f t="shared" si="0"/>
        <v>1.754935E+17</v>
      </c>
      <c r="G7" s="2">
        <f t="shared" si="1"/>
        <v>1.49929E+17</v>
      </c>
    </row>
    <row r="8" spans="1:7">
      <c r="A8" s="9">
        <v>2002</v>
      </c>
      <c r="B8" s="2">
        <f>122.75*100000000*875*1000*9.8</f>
        <v>1.05258125E+17</v>
      </c>
      <c r="C8" s="2">
        <f t="shared" ref="C2:C21" si="2">303.5*11.8*100000000*1000*9.8</f>
        <v>3509674000000000.5</v>
      </c>
      <c r="E8">
        <v>2002</v>
      </c>
      <c r="F8" s="2">
        <f t="shared" si="0"/>
        <v>1.754935E+17</v>
      </c>
      <c r="G8" s="2">
        <f t="shared" si="1"/>
        <v>1.49929E+17</v>
      </c>
    </row>
    <row r="9" spans="1:7">
      <c r="A9" s="9">
        <v>2003</v>
      </c>
      <c r="B9" s="2">
        <f>115.6*100000000*875*1000*9.8</f>
        <v>9.9127E+16</v>
      </c>
      <c r="C9" s="2">
        <f t="shared" si="2"/>
        <v>3509674000000000.5</v>
      </c>
      <c r="E9">
        <v>2003</v>
      </c>
      <c r="F9" s="2">
        <f t="shared" si="0"/>
        <v>1.754935E+17</v>
      </c>
      <c r="G9" s="2">
        <f t="shared" si="1"/>
        <v>1.49929E+17</v>
      </c>
    </row>
    <row r="10" spans="1:7">
      <c r="A10" s="9">
        <v>2004</v>
      </c>
      <c r="B10" s="2">
        <f>127.6*100000000*875*1000*9.8</f>
        <v>1.09417E+17</v>
      </c>
      <c r="C10" s="2">
        <f t="shared" si="2"/>
        <v>3509674000000000.5</v>
      </c>
      <c r="E10">
        <v>2004</v>
      </c>
      <c r="F10" s="2">
        <f t="shared" si="0"/>
        <v>1.754935E+17</v>
      </c>
      <c r="G10" s="2">
        <f t="shared" si="1"/>
        <v>1.49929E+17</v>
      </c>
    </row>
    <row r="11" spans="1:7">
      <c r="A11" s="9">
        <v>2005</v>
      </c>
      <c r="B11" s="2">
        <f>150.2*100000000*875*1000*9.8</f>
        <v>1.2879649999999998E+17</v>
      </c>
      <c r="C11" s="2">
        <f t="shared" si="2"/>
        <v>3509674000000000.5</v>
      </c>
      <c r="E11">
        <v>2005</v>
      </c>
      <c r="F11" s="2">
        <f>355.25*100000000*4.94*1000000</f>
        <v>1.754935E+17</v>
      </c>
      <c r="G11" s="2">
        <f t="shared" si="1"/>
        <v>1.49929E+17</v>
      </c>
    </row>
    <row r="12" spans="1:7">
      <c r="A12" s="9">
        <v>2006</v>
      </c>
      <c r="B12" s="2">
        <f>174.9*100000000*875*1000*9.8</f>
        <v>1.4997675E+17</v>
      </c>
      <c r="C12" s="2">
        <f t="shared" si="2"/>
        <v>3509674000000000.5</v>
      </c>
      <c r="E12">
        <v>2006</v>
      </c>
      <c r="F12" s="2">
        <f t="shared" si="0"/>
        <v>1.754935E+17</v>
      </c>
      <c r="G12" s="2">
        <f t="shared" si="1"/>
        <v>1.49929E+17</v>
      </c>
    </row>
    <row r="13" spans="1:7">
      <c r="A13" s="9">
        <v>2007</v>
      </c>
      <c r="B13" s="2">
        <f>189.3*100000000*875*1000*9.8</f>
        <v>1.6232475E+17</v>
      </c>
      <c r="C13" s="2">
        <f t="shared" si="2"/>
        <v>3509674000000000.5</v>
      </c>
      <c r="E13">
        <v>2007</v>
      </c>
      <c r="F13" s="2">
        <f t="shared" si="0"/>
        <v>1.754935E+17</v>
      </c>
      <c r="G13" s="2">
        <f t="shared" si="1"/>
        <v>1.49929E+17</v>
      </c>
    </row>
    <row r="14" spans="1:7">
      <c r="A14" s="9">
        <v>2008</v>
      </c>
      <c r="B14" s="2">
        <f>164.1*100000000*875*1000*9.8</f>
        <v>1.4071575000000002E+17</v>
      </c>
      <c r="C14" s="2">
        <f t="shared" si="2"/>
        <v>3509674000000000.5</v>
      </c>
      <c r="E14">
        <v>2008</v>
      </c>
      <c r="F14" s="2">
        <f t="shared" si="0"/>
        <v>1.754935E+17</v>
      </c>
      <c r="G14" s="2">
        <f t="shared" si="1"/>
        <v>1.49929E+17</v>
      </c>
    </row>
    <row r="15" spans="1:7">
      <c r="A15" s="9">
        <v>2009</v>
      </c>
      <c r="B15" s="2">
        <f>169.6*100000000*875*1000*9.8</f>
        <v>1.45432E+17</v>
      </c>
      <c r="C15" s="2">
        <f t="shared" si="2"/>
        <v>3509674000000000.5</v>
      </c>
      <c r="E15">
        <v>2009</v>
      </c>
      <c r="F15" s="2">
        <f t="shared" si="0"/>
        <v>1.754935E+17</v>
      </c>
      <c r="G15" s="2">
        <f t="shared" si="1"/>
        <v>1.49929E+17</v>
      </c>
    </row>
    <row r="16" spans="1:7">
      <c r="A16" s="9">
        <v>2010</v>
      </c>
      <c r="B16" s="2">
        <f>191.2*100000000*875*1000*9.8</f>
        <v>1.63954E+17</v>
      </c>
      <c r="C16" s="2">
        <f t="shared" si="2"/>
        <v>3509674000000000.5</v>
      </c>
      <c r="E16">
        <v>2010</v>
      </c>
      <c r="F16" s="2">
        <f t="shared" si="0"/>
        <v>1.754935E+17</v>
      </c>
      <c r="G16" s="2">
        <f t="shared" si="1"/>
        <v>1.49929E+17</v>
      </c>
    </row>
    <row r="17" spans="1:7">
      <c r="A17" s="9">
        <v>2011</v>
      </c>
      <c r="B17" s="2">
        <f>161.9*100000000*875*1000*9.8</f>
        <v>1.3882925000000002E+17</v>
      </c>
      <c r="C17" s="2">
        <f t="shared" si="2"/>
        <v>3509674000000000.5</v>
      </c>
      <c r="E17">
        <v>2011</v>
      </c>
      <c r="F17" s="2">
        <f t="shared" si="0"/>
        <v>1.754935E+17</v>
      </c>
      <c r="G17" s="2">
        <f t="shared" si="1"/>
        <v>1.49929E+17</v>
      </c>
    </row>
    <row r="18" spans="1:7">
      <c r="A18" s="9">
        <v>2012</v>
      </c>
      <c r="B18" s="2">
        <f>286.2*100000000*875*1000*9.8</f>
        <v>2.4541650000000003E+17</v>
      </c>
      <c r="C18" s="2">
        <f t="shared" si="2"/>
        <v>3509674000000000.5</v>
      </c>
      <c r="E18">
        <v>2012</v>
      </c>
      <c r="F18" s="2">
        <f t="shared" si="0"/>
        <v>1.754935E+17</v>
      </c>
      <c r="G18" s="2">
        <f t="shared" si="1"/>
        <v>1.49929E+17</v>
      </c>
    </row>
    <row r="19" spans="1:7">
      <c r="A19" s="9">
        <v>2013</v>
      </c>
      <c r="B19" s="2">
        <f>236.9*100000000*875*1000*9.8</f>
        <v>2.0314175E+17</v>
      </c>
      <c r="C19" s="2">
        <f t="shared" si="2"/>
        <v>3509674000000000.5</v>
      </c>
      <c r="E19">
        <v>2013</v>
      </c>
      <c r="F19" s="2">
        <f t="shared" si="0"/>
        <v>1.754935E+17</v>
      </c>
      <c r="G19" s="2">
        <f t="shared" si="1"/>
        <v>1.49929E+17</v>
      </c>
    </row>
    <row r="20" spans="1:7">
      <c r="A20" s="9">
        <v>2014</v>
      </c>
      <c r="B20" s="2">
        <f>114.3*100000000*875*1000*9.8</f>
        <v>9.801225E+16</v>
      </c>
      <c r="C20" s="2">
        <f t="shared" si="2"/>
        <v>3509674000000000.5</v>
      </c>
      <c r="E20">
        <v>2014</v>
      </c>
      <c r="F20" s="2">
        <f t="shared" si="0"/>
        <v>1.754935E+17</v>
      </c>
      <c r="G20" s="2">
        <f t="shared" si="1"/>
        <v>1.49929E+17</v>
      </c>
    </row>
    <row r="21" spans="1:7">
      <c r="A21" s="9">
        <v>2015</v>
      </c>
      <c r="B21" s="2">
        <f>133.6*100000000*875*1000*9.8</f>
        <v>1.1456200000000002E+17</v>
      </c>
      <c r="C21" s="2">
        <f t="shared" si="2"/>
        <v>3509674000000000.5</v>
      </c>
      <c r="E21">
        <v>2015</v>
      </c>
      <c r="F21" s="2">
        <f t="shared" si="0"/>
        <v>1.754935E+17</v>
      </c>
      <c r="G21" s="2">
        <f t="shared" si="1"/>
        <v>1.49929E+17</v>
      </c>
    </row>
    <row r="22" spans="1:7">
      <c r="A22" s="9">
        <v>2016</v>
      </c>
      <c r="B22" s="2">
        <f>204.3*100000000*875*1000*9.8</f>
        <v>1.7518725E+17</v>
      </c>
      <c r="C22" s="2">
        <f>204.3*11.8*100000000*1000*9.8</f>
        <v>2362525200000000.5</v>
      </c>
      <c r="E22">
        <v>2016</v>
      </c>
      <c r="F22" s="2">
        <f t="shared" si="0"/>
        <v>1.754935E+17</v>
      </c>
      <c r="G22" s="2">
        <f t="shared" si="1"/>
        <v>1.49929E+17</v>
      </c>
    </row>
    <row r="24" spans="1:7">
      <c r="A24" s="14" t="s">
        <v>35</v>
      </c>
      <c r="B24" s="2" t="s">
        <v>14</v>
      </c>
      <c r="C24" s="2" t="s">
        <v>15</v>
      </c>
    </row>
    <row r="25" spans="1:7">
      <c r="A25" s="14" t="s">
        <v>36</v>
      </c>
      <c r="B25" s="2"/>
    </row>
    <row r="26" spans="1:7">
      <c r="A26" t="s">
        <v>37</v>
      </c>
      <c r="B26" s="2"/>
    </row>
    <row r="27" spans="1:7">
      <c r="A27">
        <v>2000</v>
      </c>
      <c r="B27" s="2">
        <f t="shared" ref="B26:B55" si="3">7923*1000000*1.45*1000000</f>
        <v>1.148835E+16</v>
      </c>
      <c r="C27">
        <f t="shared" ref="C26:C55" si="4">9453*1000000*1.45*1000000</f>
        <v>1.370685E+16</v>
      </c>
    </row>
    <row r="28" spans="1:7">
      <c r="A28">
        <v>2001</v>
      </c>
      <c r="B28" s="2">
        <f t="shared" si="3"/>
        <v>1.148835E+16</v>
      </c>
      <c r="C28">
        <f t="shared" si="4"/>
        <v>1.370685E+16</v>
      </c>
    </row>
    <row r="29" spans="1:7">
      <c r="A29">
        <v>2002</v>
      </c>
      <c r="B29" s="2">
        <f t="shared" si="3"/>
        <v>1.148835E+16</v>
      </c>
      <c r="C29">
        <f t="shared" si="4"/>
        <v>1.370685E+16</v>
      </c>
    </row>
    <row r="30" spans="1:7">
      <c r="A30">
        <v>2003</v>
      </c>
      <c r="B30" s="2">
        <f t="shared" si="3"/>
        <v>1.148835E+16</v>
      </c>
      <c r="C30">
        <f t="shared" si="4"/>
        <v>1.370685E+16</v>
      </c>
    </row>
    <row r="31" spans="1:7">
      <c r="A31">
        <v>2004</v>
      </c>
      <c r="B31" s="2">
        <f t="shared" si="3"/>
        <v>1.148835E+16</v>
      </c>
      <c r="C31">
        <f t="shared" si="4"/>
        <v>1.370685E+16</v>
      </c>
    </row>
    <row r="32" spans="1:7">
      <c r="A32">
        <v>2005</v>
      </c>
      <c r="B32" s="2">
        <f t="shared" si="3"/>
        <v>1.148835E+16</v>
      </c>
      <c r="C32">
        <f t="shared" si="4"/>
        <v>1.370685E+16</v>
      </c>
    </row>
    <row r="33" spans="1:3">
      <c r="A33">
        <v>2006</v>
      </c>
      <c r="B33" s="2">
        <f t="shared" si="3"/>
        <v>1.148835E+16</v>
      </c>
      <c r="C33">
        <f t="shared" si="4"/>
        <v>1.370685E+16</v>
      </c>
    </row>
    <row r="34" spans="1:3">
      <c r="A34">
        <v>2007</v>
      </c>
      <c r="B34" s="2">
        <f t="shared" si="3"/>
        <v>1.148835E+16</v>
      </c>
      <c r="C34">
        <f t="shared" si="4"/>
        <v>1.370685E+16</v>
      </c>
    </row>
    <row r="35" spans="1:3">
      <c r="A35">
        <v>2008</v>
      </c>
      <c r="B35" s="2">
        <f t="shared" si="3"/>
        <v>1.148835E+16</v>
      </c>
      <c r="C35">
        <f t="shared" si="4"/>
        <v>1.370685E+16</v>
      </c>
    </row>
    <row r="36" spans="1:3">
      <c r="A36">
        <v>2009</v>
      </c>
      <c r="B36" s="2">
        <f t="shared" si="3"/>
        <v>1.148835E+16</v>
      </c>
      <c r="C36">
        <f t="shared" si="4"/>
        <v>1.370685E+16</v>
      </c>
    </row>
    <row r="37" spans="1:3">
      <c r="A37">
        <v>2010</v>
      </c>
      <c r="B37" s="2">
        <f t="shared" si="3"/>
        <v>1.148835E+16</v>
      </c>
      <c r="C37">
        <f t="shared" si="4"/>
        <v>1.370685E+16</v>
      </c>
    </row>
    <row r="38" spans="1:3">
      <c r="A38">
        <v>2011</v>
      </c>
      <c r="B38" s="2">
        <f t="shared" si="3"/>
        <v>1.148835E+16</v>
      </c>
      <c r="C38">
        <f t="shared" si="4"/>
        <v>1.370685E+16</v>
      </c>
    </row>
    <row r="39" spans="1:3">
      <c r="A39">
        <v>2012</v>
      </c>
      <c r="B39" s="2">
        <f t="shared" si="3"/>
        <v>1.148835E+16</v>
      </c>
      <c r="C39">
        <f t="shared" si="4"/>
        <v>1.370685E+16</v>
      </c>
    </row>
    <row r="40" spans="1:3">
      <c r="A40">
        <v>2013</v>
      </c>
      <c r="B40" s="2">
        <f t="shared" si="3"/>
        <v>1.148835E+16</v>
      </c>
      <c r="C40">
        <f t="shared" si="4"/>
        <v>1.370685E+16</v>
      </c>
    </row>
    <row r="41" spans="1:3">
      <c r="A41">
        <v>2014</v>
      </c>
      <c r="B41" s="2">
        <f t="shared" si="3"/>
        <v>1.148835E+16</v>
      </c>
      <c r="C41">
        <f t="shared" si="4"/>
        <v>1.370685E+16</v>
      </c>
    </row>
    <row r="42" spans="1:3">
      <c r="A42">
        <v>2015</v>
      </c>
      <c r="B42" s="2">
        <f t="shared" si="3"/>
        <v>1.148835E+16</v>
      </c>
      <c r="C42">
        <f t="shared" si="4"/>
        <v>1.370685E+16</v>
      </c>
    </row>
    <row r="43" spans="1:3">
      <c r="A43">
        <v>2016</v>
      </c>
      <c r="B43" s="2">
        <f t="shared" si="3"/>
        <v>1.148835E+16</v>
      </c>
      <c r="C43">
        <f t="shared" si="4"/>
        <v>1.370685E+16</v>
      </c>
    </row>
    <row r="44" spans="1:3">
      <c r="B44" s="2"/>
    </row>
    <row r="45" spans="1:3">
      <c r="B45" s="2"/>
    </row>
    <row r="46" spans="1:3">
      <c r="B46" s="2"/>
    </row>
    <row r="47" spans="1:3">
      <c r="B47" s="2"/>
    </row>
    <row r="48" spans="1:3">
      <c r="B48" s="2"/>
    </row>
    <row r="49" spans="2:2">
      <c r="B49" s="2"/>
    </row>
    <row r="50" spans="2:2">
      <c r="B50" s="2"/>
    </row>
    <row r="51" spans="2:2">
      <c r="B51" s="2"/>
    </row>
    <row r="52" spans="2:2">
      <c r="B52" s="2"/>
    </row>
    <row r="53" spans="2:2">
      <c r="B53" s="2"/>
    </row>
    <row r="54" spans="2:2">
      <c r="B54" s="2"/>
    </row>
    <row r="55" spans="2:2">
      <c r="B55" s="2"/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A6" sqref="A6"/>
    </sheetView>
  </sheetViews>
  <sheetFormatPr defaultColWidth="25.625" defaultRowHeight="14.25"/>
  <cols>
    <col min="1" max="1" width="38.75" customWidth="1"/>
  </cols>
  <sheetData>
    <row r="1" spans="1:9">
      <c r="A1" t="s">
        <v>1</v>
      </c>
      <c r="B1" t="s">
        <v>46</v>
      </c>
      <c r="C1" t="s">
        <v>44</v>
      </c>
      <c r="D1" t="s">
        <v>45</v>
      </c>
      <c r="E1" t="s">
        <v>47</v>
      </c>
      <c r="F1" t="s">
        <v>44</v>
      </c>
      <c r="G1" t="s">
        <v>45</v>
      </c>
    </row>
    <row r="2" spans="1:9">
      <c r="A2" s="14" t="s">
        <v>51</v>
      </c>
    </row>
    <row r="3" spans="1:9">
      <c r="A3" s="2">
        <f>16200*1000000</f>
        <v>16200000000</v>
      </c>
      <c r="B3" t="s">
        <v>2</v>
      </c>
      <c r="C3" t="s">
        <v>5</v>
      </c>
      <c r="D3" t="s">
        <v>5</v>
      </c>
      <c r="E3" t="s">
        <v>3</v>
      </c>
      <c r="F3" t="s">
        <v>4</v>
      </c>
      <c r="G3" t="s">
        <v>4</v>
      </c>
      <c r="H3" s="2"/>
      <c r="I3" s="2"/>
    </row>
    <row r="4" spans="1:9">
      <c r="A4" s="14"/>
      <c r="H4" s="2"/>
      <c r="I4" s="2"/>
    </row>
    <row r="5" spans="1:9">
      <c r="A5">
        <v>2000</v>
      </c>
      <c r="B5">
        <v>96000</v>
      </c>
      <c r="C5">
        <v>15000</v>
      </c>
      <c r="D5">
        <v>69400</v>
      </c>
      <c r="E5">
        <v>183000</v>
      </c>
      <c r="F5">
        <v>15000</v>
      </c>
      <c r="G5">
        <v>248000</v>
      </c>
      <c r="H5" s="2">
        <v>2720000000000000</v>
      </c>
      <c r="I5" s="2">
        <v>7330000000000000</v>
      </c>
    </row>
    <row r="6" spans="1:9">
      <c r="A6">
        <v>2001</v>
      </c>
      <c r="B6">
        <v>104200</v>
      </c>
      <c r="C6">
        <v>10700</v>
      </c>
      <c r="D6">
        <v>76700</v>
      </c>
      <c r="E6">
        <v>194300</v>
      </c>
      <c r="F6">
        <v>25600</v>
      </c>
      <c r="G6">
        <v>222900</v>
      </c>
      <c r="H6" s="2">
        <f t="shared" ref="H4:H21" si="0">B6*10000000000+C6*20900000000+D6*20900000000</f>
        <v>2868660000000000</v>
      </c>
      <c r="I6" s="2">
        <f t="shared" ref="I4:I21" si="1">E6*10000000000+F6*20900000000+G6*20900000000</f>
        <v>7136650000000000</v>
      </c>
    </row>
    <row r="7" spans="1:9">
      <c r="A7">
        <v>2002</v>
      </c>
      <c r="B7">
        <v>116800</v>
      </c>
      <c r="C7">
        <v>20100</v>
      </c>
      <c r="D7">
        <v>85500</v>
      </c>
      <c r="E7">
        <v>229100</v>
      </c>
      <c r="F7">
        <v>43200</v>
      </c>
      <c r="G7">
        <v>214500</v>
      </c>
      <c r="H7" s="2">
        <f t="shared" si="0"/>
        <v>3375040000000000</v>
      </c>
      <c r="I7" s="2">
        <f t="shared" si="1"/>
        <v>7676930000000000</v>
      </c>
    </row>
    <row r="8" spans="1:9">
      <c r="A8">
        <v>2003</v>
      </c>
      <c r="B8">
        <v>149100</v>
      </c>
      <c r="C8">
        <v>47900</v>
      </c>
      <c r="D8">
        <v>89600</v>
      </c>
      <c r="E8">
        <v>238200</v>
      </c>
      <c r="F8">
        <v>79000</v>
      </c>
      <c r="G8">
        <v>197600</v>
      </c>
      <c r="H8" s="2">
        <f t="shared" si="0"/>
        <v>4364750000000000</v>
      </c>
      <c r="I8" s="2">
        <f t="shared" si="1"/>
        <v>8162940000000000</v>
      </c>
    </row>
    <row r="9" spans="1:9">
      <c r="A9">
        <v>2004</v>
      </c>
      <c r="B9">
        <v>161400</v>
      </c>
      <c r="C9">
        <v>64800</v>
      </c>
      <c r="D9">
        <v>99200</v>
      </c>
      <c r="E9">
        <v>277800</v>
      </c>
      <c r="F9">
        <v>121200</v>
      </c>
      <c r="G9">
        <v>200600</v>
      </c>
      <c r="H9" s="2">
        <f t="shared" si="0"/>
        <v>5041600000000000</v>
      </c>
      <c r="I9" s="2">
        <f t="shared" si="1"/>
        <v>9503620000000000</v>
      </c>
    </row>
    <row r="10" spans="1:9">
      <c r="A10">
        <v>2005</v>
      </c>
      <c r="B10">
        <v>184800</v>
      </c>
      <c r="C10">
        <v>82700</v>
      </c>
      <c r="D10">
        <v>108600</v>
      </c>
      <c r="E10">
        <v>328400</v>
      </c>
      <c r="F10">
        <v>92900</v>
      </c>
      <c r="G10">
        <v>204600</v>
      </c>
      <c r="H10" s="2">
        <f t="shared" si="0"/>
        <v>5846170000000000</v>
      </c>
      <c r="I10" s="2">
        <f t="shared" si="1"/>
        <v>9501750000000000</v>
      </c>
    </row>
    <row r="11" spans="1:9">
      <c r="A11">
        <v>2006</v>
      </c>
      <c r="B11">
        <v>187408</v>
      </c>
      <c r="C11">
        <v>90600</v>
      </c>
      <c r="D11">
        <v>108870</v>
      </c>
      <c r="E11">
        <v>320600</v>
      </c>
      <c r="F11">
        <v>108200</v>
      </c>
      <c r="G11">
        <v>157000</v>
      </c>
      <c r="H11" s="2">
        <f t="shared" si="0"/>
        <v>6043003000000000</v>
      </c>
      <c r="I11" s="2">
        <f t="shared" si="1"/>
        <v>8748680000000000</v>
      </c>
    </row>
    <row r="12" spans="1:9">
      <c r="A12">
        <v>2007</v>
      </c>
      <c r="B12">
        <v>182408</v>
      </c>
      <c r="C12">
        <v>118165</v>
      </c>
      <c r="D12">
        <v>114798</v>
      </c>
      <c r="E12">
        <v>359900</v>
      </c>
      <c r="F12">
        <v>116100</v>
      </c>
      <c r="G12">
        <v>169100</v>
      </c>
      <c r="H12" s="2">
        <f t="shared" si="0"/>
        <v>6693006700000000</v>
      </c>
      <c r="I12" s="2">
        <f t="shared" si="1"/>
        <v>9559680000000000</v>
      </c>
    </row>
    <row r="13" spans="1:9">
      <c r="A13">
        <v>2008</v>
      </c>
      <c r="B13">
        <v>208600</v>
      </c>
      <c r="C13">
        <v>145600</v>
      </c>
      <c r="D13">
        <v>118548</v>
      </c>
      <c r="E13">
        <v>347300</v>
      </c>
      <c r="F13">
        <v>106000</v>
      </c>
      <c r="G13">
        <v>164200</v>
      </c>
      <c r="H13" s="2">
        <f t="shared" si="0"/>
        <v>7606693200000000</v>
      </c>
      <c r="I13" s="2">
        <f t="shared" si="1"/>
        <v>9120180000000000</v>
      </c>
    </row>
    <row r="14" spans="1:9">
      <c r="A14">
        <v>2009</v>
      </c>
      <c r="B14">
        <v>221100</v>
      </c>
      <c r="C14">
        <v>154800</v>
      </c>
      <c r="D14">
        <v>121000</v>
      </c>
      <c r="E14">
        <v>378300</v>
      </c>
      <c r="F14">
        <v>114000</v>
      </c>
      <c r="G14">
        <v>188100</v>
      </c>
      <c r="H14" s="2">
        <f t="shared" si="0"/>
        <v>7975220000000000</v>
      </c>
      <c r="I14" s="2">
        <f t="shared" si="1"/>
        <v>1.009689E+16</v>
      </c>
    </row>
    <row r="15" spans="1:9">
      <c r="A15">
        <v>2010</v>
      </c>
      <c r="B15">
        <v>247800</v>
      </c>
      <c r="C15">
        <v>165300</v>
      </c>
      <c r="D15">
        <v>123900</v>
      </c>
      <c r="E15">
        <v>416300</v>
      </c>
      <c r="F15">
        <v>126100</v>
      </c>
      <c r="G15">
        <v>217000</v>
      </c>
      <c r="H15" s="2">
        <f t="shared" si="0"/>
        <v>8522280000000000</v>
      </c>
      <c r="I15" s="2">
        <f t="shared" si="1"/>
        <v>1.133379E+16</v>
      </c>
    </row>
    <row r="16" spans="1:9">
      <c r="A16">
        <v>2011</v>
      </c>
      <c r="B16">
        <v>257100</v>
      </c>
      <c r="C16">
        <v>164200</v>
      </c>
      <c r="D16">
        <v>127500</v>
      </c>
      <c r="E16">
        <v>454100</v>
      </c>
      <c r="F16">
        <v>132700</v>
      </c>
      <c r="G16">
        <v>239200</v>
      </c>
      <c r="H16" s="2">
        <f t="shared" si="0"/>
        <v>8667530000000000</v>
      </c>
      <c r="I16" s="2">
        <f t="shared" si="1"/>
        <v>1.231371E+16</v>
      </c>
    </row>
    <row r="17" spans="1:9">
      <c r="A17">
        <v>2012</v>
      </c>
      <c r="B17">
        <v>268400</v>
      </c>
      <c r="C17">
        <v>187800</v>
      </c>
      <c r="D17">
        <v>128400</v>
      </c>
      <c r="E17">
        <v>471300</v>
      </c>
      <c r="F17">
        <v>133000</v>
      </c>
      <c r="G17">
        <v>246100</v>
      </c>
      <c r="H17" s="2">
        <f t="shared" si="0"/>
        <v>9292580000000000</v>
      </c>
      <c r="I17" s="2">
        <f t="shared" si="1"/>
        <v>1.263619E+16</v>
      </c>
    </row>
    <row r="18" spans="1:9">
      <c r="A18">
        <v>2013</v>
      </c>
      <c r="B18">
        <v>275500</v>
      </c>
      <c r="C18">
        <v>187100</v>
      </c>
      <c r="D18">
        <v>131000</v>
      </c>
      <c r="E18">
        <v>474000</v>
      </c>
      <c r="F18">
        <v>113000</v>
      </c>
      <c r="G18">
        <v>239000</v>
      </c>
      <c r="H18" s="2">
        <f t="shared" si="0"/>
        <v>9403290000000000</v>
      </c>
      <c r="I18" s="2">
        <f t="shared" si="1"/>
        <v>1.20968E+16</v>
      </c>
    </row>
    <row r="19" spans="1:9">
      <c r="A19">
        <v>2014</v>
      </c>
      <c r="B19">
        <v>233100</v>
      </c>
      <c r="C19">
        <v>233000</v>
      </c>
      <c r="D19">
        <v>127400</v>
      </c>
      <c r="E19">
        <v>458400</v>
      </c>
      <c r="F19">
        <v>94200</v>
      </c>
      <c r="G19">
        <v>229800</v>
      </c>
      <c r="H19" s="2">
        <f t="shared" si="0"/>
        <v>9863360000000000</v>
      </c>
      <c r="I19" s="2">
        <f t="shared" si="1"/>
        <v>1.13556E+16</v>
      </c>
    </row>
    <row r="20" spans="1:9">
      <c r="A20">
        <v>2015</v>
      </c>
      <c r="B20">
        <v>184900</v>
      </c>
      <c r="C20">
        <v>312200</v>
      </c>
      <c r="D20">
        <v>111100</v>
      </c>
      <c r="E20">
        <v>410000</v>
      </c>
      <c r="F20">
        <v>86000</v>
      </c>
      <c r="G20">
        <v>227000</v>
      </c>
      <c r="H20" s="2">
        <f t="shared" si="0"/>
        <v>1.069597E+16</v>
      </c>
      <c r="I20" s="2">
        <f t="shared" si="1"/>
        <v>1.06417E+16</v>
      </c>
    </row>
    <row r="21" spans="1:9">
      <c r="A21">
        <v>2016</v>
      </c>
      <c r="B21">
        <v>167700</v>
      </c>
      <c r="C21">
        <v>348600</v>
      </c>
      <c r="D21">
        <v>91600</v>
      </c>
      <c r="E21">
        <v>384000</v>
      </c>
      <c r="F21">
        <v>60000</v>
      </c>
      <c r="G21">
        <v>215000</v>
      </c>
      <c r="H21" s="2">
        <f t="shared" si="0"/>
        <v>1.087718E+16</v>
      </c>
      <c r="I21" s="2">
        <f t="shared" si="1"/>
        <v>9587500000000000</v>
      </c>
    </row>
    <row r="22" spans="1:9">
      <c r="A22" t="s">
        <v>43</v>
      </c>
    </row>
    <row r="23" spans="1:9">
      <c r="A23" t="s">
        <v>6</v>
      </c>
      <c r="E23" s="2"/>
      <c r="F23" s="2"/>
    </row>
    <row r="24" spans="1:9">
      <c r="A24" s="14" t="s">
        <v>48</v>
      </c>
      <c r="B24" t="s">
        <v>49</v>
      </c>
      <c r="C24" t="s">
        <v>50</v>
      </c>
      <c r="E24" s="2"/>
      <c r="F24" s="2"/>
    </row>
    <row r="25" spans="1:9" s="9" customFormat="1">
      <c r="A25" s="9">
        <v>2000</v>
      </c>
      <c r="B25" s="9">
        <v>273100</v>
      </c>
      <c r="C25" s="9">
        <v>215000</v>
      </c>
      <c r="E25" s="11">
        <f t="shared" ref="E24:E40" si="2">B25*4700000000</f>
        <v>1283570000000000</v>
      </c>
      <c r="F25" s="11">
        <f t="shared" ref="F24:F41" si="3">C25*4700000000</f>
        <v>1010500000000000</v>
      </c>
      <c r="G25" s="11">
        <f>E25+F25</f>
        <v>2294070000000000</v>
      </c>
    </row>
    <row r="26" spans="1:9">
      <c r="A26">
        <v>2001</v>
      </c>
      <c r="B26">
        <v>290891</v>
      </c>
      <c r="C26">
        <v>239800</v>
      </c>
      <c r="E26" s="2">
        <f t="shared" si="2"/>
        <v>1367187700000000</v>
      </c>
      <c r="F26" s="2">
        <f t="shared" si="3"/>
        <v>1127060000000000</v>
      </c>
      <c r="G26" s="11">
        <f t="shared" ref="G26:G41" si="4">E26+F26</f>
        <v>2494247700000000</v>
      </c>
    </row>
    <row r="27" spans="1:9">
      <c r="A27">
        <v>2002</v>
      </c>
      <c r="B27">
        <v>310041</v>
      </c>
      <c r="C27">
        <v>257500</v>
      </c>
      <c r="E27" s="2">
        <f t="shared" si="2"/>
        <v>1457192700000000</v>
      </c>
      <c r="F27" s="2">
        <f t="shared" si="3"/>
        <v>1210250000000000</v>
      </c>
      <c r="G27" s="11">
        <f t="shared" si="4"/>
        <v>2667442700000000</v>
      </c>
    </row>
    <row r="28" spans="1:9">
      <c r="A28">
        <v>2003</v>
      </c>
      <c r="B28">
        <v>333200</v>
      </c>
      <c r="C28">
        <v>279400</v>
      </c>
      <c r="E28" s="2">
        <f t="shared" si="2"/>
        <v>1566040000000000</v>
      </c>
      <c r="F28" s="2">
        <f t="shared" si="3"/>
        <v>1313180000000000</v>
      </c>
      <c r="G28" s="11">
        <f t="shared" si="4"/>
        <v>2879220000000000</v>
      </c>
    </row>
    <row r="29" spans="1:9">
      <c r="A29">
        <v>2004</v>
      </c>
      <c r="B29">
        <v>370656</v>
      </c>
      <c r="C29">
        <v>313700</v>
      </c>
      <c r="E29" s="2">
        <f t="shared" si="2"/>
        <v>1742083200000000</v>
      </c>
      <c r="F29" s="2">
        <f t="shared" si="3"/>
        <v>1474390000000000</v>
      </c>
      <c r="G29" s="11">
        <f t="shared" si="4"/>
        <v>3216473200000000</v>
      </c>
    </row>
    <row r="30" spans="1:9">
      <c r="A30">
        <v>2005</v>
      </c>
      <c r="B30">
        <v>420000</v>
      </c>
      <c r="C30">
        <v>339000</v>
      </c>
      <c r="E30" s="2">
        <f t="shared" si="2"/>
        <v>1974000000000000</v>
      </c>
      <c r="F30" s="2">
        <f t="shared" si="3"/>
        <v>1593300000000000</v>
      </c>
      <c r="G30" s="11">
        <f t="shared" si="4"/>
        <v>3567300000000000</v>
      </c>
    </row>
    <row r="31" spans="1:9">
      <c r="A31">
        <v>2006</v>
      </c>
      <c r="B31">
        <v>450010</v>
      </c>
      <c r="C31">
        <v>375400</v>
      </c>
      <c r="E31" s="2">
        <f t="shared" si="2"/>
        <v>2115047000000000</v>
      </c>
      <c r="F31" s="2">
        <f t="shared" si="3"/>
        <v>1764380000000000</v>
      </c>
      <c r="G31" s="11">
        <f t="shared" si="4"/>
        <v>3879427000000000</v>
      </c>
    </row>
    <row r="32" spans="1:9">
      <c r="A32">
        <v>2007</v>
      </c>
      <c r="B32">
        <v>481625</v>
      </c>
      <c r="C32">
        <v>390700</v>
      </c>
      <c r="E32" s="2">
        <f t="shared" si="2"/>
        <v>2263637500000000</v>
      </c>
      <c r="F32" s="2">
        <f t="shared" si="3"/>
        <v>1836290000000000</v>
      </c>
      <c r="G32" s="11">
        <f t="shared" si="4"/>
        <v>4099927500000000</v>
      </c>
    </row>
    <row r="33" spans="1:7">
      <c r="A33">
        <v>2008</v>
      </c>
      <c r="B33">
        <v>418200</v>
      </c>
      <c r="C33">
        <v>326100</v>
      </c>
      <c r="E33" s="2">
        <f t="shared" si="2"/>
        <v>1965540000000000</v>
      </c>
      <c r="F33" s="2">
        <f t="shared" si="3"/>
        <v>1532670000000000</v>
      </c>
      <c r="G33" s="11">
        <f t="shared" si="4"/>
        <v>3498210000000000</v>
      </c>
    </row>
    <row r="34" spans="1:7">
      <c r="A34">
        <v>2009</v>
      </c>
      <c r="B34">
        <v>423600</v>
      </c>
      <c r="C34">
        <v>340600</v>
      </c>
      <c r="E34" s="2">
        <f t="shared" si="2"/>
        <v>1990920000000000</v>
      </c>
      <c r="F34" s="2">
        <f t="shared" si="3"/>
        <v>1600820000000000</v>
      </c>
      <c r="G34" s="11">
        <f t="shared" si="4"/>
        <v>3591740000000000</v>
      </c>
    </row>
    <row r="35" spans="1:7">
      <c r="A35">
        <v>2010</v>
      </c>
      <c r="B35">
        <v>453100</v>
      </c>
      <c r="C35">
        <v>362900</v>
      </c>
      <c r="E35" s="2">
        <f t="shared" si="2"/>
        <v>2129570000000000</v>
      </c>
      <c r="F35" s="2">
        <f t="shared" si="3"/>
        <v>1705630000000000</v>
      </c>
      <c r="G35" s="11">
        <f t="shared" si="4"/>
        <v>3835200000000000</v>
      </c>
    </row>
    <row r="36" spans="1:7">
      <c r="A36">
        <v>2011</v>
      </c>
      <c r="B36">
        <v>481600</v>
      </c>
      <c r="C36">
        <v>391700</v>
      </c>
      <c r="E36" s="2">
        <f t="shared" si="2"/>
        <v>2263520000000000</v>
      </c>
      <c r="F36" s="2">
        <f t="shared" si="3"/>
        <v>1840990000000000</v>
      </c>
      <c r="G36" s="11">
        <f t="shared" si="4"/>
        <v>4104510000000000</v>
      </c>
    </row>
    <row r="37" spans="1:7">
      <c r="A37">
        <v>2012</v>
      </c>
      <c r="B37">
        <v>500000</v>
      </c>
      <c r="C37">
        <v>411700</v>
      </c>
      <c r="E37" s="2">
        <f t="shared" si="2"/>
        <v>2350000000000000</v>
      </c>
      <c r="F37" s="2">
        <f t="shared" si="3"/>
        <v>1934990000000000</v>
      </c>
      <c r="G37" s="11">
        <f t="shared" si="4"/>
        <v>4284990000000000</v>
      </c>
    </row>
    <row r="38" spans="1:7">
      <c r="A38">
        <v>2013</v>
      </c>
      <c r="B38">
        <v>520900</v>
      </c>
      <c r="C38">
        <v>430000</v>
      </c>
      <c r="E38" s="2">
        <f t="shared" si="2"/>
        <v>2448230000000000</v>
      </c>
      <c r="F38" s="2">
        <f t="shared" si="3"/>
        <v>2021000000000000</v>
      </c>
      <c r="G38" s="11">
        <f t="shared" si="4"/>
        <v>4469230000000000</v>
      </c>
    </row>
    <row r="39" spans="1:7">
      <c r="A39">
        <v>2014</v>
      </c>
      <c r="B39">
        <v>551800</v>
      </c>
      <c r="C39">
        <v>451500</v>
      </c>
      <c r="E39" s="2">
        <f t="shared" si="2"/>
        <v>2593460000000000</v>
      </c>
      <c r="F39" s="2">
        <f t="shared" si="3"/>
        <v>2122050000000000</v>
      </c>
      <c r="G39" s="11">
        <f t="shared" si="4"/>
        <v>4715510000000000</v>
      </c>
    </row>
    <row r="40" spans="1:7">
      <c r="A40">
        <v>2015</v>
      </c>
      <c r="B40">
        <v>570000</v>
      </c>
      <c r="C40">
        <v>460900</v>
      </c>
      <c r="E40" s="2">
        <f t="shared" si="2"/>
        <v>2679000000000000</v>
      </c>
      <c r="F40" s="2">
        <f t="shared" si="3"/>
        <v>2166230000000000</v>
      </c>
      <c r="G40" s="11">
        <f t="shared" si="4"/>
        <v>4845230000000000</v>
      </c>
    </row>
    <row r="41" spans="1:7">
      <c r="A41">
        <v>2016</v>
      </c>
      <c r="B41">
        <v>587100</v>
      </c>
      <c r="C41">
        <v>476800</v>
      </c>
      <c r="E41" s="2">
        <f>B41*4700000000</f>
        <v>2759370000000000</v>
      </c>
      <c r="F41" s="2">
        <f t="shared" si="3"/>
        <v>2240960000000000</v>
      </c>
      <c r="G41" s="11">
        <f t="shared" si="4"/>
        <v>5000330000000000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C1" sqref="C1"/>
    </sheetView>
  </sheetViews>
  <sheetFormatPr defaultColWidth="15.625" defaultRowHeight="14.25"/>
  <cols>
    <col min="1" max="1" width="33.875" customWidth="1"/>
    <col min="2" max="2" width="21.5" customWidth="1"/>
  </cols>
  <sheetData>
    <row r="1" spans="1:6">
      <c r="A1" t="s">
        <v>38</v>
      </c>
      <c r="B1" t="s">
        <v>41</v>
      </c>
      <c r="E1" t="s">
        <v>39</v>
      </c>
      <c r="F1" t="s">
        <v>42</v>
      </c>
    </row>
    <row r="2" spans="1:6">
      <c r="A2" t="s">
        <v>40</v>
      </c>
    </row>
    <row r="5" spans="1:6">
      <c r="A5">
        <v>2000</v>
      </c>
      <c r="B5">
        <v>17354</v>
      </c>
      <c r="C5" s="2">
        <f>B5*0.1*8*4186*6216766992</f>
        <v>3.6128788124095782E+17</v>
      </c>
      <c r="D5">
        <v>2000</v>
      </c>
      <c r="E5">
        <v>8346</v>
      </c>
      <c r="F5" s="2">
        <f>E5*0.1*8*4186*8533800279.81</f>
        <v>2.3851190768667344E+17</v>
      </c>
    </row>
    <row r="6" spans="1:6">
      <c r="A6">
        <v>2001</v>
      </c>
      <c r="B6">
        <v>17316</v>
      </c>
      <c r="C6" s="2">
        <f>B6*0.1*8*4186*6216766992</f>
        <v>3.6049677028745107E+17</v>
      </c>
      <c r="D6">
        <v>2001</v>
      </c>
      <c r="E6">
        <v>7951</v>
      </c>
      <c r="F6" s="2">
        <f t="shared" ref="F6:F21" si="0">E6*0.1*8*4186*8533800279.81</f>
        <v>2.2722360148774749E+17</v>
      </c>
    </row>
    <row r="7" spans="1:6">
      <c r="A7">
        <v>2002</v>
      </c>
      <c r="B7">
        <v>17279</v>
      </c>
      <c r="C7" s="2">
        <f t="shared" ref="C6:C21" si="1">B7*0.1*8*4186*6216766992</f>
        <v>3.597264780432471E+17</v>
      </c>
      <c r="D7">
        <v>2002</v>
      </c>
      <c r="E7">
        <v>7936</v>
      </c>
      <c r="F7" s="2">
        <f t="shared" si="0"/>
        <v>2.2679493163209206E+17</v>
      </c>
    </row>
    <row r="8" spans="1:6">
      <c r="A8">
        <v>2003</v>
      </c>
      <c r="B8">
        <v>17766</v>
      </c>
      <c r="C8" s="2">
        <f t="shared" si="1"/>
        <v>3.6986518947371539E+17</v>
      </c>
      <c r="D8">
        <v>2003</v>
      </c>
      <c r="E8">
        <v>8559</v>
      </c>
      <c r="F8" s="2">
        <f t="shared" si="0"/>
        <v>2.4459901963698035E+17</v>
      </c>
    </row>
    <row r="9" spans="1:6">
      <c r="A9">
        <v>2004</v>
      </c>
      <c r="B9">
        <v>17886</v>
      </c>
      <c r="C9" s="2">
        <f t="shared" si="1"/>
        <v>3.7236343459005254E+17</v>
      </c>
      <c r="D9">
        <v>2004</v>
      </c>
      <c r="E9">
        <v>8960</v>
      </c>
      <c r="F9" s="2">
        <f t="shared" si="0"/>
        <v>2.5605879377816845E+17</v>
      </c>
    </row>
    <row r="10" spans="1:6">
      <c r="A10">
        <v>2005</v>
      </c>
      <c r="B10">
        <v>17492</v>
      </c>
      <c r="C10" s="2">
        <f t="shared" si="1"/>
        <v>3.6416086312474554E+17</v>
      </c>
      <c r="D10">
        <v>2005</v>
      </c>
      <c r="E10">
        <v>8163</v>
      </c>
      <c r="F10" s="2">
        <f t="shared" si="0"/>
        <v>2.3328213544767738E+17</v>
      </c>
    </row>
    <row r="11" spans="1:6">
      <c r="A11">
        <v>2006</v>
      </c>
      <c r="B11">
        <v>17832</v>
      </c>
      <c r="C11" s="2">
        <f t="shared" si="1"/>
        <v>3.712392242877008E+17</v>
      </c>
      <c r="D11">
        <v>2006</v>
      </c>
      <c r="E11">
        <v>8609</v>
      </c>
      <c r="F11" s="2">
        <f t="shared" si="0"/>
        <v>2.4602791915583174E+17</v>
      </c>
    </row>
    <row r="12" spans="1:6">
      <c r="A12">
        <v>2007</v>
      </c>
      <c r="B12">
        <v>17580</v>
      </c>
      <c r="C12" s="2">
        <f t="shared" si="1"/>
        <v>3.6599290954339277E+17</v>
      </c>
      <c r="D12">
        <v>2007</v>
      </c>
      <c r="E12">
        <v>8285</v>
      </c>
      <c r="F12" s="2">
        <f t="shared" si="0"/>
        <v>2.3676865027367475E+17</v>
      </c>
    </row>
    <row r="13" spans="1:6">
      <c r="A13">
        <v>2008</v>
      </c>
      <c r="B13">
        <v>19850</v>
      </c>
      <c r="C13" s="2">
        <f t="shared" si="1"/>
        <v>4.1325137966077056E+17</v>
      </c>
      <c r="D13">
        <v>2008</v>
      </c>
      <c r="E13">
        <v>8845</v>
      </c>
      <c r="F13" s="2">
        <f t="shared" si="0"/>
        <v>2.5277232488481027E+17</v>
      </c>
    </row>
    <row r="14" spans="1:6">
      <c r="A14">
        <v>2009</v>
      </c>
      <c r="B14">
        <v>17532</v>
      </c>
      <c r="C14" s="2">
        <f t="shared" si="1"/>
        <v>3.6499361149685792E+17</v>
      </c>
      <c r="D14">
        <v>2009</v>
      </c>
      <c r="E14">
        <v>8828</v>
      </c>
      <c r="F14" s="2">
        <f t="shared" si="0"/>
        <v>2.522864990484008E+17</v>
      </c>
    </row>
    <row r="15" spans="1:6">
      <c r="A15">
        <v>2010</v>
      </c>
      <c r="B15">
        <v>17560</v>
      </c>
      <c r="C15" s="2">
        <f t="shared" si="1"/>
        <v>3.6557653535733658E+17</v>
      </c>
      <c r="D15">
        <v>2010</v>
      </c>
      <c r="E15">
        <v>8240</v>
      </c>
      <c r="F15" s="2">
        <f t="shared" si="0"/>
        <v>2.3548264070670848E+17</v>
      </c>
    </row>
    <row r="16" spans="1:6">
      <c r="A16">
        <v>2011</v>
      </c>
      <c r="B16">
        <v>17743</v>
      </c>
      <c r="C16" s="2">
        <f t="shared" si="1"/>
        <v>3.6938635915975078E+17</v>
      </c>
      <c r="D16">
        <v>2011</v>
      </c>
      <c r="E16">
        <v>8541</v>
      </c>
      <c r="F16" s="2">
        <f t="shared" si="0"/>
        <v>2.4408461581019386E+17</v>
      </c>
    </row>
    <row r="17" spans="1:6">
      <c r="A17">
        <v>2012</v>
      </c>
      <c r="B17">
        <v>17918</v>
      </c>
      <c r="C17" s="2">
        <f t="shared" si="1"/>
        <v>3.7302963328774246E+17</v>
      </c>
      <c r="D17">
        <v>2012</v>
      </c>
      <c r="E17">
        <v>8708</v>
      </c>
      <c r="F17" s="2">
        <f t="shared" si="0"/>
        <v>2.4885714020315747E+17</v>
      </c>
    </row>
    <row r="18" spans="1:6">
      <c r="A18">
        <v>2013</v>
      </c>
      <c r="B18">
        <v>17739</v>
      </c>
      <c r="C18" s="2">
        <f t="shared" si="1"/>
        <v>3.6930308432253952E+17</v>
      </c>
      <c r="D18">
        <v>2013</v>
      </c>
      <c r="E18">
        <v>8631</v>
      </c>
      <c r="F18" s="2">
        <f t="shared" si="0"/>
        <v>2.4665663494412634E+17</v>
      </c>
    </row>
    <row r="19" spans="1:6">
      <c r="A19">
        <v>2014</v>
      </c>
      <c r="B19">
        <v>17780</v>
      </c>
      <c r="C19" s="2">
        <f t="shared" si="1"/>
        <v>3.7015665140395469E+17</v>
      </c>
      <c r="D19">
        <v>2014</v>
      </c>
      <c r="E19">
        <v>8533</v>
      </c>
      <c r="F19" s="2">
        <f t="shared" si="0"/>
        <v>2.4385599188717763E+17</v>
      </c>
    </row>
    <row r="20" spans="1:6">
      <c r="A20">
        <v>2015</v>
      </c>
      <c r="B20">
        <v>17639</v>
      </c>
      <c r="C20" s="2">
        <f t="shared" si="1"/>
        <v>3.6722121339225856E+17</v>
      </c>
      <c r="D20">
        <v>2015</v>
      </c>
      <c r="E20">
        <v>8467</v>
      </c>
      <c r="F20" s="2">
        <f t="shared" si="0"/>
        <v>2.4196984452229379E+17</v>
      </c>
    </row>
    <row r="21" spans="1:6">
      <c r="A21">
        <v>2016</v>
      </c>
      <c r="B21">
        <v>17876</v>
      </c>
      <c r="C21" s="2">
        <f t="shared" si="1"/>
        <v>3.7215524749702445E+17</v>
      </c>
      <c r="D21">
        <v>2016</v>
      </c>
      <c r="E21">
        <v>8735</v>
      </c>
      <c r="F21" s="2">
        <f t="shared" si="0"/>
        <v>2.4962874594333722E+17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opLeftCell="F1" workbookViewId="0">
      <selection activeCell="I8" sqref="I8"/>
    </sheetView>
  </sheetViews>
  <sheetFormatPr defaultColWidth="25.625" defaultRowHeight="14.25"/>
  <cols>
    <col min="1" max="1" width="27.5" customWidth="1"/>
    <col min="4" max="4" width="25.625" style="4"/>
    <col min="5" max="5" width="68.5" style="4" customWidth="1"/>
    <col min="7" max="8" width="25.625" style="2"/>
    <col min="9" max="9" width="41.375" style="2" customWidth="1"/>
  </cols>
  <sheetData>
    <row r="1" spans="1:12" ht="17.25" customHeight="1">
      <c r="B1" s="14"/>
      <c r="E1" s="14" t="s">
        <v>52</v>
      </c>
      <c r="F1" s="4" t="s">
        <v>56</v>
      </c>
      <c r="G1" s="2" t="s">
        <v>57</v>
      </c>
      <c r="H1" t="s">
        <v>62</v>
      </c>
      <c r="I1" s="14" t="s">
        <v>55</v>
      </c>
      <c r="J1" s="4" t="s">
        <v>58</v>
      </c>
      <c r="K1" s="4" t="s">
        <v>59</v>
      </c>
      <c r="L1" t="s">
        <v>62</v>
      </c>
    </row>
    <row r="2" spans="1:12" ht="15" customHeight="1">
      <c r="B2" t="s">
        <v>53</v>
      </c>
      <c r="D2" t="s">
        <v>54</v>
      </c>
      <c r="E2" t="s">
        <v>60</v>
      </c>
      <c r="I2" s="2" t="s">
        <v>61</v>
      </c>
    </row>
    <row r="3" spans="1:12">
      <c r="F3" s="2"/>
      <c r="J3" s="2"/>
      <c r="K3" s="2"/>
      <c r="L3" s="2"/>
    </row>
    <row r="4" spans="1:12">
      <c r="F4" s="2"/>
      <c r="J4" s="2"/>
      <c r="K4" s="2"/>
      <c r="L4" s="2"/>
    </row>
    <row r="5" spans="1:12" s="9" customFormat="1">
      <c r="A5" s="9">
        <v>2000</v>
      </c>
      <c r="B5" s="9">
        <v>4466</v>
      </c>
      <c r="C5" s="15">
        <v>356.85035685035683</v>
      </c>
      <c r="D5" s="5">
        <f t="shared" ref="D5:D12" si="0">C5*0.666666*10</f>
        <v>2379</v>
      </c>
      <c r="E5" s="12"/>
      <c r="F5" s="11">
        <f>B5*1000000*1000*1.92%*5.4*4186</f>
        <v>1938264007680000</v>
      </c>
      <c r="G5" s="11">
        <f>D5*840*1000000*5.4*4186*0.018</f>
        <v>813091118112000</v>
      </c>
      <c r="H5" s="11">
        <f>F5+G5</f>
        <v>2751355125792000</v>
      </c>
      <c r="I5" s="11"/>
      <c r="J5" s="11">
        <f>B5*1000000*1000</f>
        <v>4466000000000</v>
      </c>
      <c r="K5" s="11">
        <f>D5*1000000*840</f>
        <v>1998360000000</v>
      </c>
      <c r="L5" s="2">
        <f t="shared" ref="L5:L21" si="1">J5+K5</f>
        <v>6464360000000</v>
      </c>
    </row>
    <row r="6" spans="1:12">
      <c r="A6">
        <v>2001</v>
      </c>
      <c r="B6">
        <v>4503</v>
      </c>
      <c r="C6" s="15">
        <v>335.40033540033539</v>
      </c>
      <c r="D6" s="5">
        <f t="shared" si="0"/>
        <v>2236</v>
      </c>
      <c r="F6" s="2">
        <f>B6*1000000*1000*1.92%*5.4*4186</f>
        <v>1954322173440000.3</v>
      </c>
      <c r="G6" s="2">
        <f>D6*840*1000000*5.4*4186*0.018</f>
        <v>764216788608000</v>
      </c>
      <c r="H6" s="2">
        <f>F6+G6</f>
        <v>2718538962048000</v>
      </c>
      <c r="J6" s="2">
        <f>B6*1000000*1000</f>
        <v>4503000000000</v>
      </c>
      <c r="K6" s="2">
        <f>D6*1000000*840</f>
        <v>1878240000000</v>
      </c>
      <c r="L6" s="2">
        <f t="shared" si="1"/>
        <v>6381240000000</v>
      </c>
    </row>
    <row r="7" spans="1:12">
      <c r="A7">
        <v>2002</v>
      </c>
      <c r="B7">
        <v>4500</v>
      </c>
      <c r="C7" s="15">
        <v>365.70036570036569</v>
      </c>
      <c r="D7" s="5">
        <f t="shared" si="0"/>
        <v>2438</v>
      </c>
      <c r="F7" s="2">
        <f>B7*1000000*1000*1.92%*5.4*4186</f>
        <v>1953020160000000.3</v>
      </c>
      <c r="G7" s="2">
        <f>D7*840*1000000*5.4*4186*0.018</f>
        <v>833256051263999.88</v>
      </c>
      <c r="H7" s="2">
        <f>F7+G7</f>
        <v>2786276211264000</v>
      </c>
      <c r="J7" s="2">
        <f>B7*1000000*1000</f>
        <v>4500000000000</v>
      </c>
      <c r="K7" s="2">
        <f>D7*1000000*840</f>
        <v>2047920000000</v>
      </c>
      <c r="L7" s="2">
        <f t="shared" si="1"/>
        <v>6547920000000</v>
      </c>
    </row>
    <row r="8" spans="1:12">
      <c r="A8">
        <v>2003</v>
      </c>
      <c r="B8">
        <v>4493</v>
      </c>
      <c r="C8" s="15">
        <v>290.70029070029068</v>
      </c>
      <c r="D8" s="5">
        <f t="shared" si="0"/>
        <v>1937.9999999999998</v>
      </c>
      <c r="F8" s="2">
        <f>B8*1000000*1000*1.92%*5.4*4186</f>
        <v>1949982128640000.3</v>
      </c>
      <c r="G8" s="2">
        <f>D8*840*1000000*5.4*4186*0.018</f>
        <v>662366787263999.75</v>
      </c>
      <c r="H8" s="2">
        <f>F8+G8</f>
        <v>2612348915904000</v>
      </c>
      <c r="J8" s="2">
        <f>B8*1000000*1000</f>
        <v>4493000000000</v>
      </c>
      <c r="K8" s="2">
        <f>D8*1000000*840</f>
        <v>1627919999999.9998</v>
      </c>
      <c r="L8" s="2">
        <f t="shared" si="1"/>
        <v>6120920000000</v>
      </c>
    </row>
    <row r="9" spans="1:12">
      <c r="A9">
        <v>2004</v>
      </c>
      <c r="B9">
        <v>4360</v>
      </c>
      <c r="C9" s="15">
        <v>277.35027735027734</v>
      </c>
      <c r="D9" s="5">
        <f t="shared" si="0"/>
        <v>1848.9999999999998</v>
      </c>
      <c r="F9" s="2">
        <f>B9*1000000*1000*1.92%*5.4*4186</f>
        <v>1892259532800000</v>
      </c>
      <c r="G9" s="2">
        <f>D9*840*1000000*5.4*4186*0.018</f>
        <v>631948498271999.88</v>
      </c>
      <c r="H9" s="2">
        <f>F9+G9</f>
        <v>2524208031072000</v>
      </c>
      <c r="J9" s="2">
        <f>B9*1000000*1000</f>
        <v>4360000000000</v>
      </c>
      <c r="K9" s="2">
        <f>D9*1000000*840</f>
        <v>1553159999999.9998</v>
      </c>
      <c r="L9" s="2">
        <f t="shared" si="1"/>
        <v>5913160000000</v>
      </c>
    </row>
    <row r="10" spans="1:12">
      <c r="A10">
        <v>2005</v>
      </c>
      <c r="B10">
        <v>4378</v>
      </c>
      <c r="C10" s="15">
        <v>289.50028950028951</v>
      </c>
      <c r="D10" s="5">
        <f t="shared" si="0"/>
        <v>1930</v>
      </c>
      <c r="F10" s="2">
        <f>B10*1000000*1000*1.92%*5.4*4186</f>
        <v>1900071613440000</v>
      </c>
      <c r="G10" s="2">
        <f>D10*840*1000000*5.4*4186*0.018</f>
        <v>659632559040000.13</v>
      </c>
      <c r="H10" s="2">
        <f>F10+G10</f>
        <v>2559704172480000</v>
      </c>
      <c r="J10" s="2">
        <f>B10*1000000*1000</f>
        <v>4378000000000</v>
      </c>
      <c r="K10" s="2">
        <f>D10*1000000*840</f>
        <v>1621200000000</v>
      </c>
      <c r="L10" s="2">
        <f t="shared" si="1"/>
        <v>5999200000000</v>
      </c>
    </row>
    <row r="11" spans="1:12">
      <c r="A11">
        <v>2006</v>
      </c>
      <c r="B11">
        <v>4380</v>
      </c>
      <c r="C11" s="15">
        <v>338.4003384003384</v>
      </c>
      <c r="D11" s="5">
        <f t="shared" si="0"/>
        <v>2256</v>
      </c>
      <c r="F11" s="2">
        <f>B11*1000000*1000*1.92%*5.4*4186</f>
        <v>1900939622400000</v>
      </c>
      <c r="G11" s="2">
        <f>D11*840*1000000*5.4*4186*0.018</f>
        <v>771052359168000</v>
      </c>
      <c r="H11" s="2">
        <f>F11+G11</f>
        <v>2671991981568000</v>
      </c>
      <c r="J11" s="2">
        <f>B11*1000000*1000</f>
        <v>4380000000000</v>
      </c>
      <c r="K11" s="2">
        <f>D11*1000000*840</f>
        <v>1895040000000</v>
      </c>
      <c r="L11" s="2">
        <f t="shared" si="1"/>
        <v>6275040000000</v>
      </c>
    </row>
    <row r="12" spans="1:12">
      <c r="A12">
        <v>2007</v>
      </c>
      <c r="B12">
        <v>4441</v>
      </c>
      <c r="C12" s="15">
        <v>334.80033480033478</v>
      </c>
      <c r="D12" s="5">
        <f t="shared" si="0"/>
        <v>2232</v>
      </c>
      <c r="F12" s="2">
        <f>B12*1000000*1000*1.92%*5.4*4186</f>
        <v>1927413895680000</v>
      </c>
      <c r="G12" s="2">
        <f>D12*840*1000000*5.4*4186*0.018</f>
        <v>762849674496000</v>
      </c>
      <c r="H12" s="2">
        <f>F12+G12</f>
        <v>2690263570176000</v>
      </c>
      <c r="J12" s="2">
        <f>B12*1000000*1000</f>
        <v>4441000000000</v>
      </c>
      <c r="K12" s="2">
        <f>D12*1000000*840</f>
        <v>1874880000000</v>
      </c>
      <c r="L12" s="2">
        <f t="shared" si="1"/>
        <v>6315880000000</v>
      </c>
    </row>
    <row r="13" spans="1:12">
      <c r="A13">
        <v>2008</v>
      </c>
      <c r="B13">
        <v>4266</v>
      </c>
      <c r="C13" s="16">
        <f>162.75+172.7+55.38</f>
        <v>390.83</v>
      </c>
      <c r="D13" s="5">
        <f>C13*0.666666*10</f>
        <v>2605.5307278</v>
      </c>
      <c r="E13" s="5"/>
      <c r="F13" s="2">
        <f>B13*1000000*1000*1.92%*5.4*4186</f>
        <v>1851463111680000</v>
      </c>
      <c r="G13" s="2">
        <f>D13*840*1000000*5.4*4186*0.018</f>
        <v>890514456806252.63</v>
      </c>
      <c r="H13" s="2">
        <f>F13+G13</f>
        <v>2741977568486252.5</v>
      </c>
      <c r="J13" s="2">
        <f>B13*1000000*1000</f>
        <v>4266000000000</v>
      </c>
      <c r="K13" s="2">
        <f>D13*1000000*840</f>
        <v>2188645811352.0002</v>
      </c>
      <c r="L13" s="2">
        <f t="shared" si="1"/>
        <v>6454645811352</v>
      </c>
    </row>
    <row r="14" spans="1:12">
      <c r="A14">
        <v>2009</v>
      </c>
      <c r="B14">
        <v>4440</v>
      </c>
      <c r="C14" s="16">
        <f>177.57+173.6+47.38</f>
        <v>398.54999999999995</v>
      </c>
      <c r="D14" s="5">
        <f t="shared" ref="D14:D21" si="2">C14*0.666666*10</f>
        <v>2656.997343</v>
      </c>
      <c r="E14" s="5"/>
      <c r="F14" s="2">
        <f>B14*1000000*1000*1.92%*5.4*4186</f>
        <v>1926979891200000</v>
      </c>
      <c r="G14" s="2">
        <f>D14*840*1000000*5.4*4186*0.018</f>
        <v>908104640790451</v>
      </c>
      <c r="H14" s="2">
        <f>F14+G14</f>
        <v>2835084531990451</v>
      </c>
      <c r="J14" s="2">
        <f>B14*1000000*1000</f>
        <v>4440000000000</v>
      </c>
      <c r="K14" s="2">
        <f>D14*1000000*840</f>
        <v>2231877768120</v>
      </c>
      <c r="L14" s="2">
        <f t="shared" si="1"/>
        <v>6671877768120</v>
      </c>
    </row>
    <row r="15" spans="1:12">
      <c r="A15">
        <v>2010</v>
      </c>
      <c r="B15">
        <v>4364</v>
      </c>
      <c r="C15" s="16">
        <f>181.47+186.91+46.39</f>
        <v>414.77</v>
      </c>
      <c r="D15" s="5">
        <f t="shared" si="2"/>
        <v>2765.1305681999997</v>
      </c>
      <c r="E15" s="5"/>
      <c r="F15" s="2">
        <f>B15*1000000*1000*1.92%*5.4*4186</f>
        <v>1893995550720000</v>
      </c>
      <c r="G15" s="2">
        <f>D15*840*1000000*5.4*4186*0.018</f>
        <v>945062255327199.63</v>
      </c>
      <c r="H15" s="2">
        <f>F15+G15</f>
        <v>2839057806047199.5</v>
      </c>
      <c r="J15" s="2">
        <f>B15*1000000*1000</f>
        <v>4364000000000</v>
      </c>
      <c r="K15" s="2">
        <f>D15*1000000*840</f>
        <v>2322709677288</v>
      </c>
      <c r="L15" s="2">
        <f t="shared" si="1"/>
        <v>6686709677288</v>
      </c>
    </row>
    <row r="16" spans="1:12">
      <c r="A16">
        <v>2011</v>
      </c>
      <c r="B16">
        <v>4379</v>
      </c>
      <c r="C16" s="16">
        <f>177.47+199.59+33.55</f>
        <v>410.61</v>
      </c>
      <c r="D16" s="5">
        <f>C16*0.666666*10</f>
        <v>2737.3972626</v>
      </c>
      <c r="E16" s="5"/>
      <c r="F16" s="2">
        <f>B16*1000000*1000*1.92%*5.4*4186</f>
        <v>1900505617920000</v>
      </c>
      <c r="G16" s="2">
        <f>D16*840*1000000*5.4*4186*0.018</f>
        <v>935583606962657.5</v>
      </c>
      <c r="H16" s="2">
        <f>F16+G16</f>
        <v>2836089224882657.5</v>
      </c>
      <c r="J16" s="2">
        <f>B16*1000000*1000</f>
        <v>4379000000000</v>
      </c>
      <c r="K16" s="2">
        <f>D16*1000000*840</f>
        <v>2299413700584</v>
      </c>
      <c r="L16" s="2">
        <f t="shared" si="1"/>
        <v>6678413700584</v>
      </c>
    </row>
    <row r="17" spans="1:12">
      <c r="A17">
        <v>2012</v>
      </c>
      <c r="B17">
        <v>4359</v>
      </c>
      <c r="C17" s="16">
        <f>176+209+47.69</f>
        <v>432.69</v>
      </c>
      <c r="D17" s="5">
        <f t="shared" si="2"/>
        <v>2884.5971153999999</v>
      </c>
      <c r="E17" s="5"/>
      <c r="F17" s="2">
        <f>B17*1000000*1000*1.92%*5.4*4186</f>
        <v>1891825528320000</v>
      </c>
      <c r="G17" s="2">
        <f>D17*840*1000000*5.4*4186*0.018</f>
        <v>985893355974458.13</v>
      </c>
      <c r="H17" s="2">
        <f>F17+G17</f>
        <v>2877718884294458</v>
      </c>
      <c r="J17" s="2">
        <f>B17*1000000*1000</f>
        <v>4359000000000</v>
      </c>
      <c r="K17" s="2">
        <f>D17*1000000*840</f>
        <v>2423061576936</v>
      </c>
      <c r="L17" s="2">
        <f t="shared" si="1"/>
        <v>6782061576936</v>
      </c>
    </row>
    <row r="18" spans="1:12">
      <c r="A18">
        <v>2013</v>
      </c>
      <c r="B18">
        <v>4313</v>
      </c>
      <c r="C18" s="16">
        <f>193.5+192.14+52.83</f>
        <v>438.46999999999997</v>
      </c>
      <c r="D18" s="5">
        <f t="shared" si="2"/>
        <v>2923.1304101999995</v>
      </c>
      <c r="E18" s="5"/>
      <c r="F18" s="2">
        <f>B18*1000000*1000*1.92%*5.4*4186</f>
        <v>1871861322240000</v>
      </c>
      <c r="G18" s="2">
        <f>D18*840*1000000*5.4*4186*0.018</f>
        <v>999063208750191.88</v>
      </c>
      <c r="H18" s="2">
        <f>F18+G18</f>
        <v>2870924530990192</v>
      </c>
      <c r="J18" s="2">
        <f>B18*1000000*1000</f>
        <v>4313000000000</v>
      </c>
      <c r="K18" s="2">
        <f>D18*1000000*840</f>
        <v>2455429544567.9995</v>
      </c>
      <c r="L18" s="2">
        <f t="shared" si="1"/>
        <v>6768429544568</v>
      </c>
    </row>
    <row r="19" spans="1:12">
      <c r="A19">
        <v>2014</v>
      </c>
      <c r="B19">
        <v>4433</v>
      </c>
      <c r="C19" s="16">
        <f>218+158+36.51</f>
        <v>412.51</v>
      </c>
      <c r="D19" s="5">
        <f t="shared" si="2"/>
        <v>2750.0639165999996</v>
      </c>
      <c r="E19" s="5"/>
      <c r="F19" s="2">
        <f>B19*1000000*1000*1.92%*5.4*4186</f>
        <v>1923941859840000</v>
      </c>
      <c r="G19" s="2">
        <f>D19*840*1000000*5.4*4186*0.018</f>
        <v>939912797321462.5</v>
      </c>
      <c r="H19" s="2">
        <f>F19+G19</f>
        <v>2863854657161462.5</v>
      </c>
      <c r="J19" s="2">
        <f>B19*1000000*1000</f>
        <v>4433000000000</v>
      </c>
      <c r="K19" s="2">
        <f>D19*1000000*840</f>
        <v>2310053689943.9995</v>
      </c>
      <c r="L19" s="2">
        <f t="shared" si="1"/>
        <v>6743053689944</v>
      </c>
    </row>
    <row r="20" spans="1:12">
      <c r="A20">
        <v>2015</v>
      </c>
      <c r="B20">
        <v>4533</v>
      </c>
      <c r="C20" s="16">
        <v>409</v>
      </c>
      <c r="D20" s="5">
        <f t="shared" si="2"/>
        <v>2726.6639399999995</v>
      </c>
      <c r="E20" s="5"/>
      <c r="F20" s="2">
        <f>B20*1000000*1000*1.92%*5.4*4186</f>
        <v>1967342307840000.3</v>
      </c>
      <c r="G20" s="2">
        <f>D20*840*1000000*5.4*4186*0.018</f>
        <v>931915187763880.13</v>
      </c>
      <c r="H20" s="2">
        <f>F20+G20</f>
        <v>2899257495603880.5</v>
      </c>
      <c r="J20" s="2">
        <f>B20*1000000*1000</f>
        <v>4533000000000</v>
      </c>
      <c r="K20" s="2">
        <f>D20*1000000*840</f>
        <v>2290397709599.9995</v>
      </c>
      <c r="L20" s="2">
        <f t="shared" si="1"/>
        <v>6823397709600</v>
      </c>
    </row>
    <row r="21" spans="1:12">
      <c r="A21">
        <v>2016</v>
      </c>
      <c r="B21">
        <v>4553</v>
      </c>
      <c r="C21" s="16">
        <f>250+127+53</f>
        <v>430</v>
      </c>
      <c r="D21" s="5">
        <f t="shared" si="2"/>
        <v>2866.6638000000003</v>
      </c>
      <c r="E21" s="5"/>
      <c r="F21" s="2">
        <f>B21*1000000*1000*1.92%*5.4*4186</f>
        <v>1976022397439999.8</v>
      </c>
      <c r="G21" s="2">
        <f>D21*840*1000000*5.4*4186*0.018</f>
        <v>979764133834886.38</v>
      </c>
      <c r="H21" s="2">
        <f>F21+G21</f>
        <v>2955786531274886</v>
      </c>
      <c r="J21" s="2">
        <f>B21*1000000*1000</f>
        <v>4553000000000</v>
      </c>
      <c r="K21" s="2">
        <f>D21*1000000*840</f>
        <v>2407997592000.0005</v>
      </c>
      <c r="L21" s="2">
        <f t="shared" si="1"/>
        <v>6960997592000</v>
      </c>
    </row>
    <row r="22" spans="1:12" s="9" customFormat="1">
      <c r="D22" s="12"/>
      <c r="E22" s="12"/>
      <c r="G22" s="11"/>
      <c r="H22" s="11"/>
      <c r="I22" s="11"/>
    </row>
    <row r="39" spans="6:6">
      <c r="F39" s="2"/>
    </row>
    <row r="40" spans="6:6">
      <c r="F40" s="2"/>
    </row>
    <row r="41" spans="6:6">
      <c r="F41" s="2"/>
    </row>
    <row r="42" spans="6:6">
      <c r="F42" s="2"/>
    </row>
    <row r="43" spans="6:6">
      <c r="F43" s="2"/>
    </row>
    <row r="44" spans="6:6">
      <c r="F44" s="2"/>
    </row>
    <row r="45" spans="6:6">
      <c r="F45" s="2"/>
    </row>
    <row r="46" spans="6:6">
      <c r="F46" s="2"/>
    </row>
    <row r="47" spans="6:6">
      <c r="F47" s="2"/>
    </row>
    <row r="48" spans="6:6">
      <c r="F48" s="2"/>
    </row>
    <row r="49" spans="6:6">
      <c r="F49" s="2"/>
    </row>
    <row r="50" spans="6:6">
      <c r="F50" s="2"/>
    </row>
  </sheetData>
  <phoneticPr fontId="1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workbookViewId="0">
      <selection activeCell="G19" sqref="B19:G19"/>
    </sheetView>
  </sheetViews>
  <sheetFormatPr defaultColWidth="20.625" defaultRowHeight="14.25"/>
  <sheetData>
    <row r="1" spans="1:30">
      <c r="A1" t="s">
        <v>64</v>
      </c>
      <c r="B1" t="s">
        <v>65</v>
      </c>
      <c r="C1" t="s">
        <v>66</v>
      </c>
      <c r="D1" t="s">
        <v>67</v>
      </c>
      <c r="E1" t="s">
        <v>68</v>
      </c>
      <c r="F1" t="s">
        <v>69</v>
      </c>
      <c r="G1" t="s">
        <v>70</v>
      </c>
      <c r="H1" t="s">
        <v>71</v>
      </c>
      <c r="I1" t="s">
        <v>72</v>
      </c>
      <c r="J1" t="s">
        <v>73</v>
      </c>
      <c r="K1" t="s">
        <v>74</v>
      </c>
      <c r="L1" t="s">
        <v>75</v>
      </c>
      <c r="M1" t="s">
        <v>76</v>
      </c>
      <c r="N1" s="2"/>
    </row>
    <row r="2" spans="1:30">
      <c r="A2">
        <v>2015</v>
      </c>
      <c r="B2">
        <v>441.7</v>
      </c>
      <c r="C2">
        <v>34150</v>
      </c>
      <c r="D2" s="6">
        <v>1335</v>
      </c>
      <c r="E2">
        <v>5.5</v>
      </c>
      <c r="F2">
        <v>71.099999999999994</v>
      </c>
      <c r="G2">
        <v>2305</v>
      </c>
      <c r="H2" s="2">
        <f>B2*10000*31800000000</f>
        <v>1.404606E+17</v>
      </c>
      <c r="I2" s="2">
        <f xml:space="preserve"> C2*10000*8966*4186</f>
        <v>1.2817067354E+16</v>
      </c>
      <c r="J2" s="2">
        <f>D2*10000*41800000000</f>
        <v>5.5803E+17</v>
      </c>
      <c r="K2" s="2">
        <f>E2*10000*46100000000</f>
        <v>2535500000000000</v>
      </c>
      <c r="L2" s="2">
        <f>F2*10000*41800000000</f>
        <v>2.97198E+16</v>
      </c>
      <c r="M2" s="2">
        <f>G2*10000*47800000000</f>
        <v>1.10179E+18</v>
      </c>
      <c r="N2" s="2">
        <v>1.404606E+17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>
      <c r="A3">
        <v>2014</v>
      </c>
      <c r="B3">
        <v>399.2</v>
      </c>
      <c r="C3">
        <v>11140</v>
      </c>
      <c r="D3">
        <v>1509.2</v>
      </c>
      <c r="E3">
        <v>5.35</v>
      </c>
      <c r="F3">
        <v>30.9</v>
      </c>
      <c r="G3">
        <v>1910</v>
      </c>
      <c r="H3" s="2">
        <f t="shared" ref="H3:H17" si="0">B3*10000*31800000000</f>
        <v>1.269456E+17</v>
      </c>
      <c r="I3" s="2">
        <f t="shared" ref="I3:I17" si="1" xml:space="preserve"> C3*10000*8966*4186</f>
        <v>4181028706400000</v>
      </c>
      <c r="J3" s="2">
        <f t="shared" ref="J3:J17" si="2">D3*10000*41800000000</f>
        <v>6.308456E+17</v>
      </c>
      <c r="K3" s="2">
        <f t="shared" ref="K3:K17" si="3">E3*10000*46100000000</f>
        <v>2466350000000000</v>
      </c>
      <c r="L3" s="2">
        <f t="shared" ref="L3:L17" si="4">F3*10000*41800000000</f>
        <v>1.29162E+16</v>
      </c>
      <c r="M3" s="2">
        <f t="shared" ref="M3:M17" si="5">G3*10000*47800000000</f>
        <v>9.1298E+17</v>
      </c>
      <c r="N3" s="2">
        <v>1.269456E+17</v>
      </c>
    </row>
    <row r="4" spans="1:30">
      <c r="A4">
        <v>2013</v>
      </c>
      <c r="B4">
        <v>398.6</v>
      </c>
      <c r="C4">
        <v>6289</v>
      </c>
      <c r="D4">
        <v>1298.0999999999999</v>
      </c>
      <c r="E4">
        <v>4.0999999999999996</v>
      </c>
      <c r="F4">
        <v>9.1</v>
      </c>
      <c r="G4">
        <v>1243</v>
      </c>
      <c r="H4" s="2">
        <f t="shared" si="0"/>
        <v>1.267548E+17</v>
      </c>
      <c r="I4" s="2">
        <f t="shared" si="1"/>
        <v>2360367103640000</v>
      </c>
      <c r="J4" s="2">
        <f t="shared" si="2"/>
        <v>5.426058E+17</v>
      </c>
      <c r="K4" s="2">
        <f t="shared" si="3"/>
        <v>1890100000000000</v>
      </c>
      <c r="L4" s="2">
        <f t="shared" si="4"/>
        <v>3803800000000000</v>
      </c>
      <c r="M4" s="2">
        <f t="shared" si="5"/>
        <v>5.94154E+17</v>
      </c>
      <c r="N4" s="2">
        <v>1.267548E+17</v>
      </c>
    </row>
    <row r="5" spans="1:30">
      <c r="A5">
        <v>2012</v>
      </c>
      <c r="B5">
        <v>691.1</v>
      </c>
      <c r="C5">
        <v>4827</v>
      </c>
      <c r="D5">
        <v>1181.5</v>
      </c>
      <c r="E5">
        <v>4.4000000000000004</v>
      </c>
      <c r="F5">
        <v>31.1</v>
      </c>
      <c r="G5">
        <v>836</v>
      </c>
      <c r="H5" s="2">
        <f t="shared" si="0"/>
        <v>2.197698E+17</v>
      </c>
      <c r="I5" s="2">
        <f t="shared" si="1"/>
        <v>1811654000520000</v>
      </c>
      <c r="J5" s="2">
        <f t="shared" si="2"/>
        <v>4.93867E+17</v>
      </c>
      <c r="K5" s="2">
        <f t="shared" si="3"/>
        <v>2028400000000000</v>
      </c>
      <c r="L5" s="2">
        <f t="shared" si="4"/>
        <v>1.29998E+16</v>
      </c>
      <c r="M5" s="2">
        <f t="shared" si="5"/>
        <v>3.99608E+17</v>
      </c>
      <c r="N5" s="2">
        <v>2.197698E+17</v>
      </c>
    </row>
    <row r="6" spans="1:30">
      <c r="A6">
        <v>2011</v>
      </c>
      <c r="B6">
        <v>688.4</v>
      </c>
      <c r="C6">
        <v>3647</v>
      </c>
      <c r="D6">
        <v>969.2</v>
      </c>
      <c r="E6">
        <v>3.6</v>
      </c>
      <c r="F6">
        <v>2.4</v>
      </c>
      <c r="G6">
        <v>663.8</v>
      </c>
      <c r="H6" s="2">
        <f t="shared" si="0"/>
        <v>2.189112E+17</v>
      </c>
      <c r="I6" s="2">
        <f t="shared" si="1"/>
        <v>1368780223720000</v>
      </c>
      <c r="J6" s="2">
        <f t="shared" si="2"/>
        <v>4.051256E+17</v>
      </c>
      <c r="K6" s="2">
        <f t="shared" si="3"/>
        <v>1659600000000000</v>
      </c>
      <c r="L6" s="2">
        <f t="shared" si="4"/>
        <v>1003200000000000</v>
      </c>
      <c r="M6" s="2">
        <f t="shared" si="5"/>
        <v>3.172964E+17</v>
      </c>
      <c r="N6" s="2">
        <v>2.189112E+17</v>
      </c>
    </row>
    <row r="7" spans="1:30">
      <c r="A7">
        <v>2010</v>
      </c>
      <c r="B7">
        <v>608.9</v>
      </c>
      <c r="C7">
        <v>4283</v>
      </c>
      <c r="D7">
        <v>821.7</v>
      </c>
      <c r="E7">
        <v>2.7</v>
      </c>
      <c r="F7">
        <v>2.5</v>
      </c>
      <c r="G7">
        <v>656.1</v>
      </c>
      <c r="H7" s="2">
        <f t="shared" si="0"/>
        <v>1.936302E+17</v>
      </c>
      <c r="I7" s="2">
        <f t="shared" si="1"/>
        <v>1607481683080000</v>
      </c>
      <c r="J7" s="2">
        <f t="shared" si="2"/>
        <v>3.434706E+17</v>
      </c>
      <c r="K7" s="2">
        <f t="shared" si="3"/>
        <v>1244700000000000</v>
      </c>
      <c r="L7" s="2">
        <f t="shared" si="4"/>
        <v>1045000000000000</v>
      </c>
      <c r="M7" s="2">
        <f t="shared" si="5"/>
        <v>3.136158E+17</v>
      </c>
      <c r="N7" s="2">
        <v>1.936302E+17</v>
      </c>
    </row>
    <row r="8" spans="1:30">
      <c r="A8">
        <v>2009</v>
      </c>
      <c r="B8">
        <v>644.5</v>
      </c>
      <c r="C8">
        <v>8149</v>
      </c>
      <c r="D8">
        <v>948.6</v>
      </c>
      <c r="E8">
        <v>2.1</v>
      </c>
      <c r="F8">
        <v>1.9</v>
      </c>
      <c r="G8">
        <v>252.6</v>
      </c>
      <c r="H8" s="2">
        <f t="shared" si="0"/>
        <v>2.04951E+17</v>
      </c>
      <c r="I8" s="2">
        <f t="shared" si="1"/>
        <v>3058456277240000</v>
      </c>
      <c r="J8" s="2">
        <f t="shared" si="2"/>
        <v>3.965148E+17</v>
      </c>
      <c r="K8" s="2">
        <f t="shared" si="3"/>
        <v>968100000000000</v>
      </c>
      <c r="L8" s="2">
        <f t="shared" si="4"/>
        <v>794200000000000</v>
      </c>
      <c r="M8" s="2">
        <f t="shared" si="5"/>
        <v>1.207428E+17</v>
      </c>
      <c r="N8" s="2">
        <v>2.04951E+17</v>
      </c>
    </row>
    <row r="9" spans="1:30">
      <c r="A9">
        <v>2008</v>
      </c>
      <c r="B9">
        <v>426.3</v>
      </c>
      <c r="C9">
        <v>7610</v>
      </c>
      <c r="D9">
        <v>907.4</v>
      </c>
      <c r="E9">
        <v>2.4</v>
      </c>
      <c r="F9">
        <v>2.9</v>
      </c>
      <c r="G9">
        <v>197.6</v>
      </c>
      <c r="H9" s="2">
        <f t="shared" si="0"/>
        <v>1.355634E+17</v>
      </c>
      <c r="I9" s="2">
        <f t="shared" si="1"/>
        <v>2856160543600000</v>
      </c>
      <c r="J9" s="2">
        <f t="shared" si="2"/>
        <v>3.792932E+17</v>
      </c>
      <c r="K9" s="2">
        <f t="shared" si="3"/>
        <v>1106400000000000</v>
      </c>
      <c r="L9" s="2">
        <f t="shared" si="4"/>
        <v>1212200000000000</v>
      </c>
      <c r="M9" s="2">
        <f t="shared" si="5"/>
        <v>9.44528E+16</v>
      </c>
      <c r="N9" s="2">
        <v>1.355634E+17</v>
      </c>
    </row>
    <row r="10" spans="1:30">
      <c r="A10">
        <v>2007</v>
      </c>
      <c r="B10">
        <v>373.8</v>
      </c>
      <c r="C10">
        <v>7441</v>
      </c>
      <c r="D10">
        <v>892.8</v>
      </c>
      <c r="E10">
        <v>2.2999999999999998</v>
      </c>
      <c r="F10">
        <v>5.4</v>
      </c>
      <c r="G10">
        <v>146.1</v>
      </c>
      <c r="H10" s="2">
        <f t="shared" si="0"/>
        <v>1.188684E+17</v>
      </c>
      <c r="I10" s="2">
        <f t="shared" si="1"/>
        <v>2792732011160000</v>
      </c>
      <c r="J10" s="2">
        <f t="shared" si="2"/>
        <v>3.731904E+17</v>
      </c>
      <c r="K10" s="2">
        <f t="shared" si="3"/>
        <v>1060300000000000</v>
      </c>
      <c r="L10" s="2">
        <f t="shared" si="4"/>
        <v>2257200000000000</v>
      </c>
      <c r="M10" s="2">
        <f t="shared" si="5"/>
        <v>6.98358E+16</v>
      </c>
      <c r="N10" s="2">
        <v>1.188684E+17</v>
      </c>
    </row>
    <row r="11" spans="1:30">
      <c r="A11">
        <v>2006</v>
      </c>
      <c r="B11">
        <v>600.79999999999995</v>
      </c>
      <c r="C11">
        <v>5139</v>
      </c>
      <c r="D11">
        <v>733.2</v>
      </c>
      <c r="E11">
        <v>2.1</v>
      </c>
      <c r="F11">
        <v>6.9</v>
      </c>
      <c r="G11">
        <v>67.7</v>
      </c>
      <c r="H11" s="2">
        <f t="shared" si="0"/>
        <v>1.910544E+17</v>
      </c>
      <c r="I11" s="2">
        <f t="shared" si="1"/>
        <v>1928752829640000</v>
      </c>
      <c r="J11" s="2">
        <f t="shared" si="2"/>
        <v>3.064776E+17</v>
      </c>
      <c r="K11" s="2">
        <f t="shared" si="3"/>
        <v>968100000000000</v>
      </c>
      <c r="L11" s="2">
        <f t="shared" si="4"/>
        <v>2884200000000000</v>
      </c>
      <c r="M11" s="2">
        <f t="shared" si="5"/>
        <v>3.23606E+16</v>
      </c>
      <c r="N11" s="2">
        <v>1.910544E+17</v>
      </c>
    </row>
    <row r="12" spans="1:30">
      <c r="A12">
        <v>2005</v>
      </c>
      <c r="B12">
        <v>526.6</v>
      </c>
      <c r="C12">
        <v>4953</v>
      </c>
      <c r="D12">
        <v>792</v>
      </c>
      <c r="E12">
        <v>6.5</v>
      </c>
      <c r="F12">
        <v>20.100000000000001</v>
      </c>
      <c r="G12">
        <v>47.9</v>
      </c>
      <c r="H12" s="2">
        <f t="shared" si="0"/>
        <v>1.674588E+17</v>
      </c>
      <c r="I12" s="2">
        <f t="shared" si="1"/>
        <v>1858943912280000</v>
      </c>
      <c r="J12" s="2">
        <f t="shared" si="2"/>
        <v>3.31056E+17</v>
      </c>
      <c r="K12" s="2">
        <f t="shared" si="3"/>
        <v>2996500000000000</v>
      </c>
      <c r="L12" s="2">
        <f t="shared" si="4"/>
        <v>8401800000000000</v>
      </c>
      <c r="M12" s="2">
        <f t="shared" si="5"/>
        <v>2.28962E+16</v>
      </c>
      <c r="N12" s="2">
        <v>1.674588E+17</v>
      </c>
    </row>
    <row r="13" spans="1:30">
      <c r="A13">
        <v>2004</v>
      </c>
      <c r="B13">
        <v>368.2</v>
      </c>
      <c r="C13">
        <v>4736</v>
      </c>
      <c r="D13">
        <v>511.3</v>
      </c>
      <c r="E13">
        <v>1.3</v>
      </c>
      <c r="F13">
        <v>22.4</v>
      </c>
      <c r="G13">
        <v>31</v>
      </c>
      <c r="H13" s="2">
        <f t="shared" si="0"/>
        <v>1.170876E+17</v>
      </c>
      <c r="I13" s="2">
        <f t="shared" si="1"/>
        <v>1777500175360000</v>
      </c>
      <c r="J13" s="2">
        <f t="shared" si="2"/>
        <v>2.137234E+17</v>
      </c>
      <c r="K13" s="2">
        <f t="shared" si="3"/>
        <v>599300000000000</v>
      </c>
      <c r="L13" s="2">
        <f t="shared" si="4"/>
        <v>9363200000000000</v>
      </c>
      <c r="M13" s="2">
        <f t="shared" si="5"/>
        <v>1.4818E+16</v>
      </c>
      <c r="N13" s="2">
        <v>1.170876E+17</v>
      </c>
    </row>
    <row r="14" spans="1:30">
      <c r="A14">
        <v>2003</v>
      </c>
      <c r="B14">
        <v>244.4</v>
      </c>
      <c r="C14">
        <v>4110</v>
      </c>
      <c r="D14">
        <v>363.9</v>
      </c>
      <c r="E14">
        <v>0.9</v>
      </c>
      <c r="F14" s="7">
        <v>18.600000000000001</v>
      </c>
      <c r="G14">
        <v>11</v>
      </c>
      <c r="H14" s="2">
        <f t="shared" si="0"/>
        <v>7.77192E+16</v>
      </c>
      <c r="I14" s="2">
        <f t="shared" si="1"/>
        <v>1542551883600000</v>
      </c>
      <c r="J14" s="2">
        <f t="shared" si="2"/>
        <v>1.521102E+17</v>
      </c>
      <c r="K14" s="2">
        <f t="shared" si="3"/>
        <v>414900000000000</v>
      </c>
      <c r="L14" s="2">
        <f t="shared" si="4"/>
        <v>7774800000000000</v>
      </c>
      <c r="M14" s="2">
        <f t="shared" si="5"/>
        <v>5258000000000000</v>
      </c>
      <c r="N14" s="2">
        <v>7.77192E+16</v>
      </c>
    </row>
    <row r="15" spans="1:30">
      <c r="A15">
        <v>2002</v>
      </c>
      <c r="B15">
        <v>222.5</v>
      </c>
      <c r="C15">
        <v>3539</v>
      </c>
      <c r="D15">
        <v>266.89999999999998</v>
      </c>
      <c r="E15">
        <v>4.5</v>
      </c>
      <c r="F15">
        <v>24.7</v>
      </c>
      <c r="G15">
        <v>13.1</v>
      </c>
      <c r="H15" s="2">
        <f t="shared" si="0"/>
        <v>7.0755E+16</v>
      </c>
      <c r="I15" s="2">
        <f t="shared" si="1"/>
        <v>1328246013640000</v>
      </c>
      <c r="J15" s="2">
        <f t="shared" si="2"/>
        <v>1.115642E+17</v>
      </c>
      <c r="K15" s="2">
        <f t="shared" si="3"/>
        <v>2074500000000000</v>
      </c>
      <c r="L15" s="2">
        <f t="shared" si="4"/>
        <v>1.03246E+16</v>
      </c>
      <c r="M15" s="2">
        <f t="shared" si="5"/>
        <v>6261800000000000</v>
      </c>
      <c r="N15" s="2">
        <v>7.0755E+16</v>
      </c>
    </row>
    <row r="16" spans="1:30">
      <c r="A16">
        <v>2001</v>
      </c>
      <c r="B16">
        <v>196.9</v>
      </c>
      <c r="C16">
        <v>2785</v>
      </c>
      <c r="D16">
        <v>236</v>
      </c>
      <c r="E16">
        <v>3.8</v>
      </c>
      <c r="F16">
        <v>22.2</v>
      </c>
      <c r="G16">
        <v>0.9</v>
      </c>
      <c r="H16" s="2">
        <f t="shared" si="0"/>
        <v>6.26142E+16</v>
      </c>
      <c r="I16" s="2">
        <f t="shared" si="1"/>
        <v>1045257176600000</v>
      </c>
      <c r="J16" s="2">
        <f t="shared" si="2"/>
        <v>9.8648E+16</v>
      </c>
      <c r="K16" s="2">
        <f t="shared" si="3"/>
        <v>1751800000000000</v>
      </c>
      <c r="L16" s="2">
        <f t="shared" si="4"/>
        <v>9279600000000000</v>
      </c>
      <c r="M16" s="2">
        <f t="shared" si="5"/>
        <v>430200000000000</v>
      </c>
      <c r="N16" s="2">
        <v>6.26142E+16</v>
      </c>
    </row>
    <row r="17" spans="1:14">
      <c r="A17">
        <v>2000</v>
      </c>
      <c r="B17">
        <v>155.5</v>
      </c>
      <c r="C17">
        <v>2636</v>
      </c>
      <c r="D17">
        <v>193.5</v>
      </c>
      <c r="E17">
        <v>5.9</v>
      </c>
      <c r="F17">
        <v>19.8</v>
      </c>
      <c r="G17">
        <v>1.8</v>
      </c>
      <c r="H17" s="2">
        <f t="shared" si="0"/>
        <v>4.9449E+16</v>
      </c>
      <c r="I17" s="2">
        <f t="shared" si="1"/>
        <v>989334979360000</v>
      </c>
      <c r="J17" s="2">
        <f t="shared" si="2"/>
        <v>8.0883E+16</v>
      </c>
      <c r="K17" s="2">
        <f t="shared" si="3"/>
        <v>2719900000000000</v>
      </c>
      <c r="L17" s="2">
        <f t="shared" si="4"/>
        <v>8276400000000000</v>
      </c>
      <c r="M17" s="2">
        <f t="shared" si="5"/>
        <v>860400000000000</v>
      </c>
      <c r="N17" s="2">
        <v>4.9449E+16</v>
      </c>
    </row>
    <row r="19" spans="1:14">
      <c r="A19" t="s">
        <v>63</v>
      </c>
      <c r="B19" t="s">
        <v>79</v>
      </c>
      <c r="C19" t="s">
        <v>66</v>
      </c>
      <c r="D19" t="s">
        <v>78</v>
      </c>
      <c r="E19" t="s">
        <v>77</v>
      </c>
      <c r="F19" t="s">
        <v>80</v>
      </c>
      <c r="G19" t="s">
        <v>81</v>
      </c>
      <c r="H19" t="s">
        <v>71</v>
      </c>
      <c r="I19" t="s">
        <v>72</v>
      </c>
      <c r="J19" t="s">
        <v>73</v>
      </c>
      <c r="K19" t="s">
        <v>74</v>
      </c>
      <c r="L19" t="s">
        <v>75</v>
      </c>
      <c r="M19" t="s">
        <v>76</v>
      </c>
    </row>
    <row r="20" spans="1:14">
      <c r="A20">
        <v>2016</v>
      </c>
      <c r="B20">
        <v>5907.4</v>
      </c>
      <c r="C20">
        <v>67537</v>
      </c>
      <c r="D20">
        <v>544</v>
      </c>
      <c r="E20">
        <v>0.6</v>
      </c>
      <c r="F20">
        <v>1.2</v>
      </c>
      <c r="G20">
        <v>685</v>
      </c>
      <c r="H20" s="2">
        <f>B20*10000*31800000000</f>
        <v>1.8785532E+18</v>
      </c>
      <c r="I20" s="2">
        <f xml:space="preserve"> C20*10000*8966*4186</f>
        <v>2.534776802012E+16</v>
      </c>
      <c r="J20" s="2">
        <f>D20*10000*41800000000</f>
        <v>2.27392E+17</v>
      </c>
      <c r="K20" s="2">
        <f>E20*10000*46100000000</f>
        <v>276600000000000</v>
      </c>
      <c r="L20" s="2">
        <f>F20*10000*41800000000</f>
        <v>501600000000000</v>
      </c>
      <c r="M20" s="2">
        <f>G20*10000*47800000000</f>
        <v>3.2743E+17</v>
      </c>
    </row>
    <row r="21" spans="1:14">
      <c r="A21">
        <v>2015</v>
      </c>
      <c r="B21">
        <v>3841</v>
      </c>
      <c r="C21">
        <v>44606</v>
      </c>
      <c r="D21">
        <v>349</v>
      </c>
      <c r="E21">
        <v>0.7</v>
      </c>
      <c r="F21">
        <v>1.2</v>
      </c>
      <c r="G21">
        <v>510</v>
      </c>
      <c r="H21" s="2">
        <f t="shared" ref="H21:H36" si="6">B21*10000*31800000000</f>
        <v>1.221438E+18</v>
      </c>
      <c r="I21" s="2">
        <f t="shared" ref="I21:I36" si="7" xml:space="preserve"> C21*10000*8966*4186</f>
        <v>1.674137939656E+16</v>
      </c>
      <c r="J21" s="2">
        <f t="shared" ref="J21:J36" si="8">D21*10000*41800000000</f>
        <v>1.45882E+17</v>
      </c>
      <c r="K21" s="2">
        <f t="shared" ref="K21:K36" si="9">E21*10000*46100000000</f>
        <v>322700000000000</v>
      </c>
      <c r="L21" s="2">
        <f t="shared" ref="L21:L36" si="10">F21*10000*41800000000</f>
        <v>501600000000000</v>
      </c>
      <c r="M21" s="2">
        <f t="shared" ref="M21:M36" si="11">G21*10000*47800000000</f>
        <v>2.4378E+17</v>
      </c>
    </row>
    <row r="22" spans="1:14">
      <c r="A22">
        <v>2014</v>
      </c>
      <c r="B22">
        <v>1312</v>
      </c>
      <c r="C22">
        <v>33678</v>
      </c>
      <c r="D22">
        <v>345</v>
      </c>
      <c r="E22">
        <v>0.9</v>
      </c>
      <c r="F22">
        <v>1.1000000000000001</v>
      </c>
      <c r="G22">
        <v>262</v>
      </c>
      <c r="H22" s="2">
        <f t="shared" si="6"/>
        <v>4.17216E+17</v>
      </c>
      <c r="I22" s="2">
        <f t="shared" si="7"/>
        <v>1.263991784328E+16</v>
      </c>
      <c r="J22" s="2">
        <f t="shared" si="8"/>
        <v>1.4421E+17</v>
      </c>
      <c r="K22" s="2">
        <f t="shared" si="9"/>
        <v>414900000000000</v>
      </c>
      <c r="L22" s="2">
        <f t="shared" si="10"/>
        <v>459800000000000</v>
      </c>
      <c r="M22" s="2">
        <f t="shared" si="11"/>
        <v>1.25236E+17</v>
      </c>
    </row>
    <row r="23" spans="1:14">
      <c r="A23">
        <v>2013</v>
      </c>
      <c r="B23">
        <v>1296</v>
      </c>
      <c r="C23">
        <v>30676</v>
      </c>
      <c r="D23">
        <v>324</v>
      </c>
      <c r="E23">
        <v>0.7</v>
      </c>
      <c r="F23">
        <v>1.3</v>
      </c>
      <c r="G23">
        <v>227</v>
      </c>
      <c r="H23" s="2">
        <f t="shared" si="6"/>
        <v>4.12128E+17</v>
      </c>
      <c r="I23" s="2">
        <f t="shared" si="7"/>
        <v>1.151321692976E+16</v>
      </c>
      <c r="J23" s="2">
        <f t="shared" si="8"/>
        <v>1.35432E+17</v>
      </c>
      <c r="K23" s="2">
        <f t="shared" si="9"/>
        <v>322700000000000</v>
      </c>
      <c r="L23" s="2">
        <f t="shared" si="10"/>
        <v>543400000000000</v>
      </c>
      <c r="M23" s="2">
        <f t="shared" si="11"/>
        <v>1.08506E+17</v>
      </c>
    </row>
    <row r="24" spans="1:14">
      <c r="A24">
        <v>2012</v>
      </c>
      <c r="B24">
        <v>1327</v>
      </c>
      <c r="C24">
        <v>18270</v>
      </c>
      <c r="D24">
        <v>265</v>
      </c>
      <c r="E24">
        <v>0.8</v>
      </c>
      <c r="F24">
        <v>1.3</v>
      </c>
      <c r="G24">
        <v>250</v>
      </c>
      <c r="H24" s="2">
        <f t="shared" si="6"/>
        <v>4.21986E+17</v>
      </c>
      <c r="I24" s="2">
        <f t="shared" si="7"/>
        <v>6857037205200000</v>
      </c>
      <c r="J24" s="2">
        <f t="shared" si="8"/>
        <v>1.1077E+17</v>
      </c>
      <c r="K24" s="2">
        <f t="shared" si="9"/>
        <v>368800000000000</v>
      </c>
      <c r="L24" s="2">
        <f t="shared" si="10"/>
        <v>543400000000000</v>
      </c>
      <c r="M24" s="2">
        <f t="shared" si="11"/>
        <v>1.195E+17</v>
      </c>
    </row>
    <row r="25" spans="1:14">
      <c r="A25">
        <v>2011</v>
      </c>
      <c r="B25">
        <v>1343</v>
      </c>
      <c r="C25">
        <v>15672</v>
      </c>
      <c r="D25">
        <v>242</v>
      </c>
      <c r="E25">
        <v>0.6</v>
      </c>
      <c r="F25">
        <v>1.3</v>
      </c>
      <c r="G25">
        <v>214</v>
      </c>
      <c r="H25" s="2">
        <f t="shared" si="6"/>
        <v>4.27074E+17</v>
      </c>
      <c r="I25" s="2">
        <f t="shared" si="7"/>
        <v>5881964262720000</v>
      </c>
      <c r="J25" s="2">
        <f t="shared" si="8"/>
        <v>1.01156E+17</v>
      </c>
      <c r="K25" s="2">
        <f t="shared" si="9"/>
        <v>276600000000000</v>
      </c>
      <c r="L25" s="2">
        <f t="shared" si="10"/>
        <v>543400000000000</v>
      </c>
      <c r="M25" s="2">
        <f t="shared" si="11"/>
        <v>1.02292E+17</v>
      </c>
    </row>
    <row r="26" spans="1:14">
      <c r="A26">
        <v>2010</v>
      </c>
      <c r="B26">
        <v>1244</v>
      </c>
      <c r="C26">
        <v>11609</v>
      </c>
      <c r="D26">
        <v>295</v>
      </c>
      <c r="E26">
        <v>0.7</v>
      </c>
      <c r="F26">
        <v>1.4</v>
      </c>
      <c r="G26">
        <v>155</v>
      </c>
      <c r="H26" s="2">
        <f t="shared" si="6"/>
        <v>3.95592E+17</v>
      </c>
      <c r="I26" s="2">
        <f t="shared" si="7"/>
        <v>4357052266840000</v>
      </c>
      <c r="J26" s="2">
        <f t="shared" si="8"/>
        <v>1.2331E+17</v>
      </c>
      <c r="K26" s="2">
        <f t="shared" si="9"/>
        <v>322700000000000</v>
      </c>
      <c r="L26" s="2">
        <f t="shared" si="10"/>
        <v>585200000000000</v>
      </c>
      <c r="M26" s="2">
        <f t="shared" si="11"/>
        <v>7.409E+16</v>
      </c>
    </row>
    <row r="27" spans="1:14">
      <c r="A27">
        <v>2009</v>
      </c>
      <c r="B27">
        <v>1151</v>
      </c>
      <c r="C27">
        <v>10521</v>
      </c>
      <c r="D27">
        <v>291</v>
      </c>
      <c r="E27">
        <v>0.9</v>
      </c>
      <c r="F27">
        <v>1.2</v>
      </c>
      <c r="G27">
        <v>103</v>
      </c>
      <c r="H27" s="2">
        <f t="shared" si="6"/>
        <v>3.66018E+17</v>
      </c>
      <c r="I27" s="2">
        <f t="shared" si="7"/>
        <v>3948707631960000</v>
      </c>
      <c r="J27" s="2">
        <f t="shared" si="8"/>
        <v>1.21638E+17</v>
      </c>
      <c r="K27" s="2">
        <f t="shared" si="9"/>
        <v>414900000000000</v>
      </c>
      <c r="L27" s="2">
        <f t="shared" si="10"/>
        <v>501600000000000</v>
      </c>
      <c r="M27" s="2">
        <f t="shared" si="11"/>
        <v>4.9234E+16</v>
      </c>
    </row>
    <row r="28" spans="1:14">
      <c r="A28">
        <v>2008</v>
      </c>
      <c r="B28">
        <v>1103</v>
      </c>
      <c r="C28">
        <v>9454</v>
      </c>
      <c r="D28">
        <v>286</v>
      </c>
      <c r="E28">
        <v>1</v>
      </c>
      <c r="F28">
        <v>1.7</v>
      </c>
      <c r="G28">
        <v>69</v>
      </c>
      <c r="H28" s="2">
        <f t="shared" si="6"/>
        <v>3.50754E+17</v>
      </c>
      <c r="I28" s="2">
        <f t="shared" si="7"/>
        <v>3548244649040000</v>
      </c>
      <c r="J28" s="2">
        <f t="shared" si="8"/>
        <v>1.19548E+17</v>
      </c>
      <c r="K28" s="2">
        <f t="shared" si="9"/>
        <v>461000000000000</v>
      </c>
      <c r="L28" s="2">
        <f t="shared" si="10"/>
        <v>710600000000000</v>
      </c>
      <c r="M28" s="2">
        <f t="shared" si="11"/>
        <v>3.2982E+16</v>
      </c>
    </row>
    <row r="29" spans="1:14">
      <c r="A29">
        <v>2007</v>
      </c>
      <c r="B29">
        <v>1057</v>
      </c>
      <c r="C29">
        <v>8876</v>
      </c>
      <c r="D29">
        <v>290</v>
      </c>
      <c r="E29">
        <v>1.1000000000000001</v>
      </c>
      <c r="F29">
        <v>1.9</v>
      </c>
      <c r="G29">
        <v>57</v>
      </c>
      <c r="H29" s="2">
        <f t="shared" si="6"/>
        <v>3.36126E+17</v>
      </c>
      <c r="I29" s="2">
        <f t="shared" si="7"/>
        <v>3331311561760000</v>
      </c>
      <c r="J29" s="2">
        <f t="shared" si="8"/>
        <v>1.2122E+17</v>
      </c>
      <c r="K29" s="2">
        <f t="shared" si="9"/>
        <v>507100000000000</v>
      </c>
      <c r="L29" s="2">
        <f t="shared" si="10"/>
        <v>794200000000000</v>
      </c>
      <c r="M29" s="2">
        <f t="shared" si="11"/>
        <v>2.7246E+16</v>
      </c>
    </row>
    <row r="30" spans="1:14">
      <c r="A30">
        <v>2006</v>
      </c>
      <c r="B30">
        <v>1019</v>
      </c>
      <c r="C30">
        <v>9275</v>
      </c>
      <c r="D30">
        <v>285</v>
      </c>
      <c r="E30">
        <v>1.1000000000000001</v>
      </c>
      <c r="F30">
        <v>1.8</v>
      </c>
      <c r="G30">
        <v>43</v>
      </c>
      <c r="H30" s="2">
        <f t="shared" si="6"/>
        <v>3.24042E+17</v>
      </c>
      <c r="I30" s="2">
        <f t="shared" si="7"/>
        <v>3481062949000000</v>
      </c>
      <c r="J30" s="2">
        <f t="shared" si="8"/>
        <v>1.1913E+17</v>
      </c>
      <c r="K30" s="2">
        <f t="shared" si="9"/>
        <v>507100000000000</v>
      </c>
      <c r="L30" s="2">
        <f t="shared" si="10"/>
        <v>752400000000000</v>
      </c>
      <c r="M30" s="2">
        <f t="shared" si="11"/>
        <v>2.0554E+16</v>
      </c>
    </row>
    <row r="31" spans="1:14">
      <c r="A31">
        <v>2005</v>
      </c>
      <c r="B31">
        <v>988</v>
      </c>
      <c r="C31">
        <v>8543</v>
      </c>
      <c r="D31">
        <v>279</v>
      </c>
      <c r="E31">
        <v>1.3</v>
      </c>
      <c r="F31">
        <v>2.4</v>
      </c>
      <c r="G31">
        <v>32</v>
      </c>
      <c r="H31" s="2">
        <f t="shared" si="6"/>
        <v>3.14184E+17</v>
      </c>
      <c r="I31" s="2">
        <f t="shared" si="7"/>
        <v>3206331080680000</v>
      </c>
      <c r="J31" s="2">
        <f t="shared" si="8"/>
        <v>1.16622E+17</v>
      </c>
      <c r="K31" s="2">
        <f t="shared" si="9"/>
        <v>599300000000000</v>
      </c>
      <c r="L31" s="2">
        <f t="shared" si="10"/>
        <v>1003200000000000</v>
      </c>
      <c r="M31" s="2">
        <f t="shared" si="11"/>
        <v>1.5296E+16</v>
      </c>
    </row>
    <row r="32" spans="1:14">
      <c r="A32">
        <v>2004</v>
      </c>
      <c r="B32">
        <v>864</v>
      </c>
      <c r="C32">
        <v>8039</v>
      </c>
      <c r="D32">
        <v>247</v>
      </c>
      <c r="E32">
        <v>1.5</v>
      </c>
      <c r="F32">
        <v>3.7</v>
      </c>
      <c r="G32">
        <v>27</v>
      </c>
      <c r="H32" s="2">
        <f t="shared" si="6"/>
        <v>2.74752E+17</v>
      </c>
      <c r="I32" s="2">
        <f t="shared" si="7"/>
        <v>3017171433640000</v>
      </c>
      <c r="J32" s="2">
        <f t="shared" si="8"/>
        <v>1.03246E+17</v>
      </c>
      <c r="K32" s="2">
        <f t="shared" si="9"/>
        <v>691500000000000</v>
      </c>
      <c r="L32" s="2">
        <f t="shared" si="10"/>
        <v>1546600000000000</v>
      </c>
      <c r="M32" s="2">
        <f t="shared" si="11"/>
        <v>1.2906E+16</v>
      </c>
    </row>
    <row r="33" spans="1:13">
      <c r="A33">
        <v>2003</v>
      </c>
      <c r="B33">
        <v>698</v>
      </c>
      <c r="C33">
        <v>7218</v>
      </c>
      <c r="D33">
        <v>169</v>
      </c>
      <c r="E33">
        <v>1.2</v>
      </c>
      <c r="F33">
        <v>1.2</v>
      </c>
      <c r="G33">
        <v>9.6999999999999993</v>
      </c>
      <c r="H33" s="2">
        <f t="shared" si="6"/>
        <v>2.21964E+17</v>
      </c>
      <c r="I33" s="2">
        <f t="shared" si="7"/>
        <v>2709036373680000</v>
      </c>
      <c r="J33" s="2">
        <f t="shared" si="8"/>
        <v>7.0642E+16</v>
      </c>
      <c r="K33" s="2">
        <f t="shared" si="9"/>
        <v>553200000000000</v>
      </c>
      <c r="L33" s="2">
        <f t="shared" si="10"/>
        <v>501600000000000</v>
      </c>
      <c r="M33" s="2">
        <f t="shared" si="11"/>
        <v>4636600000000000</v>
      </c>
    </row>
    <row r="34" spans="1:13">
      <c r="A34">
        <v>2002</v>
      </c>
      <c r="B34">
        <v>524</v>
      </c>
      <c r="C34">
        <v>6435</v>
      </c>
      <c r="D34">
        <v>134</v>
      </c>
      <c r="E34">
        <v>0.9</v>
      </c>
      <c r="F34">
        <v>5.9</v>
      </c>
      <c r="G34">
        <v>6.4</v>
      </c>
      <c r="H34" s="2">
        <f t="shared" si="6"/>
        <v>1.66632E+17</v>
      </c>
      <c r="I34" s="2">
        <f t="shared" si="7"/>
        <v>2415163350600000</v>
      </c>
      <c r="J34" s="2">
        <f t="shared" si="8"/>
        <v>5.6012E+16</v>
      </c>
      <c r="K34" s="2">
        <f t="shared" si="9"/>
        <v>414900000000000</v>
      </c>
      <c r="L34" s="2">
        <f t="shared" si="10"/>
        <v>2466200000000000</v>
      </c>
      <c r="M34" s="2">
        <f t="shared" si="11"/>
        <v>3059200000000000</v>
      </c>
    </row>
    <row r="35" spans="1:13">
      <c r="A35">
        <v>2001</v>
      </c>
      <c r="B35">
        <v>461</v>
      </c>
      <c r="C35">
        <v>5879</v>
      </c>
      <c r="D35">
        <v>92</v>
      </c>
      <c r="E35">
        <v>2.2999999999999998</v>
      </c>
      <c r="F35">
        <v>6.3</v>
      </c>
      <c r="G35">
        <v>2.1</v>
      </c>
      <c r="H35" s="2">
        <f t="shared" si="6"/>
        <v>1.46598E+17</v>
      </c>
      <c r="I35" s="2">
        <f t="shared" si="7"/>
        <v>2206487232040000</v>
      </c>
      <c r="J35" s="2">
        <f t="shared" si="8"/>
        <v>3.8456E+16</v>
      </c>
      <c r="K35" s="2">
        <f t="shared" si="9"/>
        <v>1060300000000000</v>
      </c>
      <c r="L35" s="2">
        <f t="shared" si="10"/>
        <v>2633400000000000</v>
      </c>
      <c r="M35" s="2">
        <f t="shared" si="11"/>
        <v>1003800000000000</v>
      </c>
    </row>
    <row r="36" spans="1:13">
      <c r="A36">
        <v>2000</v>
      </c>
      <c r="B36">
        <v>357</v>
      </c>
      <c r="C36">
        <v>5217</v>
      </c>
      <c r="D36">
        <v>77</v>
      </c>
      <c r="E36">
        <v>2.5</v>
      </c>
      <c r="F36">
        <v>9.6999999999999993</v>
      </c>
      <c r="G36">
        <v>0.8</v>
      </c>
      <c r="H36" s="2">
        <f t="shared" si="6"/>
        <v>1.13526E+17</v>
      </c>
      <c r="I36" s="2">
        <f t="shared" si="7"/>
        <v>1958027536920000</v>
      </c>
      <c r="J36" s="2">
        <f t="shared" si="8"/>
        <v>3.2186E+16</v>
      </c>
      <c r="K36" s="2">
        <f t="shared" si="9"/>
        <v>1152500000000000</v>
      </c>
      <c r="L36" s="2">
        <f t="shared" si="10"/>
        <v>4054600000000000</v>
      </c>
      <c r="M36" s="2">
        <f t="shared" si="11"/>
        <v>382400000000000</v>
      </c>
    </row>
    <row r="37" spans="1:13">
      <c r="K37" s="2"/>
      <c r="L37" s="2"/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Sheet10</vt:lpstr>
      <vt:lpstr>Sheet11</vt:lpstr>
      <vt:lpstr>Sheet9</vt:lpstr>
      <vt:lpstr>Sheet13</vt:lpstr>
      <vt:lpstr>Sheet14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2018-12-14T03:10:10Z</dcterms:modified>
</cp:coreProperties>
</file>