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a\Studium\Tübingen\PhD\NiddaMan\Embryotest\11. Glyphosat\"/>
    </mc:Choice>
  </mc:AlternateContent>
  <bookViews>
    <workbookView xWindow="150" yWindow="60" windowWidth="14580" windowHeight="12765" tabRatio="864"/>
  </bookViews>
  <sheets>
    <sheet name="Mortality" sheetId="1" r:id="rId1"/>
    <sheet name="Hatching rate" sheetId="2" r:id="rId2"/>
    <sheet name="Heart rate" sheetId="5" r:id="rId3"/>
    <sheet name="Developmental delays" sheetId="9" r:id="rId4"/>
    <sheet name="Malformations" sheetId="4" r:id="rId5"/>
  </sheets>
  <calcPr calcId="171027"/>
</workbook>
</file>

<file path=xl/calcChain.xml><?xml version="1.0" encoding="utf-8"?>
<calcChain xmlns="http://schemas.openxmlformats.org/spreadsheetml/2006/main">
  <c r="I146" i="2" l="1"/>
  <c r="I140" i="2"/>
  <c r="I134" i="2"/>
  <c r="I128" i="2"/>
  <c r="I143" i="2"/>
  <c r="I137" i="2"/>
  <c r="I131" i="2"/>
  <c r="I125" i="2"/>
  <c r="I122" i="2"/>
  <c r="I145" i="2"/>
  <c r="I139" i="2"/>
  <c r="I133" i="2"/>
  <c r="I127" i="2"/>
  <c r="I142" i="2"/>
  <c r="I136" i="2"/>
  <c r="I130" i="2"/>
  <c r="I124" i="2"/>
  <c r="I121" i="2"/>
  <c r="I144" i="2"/>
  <c r="I138" i="2"/>
  <c r="I132" i="2"/>
  <c r="I126" i="2"/>
  <c r="I141" i="2"/>
  <c r="I135" i="2"/>
  <c r="I120" i="2"/>
  <c r="D152" i="2"/>
  <c r="D146" i="2"/>
  <c r="D140" i="2"/>
  <c r="D149" i="2"/>
  <c r="D143" i="2"/>
  <c r="D137" i="2"/>
  <c r="D151" i="2"/>
  <c r="D145" i="2"/>
  <c r="D139" i="2"/>
  <c r="D148" i="2"/>
  <c r="D138" i="2"/>
  <c r="D142" i="2"/>
  <c r="D136" i="2"/>
  <c r="D150" i="2"/>
  <c r="D147" i="2"/>
  <c r="D135" i="2"/>
  <c r="D122" i="2"/>
  <c r="D120" i="2"/>
  <c r="D121" i="2"/>
  <c r="AC158" i="2"/>
  <c r="AC157" i="2"/>
  <c r="AC152" i="2"/>
  <c r="AC151" i="2"/>
  <c r="AC150" i="2"/>
  <c r="AC148" i="2"/>
  <c r="AC155" i="2"/>
  <c r="AC147" i="2"/>
  <c r="AC143" i="2"/>
  <c r="AC142" i="2"/>
  <c r="AC122" i="2"/>
  <c r="AC121" i="2"/>
  <c r="AC120" i="2"/>
  <c r="X158" i="2"/>
  <c r="X157" i="2"/>
  <c r="X152" i="2"/>
  <c r="X151" i="2"/>
  <c r="X150" i="2"/>
  <c r="X146" i="2"/>
  <c r="X145" i="2"/>
  <c r="X149" i="2"/>
  <c r="X148" i="2"/>
  <c r="X143" i="2"/>
  <c r="X142" i="2"/>
  <c r="X120" i="2"/>
  <c r="X121" i="2"/>
  <c r="X122" i="2"/>
  <c r="S158" i="2"/>
  <c r="S157" i="2"/>
  <c r="S152" i="2"/>
  <c r="S146" i="2"/>
  <c r="S145" i="2"/>
  <c r="S155" i="2"/>
  <c r="S149" i="2"/>
  <c r="S143" i="2"/>
  <c r="S137" i="2"/>
  <c r="S136" i="2"/>
  <c r="S135" i="2"/>
  <c r="S122" i="2"/>
  <c r="S121" i="2"/>
  <c r="S120" i="2"/>
  <c r="N158" i="2"/>
  <c r="N157" i="2"/>
  <c r="N156" i="2"/>
  <c r="N152" i="2"/>
  <c r="N151" i="2"/>
  <c r="N150" i="2"/>
  <c r="N146" i="2"/>
  <c r="N145" i="2"/>
  <c r="N155" i="2"/>
  <c r="N154" i="2"/>
  <c r="N153" i="2"/>
  <c r="N149" i="2"/>
  <c r="N148" i="2"/>
  <c r="N143" i="2"/>
  <c r="N142" i="2"/>
  <c r="N141" i="2"/>
  <c r="N121" i="2"/>
  <c r="N120" i="2"/>
  <c r="D113" i="2" l="1"/>
  <c r="D112" i="2"/>
  <c r="D106" i="2"/>
  <c r="D101" i="2"/>
  <c r="D100" i="2"/>
  <c r="D96" i="2"/>
  <c r="D95" i="2"/>
  <c r="D94" i="2"/>
  <c r="D111" i="2"/>
  <c r="D110" i="2"/>
  <c r="D109" i="2"/>
  <c r="D84" i="2"/>
  <c r="D83" i="2"/>
  <c r="D82" i="2"/>
  <c r="D105" i="2"/>
  <c r="D104" i="2"/>
  <c r="D103" i="2"/>
  <c r="D98" i="2"/>
  <c r="D97" i="2"/>
  <c r="D93" i="2"/>
  <c r="D92" i="2"/>
  <c r="D91" i="2"/>
  <c r="N75" i="2" l="1"/>
  <c r="N74" i="2"/>
  <c r="N73" i="2"/>
  <c r="N72" i="2"/>
  <c r="N71" i="2"/>
  <c r="N70" i="2"/>
  <c r="N67" i="2"/>
  <c r="N65" i="2"/>
  <c r="N64" i="2"/>
  <c r="N61" i="2"/>
  <c r="N58" i="2"/>
  <c r="N57" i="2"/>
  <c r="N56" i="2"/>
  <c r="N55" i="2"/>
  <c r="N53" i="2"/>
  <c r="N52" i="2"/>
  <c r="N49" i="2"/>
  <c r="N48" i="2"/>
  <c r="N47" i="2"/>
  <c r="N46" i="2"/>
  <c r="I46" i="2"/>
  <c r="I47" i="2"/>
  <c r="I48" i="2"/>
  <c r="I49" i="2"/>
  <c r="I52" i="2"/>
  <c r="I53" i="2"/>
  <c r="I55" i="2"/>
  <c r="I56" i="2"/>
  <c r="I58" i="2"/>
  <c r="I59" i="2"/>
  <c r="I61" i="2"/>
  <c r="I64" i="2"/>
  <c r="I65" i="2"/>
  <c r="I67" i="2"/>
  <c r="I68" i="2"/>
  <c r="I69" i="2"/>
  <c r="I70" i="2"/>
  <c r="I71" i="2"/>
  <c r="I72" i="2"/>
  <c r="I73" i="2"/>
  <c r="I74" i="2"/>
  <c r="I75" i="2"/>
  <c r="D75" i="2"/>
  <c r="D74" i="2"/>
  <c r="D73" i="2"/>
  <c r="D72" i="2"/>
  <c r="D71" i="2"/>
  <c r="D70" i="2"/>
  <c r="D67" i="2"/>
  <c r="D64" i="2"/>
  <c r="D62" i="2"/>
  <c r="D61" i="2"/>
  <c r="D58" i="2"/>
  <c r="D55" i="2"/>
  <c r="D52" i="2"/>
  <c r="D49" i="2"/>
  <c r="D48" i="2"/>
  <c r="D47" i="2"/>
  <c r="D46" i="2"/>
  <c r="N38" i="2"/>
  <c r="N37" i="2"/>
  <c r="N36" i="2"/>
  <c r="N24" i="2"/>
  <c r="N13" i="2"/>
  <c r="N12" i="2"/>
  <c r="N26" i="2" l="1"/>
  <c r="N25" i="2"/>
  <c r="N23" i="2"/>
  <c r="N22" i="2"/>
  <c r="N21" i="2"/>
  <c r="N19" i="2"/>
  <c r="N18" i="2"/>
  <c r="N16" i="2"/>
  <c r="N15" i="2"/>
  <c r="N10" i="2"/>
  <c r="N9" i="2"/>
  <c r="I36" i="2"/>
  <c r="I28" i="2"/>
  <c r="I26" i="2"/>
  <c r="I25" i="2"/>
  <c r="I24" i="2"/>
  <c r="I23" i="2"/>
  <c r="I22" i="2"/>
  <c r="I21" i="2"/>
  <c r="I18" i="2"/>
  <c r="I17" i="2"/>
  <c r="I16" i="2"/>
  <c r="I15" i="2"/>
  <c r="I14" i="2"/>
  <c r="I13" i="2"/>
  <c r="I12" i="2"/>
  <c r="I11" i="2"/>
  <c r="I10" i="2"/>
  <c r="I9" i="2"/>
  <c r="D37" i="2"/>
  <c r="D36" i="2"/>
  <c r="D28" i="2"/>
  <c r="D26" i="2"/>
  <c r="D25" i="2"/>
  <c r="D23" i="2"/>
  <c r="D22" i="2"/>
  <c r="D21" i="2"/>
  <c r="D18" i="2"/>
  <c r="D15" i="2"/>
  <c r="D14" i="2"/>
  <c r="D13" i="2"/>
  <c r="D12" i="2"/>
  <c r="D11" i="2"/>
  <c r="D10" i="2"/>
  <c r="D9" i="2"/>
  <c r="AN316" i="5" l="1"/>
  <c r="AO316" i="5"/>
  <c r="J187" i="1"/>
  <c r="AG348" i="5" l="1"/>
  <c r="AH348" i="5"/>
  <c r="AO380" i="5" l="1"/>
  <c r="AN380" i="5"/>
  <c r="AO372" i="5"/>
  <c r="AN372" i="5"/>
  <c r="AO364" i="5"/>
  <c r="AN364" i="5"/>
  <c r="AO356" i="5"/>
  <c r="AN356" i="5"/>
  <c r="AO348" i="5"/>
  <c r="AN348" i="5"/>
  <c r="AO340" i="5"/>
  <c r="AN340" i="5"/>
  <c r="AO332" i="5"/>
  <c r="AN332" i="5"/>
  <c r="AO324" i="5"/>
  <c r="AN324" i="5"/>
  <c r="AO308" i="5"/>
  <c r="AN308" i="5"/>
  <c r="AO300" i="5"/>
  <c r="AN300" i="5"/>
  <c r="AO292" i="5"/>
  <c r="AN292" i="5"/>
  <c r="AO284" i="5"/>
  <c r="AN284" i="5"/>
  <c r="AO276" i="5"/>
  <c r="AN276" i="5"/>
  <c r="K200" i="1"/>
  <c r="L200" i="1" s="1"/>
  <c r="J200" i="1"/>
  <c r="K199" i="1"/>
  <c r="L199" i="1" s="1"/>
  <c r="J199" i="1"/>
  <c r="K198" i="1"/>
  <c r="L198" i="1" s="1"/>
  <c r="J198" i="1"/>
  <c r="K197" i="1"/>
  <c r="L197" i="1" s="1"/>
  <c r="J197" i="1"/>
  <c r="K196" i="1"/>
  <c r="L196" i="1" s="1"/>
  <c r="J196" i="1"/>
  <c r="K195" i="1"/>
  <c r="L195" i="1" s="1"/>
  <c r="J195" i="1"/>
  <c r="K194" i="1"/>
  <c r="L194" i="1" s="1"/>
  <c r="J194" i="1"/>
  <c r="K193" i="1"/>
  <c r="L193" i="1" s="1"/>
  <c r="J193" i="1"/>
  <c r="K192" i="1"/>
  <c r="L192" i="1" s="1"/>
  <c r="J192" i="1"/>
  <c r="K191" i="1"/>
  <c r="L191" i="1" s="1"/>
  <c r="J191" i="1"/>
  <c r="K190" i="1"/>
  <c r="L190" i="1" s="1"/>
  <c r="J190" i="1"/>
  <c r="K189" i="1"/>
  <c r="L189" i="1" s="1"/>
  <c r="J189" i="1"/>
  <c r="K188" i="1"/>
  <c r="L188" i="1" s="1"/>
  <c r="J188" i="1"/>
  <c r="K187" i="1"/>
  <c r="L187" i="1" s="1"/>
  <c r="D177" i="4"/>
  <c r="D176" i="4"/>
  <c r="F176" i="4" s="1"/>
  <c r="D175" i="4"/>
  <c r="F175" i="4" s="1"/>
  <c r="D174" i="4"/>
  <c r="F174" i="4" s="1"/>
  <c r="D173" i="4"/>
  <c r="F173" i="4" s="1"/>
  <c r="D172" i="4"/>
  <c r="F172" i="4" s="1"/>
  <c r="D171" i="4"/>
  <c r="F171" i="4" s="1"/>
  <c r="D170" i="4"/>
  <c r="D169" i="4"/>
  <c r="D168" i="4"/>
  <c r="D167" i="4"/>
  <c r="D166" i="4"/>
  <c r="D165" i="4"/>
  <c r="D164" i="4"/>
  <c r="F164" i="4" s="1"/>
  <c r="D179" i="9"/>
  <c r="D178" i="9"/>
  <c r="F178" i="9" s="1"/>
  <c r="D177" i="9"/>
  <c r="F177" i="9" s="1"/>
  <c r="D176" i="9"/>
  <c r="F176" i="9" s="1"/>
  <c r="D175" i="9"/>
  <c r="F175" i="9" s="1"/>
  <c r="D174" i="9"/>
  <c r="F174" i="9" s="1"/>
  <c r="D173" i="9"/>
  <c r="F173" i="9" s="1"/>
  <c r="D172" i="9"/>
  <c r="F172" i="9" s="1"/>
  <c r="D171" i="9"/>
  <c r="F171" i="9" s="1"/>
  <c r="D170" i="9"/>
  <c r="D169" i="9"/>
  <c r="F169" i="9" s="1"/>
  <c r="D166" i="9"/>
  <c r="F166" i="9" s="1"/>
  <c r="J168" i="1" l="1"/>
  <c r="Y332" i="5" l="1"/>
  <c r="Z332" i="5"/>
  <c r="Y316" i="5"/>
  <c r="Z316" i="5"/>
  <c r="D161" i="4" l="1"/>
  <c r="D160" i="4"/>
  <c r="F160" i="4" s="1"/>
  <c r="D159" i="4"/>
  <c r="F159" i="4" s="1"/>
  <c r="D158" i="4"/>
  <c r="F158" i="4" s="1"/>
  <c r="D157" i="4"/>
  <c r="F157" i="4" s="1"/>
  <c r="D156" i="4"/>
  <c r="F156" i="4" s="1"/>
  <c r="D155" i="4"/>
  <c r="F155" i="4" s="1"/>
  <c r="D154" i="4"/>
  <c r="F154" i="4" s="1"/>
  <c r="D153" i="4"/>
  <c r="D152" i="4"/>
  <c r="D151" i="4"/>
  <c r="D150" i="4"/>
  <c r="D149" i="4"/>
  <c r="D148" i="4"/>
  <c r="F148" i="4" s="1"/>
  <c r="D146" i="4"/>
  <c r="D145" i="4"/>
  <c r="D144" i="4"/>
  <c r="F144" i="4" s="1"/>
  <c r="D143" i="4"/>
  <c r="D142" i="4"/>
  <c r="D141" i="4"/>
  <c r="D140" i="4"/>
  <c r="D139" i="4"/>
  <c r="D138" i="4"/>
  <c r="D137" i="4"/>
  <c r="D136" i="4"/>
  <c r="D135" i="4"/>
  <c r="D134" i="4"/>
  <c r="D133" i="4"/>
  <c r="D153" i="9"/>
  <c r="F153" i="9" s="1"/>
  <c r="D154" i="9"/>
  <c r="F154" i="9" s="1"/>
  <c r="D155" i="9"/>
  <c r="F155" i="9" s="1"/>
  <c r="D156" i="9"/>
  <c r="F156" i="9" s="1"/>
  <c r="D157" i="9"/>
  <c r="D136" i="9"/>
  <c r="F136" i="9" s="1"/>
  <c r="D138" i="9"/>
  <c r="F138" i="9" s="1"/>
  <c r="D139" i="9"/>
  <c r="F139" i="9" s="1"/>
  <c r="D140" i="9"/>
  <c r="F140" i="9" s="1"/>
  <c r="D141" i="9"/>
  <c r="F141" i="9" s="1"/>
  <c r="D142" i="9"/>
  <c r="F142" i="9" s="1"/>
  <c r="D143" i="9"/>
  <c r="F143" i="9" s="1"/>
  <c r="D144" i="9"/>
  <c r="F144" i="9" s="1"/>
  <c r="D145" i="9"/>
  <c r="F145" i="9" s="1"/>
  <c r="D146" i="9"/>
  <c r="F146" i="9" s="1"/>
  <c r="D147" i="9"/>
  <c r="F147" i="9" s="1"/>
  <c r="D148" i="9"/>
  <c r="F148" i="9" s="1"/>
  <c r="D123" i="9"/>
  <c r="D125" i="9"/>
  <c r="D126" i="9"/>
  <c r="D127" i="9"/>
  <c r="D128" i="9"/>
  <c r="D129" i="9"/>
  <c r="D130" i="9"/>
  <c r="D131" i="9"/>
  <c r="D132" i="9"/>
  <c r="D163" i="9"/>
  <c r="F163" i="9" s="1"/>
  <c r="D162" i="9"/>
  <c r="F162" i="9" s="1"/>
  <c r="D161" i="9"/>
  <c r="F161" i="9" s="1"/>
  <c r="D160" i="9"/>
  <c r="F160" i="9" s="1"/>
  <c r="D159" i="9"/>
  <c r="F159" i="9" s="1"/>
  <c r="D158" i="9"/>
  <c r="F158" i="9" s="1"/>
  <c r="F157" i="9"/>
  <c r="D150" i="9"/>
  <c r="F150" i="9" s="1"/>
  <c r="D135" i="9"/>
  <c r="F135" i="9" s="1"/>
  <c r="AH380" i="5"/>
  <c r="AG380" i="5"/>
  <c r="AH372" i="5"/>
  <c r="AG372" i="5"/>
  <c r="AH364" i="5"/>
  <c r="AG364" i="5"/>
  <c r="AH356" i="5"/>
  <c r="AG356" i="5"/>
  <c r="AH340" i="5"/>
  <c r="AG340" i="5"/>
  <c r="AH332" i="5"/>
  <c r="AG332" i="5"/>
  <c r="AH324" i="5"/>
  <c r="AG324" i="5"/>
  <c r="AH316" i="5"/>
  <c r="AG316" i="5"/>
  <c r="AH308" i="5"/>
  <c r="AG308" i="5"/>
  <c r="AH300" i="5"/>
  <c r="AG300" i="5"/>
  <c r="AH292" i="5"/>
  <c r="AG292" i="5"/>
  <c r="AH284" i="5"/>
  <c r="AG284" i="5"/>
  <c r="AH276" i="5"/>
  <c r="AG276" i="5"/>
  <c r="Z380" i="5"/>
  <c r="Y380" i="5"/>
  <c r="Z372" i="5"/>
  <c r="Y372" i="5"/>
  <c r="Z364" i="5"/>
  <c r="Y364" i="5"/>
  <c r="Z356" i="5"/>
  <c r="Y356" i="5"/>
  <c r="Z348" i="5"/>
  <c r="Y348" i="5"/>
  <c r="Z340" i="5"/>
  <c r="Y340" i="5"/>
  <c r="Z324" i="5"/>
  <c r="Y324" i="5"/>
  <c r="Z308" i="5"/>
  <c r="Y308" i="5"/>
  <c r="Z300" i="5"/>
  <c r="Y300" i="5"/>
  <c r="Z292" i="5"/>
  <c r="Y292" i="5"/>
  <c r="Z284" i="5"/>
  <c r="Y284" i="5"/>
  <c r="Z276" i="5"/>
  <c r="Y276" i="5"/>
  <c r="K185" i="1"/>
  <c r="L185" i="1" s="1"/>
  <c r="J185" i="1"/>
  <c r="K184" i="1"/>
  <c r="L184" i="1" s="1"/>
  <c r="J184" i="1"/>
  <c r="K183" i="1"/>
  <c r="L183" i="1" s="1"/>
  <c r="J183" i="1"/>
  <c r="K182" i="1"/>
  <c r="L182" i="1" s="1"/>
  <c r="J182" i="1"/>
  <c r="K181" i="1"/>
  <c r="L181" i="1" s="1"/>
  <c r="J181" i="1"/>
  <c r="K180" i="1"/>
  <c r="L180" i="1" s="1"/>
  <c r="J180" i="1"/>
  <c r="K179" i="1"/>
  <c r="L179" i="1" s="1"/>
  <c r="J179" i="1"/>
  <c r="K178" i="1"/>
  <c r="L178" i="1" s="1"/>
  <c r="J178" i="1"/>
  <c r="K177" i="1"/>
  <c r="L177" i="1" s="1"/>
  <c r="J177" i="1"/>
  <c r="K176" i="1"/>
  <c r="L176" i="1" s="1"/>
  <c r="J176" i="1"/>
  <c r="K175" i="1"/>
  <c r="L175" i="1" s="1"/>
  <c r="J175" i="1"/>
  <c r="K174" i="1"/>
  <c r="L174" i="1" s="1"/>
  <c r="J174" i="1"/>
  <c r="K173" i="1"/>
  <c r="L173" i="1" s="1"/>
  <c r="J173" i="1"/>
  <c r="K172" i="1"/>
  <c r="L172" i="1" s="1"/>
  <c r="J172" i="1"/>
  <c r="K170" i="1"/>
  <c r="L170" i="1" s="1"/>
  <c r="J170" i="1"/>
  <c r="K169" i="1"/>
  <c r="L169" i="1" s="1"/>
  <c r="J169" i="1"/>
  <c r="K168" i="1"/>
  <c r="L168" i="1" s="1"/>
  <c r="K167" i="1"/>
  <c r="L167" i="1" s="1"/>
  <c r="J167" i="1"/>
  <c r="K166" i="1"/>
  <c r="L166" i="1" s="1"/>
  <c r="J166" i="1"/>
  <c r="K165" i="1"/>
  <c r="L165" i="1" s="1"/>
  <c r="J165" i="1"/>
  <c r="K164" i="1"/>
  <c r="L164" i="1" s="1"/>
  <c r="J164" i="1"/>
  <c r="K163" i="1"/>
  <c r="L163" i="1" s="1"/>
  <c r="J163" i="1"/>
  <c r="K162" i="1"/>
  <c r="L162" i="1" s="1"/>
  <c r="J162" i="1"/>
  <c r="K161" i="1"/>
  <c r="L161" i="1" s="1"/>
  <c r="J161" i="1"/>
  <c r="K160" i="1"/>
  <c r="L160" i="1" s="1"/>
  <c r="J160" i="1"/>
  <c r="K159" i="1"/>
  <c r="L159" i="1" s="1"/>
  <c r="J159" i="1"/>
  <c r="K158" i="1"/>
  <c r="L158" i="1" s="1"/>
  <c r="J158" i="1"/>
  <c r="K157" i="1"/>
  <c r="L157" i="1" s="1"/>
  <c r="J157" i="1"/>
  <c r="D119" i="4"/>
  <c r="D109" i="4"/>
  <c r="D111" i="4"/>
  <c r="D113" i="4"/>
  <c r="D115" i="4"/>
  <c r="D110" i="4"/>
  <c r="D112" i="4"/>
  <c r="D114" i="4"/>
  <c r="F133" i="4" l="1"/>
  <c r="F141" i="4"/>
  <c r="F145" i="4"/>
  <c r="F138" i="4"/>
  <c r="F142" i="4"/>
  <c r="F140" i="4"/>
  <c r="F143" i="4"/>
  <c r="R380" i="5" l="1"/>
  <c r="S380" i="5"/>
  <c r="R348" i="5"/>
  <c r="S348" i="5"/>
  <c r="J143" i="1" l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42" i="1"/>
  <c r="K299" i="5" l="1"/>
  <c r="L299" i="5"/>
  <c r="L337" i="5" l="1"/>
  <c r="K337" i="5"/>
  <c r="L322" i="5"/>
  <c r="K322" i="5"/>
  <c r="K314" i="5"/>
  <c r="K292" i="5"/>
  <c r="L307" i="5"/>
  <c r="K307" i="5"/>
  <c r="J140" i="1"/>
  <c r="J138" i="1"/>
  <c r="J136" i="1"/>
  <c r="J134" i="1"/>
  <c r="J133" i="1"/>
  <c r="J135" i="1"/>
  <c r="J137" i="1"/>
  <c r="J139" i="1"/>
  <c r="J132" i="1"/>
  <c r="D120" i="4" l="1"/>
  <c r="D121" i="4"/>
  <c r="D122" i="4"/>
  <c r="D123" i="4"/>
  <c r="D124" i="4"/>
  <c r="D125" i="4"/>
  <c r="F125" i="4" s="1"/>
  <c r="D126" i="4"/>
  <c r="F126" i="4" s="1"/>
  <c r="D127" i="4"/>
  <c r="D128" i="4"/>
  <c r="F128" i="4" s="1"/>
  <c r="D129" i="4"/>
  <c r="F129" i="4" s="1"/>
  <c r="D130" i="4"/>
  <c r="F130" i="4" s="1"/>
  <c r="D131" i="4"/>
  <c r="D118" i="4"/>
  <c r="F118" i="4" s="1"/>
  <c r="F109" i="4"/>
  <c r="F113" i="4"/>
  <c r="D116" i="4"/>
  <c r="F116" i="4" s="1"/>
  <c r="D108" i="4"/>
  <c r="F108" i="4" s="1"/>
  <c r="D97" i="4"/>
  <c r="D98" i="4"/>
  <c r="D99" i="4"/>
  <c r="D100" i="4"/>
  <c r="D101" i="4"/>
  <c r="F101" i="4" s="1"/>
  <c r="D102" i="4"/>
  <c r="F102" i="4" s="1"/>
  <c r="D103" i="4"/>
  <c r="F103" i="4" s="1"/>
  <c r="D104" i="4"/>
  <c r="F104" i="4" s="1"/>
  <c r="D105" i="4"/>
  <c r="F105" i="4" s="1"/>
  <c r="D106" i="4"/>
  <c r="F106" i="4" s="1"/>
  <c r="D96" i="4"/>
  <c r="F96" i="4" s="1"/>
  <c r="F127" i="4"/>
  <c r="F115" i="4"/>
  <c r="F114" i="4"/>
  <c r="F112" i="4"/>
  <c r="F111" i="4"/>
  <c r="F110" i="4"/>
  <c r="D133" i="9"/>
  <c r="F133" i="9" s="1"/>
  <c r="F132" i="9"/>
  <c r="F131" i="9"/>
  <c r="F130" i="9"/>
  <c r="F129" i="9"/>
  <c r="F128" i="9"/>
  <c r="F127" i="9"/>
  <c r="F126" i="9"/>
  <c r="F125" i="9"/>
  <c r="F123" i="9"/>
  <c r="D120" i="9"/>
  <c r="F120" i="9" s="1"/>
  <c r="D118" i="9"/>
  <c r="F118" i="9" s="1"/>
  <c r="D117" i="9"/>
  <c r="F117" i="9" s="1"/>
  <c r="D116" i="9"/>
  <c r="F116" i="9" s="1"/>
  <c r="D115" i="9"/>
  <c r="F115" i="9" s="1"/>
  <c r="D114" i="9"/>
  <c r="F114" i="9" s="1"/>
  <c r="D113" i="9"/>
  <c r="F113" i="9" s="1"/>
  <c r="D112" i="9"/>
  <c r="F112" i="9" s="1"/>
  <c r="D111" i="9"/>
  <c r="F111" i="9" s="1"/>
  <c r="D110" i="9"/>
  <c r="F110" i="9" s="1"/>
  <c r="D106" i="9"/>
  <c r="F106" i="9" s="1"/>
  <c r="D107" i="9"/>
  <c r="F107" i="9" s="1"/>
  <c r="D108" i="9"/>
  <c r="F108" i="9" s="1"/>
  <c r="D105" i="9"/>
  <c r="F105" i="9" s="1"/>
  <c r="D104" i="9"/>
  <c r="F104" i="9" s="1"/>
  <c r="D103" i="9"/>
  <c r="F103" i="9" s="1"/>
  <c r="D102" i="9"/>
  <c r="F102" i="9" s="1"/>
  <c r="D101" i="9"/>
  <c r="F101" i="9" s="1"/>
  <c r="D98" i="9"/>
  <c r="F98" i="9" s="1"/>
  <c r="S372" i="5"/>
  <c r="R372" i="5"/>
  <c r="S364" i="5"/>
  <c r="R364" i="5"/>
  <c r="S356" i="5"/>
  <c r="R356" i="5"/>
  <c r="S340" i="5"/>
  <c r="R340" i="5"/>
  <c r="S332" i="5"/>
  <c r="R332" i="5"/>
  <c r="S324" i="5"/>
  <c r="R324" i="5"/>
  <c r="S316" i="5"/>
  <c r="R316" i="5"/>
  <c r="S308" i="5"/>
  <c r="R308" i="5"/>
  <c r="S300" i="5"/>
  <c r="R300" i="5"/>
  <c r="S292" i="5"/>
  <c r="R292" i="5"/>
  <c r="S284" i="5"/>
  <c r="R284" i="5"/>
  <c r="S276" i="5"/>
  <c r="R276" i="5"/>
  <c r="L329" i="5"/>
  <c r="K329" i="5"/>
  <c r="L314" i="5"/>
  <c r="L292" i="5"/>
  <c r="L284" i="5"/>
  <c r="K284" i="5"/>
  <c r="L276" i="5"/>
  <c r="K276" i="5"/>
  <c r="E356" i="5"/>
  <c r="D356" i="5"/>
  <c r="E348" i="5"/>
  <c r="D348" i="5"/>
  <c r="E340" i="5"/>
  <c r="D340" i="5"/>
  <c r="E332" i="5"/>
  <c r="D332" i="5"/>
  <c r="E324" i="5"/>
  <c r="D324" i="5"/>
  <c r="E316" i="5"/>
  <c r="D316" i="5"/>
  <c r="E308" i="5"/>
  <c r="D308" i="5"/>
  <c r="E300" i="5"/>
  <c r="D300" i="5"/>
  <c r="E292" i="5"/>
  <c r="D292" i="5"/>
  <c r="E284" i="5"/>
  <c r="D284" i="5"/>
  <c r="E276" i="5"/>
  <c r="D276" i="5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28" i="1"/>
  <c r="L128" i="1" s="1"/>
  <c r="K129" i="1"/>
  <c r="L129" i="1" s="1"/>
  <c r="K130" i="1"/>
  <c r="L130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76" i="1" l="1"/>
  <c r="L76" i="1" s="1"/>
  <c r="D89" i="9" l="1"/>
  <c r="D90" i="9"/>
  <c r="D91" i="9"/>
  <c r="D92" i="9"/>
  <c r="D93" i="9"/>
  <c r="D94" i="9"/>
  <c r="D95" i="9"/>
  <c r="D88" i="9"/>
  <c r="D85" i="9"/>
  <c r="D231" i="5" l="1"/>
  <c r="E231" i="5"/>
  <c r="D223" i="5"/>
  <c r="E223" i="5" l="1"/>
  <c r="K84" i="1" l="1"/>
  <c r="L84" i="1" s="1"/>
  <c r="K85" i="1"/>
  <c r="K86" i="1"/>
  <c r="K87" i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5" i="1"/>
  <c r="L95" i="1" s="1"/>
  <c r="K96" i="1"/>
  <c r="L96" i="1" s="1"/>
  <c r="K97" i="1"/>
  <c r="L97" i="1" s="1"/>
  <c r="K98" i="1"/>
  <c r="K99" i="1"/>
  <c r="L99" i="1" s="1"/>
  <c r="K100" i="1"/>
  <c r="L100" i="1" s="1"/>
  <c r="K101" i="1"/>
  <c r="L101" i="1" s="1"/>
  <c r="K102" i="1"/>
  <c r="K103" i="1"/>
  <c r="K104" i="1"/>
  <c r="L104" i="1" s="1"/>
  <c r="K105" i="1"/>
  <c r="L105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K116" i="1"/>
  <c r="L116" i="1" s="1"/>
  <c r="K117" i="1"/>
  <c r="L117" i="1" s="1"/>
  <c r="K83" i="1"/>
  <c r="L85" i="1"/>
  <c r="L86" i="1"/>
  <c r="L87" i="1"/>
  <c r="L98" i="1"/>
  <c r="L102" i="1"/>
  <c r="L103" i="1"/>
  <c r="L115" i="1"/>
  <c r="L83" i="1"/>
  <c r="E263" i="5"/>
  <c r="D263" i="5"/>
  <c r="E255" i="5"/>
  <c r="D255" i="5"/>
  <c r="E247" i="5"/>
  <c r="D247" i="5"/>
  <c r="E239" i="5"/>
  <c r="D239" i="5"/>
  <c r="E215" i="5"/>
  <c r="D215" i="5"/>
  <c r="E207" i="5"/>
  <c r="D207" i="5"/>
  <c r="E183" i="5"/>
  <c r="D183" i="5"/>
  <c r="F95" i="9"/>
  <c r="F94" i="9"/>
  <c r="F93" i="9"/>
  <c r="F92" i="9"/>
  <c r="F91" i="9"/>
  <c r="F90" i="9"/>
  <c r="F89" i="9"/>
  <c r="F88" i="9"/>
  <c r="F85" i="9"/>
  <c r="D86" i="4"/>
  <c r="F86" i="4" s="1"/>
  <c r="D87" i="4"/>
  <c r="F87" i="4" s="1"/>
  <c r="D88" i="4"/>
  <c r="F88" i="4" s="1"/>
  <c r="D89" i="4"/>
  <c r="F89" i="4" s="1"/>
  <c r="D90" i="4"/>
  <c r="F90" i="4" s="1"/>
  <c r="D91" i="4"/>
  <c r="F91" i="4" s="1"/>
  <c r="D92" i="4"/>
  <c r="F92" i="4" s="1"/>
  <c r="D93" i="4"/>
  <c r="F93" i="4" s="1"/>
  <c r="D83" i="4"/>
  <c r="F83" i="4" s="1"/>
  <c r="D152" i="5" l="1"/>
  <c r="E152" i="5"/>
  <c r="D128" i="5"/>
  <c r="E128" i="5"/>
  <c r="S81" i="5" l="1"/>
  <c r="R81" i="5"/>
  <c r="L81" i="5"/>
  <c r="K81" i="5"/>
  <c r="E81" i="5"/>
  <c r="D81" i="5"/>
  <c r="D40" i="4" l="1"/>
  <c r="F40" i="4" s="1"/>
  <c r="D29" i="4"/>
  <c r="F29" i="4" s="1"/>
  <c r="D18" i="4"/>
  <c r="F18" i="4" s="1"/>
  <c r="D41" i="9"/>
  <c r="F41" i="9" s="1"/>
  <c r="D30" i="9"/>
  <c r="F30" i="9" s="1"/>
  <c r="D19" i="9"/>
  <c r="F19" i="9" s="1"/>
  <c r="L40" i="1"/>
  <c r="L29" i="1"/>
  <c r="L18" i="1"/>
  <c r="D76" i="4" l="1"/>
  <c r="D75" i="4"/>
  <c r="D74" i="4"/>
  <c r="D73" i="4"/>
  <c r="D72" i="4"/>
  <c r="D71" i="4"/>
  <c r="D70" i="4"/>
  <c r="D69" i="4"/>
  <c r="D68" i="4"/>
  <c r="D67" i="4"/>
  <c r="D65" i="4"/>
  <c r="D64" i="4"/>
  <c r="D63" i="4"/>
  <c r="D62" i="4"/>
  <c r="D61" i="4"/>
  <c r="D60" i="4"/>
  <c r="D59" i="4"/>
  <c r="D58" i="4"/>
  <c r="D57" i="4"/>
  <c r="D56" i="4"/>
  <c r="F56" i="4" s="1"/>
  <c r="D48" i="4"/>
  <c r="D49" i="4"/>
  <c r="D50" i="4"/>
  <c r="D51" i="4"/>
  <c r="D52" i="4"/>
  <c r="D53" i="4"/>
  <c r="D54" i="4"/>
  <c r="D47" i="4"/>
  <c r="D46" i="4"/>
  <c r="D45" i="4"/>
  <c r="D77" i="9"/>
  <c r="F77" i="9" s="1"/>
  <c r="D76" i="9"/>
  <c r="F76" i="9" s="1"/>
  <c r="D75" i="9"/>
  <c r="F75" i="9" s="1"/>
  <c r="D74" i="9"/>
  <c r="F74" i="9" s="1"/>
  <c r="D73" i="9"/>
  <c r="F73" i="9" s="1"/>
  <c r="D72" i="9"/>
  <c r="F72" i="9" s="1"/>
  <c r="D71" i="9"/>
  <c r="F71" i="9" s="1"/>
  <c r="D70" i="9"/>
  <c r="F70" i="9" s="1"/>
  <c r="D69" i="9"/>
  <c r="F69" i="9" s="1"/>
  <c r="D68" i="9"/>
  <c r="F68" i="9" s="1"/>
  <c r="D66" i="9"/>
  <c r="F66" i="9" s="1"/>
  <c r="D65" i="9"/>
  <c r="F65" i="9" s="1"/>
  <c r="D64" i="9"/>
  <c r="F64" i="9" s="1"/>
  <c r="D63" i="9"/>
  <c r="F63" i="9" s="1"/>
  <c r="D62" i="9"/>
  <c r="F62" i="9" s="1"/>
  <c r="D61" i="9"/>
  <c r="F61" i="9" s="1"/>
  <c r="D60" i="9"/>
  <c r="F60" i="9" s="1"/>
  <c r="D59" i="9"/>
  <c r="F59" i="9" s="1"/>
  <c r="D58" i="9"/>
  <c r="F58" i="9" s="1"/>
  <c r="D57" i="9"/>
  <c r="F57" i="9" s="1"/>
  <c r="F55" i="9"/>
  <c r="D54" i="9"/>
  <c r="F54" i="9" s="1"/>
  <c r="D55" i="9"/>
  <c r="D53" i="9"/>
  <c r="F53" i="9" s="1"/>
  <c r="D52" i="9"/>
  <c r="F52" i="9" s="1"/>
  <c r="D51" i="9"/>
  <c r="F51" i="9" s="1"/>
  <c r="D50" i="9"/>
  <c r="F50" i="9" s="1"/>
  <c r="D49" i="9"/>
  <c r="F49" i="9" s="1"/>
  <c r="D48" i="9"/>
  <c r="F48" i="9" s="1"/>
  <c r="D47" i="9"/>
  <c r="F47" i="9" s="1"/>
  <c r="D46" i="9"/>
  <c r="F46" i="9" s="1"/>
  <c r="S168" i="5"/>
  <c r="R168" i="5"/>
  <c r="S160" i="5"/>
  <c r="R160" i="5"/>
  <c r="S152" i="5"/>
  <c r="R152" i="5"/>
  <c r="S144" i="5"/>
  <c r="R144" i="5"/>
  <c r="S136" i="5"/>
  <c r="R136" i="5"/>
  <c r="S128" i="5"/>
  <c r="R128" i="5"/>
  <c r="S120" i="5"/>
  <c r="R120" i="5"/>
  <c r="S112" i="5"/>
  <c r="R112" i="5"/>
  <c r="S104" i="5"/>
  <c r="R104" i="5"/>
  <c r="S96" i="5"/>
  <c r="R96" i="5"/>
  <c r="L168" i="5"/>
  <c r="K168" i="5"/>
  <c r="L160" i="5"/>
  <c r="K160" i="5"/>
  <c r="L152" i="5"/>
  <c r="K152" i="5"/>
  <c r="L144" i="5"/>
  <c r="K144" i="5"/>
  <c r="L136" i="5"/>
  <c r="K136" i="5"/>
  <c r="L128" i="5"/>
  <c r="K128" i="5"/>
  <c r="L120" i="5"/>
  <c r="K120" i="5"/>
  <c r="L112" i="5"/>
  <c r="K112" i="5"/>
  <c r="L104" i="5"/>
  <c r="K104" i="5"/>
  <c r="L96" i="5"/>
  <c r="K96" i="5"/>
  <c r="E168" i="5"/>
  <c r="D168" i="5"/>
  <c r="E160" i="5"/>
  <c r="D160" i="5"/>
  <c r="E144" i="5"/>
  <c r="D144" i="5"/>
  <c r="E136" i="5"/>
  <c r="D136" i="5"/>
  <c r="E120" i="5"/>
  <c r="D120" i="5"/>
  <c r="E112" i="5"/>
  <c r="D112" i="5"/>
  <c r="E104" i="5"/>
  <c r="D104" i="5"/>
  <c r="E96" i="5"/>
  <c r="D96" i="5"/>
  <c r="L75" i="1"/>
  <c r="L74" i="1"/>
  <c r="L73" i="1"/>
  <c r="L72" i="1"/>
  <c r="L71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4" i="1"/>
  <c r="L53" i="1"/>
  <c r="L52" i="1"/>
  <c r="L51" i="1"/>
  <c r="L50" i="1"/>
  <c r="L49" i="1"/>
  <c r="L48" i="1"/>
  <c r="L47" i="1"/>
  <c r="L46" i="1"/>
  <c r="L45" i="1"/>
  <c r="F46" i="4" l="1"/>
  <c r="F52" i="4"/>
  <c r="F48" i="4"/>
  <c r="F59" i="4"/>
  <c r="F63" i="4"/>
  <c r="F68" i="4"/>
  <c r="F72" i="4"/>
  <c r="F47" i="4"/>
  <c r="F51" i="4"/>
  <c r="F60" i="4"/>
  <c r="F64" i="4"/>
  <c r="F69" i="4"/>
  <c r="F73" i="4"/>
  <c r="F54" i="4"/>
  <c r="F50" i="4"/>
  <c r="F57" i="4"/>
  <c r="F61" i="4"/>
  <c r="F65" i="4"/>
  <c r="F70" i="4"/>
  <c r="F74" i="4"/>
  <c r="F45" i="4"/>
  <c r="F53" i="4"/>
  <c r="F49" i="4"/>
  <c r="F58" i="4"/>
  <c r="F62" i="4"/>
  <c r="F67" i="4"/>
  <c r="F71" i="4"/>
  <c r="F75" i="4"/>
  <c r="F76" i="4"/>
  <c r="L20" i="1" l="1"/>
  <c r="K33" i="5" l="1"/>
  <c r="L33" i="5"/>
  <c r="K15" i="1" l="1"/>
  <c r="K14" i="1"/>
  <c r="L15" i="1" l="1"/>
  <c r="E9" i="5" l="1"/>
  <c r="D9" i="5"/>
  <c r="D20" i="4" l="1"/>
  <c r="D21" i="4"/>
  <c r="D22" i="4"/>
  <c r="D23" i="4"/>
  <c r="D24" i="4"/>
  <c r="D25" i="4"/>
  <c r="D26" i="4"/>
  <c r="D31" i="4"/>
  <c r="D32" i="4"/>
  <c r="D33" i="4"/>
  <c r="D34" i="4"/>
  <c r="D35" i="4"/>
  <c r="D36" i="4"/>
  <c r="D37" i="4"/>
  <c r="D10" i="4"/>
  <c r="D11" i="4"/>
  <c r="D12" i="4"/>
  <c r="D13" i="4"/>
  <c r="D14" i="4"/>
  <c r="D15" i="4"/>
  <c r="D9" i="4"/>
  <c r="D39" i="9"/>
  <c r="F39" i="9" s="1"/>
  <c r="D38" i="9"/>
  <c r="F38" i="9" s="1"/>
  <c r="D37" i="9"/>
  <c r="F37" i="9" s="1"/>
  <c r="D36" i="9"/>
  <c r="F36" i="9" s="1"/>
  <c r="D35" i="9"/>
  <c r="F35" i="9" s="1"/>
  <c r="D34" i="9"/>
  <c r="F34" i="9" s="1"/>
  <c r="D33" i="9"/>
  <c r="F33" i="9" s="1"/>
  <c r="D32" i="9"/>
  <c r="F32" i="9" s="1"/>
  <c r="S73" i="5"/>
  <c r="R73" i="5"/>
  <c r="S65" i="5"/>
  <c r="R65" i="5"/>
  <c r="S57" i="5"/>
  <c r="R57" i="5"/>
  <c r="S49" i="5"/>
  <c r="R49" i="5"/>
  <c r="S41" i="5"/>
  <c r="R41" i="5"/>
  <c r="S33" i="5"/>
  <c r="R33" i="5"/>
  <c r="S25" i="5"/>
  <c r="R25" i="5"/>
  <c r="S17" i="5"/>
  <c r="R17" i="5"/>
  <c r="S9" i="5"/>
  <c r="R9" i="5"/>
  <c r="L39" i="1"/>
  <c r="L38" i="1"/>
  <c r="L37" i="1"/>
  <c r="L36" i="1"/>
  <c r="L35" i="1"/>
  <c r="L34" i="1"/>
  <c r="L33" i="1"/>
  <c r="L32" i="1"/>
  <c r="L31" i="1"/>
  <c r="L28" i="1"/>
  <c r="L17" i="1"/>
  <c r="L27" i="1"/>
  <c r="L26" i="1"/>
  <c r="L25" i="1"/>
  <c r="L24" i="1"/>
  <c r="L23" i="1"/>
  <c r="L22" i="1"/>
  <c r="L21" i="1"/>
  <c r="L10" i="1"/>
  <c r="L11" i="1"/>
  <c r="L12" i="1"/>
  <c r="L13" i="1"/>
  <c r="L14" i="1"/>
  <c r="L16" i="1"/>
  <c r="L9" i="1"/>
  <c r="F9" i="4" l="1"/>
  <c r="F24" i="4"/>
  <c r="F15" i="4"/>
  <c r="F11" i="4"/>
  <c r="F35" i="4"/>
  <c r="F23" i="4"/>
  <c r="F31" i="4"/>
  <c r="F32" i="4"/>
  <c r="F10" i="4"/>
  <c r="F34" i="4"/>
  <c r="F26" i="4"/>
  <c r="F22" i="4"/>
  <c r="F12" i="4"/>
  <c r="F14" i="4"/>
  <c r="F13" i="4"/>
  <c r="F37" i="4"/>
  <c r="F33" i="4"/>
  <c r="F25" i="4"/>
  <c r="F21" i="4"/>
  <c r="F36" i="4"/>
  <c r="F20" i="4"/>
  <c r="K73" i="5" l="1"/>
  <c r="K65" i="5"/>
  <c r="K57" i="5"/>
  <c r="K49" i="5"/>
  <c r="K41" i="5"/>
  <c r="K25" i="5"/>
  <c r="K17" i="5"/>
  <c r="K9" i="5"/>
  <c r="D73" i="5"/>
  <c r="D65" i="5"/>
  <c r="D57" i="5"/>
  <c r="D49" i="5"/>
  <c r="D41" i="5"/>
  <c r="D33" i="5"/>
  <c r="D25" i="5"/>
  <c r="D17" i="5"/>
  <c r="L25" i="5"/>
  <c r="L17" i="5"/>
  <c r="L9" i="5"/>
  <c r="E41" i="5"/>
  <c r="E49" i="5"/>
  <c r="E33" i="5"/>
  <c r="D23" i="9" l="1"/>
  <c r="F23" i="9" l="1"/>
  <c r="L73" i="5"/>
  <c r="L65" i="5" l="1"/>
  <c r="L57" i="5"/>
  <c r="L49" i="5"/>
  <c r="L41" i="5"/>
  <c r="E73" i="5"/>
  <c r="E65" i="5"/>
  <c r="E57" i="5"/>
  <c r="E25" i="5"/>
  <c r="E17" i="5"/>
  <c r="D10" i="9" l="1"/>
  <c r="D11" i="9"/>
  <c r="F11" i="9" s="1"/>
  <c r="D12" i="9"/>
  <c r="F12" i="9" s="1"/>
  <c r="D13" i="9"/>
  <c r="F13" i="9" s="1"/>
  <c r="D14" i="9"/>
  <c r="F14" i="9" s="1"/>
  <c r="D15" i="9"/>
  <c r="F15" i="9" s="1"/>
  <c r="D16" i="9"/>
  <c r="F16" i="9" s="1"/>
  <c r="D21" i="9"/>
  <c r="F21" i="9" s="1"/>
  <c r="D22" i="9"/>
  <c r="F22" i="9" s="1"/>
  <c r="D24" i="9"/>
  <c r="F24" i="9" s="1"/>
  <c r="D25" i="9"/>
  <c r="F25" i="9" s="1"/>
  <c r="D26" i="9"/>
  <c r="F26" i="9" s="1"/>
  <c r="D27" i="9"/>
  <c r="F27" i="9" s="1"/>
  <c r="D28" i="9"/>
  <c r="F28" i="9" s="1"/>
</calcChain>
</file>

<file path=xl/sharedStrings.xml><?xml version="1.0" encoding="utf-8"?>
<sst xmlns="http://schemas.openxmlformats.org/spreadsheetml/2006/main" count="2787" uniqueCount="74">
  <si>
    <t>Control</t>
  </si>
  <si>
    <t>#</t>
  </si>
  <si>
    <t>%</t>
  </si>
  <si>
    <t>SA</t>
  </si>
  <si>
    <t>-</t>
  </si>
  <si>
    <t>10 µM</t>
  </si>
  <si>
    <t>1 mM</t>
  </si>
  <si>
    <t>Glyphosate</t>
  </si>
  <si>
    <t>Run</t>
  </si>
  <si>
    <t>Mean</t>
  </si>
  <si>
    <t>Heart rate at 48 hpf</t>
  </si>
  <si>
    <t>Heart rate [beats/min]</t>
  </si>
  <si>
    <t>50 µM</t>
  </si>
  <si>
    <t>100 µM</t>
  </si>
  <si>
    <t>250 µM</t>
  </si>
  <si>
    <t>500 µM</t>
  </si>
  <si>
    <t>750 µM</t>
  </si>
  <si>
    <t>10 mM</t>
  </si>
  <si>
    <t>SD</t>
  </si>
  <si>
    <t>HCl</t>
  </si>
  <si>
    <t>7 dSh</t>
  </si>
  <si>
    <t>7dSh</t>
  </si>
  <si>
    <t xml:space="preserve"> </t>
  </si>
  <si>
    <t>K-pH3</t>
  </si>
  <si>
    <t>K-pH4</t>
  </si>
  <si>
    <t>K-pH5</t>
  </si>
  <si>
    <t>K-pH6</t>
  </si>
  <si>
    <t>K-pH7</t>
  </si>
  <si>
    <t>K-pH8</t>
  </si>
  <si>
    <t>G-pH3</t>
  </si>
  <si>
    <t>G-pH4</t>
  </si>
  <si>
    <t>G-pH5</t>
  </si>
  <si>
    <t>G-pH6</t>
  </si>
  <si>
    <t>G-pH8</t>
  </si>
  <si>
    <t>pH 7</t>
  </si>
  <si>
    <t>K-pH3.25</t>
  </si>
  <si>
    <t>G-pH3.25</t>
  </si>
  <si>
    <t>K-pH3.5</t>
  </si>
  <si>
    <t>G-pH3.5</t>
  </si>
  <si>
    <t>K-pH3.75</t>
  </si>
  <si>
    <t>G-pH3.75</t>
  </si>
  <si>
    <t>pH range</t>
  </si>
  <si>
    <t>K-pH3.35</t>
  </si>
  <si>
    <t>G-pH3.35</t>
  </si>
  <si>
    <t>K-pH3.1</t>
  </si>
  <si>
    <t>G-pH3.1</t>
  </si>
  <si>
    <t>K-pH3.2</t>
  </si>
  <si>
    <t>G-pH3.2</t>
  </si>
  <si>
    <t>K-pH3.3</t>
  </si>
  <si>
    <t>G-pH3.3</t>
  </si>
  <si>
    <t>K-pH3.4</t>
  </si>
  <si>
    <t>G-pH3.4</t>
  </si>
  <si>
    <t>G 1mM</t>
  </si>
  <si>
    <t>Treatment</t>
  </si>
  <si>
    <t>→ 1/1</t>
  </si>
  <si>
    <t>unbuffered</t>
  </si>
  <si>
    <t># Individuals</t>
  </si>
  <si>
    <t>Malformation [MF] rate at 96 hpf</t>
  </si>
  <si>
    <t>Developmental delay [DD] rate at 24 hpf</t>
  </si>
  <si>
    <t># potential DDs</t>
  </si>
  <si>
    <t># DDs</t>
  </si>
  <si>
    <t>DDs [%]</t>
  </si>
  <si>
    <t># MFs</t>
  </si>
  <si>
    <t>MFs [%]</t>
  </si>
  <si>
    <t># potential MFs</t>
  </si>
  <si>
    <r>
      <t xml:space="preserve">Glyphosate only 7 replicates </t>
    </r>
    <r>
      <rPr>
        <sz val="11"/>
        <color theme="1"/>
        <rFont val="Calibri"/>
        <family val="2"/>
      </rPr>
      <t>→ n = 28</t>
    </r>
  </si>
  <si>
    <t>Timepoint [hpf]</t>
  </si>
  <si>
    <t>Cumulative mortality</t>
  </si>
  <si>
    <r>
      <rPr>
        <sz val="11"/>
        <color theme="1"/>
        <rFont val="Calibri"/>
        <family val="2"/>
      </rPr>
      <t>→</t>
    </r>
    <r>
      <rPr>
        <sz val="8.8000000000000007"/>
        <color theme="1"/>
        <rFont val="Calibri"/>
        <family val="2"/>
      </rPr>
      <t xml:space="preserve"> stuck to lid</t>
    </r>
  </si>
  <si>
    <t>→ 3 excluded</t>
  </si>
  <si>
    <t>Mortality over time</t>
  </si>
  <si>
    <t>Hatching rate over time</t>
  </si>
  <si>
    <t>Hatching [%]</t>
  </si>
  <si>
    <t>Time point [hpf]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</si>
</sst>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164" fontId="0" fillId="0" borderId="0" xfId="0" applyNumberFormat="1" applyBorder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7" fillId="0" borderId="0" xfId="0" applyNumberFormat="1" applyFont="1"/>
    <xf numFmtId="1" fontId="8" fillId="0" borderId="0" xfId="0" applyNumberFormat="1" applyFont="1" applyAlignment="1">
      <alignment horizontal="center"/>
    </xf>
    <xf numFmtId="165" fontId="7" fillId="0" borderId="0" xfId="0" applyNumberFormat="1" applyFont="1"/>
    <xf numFmtId="164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right"/>
    </xf>
    <xf numFmtId="164" fontId="7" fillId="0" borderId="0" xfId="0" applyNumberFormat="1" applyFont="1"/>
    <xf numFmtId="0" fontId="7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1" xfId="0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" fontId="8" fillId="0" borderId="0" xfId="0" applyNumberFormat="1" applyFont="1" applyFill="1"/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Border="1"/>
    <xf numFmtId="0" fontId="3" fillId="2" borderId="0" xfId="0" applyFont="1" applyFill="1"/>
    <xf numFmtId="0" fontId="1" fillId="2" borderId="0" xfId="0" applyFont="1" applyFill="1"/>
    <xf numFmtId="0" fontId="1" fillId="0" borderId="0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89CC40"/>
      <color rgb="FFF8A968"/>
      <color rgb="FF008A3E"/>
      <color rgb="FF3DA5C1"/>
      <color rgb="FFB4DF85"/>
      <color rgb="FFF6882E"/>
      <color rgb="FF5CE269"/>
      <color rgb="FFFF8B8B"/>
      <color rgb="FFF79D53"/>
      <color rgb="FF9B4A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abSelected="1" zoomScale="80" zoomScaleNormal="80" workbookViewId="0"/>
  </sheetViews>
  <sheetFormatPr baseColWidth="10" defaultRowHeight="15" x14ac:dyDescent="0.25"/>
  <cols>
    <col min="1" max="1" width="15.140625" customWidth="1"/>
    <col min="2" max="2" width="11.42578125" style="7"/>
  </cols>
  <sheetData>
    <row r="1" spans="1:13" ht="18.75" x14ac:dyDescent="0.3">
      <c r="A1" s="1" t="s">
        <v>7</v>
      </c>
      <c r="B1" s="9"/>
      <c r="E1" s="5"/>
    </row>
    <row r="3" spans="1:13" ht="15.75" x14ac:dyDescent="0.25">
      <c r="A3" s="2" t="s">
        <v>70</v>
      </c>
      <c r="B3" s="10"/>
    </row>
    <row r="4" spans="1:13" ht="15.75" x14ac:dyDescent="0.25">
      <c r="A4" s="2"/>
      <c r="B4" s="10"/>
    </row>
    <row r="5" spans="1:13" ht="15.75" x14ac:dyDescent="0.25">
      <c r="A5" s="68" t="s">
        <v>55</v>
      </c>
      <c r="B5" s="10"/>
    </row>
    <row r="6" spans="1:13" ht="14.25" customHeight="1" x14ac:dyDescent="0.25"/>
    <row r="7" spans="1:13" ht="27.75" customHeight="1" x14ac:dyDescent="0.25">
      <c r="A7" s="62" t="s">
        <v>53</v>
      </c>
      <c r="B7" s="62" t="s">
        <v>8</v>
      </c>
      <c r="C7" s="62" t="s">
        <v>66</v>
      </c>
      <c r="D7" s="62"/>
      <c r="E7" s="62"/>
      <c r="F7" s="62"/>
      <c r="G7" s="62"/>
      <c r="H7" s="62"/>
      <c r="I7" s="62"/>
      <c r="J7" s="62" t="s">
        <v>56</v>
      </c>
      <c r="K7" s="62" t="s">
        <v>67</v>
      </c>
      <c r="L7" s="62"/>
      <c r="M7" s="8"/>
    </row>
    <row r="8" spans="1:13" s="11" customFormat="1" ht="18" customHeight="1" x14ac:dyDescent="0.25">
      <c r="A8" s="62"/>
      <c r="B8" s="62"/>
      <c r="C8" s="8">
        <v>0</v>
      </c>
      <c r="D8" s="8">
        <v>12</v>
      </c>
      <c r="E8" s="8">
        <v>24</v>
      </c>
      <c r="F8" s="8">
        <v>48</v>
      </c>
      <c r="G8" s="8">
        <v>60</v>
      </c>
      <c r="H8" s="8">
        <v>72</v>
      </c>
      <c r="I8" s="8">
        <v>96</v>
      </c>
      <c r="J8" s="62"/>
      <c r="K8" s="8" t="s">
        <v>1</v>
      </c>
      <c r="L8" s="8" t="s">
        <v>2</v>
      </c>
      <c r="M8" s="8"/>
    </row>
    <row r="9" spans="1:13" x14ac:dyDescent="0.25">
      <c r="A9" t="s">
        <v>0</v>
      </c>
      <c r="B9" s="1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32</v>
      </c>
      <c r="K9">
        <v>0</v>
      </c>
      <c r="L9">
        <f t="shared" ref="L9:L17" si="0">K9/32*100</f>
        <v>0</v>
      </c>
    </row>
    <row r="10" spans="1:13" x14ac:dyDescent="0.25">
      <c r="A10" t="s">
        <v>5</v>
      </c>
      <c r="B10" s="19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32</v>
      </c>
      <c r="K10">
        <v>0</v>
      </c>
      <c r="L10">
        <f t="shared" si="0"/>
        <v>0</v>
      </c>
    </row>
    <row r="11" spans="1:13" x14ac:dyDescent="0.25">
      <c r="A11" t="s">
        <v>12</v>
      </c>
      <c r="B11" s="19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32</v>
      </c>
      <c r="K11">
        <v>0</v>
      </c>
      <c r="L11">
        <f t="shared" si="0"/>
        <v>0</v>
      </c>
    </row>
    <row r="12" spans="1:13" x14ac:dyDescent="0.25">
      <c r="A12" t="s">
        <v>13</v>
      </c>
      <c r="B12" s="19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32</v>
      </c>
      <c r="K12">
        <v>0</v>
      </c>
      <c r="L12">
        <f t="shared" si="0"/>
        <v>0</v>
      </c>
    </row>
    <row r="13" spans="1:13" x14ac:dyDescent="0.25">
      <c r="A13" t="s">
        <v>14</v>
      </c>
      <c r="B13" s="19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32</v>
      </c>
      <c r="K13">
        <v>0</v>
      </c>
      <c r="L13">
        <f t="shared" si="0"/>
        <v>0</v>
      </c>
    </row>
    <row r="14" spans="1:13" x14ac:dyDescent="0.25">
      <c r="A14" t="s">
        <v>15</v>
      </c>
      <c r="B14" s="19">
        <v>1</v>
      </c>
      <c r="C14">
        <v>0</v>
      </c>
      <c r="D14">
        <v>0</v>
      </c>
      <c r="E14">
        <v>3</v>
      </c>
      <c r="F14">
        <v>0</v>
      </c>
      <c r="G14">
        <v>3</v>
      </c>
      <c r="H14">
        <v>1</v>
      </c>
      <c r="I14">
        <v>7</v>
      </c>
      <c r="J14">
        <v>18</v>
      </c>
      <c r="K14">
        <f>SUM(C14:I14)</f>
        <v>14</v>
      </c>
      <c r="L14" s="4">
        <f t="shared" si="0"/>
        <v>43.75</v>
      </c>
    </row>
    <row r="15" spans="1:13" x14ac:dyDescent="0.25">
      <c r="A15" t="s">
        <v>16</v>
      </c>
      <c r="B15" s="19">
        <v>1</v>
      </c>
      <c r="C15">
        <v>0</v>
      </c>
      <c r="D15">
        <v>8</v>
      </c>
      <c r="E15">
        <v>5</v>
      </c>
      <c r="F15">
        <v>2</v>
      </c>
      <c r="G15">
        <v>2</v>
      </c>
      <c r="H15">
        <v>3</v>
      </c>
      <c r="I15">
        <v>8</v>
      </c>
      <c r="J15">
        <v>1</v>
      </c>
      <c r="K15">
        <f>SUM(C15:I15)</f>
        <v>28</v>
      </c>
      <c r="L15" s="4">
        <f>K15/29*100</f>
        <v>96.551724137931032</v>
      </c>
      <c r="M15" s="30" t="s">
        <v>69</v>
      </c>
    </row>
    <row r="16" spans="1:13" x14ac:dyDescent="0.25">
      <c r="A16" t="s">
        <v>6</v>
      </c>
      <c r="B16" s="19">
        <v>1</v>
      </c>
      <c r="C16">
        <v>0</v>
      </c>
      <c r="D16">
        <v>28</v>
      </c>
      <c r="E16">
        <v>4</v>
      </c>
      <c r="F16">
        <v>0</v>
      </c>
      <c r="G16">
        <v>0</v>
      </c>
      <c r="H16">
        <v>0</v>
      </c>
      <c r="I16">
        <v>0</v>
      </c>
      <c r="J16">
        <v>0</v>
      </c>
      <c r="K16">
        <v>32</v>
      </c>
      <c r="L16">
        <f t="shared" si="0"/>
        <v>100</v>
      </c>
    </row>
    <row r="17" spans="1:12" x14ac:dyDescent="0.25">
      <c r="A17" t="s">
        <v>17</v>
      </c>
      <c r="B17" s="19">
        <v>1</v>
      </c>
      <c r="C17">
        <v>0</v>
      </c>
      <c r="D17">
        <v>32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32</v>
      </c>
      <c r="L17">
        <f t="shared" si="0"/>
        <v>100</v>
      </c>
    </row>
    <row r="18" spans="1:12" x14ac:dyDescent="0.25">
      <c r="A18" t="s">
        <v>21</v>
      </c>
      <c r="B18" s="19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32</v>
      </c>
      <c r="K18">
        <v>0</v>
      </c>
      <c r="L18">
        <f>K18/32*100</f>
        <v>0</v>
      </c>
    </row>
    <row r="19" spans="1:12" x14ac:dyDescent="0.25">
      <c r="B19" s="19"/>
    </row>
    <row r="20" spans="1:12" x14ac:dyDescent="0.25">
      <c r="A20" t="s">
        <v>0</v>
      </c>
      <c r="B20" s="19"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32</v>
      </c>
      <c r="K20">
        <v>0</v>
      </c>
      <c r="L20">
        <f>K20/32*100</f>
        <v>0</v>
      </c>
    </row>
    <row r="21" spans="1:12" x14ac:dyDescent="0.25">
      <c r="A21" t="s">
        <v>5</v>
      </c>
      <c r="B21" s="19">
        <v>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32</v>
      </c>
      <c r="K21">
        <v>0</v>
      </c>
      <c r="L21">
        <f t="shared" ref="L21:L28" si="1">K21/32*100</f>
        <v>0</v>
      </c>
    </row>
    <row r="22" spans="1:12" x14ac:dyDescent="0.25">
      <c r="A22" t="s">
        <v>12</v>
      </c>
      <c r="B22" s="19">
        <v>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32</v>
      </c>
      <c r="K22">
        <v>0</v>
      </c>
      <c r="L22">
        <f t="shared" si="1"/>
        <v>0</v>
      </c>
    </row>
    <row r="23" spans="1:12" x14ac:dyDescent="0.25">
      <c r="A23" t="s">
        <v>13</v>
      </c>
      <c r="B23" s="19">
        <v>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32</v>
      </c>
      <c r="K23">
        <v>0</v>
      </c>
      <c r="L23">
        <f t="shared" si="1"/>
        <v>0</v>
      </c>
    </row>
    <row r="24" spans="1:12" x14ac:dyDescent="0.25">
      <c r="A24" t="s">
        <v>14</v>
      </c>
      <c r="B24" s="19">
        <v>2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30</v>
      </c>
      <c r="K24">
        <v>2</v>
      </c>
      <c r="L24">
        <f t="shared" si="1"/>
        <v>6.25</v>
      </c>
    </row>
    <row r="25" spans="1:12" x14ac:dyDescent="0.25">
      <c r="A25" t="s">
        <v>15</v>
      </c>
      <c r="B25" s="19">
        <v>2</v>
      </c>
      <c r="C25">
        <v>0</v>
      </c>
      <c r="D25">
        <v>5</v>
      </c>
      <c r="E25">
        <v>4</v>
      </c>
      <c r="F25">
        <v>0</v>
      </c>
      <c r="G25">
        <v>0</v>
      </c>
      <c r="H25">
        <v>0</v>
      </c>
      <c r="I25">
        <v>2</v>
      </c>
      <c r="J25">
        <v>21</v>
      </c>
      <c r="K25">
        <v>11</v>
      </c>
      <c r="L25">
        <f t="shared" si="1"/>
        <v>34.375</v>
      </c>
    </row>
    <row r="26" spans="1:12" x14ac:dyDescent="0.25">
      <c r="A26" t="s">
        <v>16</v>
      </c>
      <c r="B26" s="19">
        <v>2</v>
      </c>
      <c r="C26">
        <v>0</v>
      </c>
      <c r="D26">
        <v>12</v>
      </c>
      <c r="E26">
        <v>4</v>
      </c>
      <c r="F26">
        <v>1</v>
      </c>
      <c r="G26">
        <v>1</v>
      </c>
      <c r="H26">
        <v>5</v>
      </c>
      <c r="I26">
        <v>6</v>
      </c>
      <c r="J26">
        <v>3</v>
      </c>
      <c r="K26">
        <v>29</v>
      </c>
      <c r="L26">
        <f t="shared" si="1"/>
        <v>90.625</v>
      </c>
    </row>
    <row r="27" spans="1:12" x14ac:dyDescent="0.25">
      <c r="A27" t="s">
        <v>6</v>
      </c>
      <c r="B27" s="19">
        <v>2</v>
      </c>
      <c r="C27">
        <v>0</v>
      </c>
      <c r="D27">
        <v>30</v>
      </c>
      <c r="E27">
        <v>1</v>
      </c>
      <c r="F27">
        <v>1</v>
      </c>
      <c r="G27">
        <v>0</v>
      </c>
      <c r="H27">
        <v>0</v>
      </c>
      <c r="I27">
        <v>0</v>
      </c>
      <c r="J27">
        <v>0</v>
      </c>
      <c r="K27">
        <v>32</v>
      </c>
      <c r="L27">
        <f t="shared" si="1"/>
        <v>100</v>
      </c>
    </row>
    <row r="28" spans="1:12" x14ac:dyDescent="0.25">
      <c r="A28" t="s">
        <v>17</v>
      </c>
      <c r="B28" s="19">
        <v>2</v>
      </c>
      <c r="C28">
        <v>0</v>
      </c>
      <c r="D28">
        <v>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32</v>
      </c>
      <c r="L28">
        <f t="shared" si="1"/>
        <v>100</v>
      </c>
    </row>
    <row r="29" spans="1:12" x14ac:dyDescent="0.25">
      <c r="A29" t="s">
        <v>21</v>
      </c>
      <c r="B29" s="19"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32</v>
      </c>
      <c r="K29">
        <v>0</v>
      </c>
      <c r="L29">
        <f>K29/32*100</f>
        <v>0</v>
      </c>
    </row>
    <row r="31" spans="1:12" x14ac:dyDescent="0.25">
      <c r="A31" t="s">
        <v>0</v>
      </c>
      <c r="B31" s="19">
        <v>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32</v>
      </c>
      <c r="K31">
        <v>0</v>
      </c>
      <c r="L31">
        <f t="shared" ref="L31:L39" si="2">K31/32*100</f>
        <v>0</v>
      </c>
    </row>
    <row r="32" spans="1:12" x14ac:dyDescent="0.25">
      <c r="A32" t="s">
        <v>5</v>
      </c>
      <c r="B32" s="19">
        <v>3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31</v>
      </c>
      <c r="K32">
        <v>1</v>
      </c>
      <c r="L32">
        <f t="shared" si="2"/>
        <v>3.125</v>
      </c>
    </row>
    <row r="33" spans="1:13" x14ac:dyDescent="0.25">
      <c r="A33" t="s">
        <v>12</v>
      </c>
      <c r="B33" s="19">
        <v>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32</v>
      </c>
      <c r="K33">
        <v>0</v>
      </c>
      <c r="L33">
        <f t="shared" si="2"/>
        <v>0</v>
      </c>
    </row>
    <row r="34" spans="1:13" x14ac:dyDescent="0.25">
      <c r="A34" t="s">
        <v>13</v>
      </c>
      <c r="B34" s="19">
        <v>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32</v>
      </c>
      <c r="K34">
        <v>0</v>
      </c>
      <c r="L34">
        <f t="shared" si="2"/>
        <v>0</v>
      </c>
    </row>
    <row r="35" spans="1:13" x14ac:dyDescent="0.25">
      <c r="A35" t="s">
        <v>14</v>
      </c>
      <c r="B35" s="19">
        <v>3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31</v>
      </c>
      <c r="K35">
        <v>1</v>
      </c>
      <c r="L35">
        <f t="shared" si="2"/>
        <v>3.125</v>
      </c>
    </row>
    <row r="36" spans="1:13" x14ac:dyDescent="0.25">
      <c r="A36" t="s">
        <v>15</v>
      </c>
      <c r="B36" s="19">
        <v>3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1</v>
      </c>
      <c r="J36">
        <v>30</v>
      </c>
      <c r="K36">
        <v>2</v>
      </c>
      <c r="L36">
        <f t="shared" si="2"/>
        <v>6.25</v>
      </c>
    </row>
    <row r="37" spans="1:13" x14ac:dyDescent="0.25">
      <c r="A37" t="s">
        <v>16</v>
      </c>
      <c r="B37" s="19">
        <v>3</v>
      </c>
      <c r="C37">
        <v>0</v>
      </c>
      <c r="D37">
        <v>19</v>
      </c>
      <c r="E37">
        <v>1</v>
      </c>
      <c r="F37">
        <v>2</v>
      </c>
      <c r="G37">
        <v>4</v>
      </c>
      <c r="H37">
        <v>2</v>
      </c>
      <c r="I37">
        <v>2</v>
      </c>
      <c r="J37">
        <v>2</v>
      </c>
      <c r="K37">
        <v>30</v>
      </c>
      <c r="L37">
        <f t="shared" si="2"/>
        <v>93.75</v>
      </c>
    </row>
    <row r="38" spans="1:13" x14ac:dyDescent="0.25">
      <c r="A38" t="s">
        <v>6</v>
      </c>
      <c r="B38" s="19">
        <v>3</v>
      </c>
      <c r="C38">
        <v>0</v>
      </c>
      <c r="D38">
        <v>27</v>
      </c>
      <c r="E38">
        <v>0</v>
      </c>
      <c r="F38">
        <v>3</v>
      </c>
      <c r="G38">
        <v>1</v>
      </c>
      <c r="H38">
        <v>1</v>
      </c>
      <c r="I38">
        <v>0</v>
      </c>
      <c r="J38">
        <v>0</v>
      </c>
      <c r="K38">
        <v>32</v>
      </c>
      <c r="L38">
        <f t="shared" si="2"/>
        <v>100</v>
      </c>
    </row>
    <row r="39" spans="1:13" x14ac:dyDescent="0.25">
      <c r="A39" t="s">
        <v>17</v>
      </c>
      <c r="B39" s="19">
        <v>3</v>
      </c>
      <c r="C39">
        <v>0</v>
      </c>
      <c r="D39">
        <v>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32</v>
      </c>
      <c r="L39">
        <f t="shared" si="2"/>
        <v>100</v>
      </c>
    </row>
    <row r="40" spans="1:13" x14ac:dyDescent="0.25">
      <c r="A40" t="s">
        <v>21</v>
      </c>
      <c r="B40" s="19">
        <v>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31</v>
      </c>
      <c r="K40">
        <v>0</v>
      </c>
      <c r="L40">
        <f>K40/32*100</f>
        <v>0</v>
      </c>
      <c r="M40" s="30" t="s">
        <v>68</v>
      </c>
    </row>
    <row r="41" spans="1:13" x14ac:dyDescent="0.25">
      <c r="A41" s="22"/>
      <c r="B41" s="23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3" x14ac:dyDescent="0.25">
      <c r="A42" s="24"/>
      <c r="B42" s="49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3" x14ac:dyDescent="0.25">
      <c r="A43" s="67" t="s">
        <v>34</v>
      </c>
      <c r="B43" s="49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5" spans="1:13" x14ac:dyDescent="0.25">
      <c r="A45" t="s">
        <v>0</v>
      </c>
      <c r="B45" s="19">
        <v>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32</v>
      </c>
      <c r="K45">
        <v>0</v>
      </c>
      <c r="L45">
        <f t="shared" ref="L45:L54" si="3">K45/32*100</f>
        <v>0</v>
      </c>
    </row>
    <row r="46" spans="1:13" x14ac:dyDescent="0.25">
      <c r="A46" t="s">
        <v>5</v>
      </c>
      <c r="B46" s="19">
        <v>4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31</v>
      </c>
      <c r="K46">
        <v>1</v>
      </c>
      <c r="L46">
        <f t="shared" si="3"/>
        <v>3.125</v>
      </c>
    </row>
    <row r="47" spans="1:13" x14ac:dyDescent="0.25">
      <c r="A47" t="s">
        <v>12</v>
      </c>
      <c r="B47" s="19">
        <v>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32</v>
      </c>
      <c r="K47">
        <v>0</v>
      </c>
      <c r="L47">
        <f t="shared" si="3"/>
        <v>0</v>
      </c>
    </row>
    <row r="48" spans="1:13" x14ac:dyDescent="0.25">
      <c r="A48" t="s">
        <v>13</v>
      </c>
      <c r="B48" s="19">
        <v>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32</v>
      </c>
      <c r="K48">
        <v>0</v>
      </c>
      <c r="L48">
        <f t="shared" si="3"/>
        <v>0</v>
      </c>
    </row>
    <row r="49" spans="1:13" x14ac:dyDescent="0.25">
      <c r="A49" t="s">
        <v>14</v>
      </c>
      <c r="B49" s="19">
        <v>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31</v>
      </c>
      <c r="K49">
        <v>0</v>
      </c>
      <c r="L49">
        <f t="shared" si="3"/>
        <v>0</v>
      </c>
      <c r="M49" s="30" t="s">
        <v>68</v>
      </c>
    </row>
    <row r="50" spans="1:13" x14ac:dyDescent="0.25">
      <c r="A50" t="s">
        <v>15</v>
      </c>
      <c r="B50" s="19">
        <v>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31</v>
      </c>
      <c r="K50">
        <v>0</v>
      </c>
      <c r="L50">
        <f t="shared" si="3"/>
        <v>0</v>
      </c>
      <c r="M50" s="30" t="s">
        <v>68</v>
      </c>
    </row>
    <row r="51" spans="1:13" x14ac:dyDescent="0.25">
      <c r="A51" t="s">
        <v>16</v>
      </c>
      <c r="B51" s="19">
        <v>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32</v>
      </c>
      <c r="K51">
        <v>0</v>
      </c>
      <c r="L51">
        <f t="shared" si="3"/>
        <v>0</v>
      </c>
    </row>
    <row r="52" spans="1:13" x14ac:dyDescent="0.25">
      <c r="A52" t="s">
        <v>6</v>
      </c>
      <c r="B52" s="19">
        <v>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31</v>
      </c>
      <c r="K52">
        <v>0</v>
      </c>
      <c r="L52">
        <f t="shared" si="3"/>
        <v>0</v>
      </c>
      <c r="M52" s="30" t="s">
        <v>68</v>
      </c>
    </row>
    <row r="53" spans="1:13" x14ac:dyDescent="0.25">
      <c r="A53" t="s">
        <v>17</v>
      </c>
      <c r="B53" s="19">
        <v>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32</v>
      </c>
      <c r="K53">
        <v>0</v>
      </c>
      <c r="L53">
        <f t="shared" si="3"/>
        <v>0</v>
      </c>
    </row>
    <row r="54" spans="1:13" x14ac:dyDescent="0.25">
      <c r="A54" t="s">
        <v>19</v>
      </c>
      <c r="B54" s="19">
        <v>4</v>
      </c>
      <c r="C54">
        <v>0</v>
      </c>
      <c r="D54">
        <v>4</v>
      </c>
      <c r="E54">
        <v>3</v>
      </c>
      <c r="F54">
        <v>0</v>
      </c>
      <c r="G54">
        <v>0</v>
      </c>
      <c r="H54">
        <v>0</v>
      </c>
      <c r="I54">
        <v>4</v>
      </c>
      <c r="J54">
        <v>21</v>
      </c>
      <c r="K54">
        <v>11</v>
      </c>
      <c r="L54">
        <f t="shared" si="3"/>
        <v>34.375</v>
      </c>
      <c r="M54" s="30"/>
    </row>
    <row r="56" spans="1:13" x14ac:dyDescent="0.25">
      <c r="A56" t="s">
        <v>0</v>
      </c>
      <c r="B56" s="19">
        <v>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32</v>
      </c>
      <c r="K56">
        <v>0</v>
      </c>
      <c r="L56">
        <f t="shared" ref="L56:L65" si="4">K56/32*100</f>
        <v>0</v>
      </c>
    </row>
    <row r="57" spans="1:13" x14ac:dyDescent="0.25">
      <c r="A57" t="s">
        <v>5</v>
      </c>
      <c r="B57" s="19">
        <v>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32</v>
      </c>
      <c r="K57">
        <v>0</v>
      </c>
      <c r="L57">
        <f t="shared" si="4"/>
        <v>0</v>
      </c>
    </row>
    <row r="58" spans="1:13" x14ac:dyDescent="0.25">
      <c r="A58" t="s">
        <v>12</v>
      </c>
      <c r="B58" s="19">
        <v>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31</v>
      </c>
      <c r="K58">
        <v>0</v>
      </c>
      <c r="L58">
        <f t="shared" si="4"/>
        <v>0</v>
      </c>
      <c r="M58" s="30" t="s">
        <v>68</v>
      </c>
    </row>
    <row r="59" spans="1:13" x14ac:dyDescent="0.25">
      <c r="A59" t="s">
        <v>13</v>
      </c>
      <c r="B59" s="19">
        <v>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32</v>
      </c>
      <c r="K59">
        <v>0</v>
      </c>
      <c r="L59">
        <f t="shared" si="4"/>
        <v>0</v>
      </c>
    </row>
    <row r="60" spans="1:13" x14ac:dyDescent="0.25">
      <c r="A60" t="s">
        <v>14</v>
      </c>
      <c r="B60" s="19">
        <v>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32</v>
      </c>
      <c r="K60">
        <v>0</v>
      </c>
      <c r="L60">
        <f t="shared" si="4"/>
        <v>0</v>
      </c>
    </row>
    <row r="61" spans="1:13" x14ac:dyDescent="0.25">
      <c r="A61" t="s">
        <v>15</v>
      </c>
      <c r="B61" s="19">
        <v>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32</v>
      </c>
      <c r="K61">
        <v>0</v>
      </c>
      <c r="L61">
        <f t="shared" si="4"/>
        <v>0</v>
      </c>
    </row>
    <row r="62" spans="1:13" x14ac:dyDescent="0.25">
      <c r="A62" t="s">
        <v>16</v>
      </c>
      <c r="B62" s="19">
        <v>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32</v>
      </c>
      <c r="K62">
        <v>0</v>
      </c>
      <c r="L62">
        <f t="shared" si="4"/>
        <v>0</v>
      </c>
    </row>
    <row r="63" spans="1:13" x14ac:dyDescent="0.25">
      <c r="A63" t="s">
        <v>6</v>
      </c>
      <c r="B63" s="19">
        <v>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32</v>
      </c>
      <c r="K63">
        <v>0</v>
      </c>
      <c r="L63">
        <f t="shared" si="4"/>
        <v>0</v>
      </c>
    </row>
    <row r="64" spans="1:13" x14ac:dyDescent="0.25">
      <c r="A64" t="s">
        <v>17</v>
      </c>
      <c r="B64" s="19">
        <v>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32</v>
      </c>
      <c r="K64">
        <v>0</v>
      </c>
      <c r="L64">
        <f t="shared" si="4"/>
        <v>0</v>
      </c>
    </row>
    <row r="65" spans="1:13" x14ac:dyDescent="0.25">
      <c r="A65" t="s">
        <v>19</v>
      </c>
      <c r="B65" s="19">
        <v>5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31</v>
      </c>
      <c r="K65">
        <v>1</v>
      </c>
      <c r="L65">
        <f t="shared" si="4"/>
        <v>3.125</v>
      </c>
    </row>
    <row r="67" spans="1:13" x14ac:dyDescent="0.25">
      <c r="A67" t="s">
        <v>0</v>
      </c>
      <c r="B67" s="19">
        <v>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32</v>
      </c>
      <c r="K67">
        <v>0</v>
      </c>
      <c r="L67">
        <f t="shared" ref="L67:L75" si="5">K67/32*100</f>
        <v>0</v>
      </c>
    </row>
    <row r="68" spans="1:13" x14ac:dyDescent="0.25">
      <c r="A68" t="s">
        <v>5</v>
      </c>
      <c r="B68" s="19">
        <v>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32</v>
      </c>
      <c r="K68">
        <v>0</v>
      </c>
      <c r="L68">
        <f t="shared" si="5"/>
        <v>0</v>
      </c>
    </row>
    <row r="69" spans="1:13" x14ac:dyDescent="0.25">
      <c r="A69" t="s">
        <v>12</v>
      </c>
      <c r="B69" s="19">
        <v>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1</v>
      </c>
      <c r="J69">
        <v>31</v>
      </c>
      <c r="K69">
        <v>1</v>
      </c>
      <c r="L69">
        <f t="shared" si="5"/>
        <v>3.125</v>
      </c>
    </row>
    <row r="70" spans="1:13" x14ac:dyDescent="0.25">
      <c r="A70" t="s">
        <v>13</v>
      </c>
      <c r="B70" s="19">
        <v>6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32</v>
      </c>
      <c r="K70">
        <v>0</v>
      </c>
      <c r="L70">
        <f t="shared" si="5"/>
        <v>0</v>
      </c>
    </row>
    <row r="71" spans="1:13" x14ac:dyDescent="0.25">
      <c r="A71" t="s">
        <v>14</v>
      </c>
      <c r="B71" s="19">
        <v>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32</v>
      </c>
      <c r="K71">
        <v>0</v>
      </c>
      <c r="L71">
        <f t="shared" si="5"/>
        <v>0</v>
      </c>
    </row>
    <row r="72" spans="1:13" x14ac:dyDescent="0.25">
      <c r="A72" t="s">
        <v>15</v>
      </c>
      <c r="B72" s="19">
        <v>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32</v>
      </c>
      <c r="K72">
        <v>0</v>
      </c>
      <c r="L72">
        <f t="shared" si="5"/>
        <v>0</v>
      </c>
    </row>
    <row r="73" spans="1:13" x14ac:dyDescent="0.25">
      <c r="A73" t="s">
        <v>16</v>
      </c>
      <c r="B73" s="19">
        <v>6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31</v>
      </c>
      <c r="K73">
        <v>1</v>
      </c>
      <c r="L73">
        <f t="shared" si="5"/>
        <v>3.125</v>
      </c>
    </row>
    <row r="74" spans="1:13" x14ac:dyDescent="0.25">
      <c r="A74" t="s">
        <v>6</v>
      </c>
      <c r="B74" s="19">
        <v>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32</v>
      </c>
      <c r="K74">
        <v>0</v>
      </c>
      <c r="L74">
        <f t="shared" si="5"/>
        <v>0</v>
      </c>
    </row>
    <row r="75" spans="1:13" x14ac:dyDescent="0.25">
      <c r="A75" t="s">
        <v>17</v>
      </c>
      <c r="B75" s="19">
        <v>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32</v>
      </c>
      <c r="K75">
        <v>0</v>
      </c>
      <c r="L75">
        <f t="shared" si="5"/>
        <v>0</v>
      </c>
    </row>
    <row r="76" spans="1:13" x14ac:dyDescent="0.25">
      <c r="A76" t="s">
        <v>19</v>
      </c>
      <c r="B76" s="19">
        <v>6</v>
      </c>
      <c r="C76">
        <v>0</v>
      </c>
      <c r="D76">
        <v>3</v>
      </c>
      <c r="E76">
        <v>3</v>
      </c>
      <c r="F76">
        <v>2</v>
      </c>
      <c r="G76">
        <v>4</v>
      </c>
      <c r="H76">
        <v>1</v>
      </c>
      <c r="I76">
        <v>2</v>
      </c>
      <c r="J76">
        <v>16</v>
      </c>
      <c r="K76">
        <f>SUM(D76:I76)</f>
        <v>15</v>
      </c>
      <c r="L76" s="4">
        <f>K76/31*100</f>
        <v>48.387096774193552</v>
      </c>
      <c r="M76" s="30" t="s">
        <v>68</v>
      </c>
    </row>
    <row r="77" spans="1:13" x14ac:dyDescent="0.25">
      <c r="A77" s="22"/>
      <c r="B77" s="23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9" spans="1:13" x14ac:dyDescent="0.25">
      <c r="A79" s="69" t="s">
        <v>41</v>
      </c>
      <c r="B79" s="19"/>
    </row>
    <row r="80" spans="1:13" x14ac:dyDescent="0.25">
      <c r="B80" s="19"/>
    </row>
    <row r="81" spans="1:12" x14ac:dyDescent="0.25">
      <c r="A81" s="62" t="s">
        <v>53</v>
      </c>
      <c r="B81" s="62" t="s">
        <v>8</v>
      </c>
      <c r="C81" s="62" t="s">
        <v>66</v>
      </c>
      <c r="D81" s="62"/>
      <c r="E81" s="62"/>
      <c r="F81" s="62"/>
      <c r="G81" s="62"/>
      <c r="H81" s="62"/>
      <c r="I81" s="62"/>
      <c r="J81" s="62" t="s">
        <v>56</v>
      </c>
      <c r="K81" s="62" t="s">
        <v>67</v>
      </c>
      <c r="L81" s="62"/>
    </row>
    <row r="82" spans="1:12" x14ac:dyDescent="0.25">
      <c r="A82" s="62"/>
      <c r="B82" s="62"/>
      <c r="C82" s="61">
        <v>0</v>
      </c>
      <c r="D82" s="61">
        <v>12</v>
      </c>
      <c r="E82" s="61">
        <v>24</v>
      </c>
      <c r="F82" s="61">
        <v>48</v>
      </c>
      <c r="G82" s="61">
        <v>60</v>
      </c>
      <c r="H82" s="61">
        <v>72</v>
      </c>
      <c r="I82" s="61">
        <v>96</v>
      </c>
      <c r="J82" s="62"/>
      <c r="K82" s="61" t="s">
        <v>1</v>
      </c>
      <c r="L82" s="61" t="s">
        <v>2</v>
      </c>
    </row>
    <row r="83" spans="1:12" x14ac:dyDescent="0.25">
      <c r="A83" t="s">
        <v>27</v>
      </c>
      <c r="B83" s="7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32</v>
      </c>
      <c r="K83">
        <f>SUM(C83:I83)</f>
        <v>0</v>
      </c>
      <c r="L83">
        <f t="shared" ref="L83:L117" si="6">K83/32*100</f>
        <v>0</v>
      </c>
    </row>
    <row r="84" spans="1:12" x14ac:dyDescent="0.25">
      <c r="A84" t="s">
        <v>23</v>
      </c>
      <c r="B84" s="19">
        <v>1</v>
      </c>
      <c r="C84">
        <v>32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f t="shared" ref="K84:K117" si="7">SUM(C84:I84)</f>
        <v>32</v>
      </c>
      <c r="L84">
        <f t="shared" si="6"/>
        <v>100</v>
      </c>
    </row>
    <row r="85" spans="1:12" x14ac:dyDescent="0.25">
      <c r="A85" t="s">
        <v>29</v>
      </c>
      <c r="B85" s="19">
        <v>1</v>
      </c>
      <c r="C85">
        <v>32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f t="shared" si="7"/>
        <v>32</v>
      </c>
      <c r="L85">
        <f t="shared" si="6"/>
        <v>100</v>
      </c>
    </row>
    <row r="86" spans="1:12" x14ac:dyDescent="0.25">
      <c r="A86" t="s">
        <v>24</v>
      </c>
      <c r="B86" s="19"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32</v>
      </c>
      <c r="K86">
        <f t="shared" si="7"/>
        <v>0</v>
      </c>
      <c r="L86">
        <f t="shared" si="6"/>
        <v>0</v>
      </c>
    </row>
    <row r="87" spans="1:12" x14ac:dyDescent="0.25">
      <c r="A87" t="s">
        <v>30</v>
      </c>
      <c r="B87" s="19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32</v>
      </c>
      <c r="K87">
        <f t="shared" si="7"/>
        <v>0</v>
      </c>
      <c r="L87">
        <f t="shared" si="6"/>
        <v>0</v>
      </c>
    </row>
    <row r="88" spans="1:12" x14ac:dyDescent="0.25">
      <c r="A88" t="s">
        <v>25</v>
      </c>
      <c r="B88" s="19">
        <v>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32</v>
      </c>
      <c r="K88">
        <f t="shared" si="7"/>
        <v>0</v>
      </c>
      <c r="L88">
        <f t="shared" si="6"/>
        <v>0</v>
      </c>
    </row>
    <row r="89" spans="1:12" x14ac:dyDescent="0.25">
      <c r="A89" t="s">
        <v>31</v>
      </c>
      <c r="B89" s="19">
        <v>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32</v>
      </c>
      <c r="K89">
        <f t="shared" si="7"/>
        <v>0</v>
      </c>
      <c r="L89">
        <f t="shared" si="6"/>
        <v>0</v>
      </c>
    </row>
    <row r="90" spans="1:12" x14ac:dyDescent="0.25">
      <c r="A90" t="s">
        <v>26</v>
      </c>
      <c r="B90" s="19">
        <v>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32</v>
      </c>
      <c r="K90">
        <f t="shared" si="7"/>
        <v>0</v>
      </c>
      <c r="L90">
        <f t="shared" si="6"/>
        <v>0</v>
      </c>
    </row>
    <row r="91" spans="1:12" x14ac:dyDescent="0.25">
      <c r="A91" t="s">
        <v>32</v>
      </c>
      <c r="B91" s="19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32</v>
      </c>
      <c r="K91">
        <f t="shared" si="7"/>
        <v>0</v>
      </c>
      <c r="L91">
        <f t="shared" si="6"/>
        <v>0</v>
      </c>
    </row>
    <row r="92" spans="1:12" x14ac:dyDescent="0.25">
      <c r="A92" t="s">
        <v>28</v>
      </c>
      <c r="B92" s="19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32</v>
      </c>
      <c r="K92">
        <f t="shared" si="7"/>
        <v>0</v>
      </c>
      <c r="L92">
        <f t="shared" si="6"/>
        <v>0</v>
      </c>
    </row>
    <row r="93" spans="1:12" x14ac:dyDescent="0.25">
      <c r="A93" t="s">
        <v>33</v>
      </c>
      <c r="B93" s="19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32</v>
      </c>
      <c r="K93">
        <f t="shared" si="7"/>
        <v>0</v>
      </c>
      <c r="L93">
        <f t="shared" si="6"/>
        <v>0</v>
      </c>
    </row>
    <row r="95" spans="1:12" x14ac:dyDescent="0.25">
      <c r="A95" t="s">
        <v>27</v>
      </c>
      <c r="B95" s="7">
        <v>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K95">
        <f t="shared" si="7"/>
        <v>0</v>
      </c>
      <c r="L95">
        <f t="shared" si="6"/>
        <v>0</v>
      </c>
    </row>
    <row r="96" spans="1:12" x14ac:dyDescent="0.25">
      <c r="A96" t="s">
        <v>23</v>
      </c>
      <c r="B96" s="19">
        <v>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K96">
        <f t="shared" si="7"/>
        <v>0</v>
      </c>
      <c r="L96">
        <f t="shared" si="6"/>
        <v>0</v>
      </c>
    </row>
    <row r="97" spans="1:12" x14ac:dyDescent="0.25">
      <c r="A97" t="s">
        <v>29</v>
      </c>
      <c r="B97" s="19">
        <v>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K97">
        <f t="shared" si="7"/>
        <v>0</v>
      </c>
      <c r="L97">
        <f t="shared" si="6"/>
        <v>0</v>
      </c>
    </row>
    <row r="98" spans="1:12" x14ac:dyDescent="0.25">
      <c r="A98" t="s">
        <v>24</v>
      </c>
      <c r="B98" s="19">
        <v>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K98">
        <f t="shared" si="7"/>
        <v>0</v>
      </c>
      <c r="L98">
        <f t="shared" si="6"/>
        <v>0</v>
      </c>
    </row>
    <row r="99" spans="1:12" x14ac:dyDescent="0.25">
      <c r="A99" t="s">
        <v>30</v>
      </c>
      <c r="B99" s="19">
        <v>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K99">
        <f t="shared" si="7"/>
        <v>0</v>
      </c>
      <c r="L99">
        <f t="shared" si="6"/>
        <v>0</v>
      </c>
    </row>
    <row r="100" spans="1:12" x14ac:dyDescent="0.25">
      <c r="A100" t="s">
        <v>25</v>
      </c>
      <c r="B100" s="19">
        <v>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K100">
        <f t="shared" si="7"/>
        <v>0</v>
      </c>
      <c r="L100">
        <f t="shared" si="6"/>
        <v>0</v>
      </c>
    </row>
    <row r="101" spans="1:12" x14ac:dyDescent="0.25">
      <c r="A101" t="s">
        <v>31</v>
      </c>
      <c r="B101" s="19">
        <v>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K101">
        <f t="shared" si="7"/>
        <v>0</v>
      </c>
      <c r="L101">
        <f t="shared" si="6"/>
        <v>0</v>
      </c>
    </row>
    <row r="102" spans="1:12" x14ac:dyDescent="0.25">
      <c r="A102" t="s">
        <v>26</v>
      </c>
      <c r="B102" s="19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K102">
        <f t="shared" si="7"/>
        <v>0</v>
      </c>
      <c r="L102">
        <f t="shared" si="6"/>
        <v>0</v>
      </c>
    </row>
    <row r="103" spans="1:12" x14ac:dyDescent="0.25">
      <c r="A103" t="s">
        <v>32</v>
      </c>
      <c r="B103" s="19">
        <v>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K103">
        <f t="shared" si="7"/>
        <v>0</v>
      </c>
      <c r="L103">
        <f t="shared" si="6"/>
        <v>0</v>
      </c>
    </row>
    <row r="104" spans="1:12" x14ac:dyDescent="0.25">
      <c r="A104" t="s">
        <v>28</v>
      </c>
      <c r="B104" s="19">
        <v>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K104">
        <f t="shared" si="7"/>
        <v>0</v>
      </c>
      <c r="L104">
        <f t="shared" si="6"/>
        <v>0</v>
      </c>
    </row>
    <row r="105" spans="1:12" x14ac:dyDescent="0.25">
      <c r="A105" t="s">
        <v>33</v>
      </c>
      <c r="B105" s="19">
        <v>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K105">
        <f t="shared" si="7"/>
        <v>0</v>
      </c>
      <c r="L105">
        <f t="shared" si="6"/>
        <v>0</v>
      </c>
    </row>
    <row r="107" spans="1:12" x14ac:dyDescent="0.25">
      <c r="A107" t="s">
        <v>27</v>
      </c>
      <c r="B107" s="7">
        <v>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K107">
        <f t="shared" si="7"/>
        <v>0</v>
      </c>
      <c r="L107">
        <f t="shared" si="6"/>
        <v>0</v>
      </c>
    </row>
    <row r="108" spans="1:12" x14ac:dyDescent="0.25">
      <c r="A108" t="s">
        <v>23</v>
      </c>
      <c r="B108" s="19">
        <v>3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K108">
        <f t="shared" si="7"/>
        <v>0</v>
      </c>
      <c r="L108">
        <f t="shared" si="6"/>
        <v>0</v>
      </c>
    </row>
    <row r="109" spans="1:12" x14ac:dyDescent="0.25">
      <c r="A109" t="s">
        <v>29</v>
      </c>
      <c r="B109" s="19">
        <v>3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K109">
        <f t="shared" si="7"/>
        <v>0</v>
      </c>
      <c r="L109">
        <f t="shared" si="6"/>
        <v>0</v>
      </c>
    </row>
    <row r="110" spans="1:12" x14ac:dyDescent="0.25">
      <c r="A110" t="s">
        <v>24</v>
      </c>
      <c r="B110" s="19">
        <v>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K110">
        <f t="shared" si="7"/>
        <v>0</v>
      </c>
      <c r="L110">
        <f t="shared" si="6"/>
        <v>0</v>
      </c>
    </row>
    <row r="111" spans="1:12" x14ac:dyDescent="0.25">
      <c r="A111" t="s">
        <v>30</v>
      </c>
      <c r="B111" s="19">
        <v>3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K111">
        <f t="shared" si="7"/>
        <v>0</v>
      </c>
      <c r="L111">
        <f t="shared" si="6"/>
        <v>0</v>
      </c>
    </row>
    <row r="112" spans="1:12" x14ac:dyDescent="0.25">
      <c r="A112" t="s">
        <v>25</v>
      </c>
      <c r="B112" s="19">
        <v>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K112">
        <f t="shared" si="7"/>
        <v>0</v>
      </c>
      <c r="L112">
        <f t="shared" si="6"/>
        <v>0</v>
      </c>
    </row>
    <row r="113" spans="1:12" x14ac:dyDescent="0.25">
      <c r="A113" t="s">
        <v>31</v>
      </c>
      <c r="B113" s="19">
        <v>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K113">
        <f t="shared" si="7"/>
        <v>0</v>
      </c>
      <c r="L113">
        <f t="shared" si="6"/>
        <v>0</v>
      </c>
    </row>
    <row r="114" spans="1:12" x14ac:dyDescent="0.25">
      <c r="A114" t="s">
        <v>26</v>
      </c>
      <c r="B114" s="19">
        <v>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K114">
        <f t="shared" si="7"/>
        <v>0</v>
      </c>
      <c r="L114">
        <f t="shared" si="6"/>
        <v>0</v>
      </c>
    </row>
    <row r="115" spans="1:12" x14ac:dyDescent="0.25">
      <c r="A115" t="s">
        <v>32</v>
      </c>
      <c r="B115" s="19">
        <v>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K115">
        <f t="shared" si="7"/>
        <v>0</v>
      </c>
      <c r="L115">
        <f t="shared" si="6"/>
        <v>0</v>
      </c>
    </row>
    <row r="116" spans="1:12" x14ac:dyDescent="0.25">
      <c r="A116" t="s">
        <v>28</v>
      </c>
      <c r="B116" s="19">
        <v>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K116">
        <f t="shared" si="7"/>
        <v>0</v>
      </c>
      <c r="L116">
        <f t="shared" si="6"/>
        <v>0</v>
      </c>
    </row>
    <row r="117" spans="1:12" x14ac:dyDescent="0.25">
      <c r="A117" t="s">
        <v>33</v>
      </c>
      <c r="B117" s="19">
        <v>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K117">
        <f t="shared" si="7"/>
        <v>0</v>
      </c>
      <c r="L117">
        <f t="shared" si="6"/>
        <v>0</v>
      </c>
    </row>
    <row r="118" spans="1:12" s="24" customFormat="1" x14ac:dyDescent="0.25">
      <c r="B118" s="49"/>
    </row>
    <row r="120" spans="1:12" x14ac:dyDescent="0.25">
      <c r="A120" t="s">
        <v>0</v>
      </c>
      <c r="B120" s="19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32</v>
      </c>
      <c r="K120">
        <f>SUM(C120:I120)</f>
        <v>0</v>
      </c>
      <c r="L120">
        <f t="shared" ref="L120:L127" si="8">K120/32*100</f>
        <v>0</v>
      </c>
    </row>
    <row r="121" spans="1:12" x14ac:dyDescent="0.25">
      <c r="A121" t="s">
        <v>23</v>
      </c>
      <c r="B121" s="19">
        <v>1</v>
      </c>
      <c r="C121">
        <v>0</v>
      </c>
      <c r="D121">
        <v>32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f t="shared" ref="K121:K127" si="9">SUM(C121:I121)</f>
        <v>32</v>
      </c>
      <c r="L121">
        <f t="shared" si="8"/>
        <v>100</v>
      </c>
    </row>
    <row r="122" spans="1:12" x14ac:dyDescent="0.25">
      <c r="A122" t="s">
        <v>29</v>
      </c>
      <c r="B122" s="19">
        <v>1</v>
      </c>
      <c r="C122">
        <v>0</v>
      </c>
      <c r="D122">
        <v>31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f t="shared" si="9"/>
        <v>32</v>
      </c>
      <c r="L122">
        <f t="shared" si="8"/>
        <v>100</v>
      </c>
    </row>
    <row r="123" spans="1:12" x14ac:dyDescent="0.25">
      <c r="A123" t="s">
        <v>35</v>
      </c>
      <c r="B123" s="19">
        <v>1</v>
      </c>
      <c r="C123">
        <v>0</v>
      </c>
      <c r="D123">
        <v>26</v>
      </c>
      <c r="E123">
        <v>2</v>
      </c>
      <c r="F123">
        <v>1</v>
      </c>
      <c r="G123">
        <v>1</v>
      </c>
      <c r="H123">
        <v>0</v>
      </c>
      <c r="I123">
        <v>2</v>
      </c>
      <c r="J123">
        <v>0</v>
      </c>
      <c r="K123">
        <f t="shared" si="9"/>
        <v>32</v>
      </c>
      <c r="L123">
        <f t="shared" si="8"/>
        <v>100</v>
      </c>
    </row>
    <row r="124" spans="1:12" x14ac:dyDescent="0.25">
      <c r="A124" t="s">
        <v>36</v>
      </c>
      <c r="B124" s="19">
        <v>1</v>
      </c>
      <c r="C124">
        <v>0</v>
      </c>
      <c r="D124">
        <v>19</v>
      </c>
      <c r="E124">
        <v>6</v>
      </c>
      <c r="F124">
        <v>0</v>
      </c>
      <c r="G124">
        <v>3</v>
      </c>
      <c r="H124">
        <v>2</v>
      </c>
      <c r="I124">
        <v>2</v>
      </c>
      <c r="J124">
        <v>0</v>
      </c>
      <c r="K124">
        <f t="shared" si="9"/>
        <v>32</v>
      </c>
      <c r="L124">
        <f t="shared" si="8"/>
        <v>100</v>
      </c>
    </row>
    <row r="125" spans="1:12" x14ac:dyDescent="0.25">
      <c r="A125" t="s">
        <v>37</v>
      </c>
      <c r="B125" s="19">
        <v>1</v>
      </c>
      <c r="C125">
        <v>0</v>
      </c>
      <c r="D125">
        <v>6</v>
      </c>
      <c r="E125">
        <v>3</v>
      </c>
      <c r="F125">
        <v>0</v>
      </c>
      <c r="G125">
        <v>0</v>
      </c>
      <c r="H125">
        <v>0</v>
      </c>
      <c r="I125">
        <v>1</v>
      </c>
      <c r="J125">
        <v>22</v>
      </c>
      <c r="K125">
        <f t="shared" si="9"/>
        <v>10</v>
      </c>
      <c r="L125">
        <f t="shared" si="8"/>
        <v>31.25</v>
      </c>
    </row>
    <row r="126" spans="1:12" x14ac:dyDescent="0.25">
      <c r="A126" t="s">
        <v>38</v>
      </c>
      <c r="B126" s="19">
        <v>1</v>
      </c>
      <c r="C126">
        <v>0</v>
      </c>
      <c r="D126">
        <v>1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30</v>
      </c>
      <c r="K126">
        <f t="shared" si="9"/>
        <v>2</v>
      </c>
      <c r="L126">
        <f t="shared" si="8"/>
        <v>6.25</v>
      </c>
    </row>
    <row r="127" spans="1:12" x14ac:dyDescent="0.25">
      <c r="A127" t="s">
        <v>39</v>
      </c>
      <c r="B127" s="19">
        <v>1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31</v>
      </c>
      <c r="K127">
        <f t="shared" si="9"/>
        <v>1</v>
      </c>
      <c r="L127">
        <f t="shared" si="8"/>
        <v>3.125</v>
      </c>
    </row>
    <row r="128" spans="1:12" x14ac:dyDescent="0.25">
      <c r="A128" t="s">
        <v>40</v>
      </c>
      <c r="B128" s="19"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32</v>
      </c>
      <c r="K128">
        <f t="shared" ref="K128:K130" si="10">SUM(C128:I128)</f>
        <v>0</v>
      </c>
      <c r="L128">
        <f t="shared" ref="L128:L130" si="11">K128/32*100</f>
        <v>0</v>
      </c>
    </row>
    <row r="129" spans="1:14" x14ac:dyDescent="0.25">
      <c r="A129" t="s">
        <v>24</v>
      </c>
      <c r="B129" s="19">
        <v>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32</v>
      </c>
      <c r="K129">
        <f t="shared" si="10"/>
        <v>0</v>
      </c>
      <c r="L129">
        <f t="shared" si="11"/>
        <v>0</v>
      </c>
    </row>
    <row r="130" spans="1:14" x14ac:dyDescent="0.25">
      <c r="A130" t="s">
        <v>30</v>
      </c>
      <c r="B130" s="19"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31</v>
      </c>
      <c r="K130">
        <f t="shared" si="10"/>
        <v>1</v>
      </c>
      <c r="L130">
        <f t="shared" si="11"/>
        <v>3.125</v>
      </c>
    </row>
    <row r="132" spans="1:14" x14ac:dyDescent="0.25">
      <c r="A132" t="s">
        <v>0</v>
      </c>
      <c r="B132" s="19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f>32-SUM(C132:I132)</f>
        <v>32</v>
      </c>
      <c r="K132">
        <f>SUM(C132:I132)</f>
        <v>0</v>
      </c>
      <c r="L132">
        <f t="shared" ref="L132:L139" si="12">K132/32*100</f>
        <v>0</v>
      </c>
      <c r="N132" t="s">
        <v>65</v>
      </c>
    </row>
    <row r="133" spans="1:14" x14ac:dyDescent="0.25">
      <c r="A133" t="s">
        <v>35</v>
      </c>
      <c r="B133" s="19">
        <v>2</v>
      </c>
      <c r="C133">
        <v>0</v>
      </c>
      <c r="D133">
        <v>1</v>
      </c>
      <c r="E133">
        <v>2</v>
      </c>
      <c r="F133">
        <v>0</v>
      </c>
      <c r="G133">
        <v>1</v>
      </c>
      <c r="H133">
        <v>0</v>
      </c>
      <c r="I133">
        <v>3</v>
      </c>
      <c r="J133">
        <f t="shared" ref="J133:J139" si="13">32-SUM(C133:I133)</f>
        <v>25</v>
      </c>
      <c r="K133">
        <f t="shared" ref="K133:K140" si="14">SUM(C133:I133)</f>
        <v>7</v>
      </c>
      <c r="L133">
        <f t="shared" si="12"/>
        <v>21.875</v>
      </c>
    </row>
    <row r="134" spans="1:14" x14ac:dyDescent="0.25">
      <c r="A134" t="s">
        <v>36</v>
      </c>
      <c r="B134" s="19">
        <v>2</v>
      </c>
      <c r="C134">
        <v>0</v>
      </c>
      <c r="D134">
        <v>2</v>
      </c>
      <c r="E134">
        <v>5</v>
      </c>
      <c r="F134">
        <v>0</v>
      </c>
      <c r="G134">
        <v>2</v>
      </c>
      <c r="H134">
        <v>0</v>
      </c>
      <c r="I134">
        <v>3</v>
      </c>
      <c r="J134">
        <f>28-SUM(C134:I134)</f>
        <v>16</v>
      </c>
      <c r="K134">
        <f t="shared" si="14"/>
        <v>12</v>
      </c>
      <c r="L134" s="4">
        <f>K134/28*100</f>
        <v>42.857142857142854</v>
      </c>
    </row>
    <row r="135" spans="1:14" x14ac:dyDescent="0.25">
      <c r="A135" t="s">
        <v>42</v>
      </c>
      <c r="B135" s="19">
        <v>1</v>
      </c>
      <c r="C135">
        <v>0</v>
      </c>
      <c r="D135">
        <v>1</v>
      </c>
      <c r="E135">
        <v>1</v>
      </c>
      <c r="F135">
        <v>0</v>
      </c>
      <c r="G135">
        <v>0</v>
      </c>
      <c r="H135">
        <v>0</v>
      </c>
      <c r="I135">
        <v>8</v>
      </c>
      <c r="J135">
        <f t="shared" si="13"/>
        <v>22</v>
      </c>
      <c r="K135">
        <f t="shared" si="14"/>
        <v>10</v>
      </c>
      <c r="L135" s="4">
        <f t="shared" si="12"/>
        <v>31.25</v>
      </c>
    </row>
    <row r="136" spans="1:14" x14ac:dyDescent="0.25">
      <c r="A136" t="s">
        <v>43</v>
      </c>
      <c r="B136" s="19">
        <v>1</v>
      </c>
      <c r="C136">
        <v>0</v>
      </c>
      <c r="D136">
        <v>2</v>
      </c>
      <c r="E136">
        <v>1</v>
      </c>
      <c r="F136">
        <v>0</v>
      </c>
      <c r="G136">
        <v>1</v>
      </c>
      <c r="H136">
        <v>0</v>
      </c>
      <c r="I136">
        <v>0</v>
      </c>
      <c r="J136">
        <f>28-SUM(C136:I136)</f>
        <v>24</v>
      </c>
      <c r="K136">
        <f t="shared" si="14"/>
        <v>4</v>
      </c>
      <c r="L136" s="4">
        <f>K136/28*100</f>
        <v>14.285714285714285</v>
      </c>
    </row>
    <row r="137" spans="1:14" x14ac:dyDescent="0.25">
      <c r="A137" t="s">
        <v>37</v>
      </c>
      <c r="B137" s="19">
        <v>2</v>
      </c>
      <c r="C137">
        <v>0</v>
      </c>
      <c r="D137">
        <v>0</v>
      </c>
      <c r="E137">
        <v>2</v>
      </c>
      <c r="F137">
        <v>0</v>
      </c>
      <c r="G137">
        <v>0</v>
      </c>
      <c r="H137">
        <v>0</v>
      </c>
      <c r="I137">
        <v>0</v>
      </c>
      <c r="J137">
        <f t="shared" si="13"/>
        <v>30</v>
      </c>
      <c r="K137">
        <f t="shared" si="14"/>
        <v>2</v>
      </c>
      <c r="L137" s="4">
        <f t="shared" si="12"/>
        <v>6.25</v>
      </c>
    </row>
    <row r="138" spans="1:14" x14ac:dyDescent="0.25">
      <c r="A138" t="s">
        <v>38</v>
      </c>
      <c r="B138" s="19">
        <v>2</v>
      </c>
      <c r="C138">
        <v>0</v>
      </c>
      <c r="D138">
        <v>0</v>
      </c>
      <c r="E138">
        <v>1</v>
      </c>
      <c r="F138">
        <v>0</v>
      </c>
      <c r="G138">
        <v>0</v>
      </c>
      <c r="H138">
        <v>0</v>
      </c>
      <c r="I138">
        <v>0</v>
      </c>
      <c r="J138">
        <f>28-SUM(C138:I138)</f>
        <v>27</v>
      </c>
      <c r="K138">
        <f t="shared" si="14"/>
        <v>1</v>
      </c>
      <c r="L138" s="4">
        <f>K138/28*100</f>
        <v>3.5714285714285712</v>
      </c>
    </row>
    <row r="139" spans="1:14" x14ac:dyDescent="0.25">
      <c r="A139" t="s">
        <v>39</v>
      </c>
      <c r="B139" s="19">
        <v>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f t="shared" si="13"/>
        <v>32</v>
      </c>
      <c r="K139">
        <f t="shared" si="14"/>
        <v>0</v>
      </c>
      <c r="L139">
        <f t="shared" si="12"/>
        <v>0</v>
      </c>
    </row>
    <row r="140" spans="1:14" x14ac:dyDescent="0.25">
      <c r="A140" t="s">
        <v>40</v>
      </c>
      <c r="B140" s="19">
        <v>2</v>
      </c>
      <c r="C140">
        <v>0</v>
      </c>
      <c r="D140">
        <v>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f>28-SUM(C140:I140)</f>
        <v>27</v>
      </c>
      <c r="K140">
        <f t="shared" si="14"/>
        <v>1</v>
      </c>
      <c r="L140" s="4">
        <f>K140/28*100</f>
        <v>3.5714285714285712</v>
      </c>
    </row>
    <row r="141" spans="1:14" x14ac:dyDescent="0.25">
      <c r="B141" s="19"/>
    </row>
    <row r="142" spans="1:14" x14ac:dyDescent="0.25">
      <c r="A142" t="s">
        <v>0</v>
      </c>
      <c r="B142" s="19">
        <v>3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f>32-SUM(C142:I142)</f>
        <v>32</v>
      </c>
      <c r="K142">
        <f>SUM(C142:I142)</f>
        <v>0</v>
      </c>
      <c r="L142">
        <f t="shared" ref="L142:L155" si="15">K142/32*100</f>
        <v>0</v>
      </c>
    </row>
    <row r="143" spans="1:14" x14ac:dyDescent="0.25">
      <c r="A143" t="s">
        <v>23</v>
      </c>
      <c r="B143" s="19">
        <v>1</v>
      </c>
      <c r="C143">
        <v>0</v>
      </c>
      <c r="D143">
        <v>32</v>
      </c>
      <c r="E143">
        <v>0</v>
      </c>
      <c r="F143">
        <v>0</v>
      </c>
      <c r="G143">
        <v>0</v>
      </c>
      <c r="H143">
        <v>0</v>
      </c>
      <c r="I143">
        <v>0</v>
      </c>
      <c r="J143">
        <f t="shared" ref="J143:J155" si="16">32-SUM(C143:I143)</f>
        <v>0</v>
      </c>
      <c r="K143">
        <f t="shared" ref="K143:K155" si="17">SUM(C143:I143)</f>
        <v>32</v>
      </c>
      <c r="L143">
        <f t="shared" si="15"/>
        <v>100</v>
      </c>
    </row>
    <row r="144" spans="1:14" x14ac:dyDescent="0.25">
      <c r="A144" t="s">
        <v>29</v>
      </c>
      <c r="B144" s="19">
        <v>1</v>
      </c>
      <c r="C144">
        <v>0</v>
      </c>
      <c r="D144">
        <v>32</v>
      </c>
      <c r="E144">
        <v>0</v>
      </c>
      <c r="F144">
        <v>0</v>
      </c>
      <c r="G144">
        <v>0</v>
      </c>
      <c r="H144">
        <v>0</v>
      </c>
      <c r="I144">
        <v>0</v>
      </c>
      <c r="J144">
        <f t="shared" si="16"/>
        <v>0</v>
      </c>
      <c r="K144">
        <f t="shared" si="17"/>
        <v>32</v>
      </c>
      <c r="L144">
        <f t="shared" si="15"/>
        <v>100</v>
      </c>
    </row>
    <row r="145" spans="1:12" x14ac:dyDescent="0.25">
      <c r="A145" t="s">
        <v>44</v>
      </c>
      <c r="B145" s="19">
        <v>1</v>
      </c>
      <c r="C145">
        <v>0</v>
      </c>
      <c r="D145">
        <v>31</v>
      </c>
      <c r="E145">
        <v>0</v>
      </c>
      <c r="F145">
        <v>1</v>
      </c>
      <c r="G145">
        <v>0</v>
      </c>
      <c r="H145">
        <v>0</v>
      </c>
      <c r="I145">
        <v>0</v>
      </c>
      <c r="J145">
        <f t="shared" si="16"/>
        <v>0</v>
      </c>
      <c r="K145">
        <f t="shared" si="17"/>
        <v>32</v>
      </c>
      <c r="L145">
        <f t="shared" si="15"/>
        <v>100</v>
      </c>
    </row>
    <row r="146" spans="1:12" x14ac:dyDescent="0.25">
      <c r="A146" t="s">
        <v>45</v>
      </c>
      <c r="B146" s="19">
        <v>1</v>
      </c>
      <c r="C146">
        <v>0</v>
      </c>
      <c r="D146">
        <v>32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f t="shared" si="16"/>
        <v>0</v>
      </c>
      <c r="K146">
        <f t="shared" si="17"/>
        <v>32</v>
      </c>
      <c r="L146">
        <f t="shared" si="15"/>
        <v>100</v>
      </c>
    </row>
    <row r="147" spans="1:12" x14ac:dyDescent="0.25">
      <c r="A147" t="s">
        <v>46</v>
      </c>
      <c r="B147" s="19">
        <v>1</v>
      </c>
      <c r="C147">
        <v>0</v>
      </c>
      <c r="D147">
        <v>19</v>
      </c>
      <c r="E147">
        <v>3</v>
      </c>
      <c r="F147">
        <v>5</v>
      </c>
      <c r="G147">
        <v>4</v>
      </c>
      <c r="H147">
        <v>1</v>
      </c>
      <c r="I147">
        <v>0</v>
      </c>
      <c r="J147">
        <f t="shared" si="16"/>
        <v>0</v>
      </c>
      <c r="K147">
        <f t="shared" si="17"/>
        <v>32</v>
      </c>
      <c r="L147">
        <f t="shared" si="15"/>
        <v>100</v>
      </c>
    </row>
    <row r="148" spans="1:12" x14ac:dyDescent="0.25">
      <c r="A148" t="s">
        <v>47</v>
      </c>
      <c r="B148" s="19">
        <v>1</v>
      </c>
      <c r="C148">
        <v>0</v>
      </c>
      <c r="D148">
        <v>26</v>
      </c>
      <c r="E148">
        <v>3</v>
      </c>
      <c r="F148">
        <v>2</v>
      </c>
      <c r="G148">
        <v>1</v>
      </c>
      <c r="H148">
        <v>0</v>
      </c>
      <c r="I148">
        <v>0</v>
      </c>
      <c r="J148">
        <f t="shared" si="16"/>
        <v>0</v>
      </c>
      <c r="K148">
        <f t="shared" si="17"/>
        <v>32</v>
      </c>
      <c r="L148">
        <f t="shared" si="15"/>
        <v>100</v>
      </c>
    </row>
    <row r="149" spans="1:12" x14ac:dyDescent="0.25">
      <c r="A149" t="s">
        <v>48</v>
      </c>
      <c r="B149" s="19">
        <v>1</v>
      </c>
      <c r="C149">
        <v>0</v>
      </c>
      <c r="D149">
        <v>7</v>
      </c>
      <c r="E149">
        <v>3</v>
      </c>
      <c r="F149">
        <v>0</v>
      </c>
      <c r="G149">
        <v>5</v>
      </c>
      <c r="H149">
        <v>3</v>
      </c>
      <c r="I149">
        <v>8</v>
      </c>
      <c r="J149">
        <f t="shared" si="16"/>
        <v>6</v>
      </c>
      <c r="K149">
        <f t="shared" si="17"/>
        <v>26</v>
      </c>
      <c r="L149">
        <f t="shared" si="15"/>
        <v>81.25</v>
      </c>
    </row>
    <row r="150" spans="1:12" x14ac:dyDescent="0.25">
      <c r="A150" t="s">
        <v>49</v>
      </c>
      <c r="B150" s="19">
        <v>1</v>
      </c>
      <c r="C150">
        <v>0</v>
      </c>
      <c r="D150">
        <v>14</v>
      </c>
      <c r="E150">
        <v>1</v>
      </c>
      <c r="F150">
        <v>0</v>
      </c>
      <c r="G150">
        <v>5</v>
      </c>
      <c r="H150">
        <v>0</v>
      </c>
      <c r="I150">
        <v>4</v>
      </c>
      <c r="J150">
        <f t="shared" si="16"/>
        <v>8</v>
      </c>
      <c r="K150">
        <f t="shared" si="17"/>
        <v>24</v>
      </c>
      <c r="L150">
        <f t="shared" si="15"/>
        <v>75</v>
      </c>
    </row>
    <row r="151" spans="1:12" x14ac:dyDescent="0.25">
      <c r="A151" t="s">
        <v>50</v>
      </c>
      <c r="B151" s="19">
        <v>1</v>
      </c>
      <c r="C151">
        <v>0</v>
      </c>
      <c r="D151">
        <v>9</v>
      </c>
      <c r="E151">
        <v>0</v>
      </c>
      <c r="F151">
        <v>0</v>
      </c>
      <c r="G151">
        <v>0</v>
      </c>
      <c r="H151">
        <v>0</v>
      </c>
      <c r="I151">
        <v>11</v>
      </c>
      <c r="J151">
        <f t="shared" si="16"/>
        <v>12</v>
      </c>
      <c r="K151">
        <f t="shared" si="17"/>
        <v>20</v>
      </c>
      <c r="L151">
        <f t="shared" si="15"/>
        <v>62.5</v>
      </c>
    </row>
    <row r="152" spans="1:12" x14ac:dyDescent="0.25">
      <c r="A152" t="s">
        <v>51</v>
      </c>
      <c r="B152" s="19">
        <v>1</v>
      </c>
      <c r="C152">
        <v>0</v>
      </c>
      <c r="D152">
        <v>4</v>
      </c>
      <c r="E152">
        <v>1</v>
      </c>
      <c r="F152">
        <v>0</v>
      </c>
      <c r="G152">
        <v>0</v>
      </c>
      <c r="H152">
        <v>0</v>
      </c>
      <c r="I152">
        <v>0</v>
      </c>
      <c r="J152">
        <f t="shared" si="16"/>
        <v>27</v>
      </c>
      <c r="K152">
        <f t="shared" si="17"/>
        <v>5</v>
      </c>
      <c r="L152">
        <f t="shared" si="15"/>
        <v>15.625</v>
      </c>
    </row>
    <row r="153" spans="1:12" x14ac:dyDescent="0.25">
      <c r="A153" t="s">
        <v>37</v>
      </c>
      <c r="B153" s="19">
        <v>3</v>
      </c>
      <c r="C153">
        <v>0</v>
      </c>
      <c r="D153">
        <v>0</v>
      </c>
      <c r="E153">
        <v>1</v>
      </c>
      <c r="F153">
        <v>0</v>
      </c>
      <c r="G153">
        <v>1</v>
      </c>
      <c r="H153">
        <v>0</v>
      </c>
      <c r="I153">
        <v>0</v>
      </c>
      <c r="J153">
        <f t="shared" si="16"/>
        <v>30</v>
      </c>
      <c r="K153">
        <f t="shared" si="17"/>
        <v>2</v>
      </c>
      <c r="L153">
        <f t="shared" si="15"/>
        <v>6.25</v>
      </c>
    </row>
    <row r="154" spans="1:12" x14ac:dyDescent="0.25">
      <c r="A154" t="s">
        <v>38</v>
      </c>
      <c r="B154" s="19">
        <v>3</v>
      </c>
      <c r="C154">
        <v>0</v>
      </c>
      <c r="D154">
        <v>1</v>
      </c>
      <c r="E154">
        <v>0</v>
      </c>
      <c r="F154">
        <v>0</v>
      </c>
      <c r="G154">
        <v>0</v>
      </c>
      <c r="H154">
        <v>0</v>
      </c>
      <c r="I154">
        <v>1</v>
      </c>
      <c r="J154">
        <f t="shared" si="16"/>
        <v>30</v>
      </c>
      <c r="K154">
        <f t="shared" si="17"/>
        <v>2</v>
      </c>
      <c r="L154">
        <f t="shared" si="15"/>
        <v>6.25</v>
      </c>
    </row>
    <row r="155" spans="1:12" x14ac:dyDescent="0.25">
      <c r="A155" t="s">
        <v>52</v>
      </c>
      <c r="B155" s="19">
        <v>1</v>
      </c>
      <c r="C155">
        <v>0</v>
      </c>
      <c r="D155">
        <v>28</v>
      </c>
      <c r="E155">
        <v>0</v>
      </c>
      <c r="F155">
        <v>2</v>
      </c>
      <c r="G155">
        <v>2</v>
      </c>
      <c r="H155">
        <v>0</v>
      </c>
      <c r="I155">
        <v>0</v>
      </c>
      <c r="J155">
        <f t="shared" si="16"/>
        <v>0</v>
      </c>
      <c r="K155">
        <f t="shared" si="17"/>
        <v>32</v>
      </c>
      <c r="L155">
        <f t="shared" si="15"/>
        <v>100</v>
      </c>
    </row>
    <row r="157" spans="1:12" x14ac:dyDescent="0.25">
      <c r="A157" t="s">
        <v>0</v>
      </c>
      <c r="B157" s="19">
        <v>4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f>32-SUM(C157:I157)</f>
        <v>32</v>
      </c>
      <c r="K157">
        <f>SUM(C157:I157)</f>
        <v>0</v>
      </c>
      <c r="L157">
        <f t="shared" ref="L157:L170" si="18">K157/32*100</f>
        <v>0</v>
      </c>
    </row>
    <row r="158" spans="1:12" x14ac:dyDescent="0.25">
      <c r="A158" t="s">
        <v>23</v>
      </c>
      <c r="B158" s="19">
        <v>2</v>
      </c>
      <c r="C158">
        <v>0</v>
      </c>
      <c r="D158">
        <v>31</v>
      </c>
      <c r="E158">
        <v>0</v>
      </c>
      <c r="F158">
        <v>0</v>
      </c>
      <c r="G158">
        <v>1</v>
      </c>
      <c r="H158">
        <v>0</v>
      </c>
      <c r="I158">
        <v>0</v>
      </c>
      <c r="J158">
        <f t="shared" ref="J158:J170" si="19">32-SUM(C158:I158)</f>
        <v>0</v>
      </c>
      <c r="K158">
        <f t="shared" ref="K158:K170" si="20">SUM(C158:I158)</f>
        <v>32</v>
      </c>
      <c r="L158">
        <f t="shared" si="18"/>
        <v>100</v>
      </c>
    </row>
    <row r="159" spans="1:12" x14ac:dyDescent="0.25">
      <c r="A159" t="s">
        <v>29</v>
      </c>
      <c r="B159" s="19">
        <v>2</v>
      </c>
      <c r="C159">
        <v>0</v>
      </c>
      <c r="D159">
        <v>32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f t="shared" si="19"/>
        <v>0</v>
      </c>
      <c r="K159">
        <f t="shared" si="20"/>
        <v>32</v>
      </c>
      <c r="L159">
        <f t="shared" si="18"/>
        <v>100</v>
      </c>
    </row>
    <row r="160" spans="1:12" x14ac:dyDescent="0.25">
      <c r="A160" t="s">
        <v>44</v>
      </c>
      <c r="B160" s="19">
        <v>2</v>
      </c>
      <c r="C160">
        <v>0</v>
      </c>
      <c r="D160">
        <v>26</v>
      </c>
      <c r="E160">
        <v>1</v>
      </c>
      <c r="F160">
        <v>4</v>
      </c>
      <c r="G160">
        <v>0</v>
      </c>
      <c r="H160">
        <v>0</v>
      </c>
      <c r="I160">
        <v>1</v>
      </c>
      <c r="J160">
        <f t="shared" si="19"/>
        <v>0</v>
      </c>
      <c r="K160">
        <f t="shared" si="20"/>
        <v>32</v>
      </c>
      <c r="L160">
        <f t="shared" si="18"/>
        <v>100</v>
      </c>
    </row>
    <row r="161" spans="1:12" x14ac:dyDescent="0.25">
      <c r="A161" t="s">
        <v>45</v>
      </c>
      <c r="B161" s="19">
        <v>2</v>
      </c>
      <c r="C161">
        <v>0</v>
      </c>
      <c r="D161">
        <v>20</v>
      </c>
      <c r="E161">
        <v>5</v>
      </c>
      <c r="F161">
        <v>3</v>
      </c>
      <c r="G161">
        <v>0</v>
      </c>
      <c r="H161">
        <v>1</v>
      </c>
      <c r="I161">
        <v>3</v>
      </c>
      <c r="J161">
        <f t="shared" si="19"/>
        <v>0</v>
      </c>
      <c r="K161">
        <f t="shared" si="20"/>
        <v>32</v>
      </c>
      <c r="L161">
        <f t="shared" si="18"/>
        <v>100</v>
      </c>
    </row>
    <row r="162" spans="1:12" x14ac:dyDescent="0.25">
      <c r="A162" t="s">
        <v>46</v>
      </c>
      <c r="B162" s="19">
        <v>2</v>
      </c>
      <c r="C162">
        <v>0</v>
      </c>
      <c r="D162">
        <v>10</v>
      </c>
      <c r="E162">
        <v>6</v>
      </c>
      <c r="F162">
        <v>2</v>
      </c>
      <c r="G162">
        <v>6</v>
      </c>
      <c r="H162">
        <v>2</v>
      </c>
      <c r="I162">
        <v>2</v>
      </c>
      <c r="J162">
        <f t="shared" si="19"/>
        <v>4</v>
      </c>
      <c r="K162">
        <f t="shared" si="20"/>
        <v>28</v>
      </c>
      <c r="L162">
        <f t="shared" si="18"/>
        <v>87.5</v>
      </c>
    </row>
    <row r="163" spans="1:12" x14ac:dyDescent="0.25">
      <c r="A163" t="s">
        <v>47</v>
      </c>
      <c r="B163" s="19">
        <v>2</v>
      </c>
      <c r="C163">
        <v>0</v>
      </c>
      <c r="D163">
        <v>12</v>
      </c>
      <c r="E163">
        <v>4</v>
      </c>
      <c r="F163">
        <v>5</v>
      </c>
      <c r="G163">
        <v>8</v>
      </c>
      <c r="H163">
        <v>2</v>
      </c>
      <c r="I163">
        <v>1</v>
      </c>
      <c r="J163">
        <f t="shared" si="19"/>
        <v>0</v>
      </c>
      <c r="K163">
        <f t="shared" si="20"/>
        <v>32</v>
      </c>
      <c r="L163">
        <f t="shared" si="18"/>
        <v>100</v>
      </c>
    </row>
    <row r="164" spans="1:12" x14ac:dyDescent="0.25">
      <c r="A164" t="s">
        <v>48</v>
      </c>
      <c r="B164" s="19">
        <v>2</v>
      </c>
      <c r="C164">
        <v>0</v>
      </c>
      <c r="D164">
        <v>4</v>
      </c>
      <c r="E164">
        <v>2</v>
      </c>
      <c r="F164">
        <v>1</v>
      </c>
      <c r="G164">
        <v>4</v>
      </c>
      <c r="H164">
        <v>1</v>
      </c>
      <c r="I164">
        <v>7</v>
      </c>
      <c r="J164">
        <f t="shared" si="19"/>
        <v>13</v>
      </c>
      <c r="K164">
        <f t="shared" si="20"/>
        <v>19</v>
      </c>
      <c r="L164">
        <f t="shared" si="18"/>
        <v>59.375</v>
      </c>
    </row>
    <row r="165" spans="1:12" x14ac:dyDescent="0.25">
      <c r="A165" t="s">
        <v>49</v>
      </c>
      <c r="B165" s="19">
        <v>2</v>
      </c>
      <c r="C165">
        <v>0</v>
      </c>
      <c r="D165">
        <v>10</v>
      </c>
      <c r="E165">
        <v>4</v>
      </c>
      <c r="F165">
        <v>0</v>
      </c>
      <c r="G165">
        <v>1</v>
      </c>
      <c r="H165">
        <v>4</v>
      </c>
      <c r="I165">
        <v>5</v>
      </c>
      <c r="J165">
        <f t="shared" si="19"/>
        <v>8</v>
      </c>
      <c r="K165">
        <f t="shared" si="20"/>
        <v>24</v>
      </c>
      <c r="L165">
        <f t="shared" si="18"/>
        <v>75</v>
      </c>
    </row>
    <row r="166" spans="1:12" x14ac:dyDescent="0.25">
      <c r="A166" t="s">
        <v>50</v>
      </c>
      <c r="B166" s="19">
        <v>2</v>
      </c>
      <c r="C166">
        <v>0</v>
      </c>
      <c r="D166">
        <v>1</v>
      </c>
      <c r="E166">
        <v>3</v>
      </c>
      <c r="F166">
        <v>0</v>
      </c>
      <c r="G166">
        <v>0</v>
      </c>
      <c r="H166">
        <v>0</v>
      </c>
      <c r="I166">
        <v>3</v>
      </c>
      <c r="J166">
        <f t="shared" si="19"/>
        <v>25</v>
      </c>
      <c r="K166">
        <f t="shared" si="20"/>
        <v>7</v>
      </c>
      <c r="L166">
        <f t="shared" si="18"/>
        <v>21.875</v>
      </c>
    </row>
    <row r="167" spans="1:12" x14ac:dyDescent="0.25">
      <c r="A167" t="s">
        <v>51</v>
      </c>
      <c r="B167" s="19">
        <v>2</v>
      </c>
      <c r="C167">
        <v>0</v>
      </c>
      <c r="D167">
        <v>1</v>
      </c>
      <c r="E167">
        <v>1</v>
      </c>
      <c r="F167">
        <v>0</v>
      </c>
      <c r="G167">
        <v>1</v>
      </c>
      <c r="H167">
        <v>0</v>
      </c>
      <c r="I167">
        <v>3</v>
      </c>
      <c r="J167">
        <f t="shared" si="19"/>
        <v>26</v>
      </c>
      <c r="K167">
        <f t="shared" si="20"/>
        <v>6</v>
      </c>
      <c r="L167">
        <f t="shared" si="18"/>
        <v>18.75</v>
      </c>
    </row>
    <row r="168" spans="1:12" x14ac:dyDescent="0.25">
      <c r="A168" t="s">
        <v>37</v>
      </c>
      <c r="B168" s="19">
        <v>4</v>
      </c>
      <c r="C168">
        <v>0</v>
      </c>
      <c r="D168">
        <v>1</v>
      </c>
      <c r="E168">
        <v>2</v>
      </c>
      <c r="F168">
        <v>0</v>
      </c>
      <c r="G168">
        <v>0</v>
      </c>
      <c r="H168">
        <v>0</v>
      </c>
      <c r="I168">
        <v>3</v>
      </c>
      <c r="J168">
        <f>31-SUM(C168:I168)</f>
        <v>25</v>
      </c>
      <c r="K168">
        <f t="shared" si="20"/>
        <v>6</v>
      </c>
      <c r="L168" s="4">
        <f>K168/31*100</f>
        <v>19.35483870967742</v>
      </c>
    </row>
    <row r="169" spans="1:12" x14ac:dyDescent="0.25">
      <c r="A169" t="s">
        <v>38</v>
      </c>
      <c r="B169" s="19">
        <v>4</v>
      </c>
      <c r="C169">
        <v>0</v>
      </c>
      <c r="D169">
        <v>1</v>
      </c>
      <c r="E169">
        <v>0</v>
      </c>
      <c r="F169">
        <v>0</v>
      </c>
      <c r="G169">
        <v>1</v>
      </c>
      <c r="H169">
        <v>1</v>
      </c>
      <c r="I169">
        <v>0</v>
      </c>
      <c r="J169">
        <f t="shared" si="19"/>
        <v>29</v>
      </c>
      <c r="K169">
        <f t="shared" si="20"/>
        <v>3</v>
      </c>
      <c r="L169">
        <f t="shared" si="18"/>
        <v>9.375</v>
      </c>
    </row>
    <row r="170" spans="1:12" x14ac:dyDescent="0.25">
      <c r="A170" t="s">
        <v>52</v>
      </c>
      <c r="B170" s="19">
        <v>2</v>
      </c>
      <c r="C170">
        <v>0</v>
      </c>
      <c r="D170">
        <v>29</v>
      </c>
      <c r="E170">
        <v>1</v>
      </c>
      <c r="F170">
        <v>1</v>
      </c>
      <c r="G170">
        <v>1</v>
      </c>
      <c r="H170">
        <v>0</v>
      </c>
      <c r="I170">
        <v>0</v>
      </c>
      <c r="J170">
        <f t="shared" si="19"/>
        <v>0</v>
      </c>
      <c r="K170">
        <f t="shared" si="20"/>
        <v>32</v>
      </c>
      <c r="L170">
        <f t="shared" si="18"/>
        <v>100</v>
      </c>
    </row>
    <row r="171" spans="1:12" x14ac:dyDescent="0.25">
      <c r="C171" s="3"/>
      <c r="D171" s="3"/>
      <c r="E171" s="3"/>
      <c r="F171" s="3"/>
      <c r="G171" s="3"/>
      <c r="H171" s="3"/>
      <c r="I171" s="3"/>
    </row>
    <row r="172" spans="1:12" x14ac:dyDescent="0.25">
      <c r="A172" t="s">
        <v>0</v>
      </c>
      <c r="B172" s="19">
        <v>5</v>
      </c>
      <c r="C172">
        <v>0</v>
      </c>
      <c r="D172">
        <v>24</v>
      </c>
      <c r="E172">
        <v>0</v>
      </c>
      <c r="F172">
        <v>0</v>
      </c>
      <c r="G172">
        <v>0</v>
      </c>
      <c r="H172">
        <v>0</v>
      </c>
      <c r="I172">
        <v>0</v>
      </c>
      <c r="J172">
        <f>32-SUM(C172:I172)</f>
        <v>8</v>
      </c>
      <c r="K172">
        <f>SUM(C172:I172)</f>
        <v>24</v>
      </c>
      <c r="L172">
        <f t="shared" ref="L172:L185" si="21">K172/32*100</f>
        <v>75</v>
      </c>
    </row>
    <row r="173" spans="1:12" x14ac:dyDescent="0.25">
      <c r="A173" t="s">
        <v>23</v>
      </c>
      <c r="B173" s="19">
        <v>3</v>
      </c>
      <c r="C173">
        <v>0</v>
      </c>
      <c r="D173">
        <v>32</v>
      </c>
      <c r="E173">
        <v>0</v>
      </c>
      <c r="F173">
        <v>0</v>
      </c>
      <c r="G173">
        <v>0</v>
      </c>
      <c r="H173">
        <v>0</v>
      </c>
      <c r="I173">
        <v>0</v>
      </c>
      <c r="J173">
        <f t="shared" ref="J173:J185" si="22">32-SUM(C173:I173)</f>
        <v>0</v>
      </c>
      <c r="K173">
        <f t="shared" ref="K173:K185" si="23">SUM(C173:I173)</f>
        <v>32</v>
      </c>
      <c r="L173">
        <f t="shared" si="21"/>
        <v>100</v>
      </c>
    </row>
    <row r="174" spans="1:12" x14ac:dyDescent="0.25">
      <c r="A174" t="s">
        <v>29</v>
      </c>
      <c r="B174" s="19">
        <v>3</v>
      </c>
      <c r="C174">
        <v>0</v>
      </c>
      <c r="D174">
        <v>32</v>
      </c>
      <c r="E174">
        <v>0</v>
      </c>
      <c r="F174">
        <v>0</v>
      </c>
      <c r="G174">
        <v>0</v>
      </c>
      <c r="H174">
        <v>0</v>
      </c>
      <c r="I174">
        <v>0</v>
      </c>
      <c r="J174">
        <f t="shared" si="22"/>
        <v>0</v>
      </c>
      <c r="K174">
        <f t="shared" si="23"/>
        <v>32</v>
      </c>
      <c r="L174">
        <f t="shared" si="21"/>
        <v>100</v>
      </c>
    </row>
    <row r="175" spans="1:12" x14ac:dyDescent="0.25">
      <c r="A175" t="s">
        <v>44</v>
      </c>
      <c r="B175" s="19">
        <v>3</v>
      </c>
      <c r="C175">
        <v>0</v>
      </c>
      <c r="D175">
        <v>31</v>
      </c>
      <c r="E175">
        <v>0</v>
      </c>
      <c r="F175">
        <v>1</v>
      </c>
      <c r="G175">
        <v>0</v>
      </c>
      <c r="H175">
        <v>0</v>
      </c>
      <c r="I175">
        <v>0</v>
      </c>
      <c r="J175">
        <f t="shared" si="22"/>
        <v>0</v>
      </c>
      <c r="K175">
        <f t="shared" si="23"/>
        <v>32</v>
      </c>
      <c r="L175">
        <f t="shared" si="21"/>
        <v>100</v>
      </c>
    </row>
    <row r="176" spans="1:12" x14ac:dyDescent="0.25">
      <c r="A176" t="s">
        <v>45</v>
      </c>
      <c r="B176" s="19">
        <v>3</v>
      </c>
      <c r="C176">
        <v>0</v>
      </c>
      <c r="D176">
        <v>31</v>
      </c>
      <c r="E176">
        <v>0</v>
      </c>
      <c r="F176">
        <v>1</v>
      </c>
      <c r="G176">
        <v>0</v>
      </c>
      <c r="H176">
        <v>0</v>
      </c>
      <c r="I176">
        <v>0</v>
      </c>
      <c r="J176">
        <f t="shared" si="22"/>
        <v>0</v>
      </c>
      <c r="K176">
        <f t="shared" si="23"/>
        <v>32</v>
      </c>
      <c r="L176">
        <f t="shared" si="21"/>
        <v>100</v>
      </c>
    </row>
    <row r="177" spans="1:12" x14ac:dyDescent="0.25">
      <c r="A177" t="s">
        <v>46</v>
      </c>
      <c r="B177" s="19">
        <v>3</v>
      </c>
      <c r="C177">
        <v>0</v>
      </c>
      <c r="D177">
        <v>24</v>
      </c>
      <c r="E177">
        <v>5</v>
      </c>
      <c r="F177">
        <v>1</v>
      </c>
      <c r="G177">
        <v>1</v>
      </c>
      <c r="H177">
        <v>1</v>
      </c>
      <c r="I177">
        <v>0</v>
      </c>
      <c r="J177">
        <f t="shared" si="22"/>
        <v>0</v>
      </c>
      <c r="K177">
        <f t="shared" si="23"/>
        <v>32</v>
      </c>
      <c r="L177">
        <f t="shared" si="21"/>
        <v>100</v>
      </c>
    </row>
    <row r="178" spans="1:12" x14ac:dyDescent="0.25">
      <c r="A178" t="s">
        <v>47</v>
      </c>
      <c r="B178" s="19">
        <v>3</v>
      </c>
      <c r="C178">
        <v>0</v>
      </c>
      <c r="D178">
        <v>25</v>
      </c>
      <c r="E178">
        <v>0</v>
      </c>
      <c r="F178">
        <v>2</v>
      </c>
      <c r="G178">
        <v>4</v>
      </c>
      <c r="H178">
        <v>0</v>
      </c>
      <c r="I178">
        <v>0</v>
      </c>
      <c r="J178">
        <f t="shared" si="22"/>
        <v>1</v>
      </c>
      <c r="K178">
        <f t="shared" si="23"/>
        <v>31</v>
      </c>
      <c r="L178">
        <f t="shared" si="21"/>
        <v>96.875</v>
      </c>
    </row>
    <row r="179" spans="1:12" x14ac:dyDescent="0.25">
      <c r="A179" t="s">
        <v>48</v>
      </c>
      <c r="B179" s="19">
        <v>3</v>
      </c>
      <c r="C179">
        <v>0</v>
      </c>
      <c r="D179">
        <v>11</v>
      </c>
      <c r="E179">
        <v>7</v>
      </c>
      <c r="F179">
        <v>1</v>
      </c>
      <c r="G179">
        <v>2</v>
      </c>
      <c r="H179">
        <v>5</v>
      </c>
      <c r="I179">
        <v>2</v>
      </c>
      <c r="J179">
        <f t="shared" si="22"/>
        <v>4</v>
      </c>
      <c r="K179">
        <f t="shared" si="23"/>
        <v>28</v>
      </c>
      <c r="L179">
        <f t="shared" si="21"/>
        <v>87.5</v>
      </c>
    </row>
    <row r="180" spans="1:12" x14ac:dyDescent="0.25">
      <c r="A180" t="s">
        <v>49</v>
      </c>
      <c r="B180" s="19">
        <v>3</v>
      </c>
      <c r="C180">
        <v>0</v>
      </c>
      <c r="D180">
        <v>8</v>
      </c>
      <c r="E180">
        <v>4</v>
      </c>
      <c r="F180">
        <v>2</v>
      </c>
      <c r="G180">
        <v>2</v>
      </c>
      <c r="H180">
        <v>1</v>
      </c>
      <c r="I180">
        <v>5</v>
      </c>
      <c r="J180">
        <f t="shared" si="22"/>
        <v>10</v>
      </c>
      <c r="K180">
        <f t="shared" si="23"/>
        <v>22</v>
      </c>
      <c r="L180">
        <f t="shared" si="21"/>
        <v>68.75</v>
      </c>
    </row>
    <row r="181" spans="1:12" x14ac:dyDescent="0.25">
      <c r="A181" t="s">
        <v>50</v>
      </c>
      <c r="B181" s="19">
        <v>3</v>
      </c>
      <c r="C181">
        <v>0</v>
      </c>
      <c r="D181">
        <v>6</v>
      </c>
      <c r="E181">
        <v>2</v>
      </c>
      <c r="F181">
        <v>2</v>
      </c>
      <c r="G181">
        <v>1</v>
      </c>
      <c r="H181">
        <v>2</v>
      </c>
      <c r="I181">
        <v>1</v>
      </c>
      <c r="J181">
        <f t="shared" si="22"/>
        <v>18</v>
      </c>
      <c r="K181">
        <f t="shared" si="23"/>
        <v>14</v>
      </c>
      <c r="L181">
        <f t="shared" si="21"/>
        <v>43.75</v>
      </c>
    </row>
    <row r="182" spans="1:12" x14ac:dyDescent="0.25">
      <c r="A182" t="s">
        <v>51</v>
      </c>
      <c r="B182" s="19">
        <v>3</v>
      </c>
      <c r="C182">
        <v>0</v>
      </c>
      <c r="D182">
        <v>6</v>
      </c>
      <c r="E182">
        <v>3</v>
      </c>
      <c r="F182">
        <v>1</v>
      </c>
      <c r="G182">
        <v>0</v>
      </c>
      <c r="H182">
        <v>2</v>
      </c>
      <c r="I182">
        <v>1</v>
      </c>
      <c r="J182">
        <f t="shared" si="22"/>
        <v>19</v>
      </c>
      <c r="K182">
        <f t="shared" si="23"/>
        <v>13</v>
      </c>
      <c r="L182">
        <f t="shared" si="21"/>
        <v>40.625</v>
      </c>
    </row>
    <row r="183" spans="1:12" x14ac:dyDescent="0.25">
      <c r="A183" t="s">
        <v>37</v>
      </c>
      <c r="B183" s="19">
        <v>5</v>
      </c>
      <c r="C183">
        <v>0</v>
      </c>
      <c r="D183">
        <v>2</v>
      </c>
      <c r="E183">
        <v>0</v>
      </c>
      <c r="F183">
        <v>0</v>
      </c>
      <c r="G183">
        <v>0</v>
      </c>
      <c r="H183">
        <v>0</v>
      </c>
      <c r="I183">
        <v>0</v>
      </c>
      <c r="J183">
        <f t="shared" si="22"/>
        <v>30</v>
      </c>
      <c r="K183">
        <f t="shared" si="23"/>
        <v>2</v>
      </c>
      <c r="L183">
        <f t="shared" si="21"/>
        <v>6.25</v>
      </c>
    </row>
    <row r="184" spans="1:12" x14ac:dyDescent="0.25">
      <c r="A184" t="s">
        <v>38</v>
      </c>
      <c r="B184" s="19">
        <v>4</v>
      </c>
      <c r="C184">
        <v>0</v>
      </c>
      <c r="D184">
        <v>5</v>
      </c>
      <c r="E184">
        <v>3</v>
      </c>
      <c r="F184">
        <v>0</v>
      </c>
      <c r="G184">
        <v>0</v>
      </c>
      <c r="H184">
        <v>1</v>
      </c>
      <c r="I184">
        <v>1</v>
      </c>
      <c r="J184">
        <f t="shared" si="22"/>
        <v>22</v>
      </c>
      <c r="K184">
        <f t="shared" si="23"/>
        <v>10</v>
      </c>
      <c r="L184">
        <f t="shared" si="21"/>
        <v>31.25</v>
      </c>
    </row>
    <row r="185" spans="1:12" x14ac:dyDescent="0.25">
      <c r="A185" t="s">
        <v>52</v>
      </c>
      <c r="B185" s="19">
        <v>3</v>
      </c>
      <c r="C185">
        <v>0</v>
      </c>
      <c r="D185">
        <v>25</v>
      </c>
      <c r="E185">
        <v>1</v>
      </c>
      <c r="F185">
        <v>5</v>
      </c>
      <c r="G185">
        <v>1</v>
      </c>
      <c r="H185">
        <v>0</v>
      </c>
      <c r="I185">
        <v>0</v>
      </c>
      <c r="J185">
        <f t="shared" si="22"/>
        <v>0</v>
      </c>
      <c r="K185">
        <f t="shared" si="23"/>
        <v>32</v>
      </c>
      <c r="L185">
        <f t="shared" si="21"/>
        <v>100</v>
      </c>
    </row>
    <row r="187" spans="1:12" x14ac:dyDescent="0.25">
      <c r="A187" t="s">
        <v>0</v>
      </c>
      <c r="B187" s="7">
        <v>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f>31-SUM(C187:I187)</f>
        <v>31</v>
      </c>
      <c r="K187">
        <f>SUM(C187:I187)</f>
        <v>0</v>
      </c>
      <c r="L187">
        <f>K187/31*100</f>
        <v>0</v>
      </c>
    </row>
    <row r="188" spans="1:12" x14ac:dyDescent="0.25">
      <c r="A188" t="s">
        <v>23</v>
      </c>
      <c r="B188" s="7">
        <v>4</v>
      </c>
      <c r="C188">
        <v>0</v>
      </c>
      <c r="D188">
        <v>32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f t="shared" ref="J188:J200" si="24">32-SUM(C188:I188)</f>
        <v>0</v>
      </c>
      <c r="K188">
        <f t="shared" ref="K188:K200" si="25">SUM(C188:I188)</f>
        <v>32</v>
      </c>
      <c r="L188">
        <f t="shared" ref="L188:L200" si="26">K188/32*100</f>
        <v>100</v>
      </c>
    </row>
    <row r="189" spans="1:12" x14ac:dyDescent="0.25">
      <c r="A189" t="s">
        <v>29</v>
      </c>
      <c r="B189" s="7">
        <v>4</v>
      </c>
      <c r="C189">
        <v>0</v>
      </c>
      <c r="D189">
        <v>32</v>
      </c>
      <c r="E189">
        <v>0</v>
      </c>
      <c r="F189">
        <v>0</v>
      </c>
      <c r="G189">
        <v>0</v>
      </c>
      <c r="H189">
        <v>0</v>
      </c>
      <c r="I189">
        <v>0</v>
      </c>
      <c r="J189">
        <f t="shared" si="24"/>
        <v>0</v>
      </c>
      <c r="K189">
        <f t="shared" si="25"/>
        <v>32</v>
      </c>
      <c r="L189">
        <f t="shared" si="26"/>
        <v>100</v>
      </c>
    </row>
    <row r="190" spans="1:12" x14ac:dyDescent="0.25">
      <c r="A190" t="s">
        <v>44</v>
      </c>
      <c r="B190" s="7">
        <v>4</v>
      </c>
      <c r="C190">
        <v>0</v>
      </c>
      <c r="D190">
        <v>31</v>
      </c>
      <c r="E190">
        <v>0</v>
      </c>
      <c r="F190">
        <v>1</v>
      </c>
      <c r="G190">
        <v>0</v>
      </c>
      <c r="H190">
        <v>0</v>
      </c>
      <c r="I190">
        <v>0</v>
      </c>
      <c r="J190">
        <f t="shared" si="24"/>
        <v>0</v>
      </c>
      <c r="K190">
        <f t="shared" si="25"/>
        <v>32</v>
      </c>
      <c r="L190">
        <f t="shared" si="26"/>
        <v>100</v>
      </c>
    </row>
    <row r="191" spans="1:12" x14ac:dyDescent="0.25">
      <c r="A191" t="s">
        <v>45</v>
      </c>
      <c r="B191" s="7">
        <v>4</v>
      </c>
      <c r="C191">
        <v>0</v>
      </c>
      <c r="D191">
        <v>32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f t="shared" si="24"/>
        <v>0</v>
      </c>
      <c r="K191">
        <f t="shared" si="25"/>
        <v>32</v>
      </c>
      <c r="L191">
        <f t="shared" si="26"/>
        <v>100</v>
      </c>
    </row>
    <row r="192" spans="1:12" x14ac:dyDescent="0.25">
      <c r="A192" t="s">
        <v>46</v>
      </c>
      <c r="B192" s="7">
        <v>4</v>
      </c>
      <c r="C192">
        <v>0</v>
      </c>
      <c r="D192">
        <v>24</v>
      </c>
      <c r="E192">
        <v>0</v>
      </c>
      <c r="F192">
        <v>3</v>
      </c>
      <c r="G192">
        <v>4</v>
      </c>
      <c r="H192">
        <v>1</v>
      </c>
      <c r="I192">
        <v>0</v>
      </c>
      <c r="J192">
        <f t="shared" si="24"/>
        <v>0</v>
      </c>
      <c r="K192">
        <f t="shared" si="25"/>
        <v>32</v>
      </c>
      <c r="L192">
        <f t="shared" si="26"/>
        <v>100</v>
      </c>
    </row>
    <row r="193" spans="1:12" x14ac:dyDescent="0.25">
      <c r="A193" t="s">
        <v>47</v>
      </c>
      <c r="B193" s="7">
        <v>4</v>
      </c>
      <c r="C193">
        <v>0</v>
      </c>
      <c r="D193">
        <v>30</v>
      </c>
      <c r="E193">
        <v>0</v>
      </c>
      <c r="F193">
        <v>2</v>
      </c>
      <c r="G193">
        <v>0</v>
      </c>
      <c r="H193">
        <v>0</v>
      </c>
      <c r="I193">
        <v>0</v>
      </c>
      <c r="J193">
        <f t="shared" si="24"/>
        <v>0</v>
      </c>
      <c r="K193">
        <f t="shared" si="25"/>
        <v>32</v>
      </c>
      <c r="L193">
        <f t="shared" si="26"/>
        <v>100</v>
      </c>
    </row>
    <row r="194" spans="1:12" x14ac:dyDescent="0.25">
      <c r="A194" t="s">
        <v>48</v>
      </c>
      <c r="B194" s="7">
        <v>4</v>
      </c>
      <c r="C194">
        <v>0</v>
      </c>
      <c r="D194">
        <v>12</v>
      </c>
      <c r="E194">
        <v>1</v>
      </c>
      <c r="F194">
        <v>1</v>
      </c>
      <c r="G194">
        <v>10</v>
      </c>
      <c r="H194">
        <v>0</v>
      </c>
      <c r="I194">
        <v>2</v>
      </c>
      <c r="J194">
        <f t="shared" si="24"/>
        <v>6</v>
      </c>
      <c r="K194">
        <f t="shared" si="25"/>
        <v>26</v>
      </c>
      <c r="L194">
        <f t="shared" si="26"/>
        <v>81.25</v>
      </c>
    </row>
    <row r="195" spans="1:12" x14ac:dyDescent="0.25">
      <c r="A195" t="s">
        <v>49</v>
      </c>
      <c r="B195" s="7">
        <v>4</v>
      </c>
      <c r="C195">
        <v>0</v>
      </c>
      <c r="D195">
        <v>12</v>
      </c>
      <c r="E195">
        <v>3</v>
      </c>
      <c r="F195">
        <v>4</v>
      </c>
      <c r="G195">
        <v>4</v>
      </c>
      <c r="H195">
        <v>0</v>
      </c>
      <c r="I195">
        <v>2</v>
      </c>
      <c r="J195">
        <f t="shared" si="24"/>
        <v>7</v>
      </c>
      <c r="K195">
        <f t="shared" si="25"/>
        <v>25</v>
      </c>
      <c r="L195">
        <f t="shared" si="26"/>
        <v>78.125</v>
      </c>
    </row>
    <row r="196" spans="1:12" x14ac:dyDescent="0.25">
      <c r="A196" t="s">
        <v>50</v>
      </c>
      <c r="B196" s="7">
        <v>4</v>
      </c>
      <c r="C196">
        <v>0</v>
      </c>
      <c r="D196">
        <v>2</v>
      </c>
      <c r="E196">
        <v>1</v>
      </c>
      <c r="F196">
        <v>1</v>
      </c>
      <c r="G196">
        <v>0</v>
      </c>
      <c r="H196">
        <v>2</v>
      </c>
      <c r="I196">
        <v>5</v>
      </c>
      <c r="J196">
        <f t="shared" si="24"/>
        <v>21</v>
      </c>
      <c r="K196">
        <f t="shared" si="25"/>
        <v>11</v>
      </c>
      <c r="L196">
        <f t="shared" si="26"/>
        <v>34.375</v>
      </c>
    </row>
    <row r="197" spans="1:12" x14ac:dyDescent="0.25">
      <c r="A197" t="s">
        <v>51</v>
      </c>
      <c r="B197" s="7">
        <v>4</v>
      </c>
      <c r="C197">
        <v>0</v>
      </c>
      <c r="D197">
        <v>3</v>
      </c>
      <c r="E197">
        <v>0</v>
      </c>
      <c r="F197">
        <v>2</v>
      </c>
      <c r="G197">
        <v>1</v>
      </c>
      <c r="H197">
        <v>2</v>
      </c>
      <c r="I197">
        <v>2</v>
      </c>
      <c r="J197">
        <f t="shared" si="24"/>
        <v>22</v>
      </c>
      <c r="K197">
        <f t="shared" si="25"/>
        <v>10</v>
      </c>
      <c r="L197">
        <f t="shared" si="26"/>
        <v>31.25</v>
      </c>
    </row>
    <row r="198" spans="1:12" x14ac:dyDescent="0.25">
      <c r="A198" t="s">
        <v>37</v>
      </c>
      <c r="B198" s="7">
        <v>6</v>
      </c>
      <c r="C198">
        <v>0</v>
      </c>
      <c r="D198">
        <v>1</v>
      </c>
      <c r="E198">
        <v>0</v>
      </c>
      <c r="F198">
        <v>1</v>
      </c>
      <c r="G198">
        <v>1</v>
      </c>
      <c r="H198">
        <v>0</v>
      </c>
      <c r="I198">
        <v>4</v>
      </c>
      <c r="J198">
        <f t="shared" si="24"/>
        <v>25</v>
      </c>
      <c r="K198">
        <f t="shared" si="25"/>
        <v>7</v>
      </c>
      <c r="L198">
        <f t="shared" si="26"/>
        <v>21.875</v>
      </c>
    </row>
    <row r="199" spans="1:12" x14ac:dyDescent="0.25">
      <c r="A199" t="s">
        <v>38</v>
      </c>
      <c r="B199" s="7">
        <v>6</v>
      </c>
      <c r="C199">
        <v>0</v>
      </c>
      <c r="D199">
        <v>1</v>
      </c>
      <c r="E199">
        <v>1</v>
      </c>
      <c r="F199">
        <v>1</v>
      </c>
      <c r="G199">
        <v>0</v>
      </c>
      <c r="H199">
        <v>3</v>
      </c>
      <c r="I199">
        <v>0</v>
      </c>
      <c r="J199">
        <f t="shared" si="24"/>
        <v>26</v>
      </c>
      <c r="K199">
        <f t="shared" si="25"/>
        <v>6</v>
      </c>
      <c r="L199">
        <f t="shared" si="26"/>
        <v>18.75</v>
      </c>
    </row>
    <row r="200" spans="1:12" x14ac:dyDescent="0.25">
      <c r="A200" t="s">
        <v>52</v>
      </c>
      <c r="B200" s="7">
        <v>4</v>
      </c>
      <c r="C200">
        <v>0</v>
      </c>
      <c r="D200">
        <v>31</v>
      </c>
      <c r="E200">
        <v>1</v>
      </c>
      <c r="F200">
        <v>0</v>
      </c>
      <c r="G200">
        <v>0</v>
      </c>
      <c r="H200">
        <v>0</v>
      </c>
      <c r="I200">
        <v>0</v>
      </c>
      <c r="J200">
        <f t="shared" si="24"/>
        <v>0</v>
      </c>
      <c r="K200">
        <f t="shared" si="25"/>
        <v>32</v>
      </c>
      <c r="L200">
        <f t="shared" si="26"/>
        <v>100</v>
      </c>
    </row>
  </sheetData>
  <mergeCells count="10">
    <mergeCell ref="A81:A82"/>
    <mergeCell ref="B81:B82"/>
    <mergeCell ref="C81:I81"/>
    <mergeCell ref="J81:J82"/>
    <mergeCell ref="K81:L81"/>
    <mergeCell ref="A7:A8"/>
    <mergeCell ref="J7:J8"/>
    <mergeCell ref="K7:L7"/>
    <mergeCell ref="B7:B8"/>
    <mergeCell ref="C7:I7"/>
  </mergeCells>
  <pageMargins left="0.7" right="0.7" top="0.78740157499999996" bottom="0.78740157499999996" header="0.3" footer="0.3"/>
  <pageSetup paperSize="9" orientation="portrait" horizontalDpi="4294967294" verticalDpi="4294967294" r:id="rId1"/>
  <ignoredErrors>
    <ignoredError sqref="L15 L138 L136 L134 L135 L137 L139:L140 L168" formula="1"/>
    <ignoredError sqref="K14:K15 K83:K117 K76 K120 K132:K133 K142:K155 J132:J133 J141 J142:J155 J157:K167 J169:K170 K168 J188:L200 J172:K185 J187:K187 K121:K130" formulaRange="1"/>
    <ignoredError sqref="K134:K140 J138 J140 J136 J134 J135 J137 J139 J16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zoomScale="70" zoomScaleNormal="70" workbookViewId="0">
      <selection activeCell="U21" sqref="U21"/>
    </sheetView>
  </sheetViews>
  <sheetFormatPr baseColWidth="10" defaultRowHeight="15" x14ac:dyDescent="0.25"/>
  <cols>
    <col min="1" max="1" width="15.28515625" customWidth="1"/>
    <col min="2" max="2" width="11.42578125" style="7"/>
    <col min="3" max="3" width="13.7109375" style="7" customWidth="1"/>
    <col min="4" max="4" width="14.5703125" bestFit="1" customWidth="1"/>
  </cols>
  <sheetData>
    <row r="1" spans="1:14" ht="18.75" x14ac:dyDescent="0.3">
      <c r="A1" s="1" t="s">
        <v>7</v>
      </c>
      <c r="B1" s="9"/>
      <c r="D1" s="5"/>
    </row>
    <row r="3" spans="1:14" ht="15.75" x14ac:dyDescent="0.25">
      <c r="A3" s="2" t="s">
        <v>71</v>
      </c>
    </row>
    <row r="4" spans="1:14" ht="15.75" x14ac:dyDescent="0.25">
      <c r="A4" s="2"/>
      <c r="B4" s="19"/>
      <c r="C4" s="19"/>
    </row>
    <row r="5" spans="1:14" x14ac:dyDescent="0.25">
      <c r="A5" s="69" t="s">
        <v>55</v>
      </c>
    </row>
    <row r="6" spans="1:14" x14ac:dyDescent="0.25">
      <c r="B6" s="19"/>
      <c r="C6" s="19"/>
    </row>
    <row r="7" spans="1:14" x14ac:dyDescent="0.25">
      <c r="A7" s="62" t="s">
        <v>53</v>
      </c>
      <c r="B7" s="62" t="s">
        <v>8</v>
      </c>
      <c r="C7" s="63" t="s">
        <v>73</v>
      </c>
      <c r="D7" s="63" t="s">
        <v>72</v>
      </c>
      <c r="F7" s="62" t="s">
        <v>53</v>
      </c>
      <c r="G7" s="62" t="s">
        <v>8</v>
      </c>
      <c r="H7" s="63" t="s">
        <v>73</v>
      </c>
      <c r="I7" s="63" t="s">
        <v>72</v>
      </c>
      <c r="K7" s="62" t="s">
        <v>53</v>
      </c>
      <c r="L7" s="62" t="s">
        <v>8</v>
      </c>
      <c r="M7" s="63" t="s">
        <v>73</v>
      </c>
      <c r="N7" s="63" t="s">
        <v>72</v>
      </c>
    </row>
    <row r="8" spans="1:14" x14ac:dyDescent="0.25">
      <c r="A8" s="62"/>
      <c r="B8" s="62"/>
      <c r="C8" s="63"/>
      <c r="D8" s="63"/>
      <c r="F8" s="62"/>
      <c r="G8" s="62"/>
      <c r="H8" s="63"/>
      <c r="I8" s="63"/>
      <c r="K8" s="62"/>
      <c r="L8" s="62"/>
      <c r="M8" s="63"/>
      <c r="N8" s="63"/>
    </row>
    <row r="9" spans="1:14" x14ac:dyDescent="0.25">
      <c r="A9" t="s">
        <v>0</v>
      </c>
      <c r="B9" s="7">
        <v>1</v>
      </c>
      <c r="C9" s="7">
        <v>60</v>
      </c>
      <c r="D9" s="4">
        <f>10/32*100</f>
        <v>31.25</v>
      </c>
      <c r="F9" t="s">
        <v>0</v>
      </c>
      <c r="G9" s="19">
        <v>2</v>
      </c>
      <c r="H9" s="19">
        <v>60</v>
      </c>
      <c r="I9">
        <f>3/32*100</f>
        <v>9.375</v>
      </c>
      <c r="K9" t="s">
        <v>0</v>
      </c>
      <c r="L9" s="19">
        <v>3</v>
      </c>
      <c r="M9" s="19">
        <v>60</v>
      </c>
      <c r="N9" s="4">
        <f>6/32*100</f>
        <v>18.75</v>
      </c>
    </row>
    <row r="10" spans="1:14" x14ac:dyDescent="0.25">
      <c r="A10" t="s">
        <v>0</v>
      </c>
      <c r="B10" s="19">
        <v>1</v>
      </c>
      <c r="C10" s="7">
        <v>72</v>
      </c>
      <c r="D10" s="4">
        <f>22/32*100</f>
        <v>68.75</v>
      </c>
      <c r="F10" t="s">
        <v>0</v>
      </c>
      <c r="G10" s="19">
        <v>2</v>
      </c>
      <c r="H10" s="19">
        <v>72</v>
      </c>
      <c r="I10">
        <f>21/32*100</f>
        <v>65.625</v>
      </c>
      <c r="K10" t="s">
        <v>0</v>
      </c>
      <c r="L10" s="19">
        <v>3</v>
      </c>
      <c r="M10" s="19">
        <v>72</v>
      </c>
      <c r="N10" s="4">
        <f>22/32*100</f>
        <v>68.75</v>
      </c>
    </row>
    <row r="11" spans="1:14" x14ac:dyDescent="0.25">
      <c r="A11" t="s">
        <v>0</v>
      </c>
      <c r="B11" s="19">
        <v>1</v>
      </c>
      <c r="C11" s="7">
        <v>96</v>
      </c>
      <c r="D11">
        <f>31/32*100</f>
        <v>96.875</v>
      </c>
      <c r="F11" t="s">
        <v>0</v>
      </c>
      <c r="G11" s="19">
        <v>2</v>
      </c>
      <c r="H11" s="19">
        <v>96</v>
      </c>
      <c r="I11">
        <f>31/32*100</f>
        <v>96.875</v>
      </c>
      <c r="K11" t="s">
        <v>0</v>
      </c>
      <c r="L11" s="19">
        <v>3</v>
      </c>
      <c r="M11" s="19">
        <v>96</v>
      </c>
      <c r="N11">
        <v>100</v>
      </c>
    </row>
    <row r="12" spans="1:14" x14ac:dyDescent="0.25">
      <c r="A12" t="s">
        <v>5</v>
      </c>
      <c r="B12" s="19">
        <v>1</v>
      </c>
      <c r="C12" s="7">
        <v>60</v>
      </c>
      <c r="D12" s="4">
        <f>10/32*100</f>
        <v>31.25</v>
      </c>
      <c r="F12" t="s">
        <v>5</v>
      </c>
      <c r="G12" s="19">
        <v>2</v>
      </c>
      <c r="H12" s="19">
        <v>60</v>
      </c>
      <c r="I12" s="4">
        <f>10/32*100</f>
        <v>31.25</v>
      </c>
      <c r="K12" t="s">
        <v>5</v>
      </c>
      <c r="L12" s="19">
        <v>3</v>
      </c>
      <c r="M12" s="19">
        <v>60</v>
      </c>
      <c r="N12" s="4">
        <f>12/31*100</f>
        <v>38.70967741935484</v>
      </c>
    </row>
    <row r="13" spans="1:14" x14ac:dyDescent="0.25">
      <c r="A13" t="s">
        <v>5</v>
      </c>
      <c r="B13" s="19">
        <v>1</v>
      </c>
      <c r="C13" s="7">
        <v>72</v>
      </c>
      <c r="D13" s="4">
        <f>26/32*100</f>
        <v>81.25</v>
      </c>
      <c r="F13" t="s">
        <v>5</v>
      </c>
      <c r="G13" s="19">
        <v>2</v>
      </c>
      <c r="H13" s="19">
        <v>72</v>
      </c>
      <c r="I13" s="4">
        <f>30/32*100</f>
        <v>93.75</v>
      </c>
      <c r="K13" t="s">
        <v>5</v>
      </c>
      <c r="L13" s="19">
        <v>3</v>
      </c>
      <c r="M13" s="19">
        <v>72</v>
      </c>
      <c r="N13" s="4">
        <f>28/31*100</f>
        <v>90.322580645161281</v>
      </c>
    </row>
    <row r="14" spans="1:14" x14ac:dyDescent="0.25">
      <c r="A14" t="s">
        <v>5</v>
      </c>
      <c r="B14" s="19">
        <v>1</v>
      </c>
      <c r="C14" s="7">
        <v>96</v>
      </c>
      <c r="D14">
        <f>31/32*100</f>
        <v>96.875</v>
      </c>
      <c r="F14" t="s">
        <v>5</v>
      </c>
      <c r="G14" s="19">
        <v>2</v>
      </c>
      <c r="H14" s="19">
        <v>96</v>
      </c>
      <c r="I14">
        <f>31/32*100</f>
        <v>96.875</v>
      </c>
      <c r="K14" t="s">
        <v>5</v>
      </c>
      <c r="L14" s="19">
        <v>3</v>
      </c>
      <c r="M14" s="19">
        <v>96</v>
      </c>
      <c r="N14" s="6">
        <v>100</v>
      </c>
    </row>
    <row r="15" spans="1:14" x14ac:dyDescent="0.25">
      <c r="A15" t="s">
        <v>12</v>
      </c>
      <c r="B15" s="19">
        <v>1</v>
      </c>
      <c r="C15" s="7">
        <v>60</v>
      </c>
      <c r="D15" s="4">
        <f>14/32*100</f>
        <v>43.75</v>
      </c>
      <c r="F15" t="s">
        <v>12</v>
      </c>
      <c r="G15" s="19">
        <v>2</v>
      </c>
      <c r="H15" s="19">
        <v>60</v>
      </c>
      <c r="I15">
        <f>7/32*100</f>
        <v>21.875</v>
      </c>
      <c r="K15" t="s">
        <v>12</v>
      </c>
      <c r="L15" s="19">
        <v>3</v>
      </c>
      <c r="M15" s="19">
        <v>60</v>
      </c>
      <c r="N15">
        <f>11/32*100</f>
        <v>34.375</v>
      </c>
    </row>
    <row r="16" spans="1:14" x14ac:dyDescent="0.25">
      <c r="A16" t="s">
        <v>12</v>
      </c>
      <c r="B16" s="19">
        <v>1</v>
      </c>
      <c r="C16" s="7">
        <v>72</v>
      </c>
      <c r="D16">
        <v>100</v>
      </c>
      <c r="F16" t="s">
        <v>12</v>
      </c>
      <c r="G16" s="19">
        <v>2</v>
      </c>
      <c r="H16" s="19">
        <v>72</v>
      </c>
      <c r="I16" s="4">
        <f>30/32*100</f>
        <v>93.75</v>
      </c>
      <c r="K16" t="s">
        <v>12</v>
      </c>
      <c r="L16" s="19">
        <v>3</v>
      </c>
      <c r="M16" s="19">
        <v>72</v>
      </c>
      <c r="N16">
        <f>29/32*100</f>
        <v>90.625</v>
      </c>
    </row>
    <row r="17" spans="1:14" x14ac:dyDescent="0.25">
      <c r="A17" t="s">
        <v>12</v>
      </c>
      <c r="B17" s="19">
        <v>1</v>
      </c>
      <c r="C17" s="7">
        <v>96</v>
      </c>
      <c r="D17">
        <v>100</v>
      </c>
      <c r="F17" t="s">
        <v>12</v>
      </c>
      <c r="G17" s="19">
        <v>2</v>
      </c>
      <c r="H17" s="19">
        <v>96</v>
      </c>
      <c r="I17">
        <f>31/32*100</f>
        <v>96.875</v>
      </c>
      <c r="K17" t="s">
        <v>12</v>
      </c>
      <c r="L17" s="19">
        <v>3</v>
      </c>
      <c r="M17" s="19">
        <v>96</v>
      </c>
      <c r="N17" s="6">
        <v>100</v>
      </c>
    </row>
    <row r="18" spans="1:14" x14ac:dyDescent="0.25">
      <c r="A18" t="s">
        <v>13</v>
      </c>
      <c r="B18" s="19">
        <v>1</v>
      </c>
      <c r="C18" s="7">
        <v>60</v>
      </c>
      <c r="D18" s="17">
        <f>16/32*100</f>
        <v>50</v>
      </c>
      <c r="F18" t="s">
        <v>13</v>
      </c>
      <c r="G18" s="19">
        <v>2</v>
      </c>
      <c r="H18" s="19">
        <v>60</v>
      </c>
      <c r="I18">
        <f>17/32*100</f>
        <v>53.125</v>
      </c>
      <c r="K18" t="s">
        <v>13</v>
      </c>
      <c r="L18" s="19">
        <v>3</v>
      </c>
      <c r="M18" s="19">
        <v>60</v>
      </c>
      <c r="N18" s="17">
        <f>8/32*100</f>
        <v>25</v>
      </c>
    </row>
    <row r="19" spans="1:14" x14ac:dyDescent="0.25">
      <c r="A19" t="s">
        <v>13</v>
      </c>
      <c r="B19" s="19">
        <v>1</v>
      </c>
      <c r="C19" s="7">
        <v>72</v>
      </c>
      <c r="D19">
        <v>100</v>
      </c>
      <c r="F19" t="s">
        <v>13</v>
      </c>
      <c r="G19" s="19">
        <v>2</v>
      </c>
      <c r="H19" s="19">
        <v>72</v>
      </c>
      <c r="I19">
        <v>100</v>
      </c>
      <c r="K19" t="s">
        <v>13</v>
      </c>
      <c r="L19" s="19">
        <v>3</v>
      </c>
      <c r="M19" s="19">
        <v>72</v>
      </c>
      <c r="N19" s="4">
        <f>26/32*100</f>
        <v>81.25</v>
      </c>
    </row>
    <row r="20" spans="1:14" x14ac:dyDescent="0.25">
      <c r="A20" t="s">
        <v>13</v>
      </c>
      <c r="B20" s="19">
        <v>1</v>
      </c>
      <c r="C20" s="7">
        <v>96</v>
      </c>
      <c r="D20">
        <v>100</v>
      </c>
      <c r="F20" t="s">
        <v>13</v>
      </c>
      <c r="G20" s="19">
        <v>2</v>
      </c>
      <c r="H20" s="19">
        <v>96</v>
      </c>
      <c r="I20">
        <v>100</v>
      </c>
      <c r="K20" t="s">
        <v>13</v>
      </c>
      <c r="L20" s="19">
        <v>3</v>
      </c>
      <c r="M20" s="19">
        <v>96</v>
      </c>
      <c r="N20">
        <v>100</v>
      </c>
    </row>
    <row r="21" spans="1:14" x14ac:dyDescent="0.25">
      <c r="A21" t="s">
        <v>14</v>
      </c>
      <c r="B21" s="19">
        <v>1</v>
      </c>
      <c r="C21" s="7">
        <v>60</v>
      </c>
      <c r="D21">
        <f>1/32*100</f>
        <v>3.125</v>
      </c>
      <c r="F21" t="s">
        <v>14</v>
      </c>
      <c r="G21" s="19">
        <v>2</v>
      </c>
      <c r="H21" s="19">
        <v>60</v>
      </c>
      <c r="I21" s="17">
        <f>3/30*100</f>
        <v>10</v>
      </c>
      <c r="K21" t="s">
        <v>14</v>
      </c>
      <c r="L21" s="19">
        <v>3</v>
      </c>
      <c r="M21" s="19">
        <v>60</v>
      </c>
      <c r="N21">
        <f>3/32*100</f>
        <v>9.375</v>
      </c>
    </row>
    <row r="22" spans="1:14" x14ac:dyDescent="0.25">
      <c r="A22" t="s">
        <v>14</v>
      </c>
      <c r="B22" s="19">
        <v>1</v>
      </c>
      <c r="C22" s="7">
        <v>72</v>
      </c>
      <c r="D22" s="4">
        <f>2/32*100</f>
        <v>6.25</v>
      </c>
      <c r="F22" t="s">
        <v>14</v>
      </c>
      <c r="G22" s="19">
        <v>2</v>
      </c>
      <c r="H22" s="19">
        <v>72</v>
      </c>
      <c r="I22" s="4">
        <f>11/30*100</f>
        <v>36.666666666666664</v>
      </c>
      <c r="K22" t="s">
        <v>14</v>
      </c>
      <c r="L22" s="19">
        <v>3</v>
      </c>
      <c r="M22" s="19">
        <v>72</v>
      </c>
      <c r="N22" s="18">
        <f>4/32*100</f>
        <v>12.5</v>
      </c>
    </row>
    <row r="23" spans="1:14" x14ac:dyDescent="0.25">
      <c r="A23" t="s">
        <v>14</v>
      </c>
      <c r="B23" s="19">
        <v>1</v>
      </c>
      <c r="C23" s="7">
        <v>96</v>
      </c>
      <c r="D23">
        <f>3/32*100</f>
        <v>9.375</v>
      </c>
      <c r="F23" t="s">
        <v>14</v>
      </c>
      <c r="G23" s="19">
        <v>2</v>
      </c>
      <c r="H23" s="19">
        <v>96</v>
      </c>
      <c r="I23" s="17">
        <f>27/30*100</f>
        <v>90</v>
      </c>
      <c r="K23" t="s">
        <v>14</v>
      </c>
      <c r="L23" s="19">
        <v>3</v>
      </c>
      <c r="M23" s="19">
        <v>96</v>
      </c>
      <c r="N23" s="4">
        <f>7/31*100</f>
        <v>22.58064516129032</v>
      </c>
    </row>
    <row r="24" spans="1:14" x14ac:dyDescent="0.25">
      <c r="A24" t="s">
        <v>15</v>
      </c>
      <c r="B24" s="19">
        <v>1</v>
      </c>
      <c r="C24" s="7">
        <v>60</v>
      </c>
      <c r="D24">
        <v>0</v>
      </c>
      <c r="F24" t="s">
        <v>15</v>
      </c>
      <c r="G24" s="19">
        <v>2</v>
      </c>
      <c r="H24" s="19">
        <v>60</v>
      </c>
      <c r="I24" s="4">
        <f>2/23*100</f>
        <v>8.695652173913043</v>
      </c>
      <c r="K24" t="s">
        <v>15</v>
      </c>
      <c r="L24" s="19">
        <v>3</v>
      </c>
      <c r="M24" s="19">
        <v>60</v>
      </c>
      <c r="N24" s="4">
        <f>4/31*100</f>
        <v>12.903225806451612</v>
      </c>
    </row>
    <row r="25" spans="1:14" x14ac:dyDescent="0.25">
      <c r="A25" t="s">
        <v>15</v>
      </c>
      <c r="B25" s="19">
        <v>1</v>
      </c>
      <c r="C25" s="7">
        <v>72</v>
      </c>
      <c r="D25" s="17">
        <f>1/25*100</f>
        <v>4</v>
      </c>
      <c r="F25" t="s">
        <v>15</v>
      </c>
      <c r="G25" s="19">
        <v>2</v>
      </c>
      <c r="H25" s="19">
        <v>72</v>
      </c>
      <c r="I25" s="4">
        <f>9/23*100</f>
        <v>39.130434782608695</v>
      </c>
      <c r="K25" t="s">
        <v>15</v>
      </c>
      <c r="L25" s="19">
        <v>3</v>
      </c>
      <c r="M25" s="19">
        <v>72</v>
      </c>
      <c r="N25" s="4">
        <f>7/31*100</f>
        <v>22.58064516129032</v>
      </c>
    </row>
    <row r="26" spans="1:14" x14ac:dyDescent="0.25">
      <c r="A26" t="s">
        <v>15</v>
      </c>
      <c r="B26" s="19">
        <v>1</v>
      </c>
      <c r="C26" s="7">
        <v>96</v>
      </c>
      <c r="D26" s="4">
        <f>1/18*100</f>
        <v>5.5555555555555554</v>
      </c>
      <c r="F26" t="s">
        <v>15</v>
      </c>
      <c r="G26" s="19">
        <v>2</v>
      </c>
      <c r="H26" s="19">
        <v>96</v>
      </c>
      <c r="I26" s="4">
        <f>16/21*100</f>
        <v>76.19047619047619</v>
      </c>
      <c r="K26" t="s">
        <v>15</v>
      </c>
      <c r="L26" s="19">
        <v>3</v>
      </c>
      <c r="M26" s="19">
        <v>96</v>
      </c>
      <c r="N26" s="17">
        <f>12/30*100</f>
        <v>40</v>
      </c>
    </row>
    <row r="27" spans="1:14" x14ac:dyDescent="0.25">
      <c r="A27" t="s">
        <v>16</v>
      </c>
      <c r="B27" s="19">
        <v>1</v>
      </c>
      <c r="C27" s="19">
        <v>60</v>
      </c>
      <c r="D27">
        <v>0</v>
      </c>
      <c r="F27" t="s">
        <v>16</v>
      </c>
      <c r="G27" s="19">
        <v>2</v>
      </c>
      <c r="H27" s="19">
        <v>60</v>
      </c>
      <c r="I27">
        <v>0</v>
      </c>
      <c r="K27" t="s">
        <v>16</v>
      </c>
      <c r="L27" s="19">
        <v>3</v>
      </c>
      <c r="M27" s="19">
        <v>60</v>
      </c>
      <c r="N27">
        <v>0</v>
      </c>
    </row>
    <row r="28" spans="1:14" x14ac:dyDescent="0.25">
      <c r="A28" t="s">
        <v>16</v>
      </c>
      <c r="B28" s="19">
        <v>1</v>
      </c>
      <c r="C28" s="19">
        <v>72</v>
      </c>
      <c r="D28" s="4">
        <f>1/9*100</f>
        <v>11.111111111111111</v>
      </c>
      <c r="F28" t="s">
        <v>16</v>
      </c>
      <c r="G28" s="19">
        <v>2</v>
      </c>
      <c r="H28" s="19">
        <v>72</v>
      </c>
      <c r="I28" s="4">
        <f>1/13*100</f>
        <v>7.6923076923076925</v>
      </c>
      <c r="K28" s="31" t="s">
        <v>16</v>
      </c>
      <c r="L28" s="32">
        <v>3</v>
      </c>
      <c r="M28" s="32">
        <v>72</v>
      </c>
      <c r="N28" s="31">
        <v>0</v>
      </c>
    </row>
    <row r="29" spans="1:14" x14ac:dyDescent="0.25">
      <c r="A29" s="31" t="s">
        <v>16</v>
      </c>
      <c r="B29" s="32">
        <v>1</v>
      </c>
      <c r="C29" s="32">
        <v>96</v>
      </c>
      <c r="D29" s="60">
        <v>100</v>
      </c>
      <c r="E29" s="30" t="s">
        <v>54</v>
      </c>
      <c r="F29" s="31" t="s">
        <v>16</v>
      </c>
      <c r="G29" s="32">
        <v>2</v>
      </c>
      <c r="H29" s="32">
        <v>96</v>
      </c>
      <c r="I29" s="31">
        <v>0</v>
      </c>
      <c r="K29" s="31" t="s">
        <v>16</v>
      </c>
      <c r="L29" s="32">
        <v>3</v>
      </c>
      <c r="M29" s="32">
        <v>96</v>
      </c>
      <c r="N29" s="31">
        <v>0</v>
      </c>
    </row>
    <row r="30" spans="1:14" x14ac:dyDescent="0.25">
      <c r="A30" t="s">
        <v>6</v>
      </c>
      <c r="B30" s="19">
        <v>1</v>
      </c>
      <c r="C30" s="7">
        <v>60</v>
      </c>
      <c r="D30" s="19" t="s">
        <v>4</v>
      </c>
      <c r="F30" t="s">
        <v>6</v>
      </c>
      <c r="G30" s="19">
        <v>2</v>
      </c>
      <c r="H30" s="19">
        <v>60</v>
      </c>
      <c r="I30" s="19" t="s">
        <v>4</v>
      </c>
      <c r="K30" t="s">
        <v>6</v>
      </c>
      <c r="L30" s="19">
        <v>3</v>
      </c>
      <c r="M30" s="19">
        <v>60</v>
      </c>
      <c r="N30">
        <v>0</v>
      </c>
    </row>
    <row r="31" spans="1:14" x14ac:dyDescent="0.25">
      <c r="A31" t="s">
        <v>6</v>
      </c>
      <c r="B31" s="19">
        <v>1</v>
      </c>
      <c r="C31" s="7">
        <v>72</v>
      </c>
      <c r="D31" s="19" t="s">
        <v>4</v>
      </c>
      <c r="F31" t="s">
        <v>6</v>
      </c>
      <c r="G31" s="19">
        <v>2</v>
      </c>
      <c r="H31" s="19">
        <v>72</v>
      </c>
      <c r="I31" s="19" t="s">
        <v>4</v>
      </c>
      <c r="K31" t="s">
        <v>6</v>
      </c>
      <c r="L31" s="19">
        <v>3</v>
      </c>
      <c r="M31" s="19">
        <v>72</v>
      </c>
      <c r="N31" s="19" t="s">
        <v>4</v>
      </c>
    </row>
    <row r="32" spans="1:14" x14ac:dyDescent="0.25">
      <c r="A32" t="s">
        <v>6</v>
      </c>
      <c r="B32" s="19">
        <v>1</v>
      </c>
      <c r="C32" s="7">
        <v>96</v>
      </c>
      <c r="D32" s="19" t="s">
        <v>4</v>
      </c>
      <c r="F32" t="s">
        <v>6</v>
      </c>
      <c r="G32" s="19">
        <v>2</v>
      </c>
      <c r="H32" s="19">
        <v>96</v>
      </c>
      <c r="I32" s="19" t="s">
        <v>4</v>
      </c>
      <c r="K32" t="s">
        <v>6</v>
      </c>
      <c r="L32" s="19">
        <v>3</v>
      </c>
      <c r="M32" s="19">
        <v>96</v>
      </c>
      <c r="N32" s="19" t="s">
        <v>4</v>
      </c>
    </row>
    <row r="33" spans="1:18" x14ac:dyDescent="0.25">
      <c r="A33" t="s">
        <v>17</v>
      </c>
      <c r="B33" s="19">
        <v>1</v>
      </c>
      <c r="C33" s="19">
        <v>60</v>
      </c>
      <c r="D33" s="19" t="s">
        <v>4</v>
      </c>
      <c r="F33" t="s">
        <v>17</v>
      </c>
      <c r="G33" s="19">
        <v>2</v>
      </c>
      <c r="H33" s="19">
        <v>60</v>
      </c>
      <c r="I33" s="19" t="s">
        <v>4</v>
      </c>
      <c r="K33" t="s">
        <v>17</v>
      </c>
      <c r="L33" s="19">
        <v>3</v>
      </c>
      <c r="M33" s="19">
        <v>60</v>
      </c>
      <c r="N33" s="19" t="s">
        <v>4</v>
      </c>
    </row>
    <row r="34" spans="1:18" x14ac:dyDescent="0.25">
      <c r="A34" t="s">
        <v>17</v>
      </c>
      <c r="B34" s="19">
        <v>1</v>
      </c>
      <c r="C34" s="19">
        <v>72</v>
      </c>
      <c r="D34" s="20" t="s">
        <v>4</v>
      </c>
      <c r="F34" t="s">
        <v>17</v>
      </c>
      <c r="G34" s="19">
        <v>2</v>
      </c>
      <c r="H34" s="19">
        <v>72</v>
      </c>
      <c r="I34" s="20" t="s">
        <v>4</v>
      </c>
      <c r="K34" t="s">
        <v>17</v>
      </c>
      <c r="L34" s="19">
        <v>3</v>
      </c>
      <c r="M34" s="19">
        <v>72</v>
      </c>
      <c r="N34" s="20" t="s">
        <v>4</v>
      </c>
    </row>
    <row r="35" spans="1:18" x14ac:dyDescent="0.25">
      <c r="A35" t="s">
        <v>17</v>
      </c>
      <c r="B35" s="19">
        <v>1</v>
      </c>
      <c r="C35" s="19">
        <v>96</v>
      </c>
      <c r="D35" s="19" t="s">
        <v>4</v>
      </c>
      <c r="F35" t="s">
        <v>17</v>
      </c>
      <c r="G35" s="19">
        <v>2</v>
      </c>
      <c r="H35" s="19">
        <v>96</v>
      </c>
      <c r="I35" s="29" t="s">
        <v>4</v>
      </c>
      <c r="K35" t="s">
        <v>17</v>
      </c>
      <c r="L35" s="19">
        <v>3</v>
      </c>
      <c r="M35" s="19">
        <v>96</v>
      </c>
      <c r="N35" s="19" t="s">
        <v>4</v>
      </c>
    </row>
    <row r="36" spans="1:18" x14ac:dyDescent="0.25">
      <c r="A36" t="s">
        <v>21</v>
      </c>
      <c r="B36" s="19">
        <v>1</v>
      </c>
      <c r="C36" s="19">
        <v>60</v>
      </c>
      <c r="D36">
        <f>15/32*100</f>
        <v>46.875</v>
      </c>
      <c r="F36" t="s">
        <v>21</v>
      </c>
      <c r="G36" s="19">
        <v>2</v>
      </c>
      <c r="H36" s="19">
        <v>60</v>
      </c>
      <c r="I36" s="18">
        <f>4/32*100</f>
        <v>12.5</v>
      </c>
      <c r="K36" t="s">
        <v>21</v>
      </c>
      <c r="L36" s="19">
        <v>3</v>
      </c>
      <c r="M36" s="19">
        <v>60</v>
      </c>
      <c r="N36" s="4">
        <f>5/31*100</f>
        <v>16.129032258064516</v>
      </c>
    </row>
    <row r="37" spans="1:18" x14ac:dyDescent="0.25">
      <c r="A37" t="s">
        <v>21</v>
      </c>
      <c r="B37" s="19">
        <v>1</v>
      </c>
      <c r="C37" s="19">
        <v>72</v>
      </c>
      <c r="D37" s="4">
        <f>30/32*100</f>
        <v>93.75</v>
      </c>
      <c r="F37" t="s">
        <v>21</v>
      </c>
      <c r="G37" s="19">
        <v>2</v>
      </c>
      <c r="H37" s="19">
        <v>72</v>
      </c>
      <c r="I37">
        <v>100</v>
      </c>
      <c r="K37" t="s">
        <v>21</v>
      </c>
      <c r="L37" s="19">
        <v>3</v>
      </c>
      <c r="M37" s="19">
        <v>72</v>
      </c>
      <c r="N37" s="4">
        <f>26/31*100</f>
        <v>83.870967741935488</v>
      </c>
    </row>
    <row r="38" spans="1:18" x14ac:dyDescent="0.25">
      <c r="A38" t="s">
        <v>21</v>
      </c>
      <c r="B38" s="19">
        <v>1</v>
      </c>
      <c r="C38" s="19">
        <v>96</v>
      </c>
      <c r="D38">
        <v>100</v>
      </c>
      <c r="F38" t="s">
        <v>21</v>
      </c>
      <c r="G38" s="19">
        <v>2</v>
      </c>
      <c r="H38" s="19">
        <v>96</v>
      </c>
      <c r="I38">
        <v>100</v>
      </c>
      <c r="K38" t="s">
        <v>21</v>
      </c>
      <c r="L38" s="19">
        <v>3</v>
      </c>
      <c r="M38" s="19">
        <v>96</v>
      </c>
      <c r="N38" s="4">
        <f>30/31*100</f>
        <v>96.774193548387103</v>
      </c>
    </row>
    <row r="39" spans="1:18" x14ac:dyDescent="0.25">
      <c r="B39" s="19"/>
      <c r="C39" s="19"/>
      <c r="D39" s="19"/>
      <c r="H39" s="19"/>
      <c r="I39" s="19"/>
      <c r="J39" s="19"/>
      <c r="N39" s="19"/>
      <c r="O39" s="19"/>
      <c r="P39" s="19"/>
    </row>
    <row r="40" spans="1:18" x14ac:dyDescent="0.25">
      <c r="A40" s="22"/>
      <c r="B40" s="23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2" spans="1:18" x14ac:dyDescent="0.25">
      <c r="A42" s="69" t="s">
        <v>34</v>
      </c>
      <c r="B42" s="19"/>
      <c r="C42" s="19"/>
    </row>
    <row r="43" spans="1:18" x14ac:dyDescent="0.25">
      <c r="B43" s="19"/>
      <c r="C43" s="19"/>
    </row>
    <row r="44" spans="1:18" x14ac:dyDescent="0.25">
      <c r="A44" s="62" t="s">
        <v>53</v>
      </c>
      <c r="B44" s="62" t="s">
        <v>8</v>
      </c>
      <c r="C44" s="63" t="s">
        <v>73</v>
      </c>
      <c r="D44" s="63" t="s">
        <v>72</v>
      </c>
      <c r="F44" s="62" t="s">
        <v>53</v>
      </c>
      <c r="G44" s="62" t="s">
        <v>8</v>
      </c>
      <c r="H44" s="63" t="s">
        <v>73</v>
      </c>
      <c r="I44" s="63" t="s">
        <v>72</v>
      </c>
      <c r="K44" s="62" t="s">
        <v>53</v>
      </c>
      <c r="L44" s="62" t="s">
        <v>8</v>
      </c>
      <c r="M44" s="63" t="s">
        <v>73</v>
      </c>
      <c r="N44" s="63" t="s">
        <v>72</v>
      </c>
    </row>
    <row r="45" spans="1:18" x14ac:dyDescent="0.25">
      <c r="A45" s="62"/>
      <c r="B45" s="62"/>
      <c r="C45" s="63"/>
      <c r="D45" s="63"/>
      <c r="F45" s="62"/>
      <c r="G45" s="62"/>
      <c r="H45" s="63"/>
      <c r="I45" s="63"/>
      <c r="K45" s="62"/>
      <c r="L45" s="62"/>
      <c r="M45" s="63"/>
      <c r="N45" s="63"/>
    </row>
    <row r="46" spans="1:18" x14ac:dyDescent="0.25">
      <c r="A46" t="s">
        <v>0</v>
      </c>
      <c r="B46" s="19">
        <v>4</v>
      </c>
      <c r="C46" s="19">
        <v>60</v>
      </c>
      <c r="D46">
        <f>9/32*100</f>
        <v>28.125</v>
      </c>
      <c r="F46" t="s">
        <v>0</v>
      </c>
      <c r="G46" s="19">
        <v>5</v>
      </c>
      <c r="H46" s="19">
        <v>60</v>
      </c>
      <c r="I46" s="4">
        <f>6/32*100</f>
        <v>18.75</v>
      </c>
      <c r="K46" t="s">
        <v>0</v>
      </c>
      <c r="L46" s="19">
        <v>6</v>
      </c>
      <c r="M46" s="19">
        <v>60</v>
      </c>
      <c r="N46">
        <f>11/32*100</f>
        <v>34.375</v>
      </c>
    </row>
    <row r="47" spans="1:18" x14ac:dyDescent="0.25">
      <c r="A47" t="s">
        <v>0</v>
      </c>
      <c r="B47" s="19">
        <v>4</v>
      </c>
      <c r="C47" s="19">
        <v>72</v>
      </c>
      <c r="D47" s="17">
        <f>16/32*100</f>
        <v>50</v>
      </c>
      <c r="F47" t="s">
        <v>0</v>
      </c>
      <c r="G47" s="19">
        <v>5</v>
      </c>
      <c r="H47" s="19">
        <v>72</v>
      </c>
      <c r="I47">
        <f>17/32*100</f>
        <v>53.125</v>
      </c>
      <c r="K47" t="s">
        <v>0</v>
      </c>
      <c r="L47" s="19">
        <v>6</v>
      </c>
      <c r="M47" s="19">
        <v>72</v>
      </c>
      <c r="N47" s="4">
        <f>18/32*100</f>
        <v>56.25</v>
      </c>
    </row>
    <row r="48" spans="1:18" x14ac:dyDescent="0.25">
      <c r="A48" t="s">
        <v>0</v>
      </c>
      <c r="B48" s="19">
        <v>4</v>
      </c>
      <c r="C48" s="19">
        <v>96</v>
      </c>
      <c r="D48">
        <f>27/32*100</f>
        <v>84.375</v>
      </c>
      <c r="F48" t="s">
        <v>0</v>
      </c>
      <c r="G48" s="19">
        <v>5</v>
      </c>
      <c r="H48" s="19">
        <v>96</v>
      </c>
      <c r="I48">
        <f>25/32*100</f>
        <v>78.125</v>
      </c>
      <c r="K48" t="s">
        <v>0</v>
      </c>
      <c r="L48" s="19">
        <v>6</v>
      </c>
      <c r="M48" s="19">
        <v>96</v>
      </c>
      <c r="N48" s="4">
        <f>30/32*100</f>
        <v>93.75</v>
      </c>
    </row>
    <row r="49" spans="1:14" x14ac:dyDescent="0.25">
      <c r="A49" t="s">
        <v>5</v>
      </c>
      <c r="B49" s="19">
        <v>4</v>
      </c>
      <c r="C49" s="19">
        <v>60</v>
      </c>
      <c r="D49">
        <f>31/32*100</f>
        <v>96.875</v>
      </c>
      <c r="F49" t="s">
        <v>5</v>
      </c>
      <c r="G49" s="19">
        <v>5</v>
      </c>
      <c r="H49" s="19">
        <v>60</v>
      </c>
      <c r="I49">
        <f>17/32*100</f>
        <v>53.125</v>
      </c>
      <c r="K49" t="s">
        <v>5</v>
      </c>
      <c r="L49" s="19">
        <v>6</v>
      </c>
      <c r="M49" s="19">
        <v>60</v>
      </c>
      <c r="N49">
        <f>25/32*100</f>
        <v>78.125</v>
      </c>
    </row>
    <row r="50" spans="1:14" x14ac:dyDescent="0.25">
      <c r="A50" t="s">
        <v>5</v>
      </c>
      <c r="B50" s="19">
        <v>4</v>
      </c>
      <c r="C50" s="19">
        <v>72</v>
      </c>
      <c r="D50" s="6">
        <v>100</v>
      </c>
      <c r="F50" t="s">
        <v>5</v>
      </c>
      <c r="G50" s="19">
        <v>5</v>
      </c>
      <c r="H50" s="19">
        <v>72</v>
      </c>
      <c r="I50" s="6">
        <v>100</v>
      </c>
      <c r="K50" t="s">
        <v>5</v>
      </c>
      <c r="L50" s="19">
        <v>6</v>
      </c>
      <c r="M50" s="19">
        <v>72</v>
      </c>
      <c r="N50" s="48">
        <v>100</v>
      </c>
    </row>
    <row r="51" spans="1:14" x14ac:dyDescent="0.25">
      <c r="A51" t="s">
        <v>5</v>
      </c>
      <c r="B51" s="19">
        <v>4</v>
      </c>
      <c r="C51" s="19">
        <v>96</v>
      </c>
      <c r="D51" s="6">
        <v>100</v>
      </c>
      <c r="F51" t="s">
        <v>5</v>
      </c>
      <c r="G51" s="19">
        <v>5</v>
      </c>
      <c r="H51" s="19">
        <v>96</v>
      </c>
      <c r="I51">
        <v>100</v>
      </c>
      <c r="K51" t="s">
        <v>5</v>
      </c>
      <c r="L51" s="19">
        <v>6</v>
      </c>
      <c r="M51" s="19">
        <v>96</v>
      </c>
      <c r="N51" s="5">
        <v>100</v>
      </c>
    </row>
    <row r="52" spans="1:14" x14ac:dyDescent="0.25">
      <c r="A52" t="s">
        <v>12</v>
      </c>
      <c r="B52" s="19">
        <v>4</v>
      </c>
      <c r="C52" s="19">
        <v>60</v>
      </c>
      <c r="D52" s="18">
        <f>28/32*100</f>
        <v>87.5</v>
      </c>
      <c r="F52" t="s">
        <v>12</v>
      </c>
      <c r="G52" s="19">
        <v>5</v>
      </c>
      <c r="H52" s="19">
        <v>60</v>
      </c>
      <c r="I52" s="4">
        <f>7/31*100</f>
        <v>22.58064516129032</v>
      </c>
      <c r="K52" t="s">
        <v>12</v>
      </c>
      <c r="L52" s="19">
        <v>6</v>
      </c>
      <c r="M52" s="19">
        <v>60</v>
      </c>
      <c r="N52" s="4">
        <f>26/32*100</f>
        <v>81.25</v>
      </c>
    </row>
    <row r="53" spans="1:14" x14ac:dyDescent="0.25">
      <c r="A53" t="s">
        <v>12</v>
      </c>
      <c r="B53" s="19">
        <v>4</v>
      </c>
      <c r="C53" s="19">
        <v>72</v>
      </c>
      <c r="D53" s="6">
        <v>100</v>
      </c>
      <c r="F53" t="s">
        <v>12</v>
      </c>
      <c r="G53" s="19">
        <v>5</v>
      </c>
      <c r="H53" s="19">
        <v>72</v>
      </c>
      <c r="I53" s="4">
        <f>27/31*100</f>
        <v>87.096774193548384</v>
      </c>
      <c r="K53" t="s">
        <v>12</v>
      </c>
      <c r="L53" s="19">
        <v>6</v>
      </c>
      <c r="M53" s="19">
        <v>72</v>
      </c>
      <c r="N53">
        <f>31/32*100</f>
        <v>96.875</v>
      </c>
    </row>
    <row r="54" spans="1:14" x14ac:dyDescent="0.25">
      <c r="A54" t="s">
        <v>12</v>
      </c>
      <c r="B54" s="19">
        <v>4</v>
      </c>
      <c r="C54" s="19">
        <v>96</v>
      </c>
      <c r="D54" s="6">
        <v>100</v>
      </c>
      <c r="F54" t="s">
        <v>12</v>
      </c>
      <c r="G54" s="19">
        <v>5</v>
      </c>
      <c r="H54" s="19">
        <v>96</v>
      </c>
      <c r="I54">
        <v>100</v>
      </c>
      <c r="K54" t="s">
        <v>12</v>
      </c>
      <c r="L54" s="19">
        <v>6</v>
      </c>
      <c r="M54" s="19">
        <v>96</v>
      </c>
      <c r="N54" s="5">
        <v>100</v>
      </c>
    </row>
    <row r="55" spans="1:14" x14ac:dyDescent="0.25">
      <c r="A55" t="s">
        <v>13</v>
      </c>
      <c r="B55" s="19">
        <v>4</v>
      </c>
      <c r="C55" s="19">
        <v>60</v>
      </c>
      <c r="D55" s="18">
        <f>20/32*100</f>
        <v>62.5</v>
      </c>
      <c r="F55" t="s">
        <v>13</v>
      </c>
      <c r="G55" s="19">
        <v>5</v>
      </c>
      <c r="H55" s="19">
        <v>60</v>
      </c>
      <c r="I55" s="17">
        <f>16/32*100</f>
        <v>50</v>
      </c>
      <c r="K55" t="s">
        <v>13</v>
      </c>
      <c r="L55" s="19">
        <v>6</v>
      </c>
      <c r="M55" s="19">
        <v>60</v>
      </c>
      <c r="N55" s="18">
        <f>28/32*100</f>
        <v>87.5</v>
      </c>
    </row>
    <row r="56" spans="1:14" x14ac:dyDescent="0.25">
      <c r="A56" t="s">
        <v>13</v>
      </c>
      <c r="B56" s="19">
        <v>4</v>
      </c>
      <c r="C56" s="19">
        <v>72</v>
      </c>
      <c r="D56" s="6">
        <v>100</v>
      </c>
      <c r="F56" t="s">
        <v>13</v>
      </c>
      <c r="G56" s="19">
        <v>5</v>
      </c>
      <c r="H56" s="19">
        <v>72</v>
      </c>
      <c r="I56">
        <f>29/32*100</f>
        <v>90.625</v>
      </c>
      <c r="K56" t="s">
        <v>13</v>
      </c>
      <c r="L56" s="19">
        <v>6</v>
      </c>
      <c r="M56" s="19">
        <v>72</v>
      </c>
      <c r="N56">
        <f>31/32*100</f>
        <v>96.875</v>
      </c>
    </row>
    <row r="57" spans="1:14" x14ac:dyDescent="0.25">
      <c r="A57" t="s">
        <v>13</v>
      </c>
      <c r="B57" s="19">
        <v>4</v>
      </c>
      <c r="C57" s="19">
        <v>96</v>
      </c>
      <c r="D57" s="6">
        <v>100</v>
      </c>
      <c r="F57" t="s">
        <v>13</v>
      </c>
      <c r="G57" s="19">
        <v>5</v>
      </c>
      <c r="H57" s="19">
        <v>96</v>
      </c>
      <c r="I57">
        <v>100</v>
      </c>
      <c r="K57" t="s">
        <v>13</v>
      </c>
      <c r="L57" s="19">
        <v>6</v>
      </c>
      <c r="M57" s="19">
        <v>96</v>
      </c>
      <c r="N57">
        <f>31/32*100</f>
        <v>96.875</v>
      </c>
    </row>
    <row r="58" spans="1:14" x14ac:dyDescent="0.25">
      <c r="A58" t="s">
        <v>14</v>
      </c>
      <c r="B58" s="19">
        <v>4</v>
      </c>
      <c r="C58" s="19">
        <v>60</v>
      </c>
      <c r="D58" s="4">
        <f>14/31*100</f>
        <v>45.161290322580641</v>
      </c>
      <c r="F58" t="s">
        <v>14</v>
      </c>
      <c r="G58" s="19">
        <v>5</v>
      </c>
      <c r="H58" s="19">
        <v>60</v>
      </c>
      <c r="I58" s="18">
        <f>20/32*100</f>
        <v>62.5</v>
      </c>
      <c r="K58" t="s">
        <v>14</v>
      </c>
      <c r="L58" s="19">
        <v>6</v>
      </c>
      <c r="M58" s="19">
        <v>60</v>
      </c>
      <c r="N58">
        <f>21/32*100</f>
        <v>65.625</v>
      </c>
    </row>
    <row r="59" spans="1:14" x14ac:dyDescent="0.25">
      <c r="A59" t="s">
        <v>14</v>
      </c>
      <c r="B59" s="19">
        <v>4</v>
      </c>
      <c r="C59" s="19">
        <v>72</v>
      </c>
      <c r="D59" s="6">
        <v>100</v>
      </c>
      <c r="F59" t="s">
        <v>14</v>
      </c>
      <c r="G59" s="19">
        <v>5</v>
      </c>
      <c r="H59" s="19">
        <v>72</v>
      </c>
      <c r="I59" s="4">
        <f>30/32*100</f>
        <v>93.75</v>
      </c>
      <c r="K59" t="s">
        <v>14</v>
      </c>
      <c r="L59" s="19">
        <v>6</v>
      </c>
      <c r="M59" s="19">
        <v>72</v>
      </c>
      <c r="N59" s="48">
        <v>100</v>
      </c>
    </row>
    <row r="60" spans="1:14" x14ac:dyDescent="0.25">
      <c r="A60" t="s">
        <v>14</v>
      </c>
      <c r="B60" s="19">
        <v>4</v>
      </c>
      <c r="C60" s="19">
        <v>96</v>
      </c>
      <c r="D60" s="6">
        <v>100</v>
      </c>
      <c r="F60" t="s">
        <v>14</v>
      </c>
      <c r="G60" s="19">
        <v>5</v>
      </c>
      <c r="H60" s="19">
        <v>96</v>
      </c>
      <c r="I60">
        <v>100</v>
      </c>
      <c r="K60" t="s">
        <v>14</v>
      </c>
      <c r="L60" s="19">
        <v>6</v>
      </c>
      <c r="M60" s="19">
        <v>96</v>
      </c>
      <c r="N60" s="5">
        <v>100</v>
      </c>
    </row>
    <row r="61" spans="1:14" x14ac:dyDescent="0.25">
      <c r="A61" t="s">
        <v>15</v>
      </c>
      <c r="B61" s="19">
        <v>4</v>
      </c>
      <c r="C61" s="19">
        <v>60</v>
      </c>
      <c r="D61" s="4">
        <f>9/31*100</f>
        <v>29.032258064516132</v>
      </c>
      <c r="F61" t="s">
        <v>15</v>
      </c>
      <c r="G61" s="19">
        <v>5</v>
      </c>
      <c r="H61" s="19">
        <v>60</v>
      </c>
      <c r="I61">
        <f>19/32*100</f>
        <v>59.375</v>
      </c>
      <c r="K61" t="s">
        <v>15</v>
      </c>
      <c r="L61" s="19">
        <v>6</v>
      </c>
      <c r="M61" s="19">
        <v>60</v>
      </c>
      <c r="N61" s="17">
        <f>24/32*100</f>
        <v>75</v>
      </c>
    </row>
    <row r="62" spans="1:14" x14ac:dyDescent="0.25">
      <c r="A62" t="s">
        <v>15</v>
      </c>
      <c r="B62" s="19">
        <v>4</v>
      </c>
      <c r="C62" s="19">
        <v>72</v>
      </c>
      <c r="D62" s="4">
        <f>30/31*100</f>
        <v>96.774193548387103</v>
      </c>
      <c r="F62" t="s">
        <v>15</v>
      </c>
      <c r="G62" s="19">
        <v>5</v>
      </c>
      <c r="H62" s="19">
        <v>72</v>
      </c>
      <c r="I62" s="6">
        <v>100</v>
      </c>
      <c r="K62" t="s">
        <v>15</v>
      </c>
      <c r="L62" s="19">
        <v>6</v>
      </c>
      <c r="M62" s="19">
        <v>72</v>
      </c>
      <c r="N62" s="48">
        <v>100</v>
      </c>
    </row>
    <row r="63" spans="1:14" x14ac:dyDescent="0.25">
      <c r="A63" t="s">
        <v>15</v>
      </c>
      <c r="B63" s="19">
        <v>4</v>
      </c>
      <c r="C63" s="19">
        <v>96</v>
      </c>
      <c r="D63">
        <v>100</v>
      </c>
      <c r="F63" t="s">
        <v>15</v>
      </c>
      <c r="G63" s="19">
        <v>5</v>
      </c>
      <c r="H63" s="19">
        <v>96</v>
      </c>
      <c r="I63">
        <v>100</v>
      </c>
      <c r="K63" t="s">
        <v>15</v>
      </c>
      <c r="L63" s="19">
        <v>6</v>
      </c>
      <c r="M63" s="19">
        <v>96</v>
      </c>
      <c r="N63" s="5">
        <v>100</v>
      </c>
    </row>
    <row r="64" spans="1:14" x14ac:dyDescent="0.25">
      <c r="A64" t="s">
        <v>16</v>
      </c>
      <c r="B64" s="19">
        <v>4</v>
      </c>
      <c r="C64" s="19">
        <v>60</v>
      </c>
      <c r="D64" s="17">
        <f>16/32*100</f>
        <v>50</v>
      </c>
      <c r="F64" t="s">
        <v>16</v>
      </c>
      <c r="G64" s="19">
        <v>5</v>
      </c>
      <c r="H64" s="19">
        <v>60</v>
      </c>
      <c r="I64">
        <f>19/32*100</f>
        <v>59.375</v>
      </c>
      <c r="K64" t="s">
        <v>16</v>
      </c>
      <c r="L64" s="19">
        <v>6</v>
      </c>
      <c r="M64" s="19">
        <v>60</v>
      </c>
      <c r="N64" s="4">
        <f>28/31*100</f>
        <v>90.322580645161281</v>
      </c>
    </row>
    <row r="65" spans="1:19" x14ac:dyDescent="0.25">
      <c r="A65" t="s">
        <v>16</v>
      </c>
      <c r="B65" s="19">
        <v>4</v>
      </c>
      <c r="C65" s="19">
        <v>72</v>
      </c>
      <c r="D65" s="6">
        <v>100</v>
      </c>
      <c r="F65" t="s">
        <v>16</v>
      </c>
      <c r="G65" s="19">
        <v>5</v>
      </c>
      <c r="H65" s="19">
        <v>72</v>
      </c>
      <c r="I65">
        <f>31/32*100</f>
        <v>96.875</v>
      </c>
      <c r="K65" t="s">
        <v>16</v>
      </c>
      <c r="L65" s="19">
        <v>6</v>
      </c>
      <c r="M65" s="19">
        <v>72</v>
      </c>
      <c r="N65" s="4">
        <f>30/31*100</f>
        <v>96.774193548387103</v>
      </c>
    </row>
    <row r="66" spans="1:19" x14ac:dyDescent="0.25">
      <c r="A66" s="38" t="s">
        <v>16</v>
      </c>
      <c r="B66" s="37">
        <v>4</v>
      </c>
      <c r="C66" s="37">
        <v>96</v>
      </c>
      <c r="D66" s="38">
        <v>100</v>
      </c>
      <c r="E66" s="38"/>
      <c r="F66" s="38" t="s">
        <v>16</v>
      </c>
      <c r="G66" s="37">
        <v>5</v>
      </c>
      <c r="H66" s="37">
        <v>96</v>
      </c>
      <c r="I66" s="52">
        <v>100</v>
      </c>
      <c r="J66" s="38"/>
      <c r="K66" s="38" t="s">
        <v>16</v>
      </c>
      <c r="L66" s="37">
        <v>6</v>
      </c>
      <c r="M66" s="37">
        <v>96</v>
      </c>
      <c r="N66" s="52">
        <v>100</v>
      </c>
    </row>
    <row r="67" spans="1:19" x14ac:dyDescent="0.25">
      <c r="A67" t="s">
        <v>6</v>
      </c>
      <c r="B67" s="19">
        <v>4</v>
      </c>
      <c r="C67" s="19">
        <v>60</v>
      </c>
      <c r="D67" s="4">
        <f>28/31*100</f>
        <v>90.322580645161281</v>
      </c>
      <c r="F67" t="s">
        <v>6</v>
      </c>
      <c r="G67" s="19">
        <v>5</v>
      </c>
      <c r="H67" s="19">
        <v>60</v>
      </c>
      <c r="I67" s="4">
        <f>26/32*100</f>
        <v>81.25</v>
      </c>
      <c r="K67" t="s">
        <v>6</v>
      </c>
      <c r="L67" s="19">
        <v>6</v>
      </c>
      <c r="M67" s="19">
        <v>60</v>
      </c>
      <c r="N67">
        <f>17/32*100</f>
        <v>53.125</v>
      </c>
    </row>
    <row r="68" spans="1:19" x14ac:dyDescent="0.25">
      <c r="A68" t="s">
        <v>6</v>
      </c>
      <c r="B68" s="19">
        <v>4</v>
      </c>
      <c r="C68" s="19">
        <v>72</v>
      </c>
      <c r="D68" s="6">
        <v>100</v>
      </c>
      <c r="F68" t="s">
        <v>6</v>
      </c>
      <c r="G68" s="19">
        <v>5</v>
      </c>
      <c r="H68" s="19">
        <v>72</v>
      </c>
      <c r="I68" s="4">
        <f>30/32*100</f>
        <v>93.75</v>
      </c>
      <c r="K68" t="s">
        <v>6</v>
      </c>
      <c r="L68" s="19">
        <v>6</v>
      </c>
      <c r="M68" s="19">
        <v>72</v>
      </c>
      <c r="N68" s="5">
        <v>100</v>
      </c>
    </row>
    <row r="69" spans="1:19" x14ac:dyDescent="0.25">
      <c r="A69" t="s">
        <v>6</v>
      </c>
      <c r="B69" s="19">
        <v>4</v>
      </c>
      <c r="C69" s="19">
        <v>96</v>
      </c>
      <c r="D69" s="48">
        <v>100</v>
      </c>
      <c r="F69" t="s">
        <v>6</v>
      </c>
      <c r="G69" s="19">
        <v>5</v>
      </c>
      <c r="H69" s="19">
        <v>96</v>
      </c>
      <c r="I69">
        <f>31/32*100</f>
        <v>96.875</v>
      </c>
      <c r="K69" t="s">
        <v>6</v>
      </c>
      <c r="L69" s="19">
        <v>6</v>
      </c>
      <c r="M69" s="19">
        <v>96</v>
      </c>
      <c r="N69" s="5">
        <v>100</v>
      </c>
    </row>
    <row r="70" spans="1:19" x14ac:dyDescent="0.25">
      <c r="A70" t="s">
        <v>17</v>
      </c>
      <c r="B70" s="19">
        <v>4</v>
      </c>
      <c r="C70" s="19">
        <v>60</v>
      </c>
      <c r="D70" s="17">
        <f>8/32*100</f>
        <v>25</v>
      </c>
      <c r="F70" t="s">
        <v>17</v>
      </c>
      <c r="G70" s="19">
        <v>5</v>
      </c>
      <c r="H70" s="19">
        <v>60</v>
      </c>
      <c r="I70">
        <f>17/32*100</f>
        <v>53.125</v>
      </c>
      <c r="K70" t="s">
        <v>17</v>
      </c>
      <c r="L70" s="19">
        <v>6</v>
      </c>
      <c r="M70" s="19">
        <v>60</v>
      </c>
      <c r="N70" s="4">
        <f>14/32*100</f>
        <v>43.75</v>
      </c>
    </row>
    <row r="71" spans="1:19" x14ac:dyDescent="0.25">
      <c r="A71" t="s">
        <v>17</v>
      </c>
      <c r="B71" s="19">
        <v>4</v>
      </c>
      <c r="C71" s="19">
        <v>72</v>
      </c>
      <c r="D71" s="18">
        <f>28/32*100</f>
        <v>87.5</v>
      </c>
      <c r="F71" t="s">
        <v>17</v>
      </c>
      <c r="G71" s="19">
        <v>5</v>
      </c>
      <c r="H71" s="19">
        <v>72</v>
      </c>
      <c r="I71" s="4">
        <f>30/32*100</f>
        <v>93.75</v>
      </c>
      <c r="K71" t="s">
        <v>17</v>
      </c>
      <c r="L71" s="19">
        <v>6</v>
      </c>
      <c r="M71" s="19">
        <v>72</v>
      </c>
      <c r="N71" s="4">
        <f>26/32*100</f>
        <v>81.25</v>
      </c>
    </row>
    <row r="72" spans="1:19" x14ac:dyDescent="0.25">
      <c r="A72" t="s">
        <v>17</v>
      </c>
      <c r="B72" s="19">
        <v>4</v>
      </c>
      <c r="C72" s="19">
        <v>96</v>
      </c>
      <c r="D72">
        <f>31/32*100</f>
        <v>96.875</v>
      </c>
      <c r="F72" t="s">
        <v>17</v>
      </c>
      <c r="G72" s="19">
        <v>5</v>
      </c>
      <c r="H72" s="19">
        <v>96</v>
      </c>
      <c r="I72">
        <f>31/32*100</f>
        <v>96.875</v>
      </c>
      <c r="K72" t="s">
        <v>17</v>
      </c>
      <c r="L72" s="19">
        <v>6</v>
      </c>
      <c r="M72" s="19">
        <v>96</v>
      </c>
      <c r="N72">
        <f>29/32*100</f>
        <v>90.625</v>
      </c>
    </row>
    <row r="73" spans="1:19" x14ac:dyDescent="0.25">
      <c r="A73" t="s">
        <v>19</v>
      </c>
      <c r="B73" s="19">
        <v>4</v>
      </c>
      <c r="C73" s="19">
        <v>60</v>
      </c>
      <c r="D73" s="4">
        <f>1/24*100</f>
        <v>4.1666666666666661</v>
      </c>
      <c r="F73" t="s">
        <v>19</v>
      </c>
      <c r="G73" s="19">
        <v>5</v>
      </c>
      <c r="H73" s="19">
        <v>60</v>
      </c>
      <c r="I73" s="4">
        <f>5/31*100</f>
        <v>16.129032258064516</v>
      </c>
      <c r="K73" t="s">
        <v>19</v>
      </c>
      <c r="L73" s="19">
        <v>6</v>
      </c>
      <c r="M73" s="19">
        <v>60</v>
      </c>
      <c r="N73" s="4">
        <f>5/19*100</f>
        <v>26.315789473684209</v>
      </c>
    </row>
    <row r="74" spans="1:19" x14ac:dyDescent="0.25">
      <c r="A74" t="s">
        <v>19</v>
      </c>
      <c r="B74" s="19">
        <v>4</v>
      </c>
      <c r="C74" s="19">
        <v>72</v>
      </c>
      <c r="D74" s="4">
        <f>7/24*100</f>
        <v>29.166666666666668</v>
      </c>
      <c r="F74" t="s">
        <v>19</v>
      </c>
      <c r="G74" s="19">
        <v>5</v>
      </c>
      <c r="H74" s="19">
        <v>72</v>
      </c>
      <c r="I74" s="4">
        <f>10/31*100</f>
        <v>32.258064516129032</v>
      </c>
      <c r="K74" t="s">
        <v>19</v>
      </c>
      <c r="L74" s="19">
        <v>6</v>
      </c>
      <c r="M74" s="19">
        <v>72</v>
      </c>
      <c r="N74" s="4">
        <f>8/18*100</f>
        <v>44.444444444444443</v>
      </c>
    </row>
    <row r="75" spans="1:19" x14ac:dyDescent="0.25">
      <c r="A75" t="s">
        <v>19</v>
      </c>
      <c r="B75" s="19">
        <v>4</v>
      </c>
      <c r="C75" s="19">
        <v>96</v>
      </c>
      <c r="D75" s="17">
        <f>5/20*100</f>
        <v>25</v>
      </c>
      <c r="F75" t="s">
        <v>19</v>
      </c>
      <c r="G75" s="19">
        <v>5</v>
      </c>
      <c r="H75" s="19">
        <v>96</v>
      </c>
      <c r="I75" s="4">
        <f>15/31*100</f>
        <v>48.387096774193552</v>
      </c>
      <c r="K75" t="s">
        <v>19</v>
      </c>
      <c r="L75" s="19">
        <v>6</v>
      </c>
      <c r="M75" s="19">
        <v>96</v>
      </c>
      <c r="N75" s="4">
        <f>9/26*100</f>
        <v>34.615384615384613</v>
      </c>
    </row>
    <row r="76" spans="1:19" x14ac:dyDescent="0.25">
      <c r="A76" s="22"/>
      <c r="B76" s="23"/>
      <c r="C76" s="2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5"/>
      <c r="Q76" s="22"/>
      <c r="R76" s="22"/>
      <c r="S76" s="22"/>
    </row>
    <row r="78" spans="1:19" x14ac:dyDescent="0.25">
      <c r="A78" s="69" t="s">
        <v>41</v>
      </c>
      <c r="B78" s="19"/>
      <c r="C78" s="19"/>
    </row>
    <row r="79" spans="1:19" x14ac:dyDescent="0.25">
      <c r="B79" s="19"/>
      <c r="C79" s="19"/>
    </row>
    <row r="80" spans="1:19" x14ac:dyDescent="0.25">
      <c r="A80" s="62" t="s">
        <v>53</v>
      </c>
      <c r="B80" s="62" t="s">
        <v>8</v>
      </c>
      <c r="C80" s="63" t="s">
        <v>73</v>
      </c>
      <c r="D80" s="63" t="s">
        <v>72</v>
      </c>
    </row>
    <row r="81" spans="1:15" x14ac:dyDescent="0.25">
      <c r="A81" s="62"/>
      <c r="B81" s="62"/>
      <c r="C81" s="63"/>
      <c r="D81" s="63"/>
      <c r="F81" s="12"/>
      <c r="G81" s="54"/>
      <c r="H81" s="54"/>
      <c r="I81" s="54"/>
      <c r="J81" s="59"/>
      <c r="L81" s="12"/>
      <c r="M81" s="54"/>
      <c r="N81" s="54"/>
      <c r="O81" s="54"/>
    </row>
    <row r="82" spans="1:15" x14ac:dyDescent="0.25">
      <c r="A82" t="s">
        <v>27</v>
      </c>
      <c r="B82" s="7">
        <v>1</v>
      </c>
      <c r="C82" s="19">
        <v>60</v>
      </c>
      <c r="D82">
        <f>11/32*100</f>
        <v>34.375</v>
      </c>
      <c r="G82" s="19"/>
      <c r="H82" s="19"/>
      <c r="M82" s="19"/>
      <c r="N82" s="19"/>
    </row>
    <row r="83" spans="1:15" x14ac:dyDescent="0.25">
      <c r="A83" t="s">
        <v>27</v>
      </c>
      <c r="B83" s="7">
        <v>1</v>
      </c>
      <c r="C83" s="19">
        <v>72</v>
      </c>
      <c r="D83" s="4">
        <f>22/32*100</f>
        <v>68.75</v>
      </c>
      <c r="G83" s="19"/>
      <c r="H83" s="19"/>
      <c r="M83" s="19"/>
      <c r="N83" s="19"/>
    </row>
    <row r="84" spans="1:15" x14ac:dyDescent="0.25">
      <c r="A84" t="s">
        <v>27</v>
      </c>
      <c r="B84" s="7">
        <v>1</v>
      </c>
      <c r="C84" s="19">
        <v>96</v>
      </c>
      <c r="D84" s="18">
        <f>28/32*100</f>
        <v>87.5</v>
      </c>
      <c r="G84" s="19"/>
      <c r="H84" s="19"/>
      <c r="M84" s="19"/>
      <c r="N84" s="19"/>
    </row>
    <row r="85" spans="1:15" x14ac:dyDescent="0.25">
      <c r="A85" t="s">
        <v>23</v>
      </c>
      <c r="B85" s="7">
        <v>1</v>
      </c>
      <c r="C85" s="19">
        <v>60</v>
      </c>
      <c r="D85" s="19" t="s">
        <v>4</v>
      </c>
      <c r="G85" s="19"/>
      <c r="H85" s="19"/>
      <c r="M85" s="19"/>
      <c r="N85" s="19"/>
    </row>
    <row r="86" spans="1:15" x14ac:dyDescent="0.25">
      <c r="A86" t="s">
        <v>23</v>
      </c>
      <c r="B86" s="7">
        <v>1</v>
      </c>
      <c r="C86" s="19">
        <v>72</v>
      </c>
      <c r="D86" s="19" t="s">
        <v>4</v>
      </c>
      <c r="G86" s="19"/>
      <c r="H86" s="19"/>
      <c r="M86" s="19"/>
      <c r="N86" s="19"/>
    </row>
    <row r="87" spans="1:15" x14ac:dyDescent="0.25">
      <c r="A87" t="s">
        <v>23</v>
      </c>
      <c r="B87" s="7">
        <v>1</v>
      </c>
      <c r="C87" s="19">
        <v>96</v>
      </c>
      <c r="D87" s="19" t="s">
        <v>4</v>
      </c>
      <c r="G87" s="19"/>
      <c r="H87" s="19"/>
      <c r="M87" s="19"/>
      <c r="N87" s="19"/>
    </row>
    <row r="88" spans="1:15" x14ac:dyDescent="0.25">
      <c r="A88" t="s">
        <v>29</v>
      </c>
      <c r="B88" s="7">
        <v>1</v>
      </c>
      <c r="C88" s="19">
        <v>60</v>
      </c>
      <c r="D88" s="19" t="s">
        <v>4</v>
      </c>
      <c r="G88" s="19"/>
      <c r="H88" s="19"/>
      <c r="M88" s="19"/>
      <c r="N88" s="19"/>
    </row>
    <row r="89" spans="1:15" x14ac:dyDescent="0.25">
      <c r="A89" t="s">
        <v>29</v>
      </c>
      <c r="B89" s="7">
        <v>1</v>
      </c>
      <c r="C89" s="19">
        <v>72</v>
      </c>
      <c r="D89" s="19" t="s">
        <v>4</v>
      </c>
      <c r="G89" s="19"/>
      <c r="H89" s="19"/>
      <c r="M89" s="19"/>
      <c r="N89" s="19"/>
    </row>
    <row r="90" spans="1:15" x14ac:dyDescent="0.25">
      <c r="A90" t="s">
        <v>29</v>
      </c>
      <c r="B90" s="7">
        <v>1</v>
      </c>
      <c r="C90" s="19">
        <v>96</v>
      </c>
      <c r="D90" s="19" t="s">
        <v>4</v>
      </c>
      <c r="G90" s="19"/>
      <c r="H90" s="19"/>
      <c r="M90" s="19"/>
      <c r="N90" s="19"/>
    </row>
    <row r="91" spans="1:15" x14ac:dyDescent="0.25">
      <c r="A91" t="s">
        <v>24</v>
      </c>
      <c r="B91" s="7">
        <v>1</v>
      </c>
      <c r="C91" s="19">
        <v>60</v>
      </c>
      <c r="D91" s="17">
        <f>24/32*100</f>
        <v>75</v>
      </c>
      <c r="G91" s="19"/>
      <c r="H91" s="19"/>
      <c r="M91" s="19"/>
      <c r="N91" s="19"/>
    </row>
    <row r="92" spans="1:15" x14ac:dyDescent="0.25">
      <c r="A92" t="s">
        <v>24</v>
      </c>
      <c r="B92" s="7">
        <v>1</v>
      </c>
      <c r="C92" s="19">
        <v>72</v>
      </c>
      <c r="D92">
        <f>29/32*100</f>
        <v>90.625</v>
      </c>
      <c r="G92" s="19"/>
      <c r="H92" s="19"/>
      <c r="M92" s="19"/>
      <c r="N92" s="19"/>
    </row>
    <row r="93" spans="1:15" x14ac:dyDescent="0.25">
      <c r="A93" t="s">
        <v>24</v>
      </c>
      <c r="B93" s="7">
        <v>1</v>
      </c>
      <c r="C93" s="19">
        <v>96</v>
      </c>
      <c r="D93" s="4">
        <f>30/32*100</f>
        <v>93.75</v>
      </c>
      <c r="G93" s="19"/>
      <c r="H93" s="19"/>
      <c r="M93" s="19"/>
      <c r="N93" s="19"/>
    </row>
    <row r="94" spans="1:15" x14ac:dyDescent="0.25">
      <c r="A94" t="s">
        <v>30</v>
      </c>
      <c r="B94" s="7">
        <v>1</v>
      </c>
      <c r="C94" s="19">
        <v>60</v>
      </c>
      <c r="D94" s="18">
        <f>20/32*100</f>
        <v>62.5</v>
      </c>
      <c r="G94" s="19"/>
      <c r="H94" s="19"/>
      <c r="M94" s="19"/>
      <c r="N94" s="19"/>
    </row>
    <row r="95" spans="1:15" x14ac:dyDescent="0.25">
      <c r="A95" t="s">
        <v>30</v>
      </c>
      <c r="B95" s="7">
        <v>1</v>
      </c>
      <c r="C95" s="19">
        <v>72</v>
      </c>
      <c r="D95">
        <f>27/32*100</f>
        <v>84.375</v>
      </c>
      <c r="G95" s="19"/>
      <c r="H95" s="19"/>
      <c r="M95" s="19"/>
      <c r="N95" s="19"/>
    </row>
    <row r="96" spans="1:15" x14ac:dyDescent="0.25">
      <c r="A96" t="s">
        <v>30</v>
      </c>
      <c r="B96" s="7">
        <v>1</v>
      </c>
      <c r="C96" s="19">
        <v>96</v>
      </c>
      <c r="D96">
        <f>27/32*100</f>
        <v>84.375</v>
      </c>
      <c r="G96" s="19"/>
      <c r="H96" s="19"/>
      <c r="M96" s="19"/>
      <c r="N96" s="19"/>
    </row>
    <row r="97" spans="1:14" x14ac:dyDescent="0.25">
      <c r="A97" t="s">
        <v>25</v>
      </c>
      <c r="B97" s="7">
        <v>1</v>
      </c>
      <c r="C97" s="19">
        <v>60</v>
      </c>
      <c r="D97" s="4">
        <f>6/32*100</f>
        <v>18.75</v>
      </c>
      <c r="G97" s="19"/>
      <c r="H97" s="19"/>
      <c r="M97" s="19"/>
      <c r="N97" s="19"/>
    </row>
    <row r="98" spans="1:14" x14ac:dyDescent="0.25">
      <c r="A98" t="s">
        <v>25</v>
      </c>
      <c r="B98" s="7">
        <v>1</v>
      </c>
      <c r="C98" s="19">
        <v>72</v>
      </c>
      <c r="D98" s="18">
        <f>20/32*100</f>
        <v>62.5</v>
      </c>
      <c r="G98" s="19"/>
      <c r="H98" s="19"/>
      <c r="M98" s="19"/>
      <c r="N98" s="19"/>
    </row>
    <row r="99" spans="1:14" x14ac:dyDescent="0.25">
      <c r="A99" t="s">
        <v>25</v>
      </c>
      <c r="B99" s="7">
        <v>1</v>
      </c>
      <c r="C99" s="19">
        <v>96</v>
      </c>
      <c r="D99">
        <v>100</v>
      </c>
      <c r="G99" s="19"/>
      <c r="H99" s="19"/>
      <c r="M99" s="19"/>
      <c r="N99" s="19"/>
    </row>
    <row r="100" spans="1:14" x14ac:dyDescent="0.25">
      <c r="A100" t="s">
        <v>31</v>
      </c>
      <c r="B100" s="7">
        <v>1</v>
      </c>
      <c r="C100" s="19">
        <v>60</v>
      </c>
      <c r="D100" s="18">
        <f>12/32*100</f>
        <v>37.5</v>
      </c>
      <c r="G100" s="19"/>
      <c r="H100" s="19"/>
      <c r="M100" s="19"/>
      <c r="N100" s="19"/>
    </row>
    <row r="101" spans="1:14" x14ac:dyDescent="0.25">
      <c r="A101" t="s">
        <v>31</v>
      </c>
      <c r="B101" s="7">
        <v>1</v>
      </c>
      <c r="C101" s="19">
        <v>72</v>
      </c>
      <c r="D101">
        <f>31/32*100</f>
        <v>96.875</v>
      </c>
      <c r="G101" s="19"/>
      <c r="H101" s="19"/>
      <c r="M101" s="19"/>
      <c r="N101" s="19"/>
    </row>
    <row r="102" spans="1:14" x14ac:dyDescent="0.25">
      <c r="A102" t="s">
        <v>31</v>
      </c>
      <c r="B102" s="7">
        <v>1</v>
      </c>
      <c r="C102" s="37">
        <v>96</v>
      </c>
      <c r="D102">
        <v>100</v>
      </c>
      <c r="G102" s="19"/>
      <c r="H102" s="37"/>
      <c r="M102" s="19"/>
      <c r="N102" s="37"/>
    </row>
    <row r="103" spans="1:14" x14ac:dyDescent="0.25">
      <c r="A103" t="s">
        <v>26</v>
      </c>
      <c r="B103" s="7">
        <v>1</v>
      </c>
      <c r="C103" s="19">
        <v>60</v>
      </c>
      <c r="D103">
        <f>11/32*100</f>
        <v>34.375</v>
      </c>
      <c r="G103" s="19"/>
      <c r="H103" s="19"/>
      <c r="M103" s="19"/>
      <c r="N103" s="19"/>
    </row>
    <row r="104" spans="1:14" x14ac:dyDescent="0.25">
      <c r="A104" t="s">
        <v>26</v>
      </c>
      <c r="B104" s="7">
        <v>1</v>
      </c>
      <c r="C104" s="19">
        <v>72</v>
      </c>
      <c r="D104" s="17">
        <f>24/32*100</f>
        <v>75</v>
      </c>
      <c r="G104" s="19"/>
      <c r="H104" s="19"/>
      <c r="M104" s="19"/>
      <c r="N104" s="19"/>
    </row>
    <row r="105" spans="1:14" x14ac:dyDescent="0.25">
      <c r="A105" t="s">
        <v>26</v>
      </c>
      <c r="B105" s="7">
        <v>1</v>
      </c>
      <c r="C105" s="19">
        <v>96</v>
      </c>
      <c r="D105">
        <f>29/32*100</f>
        <v>90.625</v>
      </c>
      <c r="G105" s="19"/>
      <c r="H105" s="19"/>
      <c r="M105" s="19"/>
      <c r="N105" s="19"/>
    </row>
    <row r="106" spans="1:14" x14ac:dyDescent="0.25">
      <c r="A106" t="s">
        <v>32</v>
      </c>
      <c r="B106" s="7">
        <v>1</v>
      </c>
      <c r="C106" s="19">
        <v>60</v>
      </c>
      <c r="D106" s="18">
        <f>12/32*100</f>
        <v>37.5</v>
      </c>
      <c r="G106" s="19"/>
      <c r="H106" s="19"/>
      <c r="M106" s="19"/>
      <c r="N106" s="19"/>
    </row>
    <row r="107" spans="1:14" x14ac:dyDescent="0.25">
      <c r="A107" t="s">
        <v>32</v>
      </c>
      <c r="B107" s="7">
        <v>1</v>
      </c>
      <c r="C107" s="19">
        <v>72</v>
      </c>
      <c r="D107">
        <v>100</v>
      </c>
      <c r="G107" s="19"/>
      <c r="H107" s="19"/>
      <c r="M107" s="19"/>
      <c r="N107" s="19"/>
    </row>
    <row r="108" spans="1:14" x14ac:dyDescent="0.25">
      <c r="A108" t="s">
        <v>32</v>
      </c>
      <c r="B108" s="7">
        <v>1</v>
      </c>
      <c r="C108" s="19">
        <v>96</v>
      </c>
      <c r="D108">
        <v>100</v>
      </c>
      <c r="G108" s="19"/>
      <c r="H108" s="19"/>
      <c r="M108" s="19"/>
      <c r="N108" s="19"/>
    </row>
    <row r="109" spans="1:14" x14ac:dyDescent="0.25">
      <c r="A109" t="s">
        <v>28</v>
      </c>
      <c r="B109" s="7">
        <v>1</v>
      </c>
      <c r="C109" s="19">
        <v>60</v>
      </c>
      <c r="D109" s="17">
        <f>8/32*100</f>
        <v>25</v>
      </c>
      <c r="G109" s="19"/>
      <c r="H109" s="19"/>
      <c r="M109" s="19"/>
      <c r="N109" s="19"/>
    </row>
    <row r="110" spans="1:14" x14ac:dyDescent="0.25">
      <c r="A110" t="s">
        <v>28</v>
      </c>
      <c r="B110" s="7">
        <v>1</v>
      </c>
      <c r="C110" s="19">
        <v>72</v>
      </c>
      <c r="D110">
        <f>19/32*100</f>
        <v>59.375</v>
      </c>
      <c r="G110" s="19"/>
      <c r="H110" s="19"/>
      <c r="M110" s="19"/>
      <c r="N110" s="19"/>
    </row>
    <row r="111" spans="1:14" x14ac:dyDescent="0.25">
      <c r="A111" t="s">
        <v>28</v>
      </c>
      <c r="B111" s="7">
        <v>1</v>
      </c>
      <c r="C111" s="19">
        <v>96</v>
      </c>
      <c r="D111" s="4">
        <f>30/32*100</f>
        <v>93.75</v>
      </c>
      <c r="G111" s="19"/>
      <c r="H111" s="19"/>
      <c r="M111" s="19"/>
      <c r="N111" s="19"/>
    </row>
    <row r="112" spans="1:14" x14ac:dyDescent="0.25">
      <c r="A112" t="s">
        <v>33</v>
      </c>
      <c r="B112" s="19">
        <v>1</v>
      </c>
      <c r="C112" s="19">
        <v>60</v>
      </c>
      <c r="D112">
        <f>13/32*100</f>
        <v>40.625</v>
      </c>
      <c r="G112" s="19"/>
      <c r="H112" s="19"/>
      <c r="M112" s="19"/>
      <c r="N112" s="19"/>
    </row>
    <row r="113" spans="1:29" x14ac:dyDescent="0.25">
      <c r="A113" t="s">
        <v>33</v>
      </c>
      <c r="B113" s="19">
        <v>1</v>
      </c>
      <c r="C113" s="19">
        <v>72</v>
      </c>
      <c r="D113">
        <f>30/32*100</f>
        <v>93.75</v>
      </c>
      <c r="G113" s="19"/>
      <c r="H113" s="19"/>
      <c r="M113" s="19"/>
      <c r="N113" s="19"/>
    </row>
    <row r="114" spans="1:29" x14ac:dyDescent="0.25">
      <c r="A114" t="s">
        <v>33</v>
      </c>
      <c r="B114" s="19">
        <v>1</v>
      </c>
      <c r="C114" s="19">
        <v>96</v>
      </c>
      <c r="D114">
        <v>100</v>
      </c>
      <c r="G114" s="19"/>
      <c r="H114" s="19"/>
      <c r="M114" s="19"/>
      <c r="N114" s="19"/>
    </row>
    <row r="116" spans="1:29" s="24" customFormat="1" x14ac:dyDescent="0.25">
      <c r="B116" s="49"/>
      <c r="C116" s="49"/>
    </row>
    <row r="118" spans="1:29" x14ac:dyDescent="0.25">
      <c r="A118" s="62" t="s">
        <v>53</v>
      </c>
      <c r="B118" s="62" t="s">
        <v>8</v>
      </c>
      <c r="C118" s="63" t="s">
        <v>73</v>
      </c>
      <c r="D118" s="63" t="s">
        <v>72</v>
      </c>
      <c r="F118" s="62" t="s">
        <v>53</v>
      </c>
      <c r="G118" s="62" t="s">
        <v>8</v>
      </c>
      <c r="H118" s="63" t="s">
        <v>73</v>
      </c>
      <c r="I118" s="63" t="s">
        <v>72</v>
      </c>
      <c r="K118" s="62" t="s">
        <v>53</v>
      </c>
      <c r="L118" s="62" t="s">
        <v>8</v>
      </c>
      <c r="M118" s="63" t="s">
        <v>73</v>
      </c>
      <c r="N118" s="63" t="s">
        <v>72</v>
      </c>
      <c r="P118" s="62" t="s">
        <v>53</v>
      </c>
      <c r="Q118" s="62" t="s">
        <v>8</v>
      </c>
      <c r="R118" s="63" t="s">
        <v>73</v>
      </c>
      <c r="S118" s="63" t="s">
        <v>72</v>
      </c>
      <c r="U118" s="62" t="s">
        <v>53</v>
      </c>
      <c r="V118" s="62" t="s">
        <v>8</v>
      </c>
      <c r="W118" s="63" t="s">
        <v>73</v>
      </c>
      <c r="X118" s="62" t="s">
        <v>72</v>
      </c>
      <c r="Z118" s="62" t="s">
        <v>53</v>
      </c>
      <c r="AA118" s="62" t="s">
        <v>8</v>
      </c>
      <c r="AB118" s="63" t="s">
        <v>73</v>
      </c>
      <c r="AC118" s="63" t="s">
        <v>72</v>
      </c>
    </row>
    <row r="119" spans="1:29" x14ac:dyDescent="0.25">
      <c r="A119" s="62"/>
      <c r="B119" s="62"/>
      <c r="C119" s="63"/>
      <c r="D119" s="63"/>
      <c r="F119" s="62"/>
      <c r="G119" s="62"/>
      <c r="H119" s="63"/>
      <c r="I119" s="63"/>
      <c r="K119" s="62"/>
      <c r="L119" s="62"/>
      <c r="M119" s="63"/>
      <c r="N119" s="63"/>
      <c r="P119" s="62"/>
      <c r="Q119" s="62"/>
      <c r="R119" s="63"/>
      <c r="S119" s="63"/>
      <c r="U119" s="62"/>
      <c r="V119" s="62"/>
      <c r="W119" s="63"/>
      <c r="X119" s="62"/>
      <c r="Z119" s="62"/>
      <c r="AA119" s="62"/>
      <c r="AB119" s="63"/>
      <c r="AC119" s="63"/>
    </row>
    <row r="120" spans="1:29" x14ac:dyDescent="0.25">
      <c r="A120" t="s">
        <v>0</v>
      </c>
      <c r="B120" s="7">
        <v>1</v>
      </c>
      <c r="C120" s="19">
        <v>60</v>
      </c>
      <c r="D120" s="4">
        <f>2/32*100</f>
        <v>6.25</v>
      </c>
      <c r="F120" t="s">
        <v>0</v>
      </c>
      <c r="G120" s="19">
        <v>2</v>
      </c>
      <c r="H120" s="19">
        <v>60</v>
      </c>
      <c r="I120">
        <f>15/32*100</f>
        <v>46.875</v>
      </c>
      <c r="K120" t="s">
        <v>0</v>
      </c>
      <c r="L120" s="19">
        <v>3</v>
      </c>
      <c r="M120" s="19">
        <v>60</v>
      </c>
      <c r="N120">
        <f>11/32*100</f>
        <v>34.375</v>
      </c>
      <c r="P120" t="s">
        <v>0</v>
      </c>
      <c r="Q120" s="19">
        <v>4</v>
      </c>
      <c r="R120" s="19">
        <v>60</v>
      </c>
      <c r="S120" s="18">
        <f>12/32*100</f>
        <v>37.5</v>
      </c>
      <c r="U120" t="s">
        <v>0</v>
      </c>
      <c r="V120" s="19">
        <v>5</v>
      </c>
      <c r="W120" s="19">
        <v>60</v>
      </c>
      <c r="X120">
        <f>5/32*100</f>
        <v>15.625</v>
      </c>
      <c r="Z120" t="s">
        <v>0</v>
      </c>
      <c r="AA120" s="19">
        <v>6</v>
      </c>
      <c r="AB120" s="19">
        <v>60</v>
      </c>
      <c r="AC120" s="4">
        <f>13/31*100</f>
        <v>41.935483870967744</v>
      </c>
    </row>
    <row r="121" spans="1:29" x14ac:dyDescent="0.25">
      <c r="A121" t="s">
        <v>0</v>
      </c>
      <c r="B121" s="19">
        <v>1</v>
      </c>
      <c r="C121" s="19">
        <v>72</v>
      </c>
      <c r="D121">
        <f>25/32*100</f>
        <v>78.125</v>
      </c>
      <c r="F121" t="s">
        <v>0</v>
      </c>
      <c r="G121" s="19">
        <v>2</v>
      </c>
      <c r="H121" s="19">
        <v>72</v>
      </c>
      <c r="I121" s="4">
        <f>26/32*100</f>
        <v>81.25</v>
      </c>
      <c r="K121" t="s">
        <v>0</v>
      </c>
      <c r="L121" s="19">
        <v>3</v>
      </c>
      <c r="M121" s="19">
        <v>72</v>
      </c>
      <c r="N121">
        <f>31/32*100</f>
        <v>96.875</v>
      </c>
      <c r="P121" t="s">
        <v>0</v>
      </c>
      <c r="Q121" s="19">
        <v>4</v>
      </c>
      <c r="R121" s="19">
        <v>72</v>
      </c>
      <c r="S121" s="17">
        <f>24/32*100</f>
        <v>75</v>
      </c>
      <c r="U121" t="s">
        <v>0</v>
      </c>
      <c r="V121" s="19">
        <v>5</v>
      </c>
      <c r="W121" s="19">
        <v>72</v>
      </c>
      <c r="X121" s="4">
        <f>22/32*100</f>
        <v>68.75</v>
      </c>
      <c r="Z121" t="s">
        <v>0</v>
      </c>
      <c r="AA121" s="19">
        <v>6</v>
      </c>
      <c r="AB121" s="19">
        <v>72</v>
      </c>
      <c r="AC121" s="4">
        <f>23/31*100</f>
        <v>74.193548387096769</v>
      </c>
    </row>
    <row r="122" spans="1:29" x14ac:dyDescent="0.25">
      <c r="A122" t="s">
        <v>0</v>
      </c>
      <c r="B122" s="19">
        <v>1</v>
      </c>
      <c r="C122" s="19">
        <v>96</v>
      </c>
      <c r="D122" s="4">
        <f>30/32*100</f>
        <v>93.75</v>
      </c>
      <c r="F122" t="s">
        <v>0</v>
      </c>
      <c r="G122" s="19">
        <v>2</v>
      </c>
      <c r="H122" s="19">
        <v>96</v>
      </c>
      <c r="I122" s="4">
        <f>30/32*100</f>
        <v>93.75</v>
      </c>
      <c r="K122" t="s">
        <v>0</v>
      </c>
      <c r="L122" s="19">
        <v>3</v>
      </c>
      <c r="M122" s="19">
        <v>96</v>
      </c>
      <c r="N122">
        <v>100</v>
      </c>
      <c r="P122" t="s">
        <v>0</v>
      </c>
      <c r="Q122" s="19">
        <v>4</v>
      </c>
      <c r="R122" s="19">
        <v>96</v>
      </c>
      <c r="S122">
        <f>27/32*100</f>
        <v>84.375</v>
      </c>
      <c r="U122" t="s">
        <v>0</v>
      </c>
      <c r="V122" s="19">
        <v>5</v>
      </c>
      <c r="W122" s="19">
        <v>96</v>
      </c>
      <c r="X122" s="4">
        <f>30/32*100</f>
        <v>93.75</v>
      </c>
      <c r="Z122" t="s">
        <v>0</v>
      </c>
      <c r="AA122" s="19">
        <v>6</v>
      </c>
      <c r="AB122" s="19">
        <v>96</v>
      </c>
      <c r="AC122" s="4">
        <f>28/31*100</f>
        <v>90.322580645161281</v>
      </c>
    </row>
    <row r="123" spans="1:29" x14ac:dyDescent="0.25">
      <c r="A123" t="s">
        <v>23</v>
      </c>
      <c r="B123" s="19">
        <v>1</v>
      </c>
      <c r="C123" s="19">
        <v>60</v>
      </c>
      <c r="D123" s="19" t="s">
        <v>4</v>
      </c>
      <c r="F123" t="s">
        <v>35</v>
      </c>
      <c r="G123" s="19">
        <v>2</v>
      </c>
      <c r="H123" s="19">
        <v>60</v>
      </c>
      <c r="I123">
        <v>0</v>
      </c>
      <c r="K123" t="s">
        <v>23</v>
      </c>
      <c r="L123" s="19">
        <v>1</v>
      </c>
      <c r="M123" s="19">
        <v>60</v>
      </c>
      <c r="N123" s="19" t="s">
        <v>4</v>
      </c>
      <c r="P123" t="s">
        <v>23</v>
      </c>
      <c r="Q123" s="19">
        <v>2</v>
      </c>
      <c r="R123" s="19">
        <v>60</v>
      </c>
      <c r="S123" s="19" t="s">
        <v>4</v>
      </c>
      <c r="U123" t="s">
        <v>23</v>
      </c>
      <c r="V123" s="19">
        <v>3</v>
      </c>
      <c r="W123" s="19">
        <v>60</v>
      </c>
      <c r="X123" s="19" t="s">
        <v>4</v>
      </c>
      <c r="Z123" t="s">
        <v>23</v>
      </c>
      <c r="AA123" s="19">
        <v>4</v>
      </c>
      <c r="AB123" s="19">
        <v>60</v>
      </c>
      <c r="AC123" s="19" t="s">
        <v>4</v>
      </c>
    </row>
    <row r="124" spans="1:29" x14ac:dyDescent="0.25">
      <c r="A124" t="s">
        <v>23</v>
      </c>
      <c r="B124" s="19">
        <v>1</v>
      </c>
      <c r="C124" s="19">
        <v>72</v>
      </c>
      <c r="D124" s="19" t="s">
        <v>4</v>
      </c>
      <c r="F124" t="s">
        <v>35</v>
      </c>
      <c r="G124" s="19">
        <v>2</v>
      </c>
      <c r="H124" s="19">
        <v>72</v>
      </c>
      <c r="I124" s="4">
        <f>2/28*100</f>
        <v>7.1428571428571423</v>
      </c>
      <c r="K124" t="s">
        <v>23</v>
      </c>
      <c r="L124" s="19">
        <v>1</v>
      </c>
      <c r="M124" s="19">
        <v>72</v>
      </c>
      <c r="N124" s="19" t="s">
        <v>4</v>
      </c>
      <c r="P124" t="s">
        <v>23</v>
      </c>
      <c r="Q124" s="19">
        <v>2</v>
      </c>
      <c r="R124" s="19">
        <v>72</v>
      </c>
      <c r="S124" s="19" t="s">
        <v>4</v>
      </c>
      <c r="U124" t="s">
        <v>23</v>
      </c>
      <c r="V124" s="19">
        <v>3</v>
      </c>
      <c r="W124" s="19">
        <v>72</v>
      </c>
      <c r="X124" s="19" t="s">
        <v>4</v>
      </c>
      <c r="Z124" t="s">
        <v>23</v>
      </c>
      <c r="AA124" s="19">
        <v>4</v>
      </c>
      <c r="AB124" s="19">
        <v>72</v>
      </c>
      <c r="AC124" s="19" t="s">
        <v>4</v>
      </c>
    </row>
    <row r="125" spans="1:29" x14ac:dyDescent="0.25">
      <c r="A125" t="s">
        <v>23</v>
      </c>
      <c r="B125" s="19">
        <v>1</v>
      </c>
      <c r="C125" s="19">
        <v>96</v>
      </c>
      <c r="D125" s="19" t="s">
        <v>4</v>
      </c>
      <c r="F125" t="s">
        <v>35</v>
      </c>
      <c r="G125" s="19">
        <v>2</v>
      </c>
      <c r="H125" s="19">
        <v>96</v>
      </c>
      <c r="I125" s="17">
        <f>4/25*100</f>
        <v>16</v>
      </c>
      <c r="K125" t="s">
        <v>23</v>
      </c>
      <c r="L125" s="19">
        <v>1</v>
      </c>
      <c r="M125" s="19">
        <v>96</v>
      </c>
      <c r="N125" s="19" t="s">
        <v>4</v>
      </c>
      <c r="P125" t="s">
        <v>23</v>
      </c>
      <c r="Q125" s="19">
        <v>2</v>
      </c>
      <c r="R125" s="19">
        <v>96</v>
      </c>
      <c r="S125" s="19" t="s">
        <v>4</v>
      </c>
      <c r="U125" t="s">
        <v>23</v>
      </c>
      <c r="V125" s="19">
        <v>3</v>
      </c>
      <c r="W125" s="19">
        <v>96</v>
      </c>
      <c r="X125" s="19" t="s">
        <v>4</v>
      </c>
      <c r="Z125" t="s">
        <v>23</v>
      </c>
      <c r="AA125" s="19">
        <v>4</v>
      </c>
      <c r="AB125" s="19">
        <v>96</v>
      </c>
      <c r="AC125" s="19" t="s">
        <v>4</v>
      </c>
    </row>
    <row r="126" spans="1:29" x14ac:dyDescent="0.25">
      <c r="A126" t="s">
        <v>29</v>
      </c>
      <c r="B126" s="19">
        <v>1</v>
      </c>
      <c r="C126" s="19">
        <v>60</v>
      </c>
      <c r="D126" s="19" t="s">
        <v>4</v>
      </c>
      <c r="F126" t="s">
        <v>36</v>
      </c>
      <c r="G126" s="19">
        <v>2</v>
      </c>
      <c r="H126" s="19">
        <v>60</v>
      </c>
      <c r="I126" s="4">
        <f>1/19*100</f>
        <v>5.2631578947368416</v>
      </c>
      <c r="K126" t="s">
        <v>29</v>
      </c>
      <c r="L126" s="19">
        <v>1</v>
      </c>
      <c r="M126" s="19">
        <v>60</v>
      </c>
      <c r="N126" s="19" t="s">
        <v>4</v>
      </c>
      <c r="P126" t="s">
        <v>29</v>
      </c>
      <c r="Q126" s="19">
        <v>2</v>
      </c>
      <c r="R126" s="19">
        <v>60</v>
      </c>
      <c r="S126" s="19" t="s">
        <v>4</v>
      </c>
      <c r="U126" t="s">
        <v>29</v>
      </c>
      <c r="V126" s="19">
        <v>3</v>
      </c>
      <c r="W126" s="19">
        <v>60</v>
      </c>
      <c r="X126" s="19" t="s">
        <v>4</v>
      </c>
      <c r="Z126" t="s">
        <v>29</v>
      </c>
      <c r="AA126" s="19">
        <v>4</v>
      </c>
      <c r="AB126" s="19">
        <v>60</v>
      </c>
      <c r="AC126" s="19" t="s">
        <v>4</v>
      </c>
    </row>
    <row r="127" spans="1:29" x14ac:dyDescent="0.25">
      <c r="A127" t="s">
        <v>29</v>
      </c>
      <c r="B127" s="19">
        <v>1</v>
      </c>
      <c r="C127" s="19">
        <v>72</v>
      </c>
      <c r="D127" s="19" t="s">
        <v>4</v>
      </c>
      <c r="F127" t="s">
        <v>36</v>
      </c>
      <c r="G127" s="19">
        <v>2</v>
      </c>
      <c r="H127" s="19">
        <v>72</v>
      </c>
      <c r="I127" s="4">
        <f>5/23*100</f>
        <v>21.739130434782609</v>
      </c>
      <c r="K127" t="s">
        <v>29</v>
      </c>
      <c r="L127" s="19">
        <v>1</v>
      </c>
      <c r="M127" s="19">
        <v>72</v>
      </c>
      <c r="N127" s="19" t="s">
        <v>4</v>
      </c>
      <c r="P127" t="s">
        <v>29</v>
      </c>
      <c r="Q127" s="19">
        <v>2</v>
      </c>
      <c r="R127" s="19">
        <v>72</v>
      </c>
      <c r="S127" s="19" t="s">
        <v>4</v>
      </c>
      <c r="U127" t="s">
        <v>29</v>
      </c>
      <c r="V127" s="19">
        <v>3</v>
      </c>
      <c r="W127" s="19">
        <v>72</v>
      </c>
      <c r="X127" s="19" t="s">
        <v>4</v>
      </c>
      <c r="Z127" t="s">
        <v>29</v>
      </c>
      <c r="AA127" s="19">
        <v>4</v>
      </c>
      <c r="AB127" s="19">
        <v>72</v>
      </c>
      <c r="AC127" s="19" t="s">
        <v>4</v>
      </c>
    </row>
    <row r="128" spans="1:29" x14ac:dyDescent="0.25">
      <c r="A128" t="s">
        <v>29</v>
      </c>
      <c r="B128" s="19">
        <v>1</v>
      </c>
      <c r="C128" s="19">
        <v>96</v>
      </c>
      <c r="D128" s="19" t="s">
        <v>4</v>
      </c>
      <c r="F128" t="s">
        <v>36</v>
      </c>
      <c r="G128" s="19">
        <v>2</v>
      </c>
      <c r="H128" s="19">
        <v>96</v>
      </c>
      <c r="I128" s="17">
        <f>4/16*100</f>
        <v>25</v>
      </c>
      <c r="K128" t="s">
        <v>29</v>
      </c>
      <c r="L128" s="19">
        <v>1</v>
      </c>
      <c r="M128" s="19">
        <v>96</v>
      </c>
      <c r="N128" s="19" t="s">
        <v>4</v>
      </c>
      <c r="P128" t="s">
        <v>29</v>
      </c>
      <c r="Q128" s="19">
        <v>2</v>
      </c>
      <c r="R128" s="19">
        <v>96</v>
      </c>
      <c r="S128" s="19" t="s">
        <v>4</v>
      </c>
      <c r="U128" t="s">
        <v>29</v>
      </c>
      <c r="V128" s="19">
        <v>3</v>
      </c>
      <c r="W128" s="19">
        <v>96</v>
      </c>
      <c r="X128" s="19" t="s">
        <v>4</v>
      </c>
      <c r="Z128" t="s">
        <v>29</v>
      </c>
      <c r="AA128" s="19">
        <v>4</v>
      </c>
      <c r="AB128" s="19">
        <v>96</v>
      </c>
      <c r="AC128" s="19" t="s">
        <v>4</v>
      </c>
    </row>
    <row r="129" spans="1:29" x14ac:dyDescent="0.25">
      <c r="A129" t="s">
        <v>35</v>
      </c>
      <c r="B129" s="19">
        <v>1</v>
      </c>
      <c r="C129" s="19">
        <v>60</v>
      </c>
      <c r="D129">
        <v>0</v>
      </c>
      <c r="F129" t="s">
        <v>42</v>
      </c>
      <c r="G129" s="19">
        <v>1</v>
      </c>
      <c r="H129" s="19">
        <v>60</v>
      </c>
      <c r="I129">
        <v>0</v>
      </c>
      <c r="K129" t="s">
        <v>44</v>
      </c>
      <c r="L129" s="19">
        <v>1</v>
      </c>
      <c r="M129" s="19">
        <v>60</v>
      </c>
      <c r="N129" s="19" t="s">
        <v>4</v>
      </c>
      <c r="P129" t="s">
        <v>44</v>
      </c>
      <c r="Q129" s="19">
        <v>2</v>
      </c>
      <c r="R129" s="19">
        <v>60</v>
      </c>
      <c r="S129">
        <v>0</v>
      </c>
      <c r="U129" t="s">
        <v>44</v>
      </c>
      <c r="V129" s="19">
        <v>3</v>
      </c>
      <c r="W129" s="19">
        <v>60</v>
      </c>
      <c r="X129" s="19" t="s">
        <v>4</v>
      </c>
      <c r="Z129" t="s">
        <v>44</v>
      </c>
      <c r="AA129" s="19">
        <v>4</v>
      </c>
      <c r="AB129" s="19">
        <v>60</v>
      </c>
      <c r="AC129" s="19" t="s">
        <v>4</v>
      </c>
    </row>
    <row r="130" spans="1:29" x14ac:dyDescent="0.25">
      <c r="A130" t="s">
        <v>35</v>
      </c>
      <c r="B130" s="19">
        <v>1</v>
      </c>
      <c r="C130" s="19">
        <v>72</v>
      </c>
      <c r="D130">
        <v>0</v>
      </c>
      <c r="F130" t="s">
        <v>42</v>
      </c>
      <c r="G130" s="19">
        <v>1</v>
      </c>
      <c r="H130" s="19">
        <v>72</v>
      </c>
      <c r="I130" s="4">
        <f>2/30*100</f>
        <v>6.666666666666667</v>
      </c>
      <c r="K130" t="s">
        <v>44</v>
      </c>
      <c r="L130" s="19">
        <v>1</v>
      </c>
      <c r="M130" s="19">
        <v>72</v>
      </c>
      <c r="N130" s="19" t="s">
        <v>4</v>
      </c>
      <c r="P130" t="s">
        <v>44</v>
      </c>
      <c r="Q130" s="19">
        <v>2</v>
      </c>
      <c r="R130" s="19">
        <v>72</v>
      </c>
      <c r="S130">
        <v>0</v>
      </c>
      <c r="U130" t="s">
        <v>44</v>
      </c>
      <c r="V130" s="19">
        <v>3</v>
      </c>
      <c r="W130" s="19">
        <v>72</v>
      </c>
      <c r="X130" s="19" t="s">
        <v>4</v>
      </c>
      <c r="Z130" t="s">
        <v>44</v>
      </c>
      <c r="AA130" s="19">
        <v>4</v>
      </c>
      <c r="AB130" s="19">
        <v>72</v>
      </c>
      <c r="AC130" s="19" t="s">
        <v>4</v>
      </c>
    </row>
    <row r="131" spans="1:29" x14ac:dyDescent="0.25">
      <c r="A131" t="s">
        <v>35</v>
      </c>
      <c r="B131" s="19">
        <v>1</v>
      </c>
      <c r="C131" s="37">
        <v>96</v>
      </c>
      <c r="D131" s="19" t="s">
        <v>4</v>
      </c>
      <c r="F131" t="s">
        <v>42</v>
      </c>
      <c r="G131" s="19">
        <v>1</v>
      </c>
      <c r="H131" s="19">
        <v>96</v>
      </c>
      <c r="I131" s="4">
        <f>5/22*100</f>
        <v>22.727272727272727</v>
      </c>
      <c r="K131" t="s">
        <v>44</v>
      </c>
      <c r="L131" s="19">
        <v>1</v>
      </c>
      <c r="M131" s="19">
        <v>96</v>
      </c>
      <c r="N131" s="19" t="s">
        <v>4</v>
      </c>
      <c r="P131" t="s">
        <v>44</v>
      </c>
      <c r="Q131" s="19">
        <v>2</v>
      </c>
      <c r="R131" s="19">
        <v>96</v>
      </c>
      <c r="S131" s="19" t="s">
        <v>4</v>
      </c>
      <c r="U131" t="s">
        <v>44</v>
      </c>
      <c r="V131" s="19">
        <v>3</v>
      </c>
      <c r="W131" s="19">
        <v>96</v>
      </c>
      <c r="X131" s="19" t="s">
        <v>4</v>
      </c>
      <c r="Z131" t="s">
        <v>44</v>
      </c>
      <c r="AA131" s="19">
        <v>4</v>
      </c>
      <c r="AB131" s="19">
        <v>96</v>
      </c>
      <c r="AC131" s="19" t="s">
        <v>4</v>
      </c>
    </row>
    <row r="132" spans="1:29" x14ac:dyDescent="0.25">
      <c r="A132" t="s">
        <v>36</v>
      </c>
      <c r="B132" s="19">
        <v>1</v>
      </c>
      <c r="C132" s="19">
        <v>60</v>
      </c>
      <c r="D132">
        <v>0</v>
      </c>
      <c r="F132" t="s">
        <v>43</v>
      </c>
      <c r="G132" s="19">
        <v>1</v>
      </c>
      <c r="H132" s="19">
        <v>60</v>
      </c>
      <c r="I132" s="4">
        <f>2/22*100</f>
        <v>9.0909090909090917</v>
      </c>
      <c r="K132" t="s">
        <v>45</v>
      </c>
      <c r="L132" s="19">
        <v>1</v>
      </c>
      <c r="M132" s="19">
        <v>60</v>
      </c>
      <c r="N132" s="19" t="s">
        <v>4</v>
      </c>
      <c r="P132" t="s">
        <v>45</v>
      </c>
      <c r="Q132" s="19">
        <v>2</v>
      </c>
      <c r="R132" s="19">
        <v>60</v>
      </c>
      <c r="S132">
        <v>0</v>
      </c>
      <c r="U132" t="s">
        <v>45</v>
      </c>
      <c r="V132" s="19">
        <v>3</v>
      </c>
      <c r="W132" s="19">
        <v>60</v>
      </c>
      <c r="X132" s="19" t="s">
        <v>4</v>
      </c>
      <c r="Z132" t="s">
        <v>45</v>
      </c>
      <c r="AA132" s="19">
        <v>4</v>
      </c>
      <c r="AB132" s="19">
        <v>60</v>
      </c>
      <c r="AC132" s="19" t="s">
        <v>4</v>
      </c>
    </row>
    <row r="133" spans="1:29" x14ac:dyDescent="0.25">
      <c r="A133" t="s">
        <v>36</v>
      </c>
      <c r="B133" s="19">
        <v>1</v>
      </c>
      <c r="C133" s="19">
        <v>72</v>
      </c>
      <c r="D133">
        <v>0</v>
      </c>
      <c r="F133" t="s">
        <v>43</v>
      </c>
      <c r="G133" s="19">
        <v>1</v>
      </c>
      <c r="H133" s="19">
        <v>72</v>
      </c>
      <c r="I133" s="4">
        <f>4/24*100</f>
        <v>16.666666666666664</v>
      </c>
      <c r="K133" t="s">
        <v>45</v>
      </c>
      <c r="L133" s="19">
        <v>1</v>
      </c>
      <c r="M133" s="19">
        <v>72</v>
      </c>
      <c r="N133" s="19" t="s">
        <v>4</v>
      </c>
      <c r="P133" t="s">
        <v>45</v>
      </c>
      <c r="Q133" s="19">
        <v>2</v>
      </c>
      <c r="R133" s="19">
        <v>72</v>
      </c>
      <c r="S133">
        <v>0</v>
      </c>
      <c r="U133" t="s">
        <v>45</v>
      </c>
      <c r="V133" s="19">
        <v>3</v>
      </c>
      <c r="W133" s="19">
        <v>72</v>
      </c>
      <c r="X133" s="19" t="s">
        <v>4</v>
      </c>
      <c r="Z133" t="s">
        <v>45</v>
      </c>
      <c r="AA133" s="19">
        <v>4</v>
      </c>
      <c r="AB133" s="19">
        <v>72</v>
      </c>
      <c r="AC133" s="19" t="s">
        <v>4</v>
      </c>
    </row>
    <row r="134" spans="1:29" x14ac:dyDescent="0.25">
      <c r="A134" t="s">
        <v>36</v>
      </c>
      <c r="B134" s="19">
        <v>1</v>
      </c>
      <c r="C134" s="19">
        <v>96</v>
      </c>
      <c r="D134" s="19" t="s">
        <v>4</v>
      </c>
      <c r="F134" t="s">
        <v>43</v>
      </c>
      <c r="G134" s="19">
        <v>1</v>
      </c>
      <c r="H134" s="19">
        <v>96</v>
      </c>
      <c r="I134" s="17">
        <f>6/24*100</f>
        <v>25</v>
      </c>
      <c r="K134" t="s">
        <v>45</v>
      </c>
      <c r="L134" s="19">
        <v>1</v>
      </c>
      <c r="M134" s="19">
        <v>96</v>
      </c>
      <c r="N134" s="19" t="s">
        <v>4</v>
      </c>
      <c r="P134" t="s">
        <v>45</v>
      </c>
      <c r="Q134" s="19">
        <v>2</v>
      </c>
      <c r="R134" s="19">
        <v>96</v>
      </c>
      <c r="S134" s="19" t="s">
        <v>4</v>
      </c>
      <c r="U134" t="s">
        <v>45</v>
      </c>
      <c r="V134" s="19">
        <v>3</v>
      </c>
      <c r="W134" s="19">
        <v>96</v>
      </c>
      <c r="X134" s="19" t="s">
        <v>4</v>
      </c>
      <c r="Z134" t="s">
        <v>45</v>
      </c>
      <c r="AA134" s="19">
        <v>4</v>
      </c>
      <c r="AB134" s="19">
        <v>96</v>
      </c>
      <c r="AC134" s="19" t="s">
        <v>4</v>
      </c>
    </row>
    <row r="135" spans="1:29" x14ac:dyDescent="0.25">
      <c r="A135" t="s">
        <v>37</v>
      </c>
      <c r="B135" s="19">
        <v>1</v>
      </c>
      <c r="C135" s="19">
        <v>60</v>
      </c>
      <c r="D135" s="4">
        <f>2/23*100</f>
        <v>8.695652173913043</v>
      </c>
      <c r="F135" t="s">
        <v>37</v>
      </c>
      <c r="G135" s="19">
        <v>2</v>
      </c>
      <c r="H135" s="19">
        <v>60</v>
      </c>
      <c r="I135" s="4">
        <f>1/30*100</f>
        <v>3.3333333333333335</v>
      </c>
      <c r="K135" t="s">
        <v>46</v>
      </c>
      <c r="L135" s="19">
        <v>1</v>
      </c>
      <c r="M135" s="19">
        <v>60</v>
      </c>
      <c r="N135">
        <v>0</v>
      </c>
      <c r="P135" t="s">
        <v>46</v>
      </c>
      <c r="Q135" s="19">
        <v>2</v>
      </c>
      <c r="R135" s="19">
        <v>60</v>
      </c>
      <c r="S135" s="4">
        <f>1/9*100</f>
        <v>11.111111111111111</v>
      </c>
      <c r="U135" t="s">
        <v>46</v>
      </c>
      <c r="V135" s="19">
        <v>3</v>
      </c>
      <c r="W135" s="19">
        <v>60</v>
      </c>
      <c r="X135">
        <v>0</v>
      </c>
      <c r="Z135" t="s">
        <v>46</v>
      </c>
      <c r="AA135" s="19">
        <v>4</v>
      </c>
      <c r="AB135" s="19">
        <v>60</v>
      </c>
      <c r="AC135" s="19" t="s">
        <v>4</v>
      </c>
    </row>
    <row r="136" spans="1:29" x14ac:dyDescent="0.25">
      <c r="A136" t="s">
        <v>37</v>
      </c>
      <c r="B136" s="19">
        <v>1</v>
      </c>
      <c r="C136" s="19">
        <v>72</v>
      </c>
      <c r="D136" s="4">
        <f>3/23*100</f>
        <v>13.043478260869565</v>
      </c>
      <c r="F136" t="s">
        <v>37</v>
      </c>
      <c r="G136" s="19">
        <v>2</v>
      </c>
      <c r="H136" s="19">
        <v>72</v>
      </c>
      <c r="I136" s="4">
        <f>8/30*100</f>
        <v>26.666666666666668</v>
      </c>
      <c r="K136" t="s">
        <v>46</v>
      </c>
      <c r="L136" s="19">
        <v>1</v>
      </c>
      <c r="M136" s="19">
        <v>72</v>
      </c>
      <c r="N136" s="19" t="s">
        <v>4</v>
      </c>
      <c r="P136" t="s">
        <v>46</v>
      </c>
      <c r="Q136" s="19">
        <v>2</v>
      </c>
      <c r="R136" s="19">
        <v>72</v>
      </c>
      <c r="S136" s="4">
        <f>2/7*100</f>
        <v>28.571428571428569</v>
      </c>
      <c r="U136" t="s">
        <v>46</v>
      </c>
      <c r="V136" s="19">
        <v>3</v>
      </c>
      <c r="W136" s="19">
        <v>72</v>
      </c>
      <c r="X136">
        <v>0</v>
      </c>
      <c r="Z136" t="s">
        <v>46</v>
      </c>
      <c r="AA136" s="19">
        <v>4</v>
      </c>
      <c r="AB136" s="19">
        <v>72</v>
      </c>
      <c r="AC136" s="19" t="s">
        <v>4</v>
      </c>
    </row>
    <row r="137" spans="1:29" x14ac:dyDescent="0.25">
      <c r="A137" t="s">
        <v>37</v>
      </c>
      <c r="B137" s="19">
        <v>1</v>
      </c>
      <c r="C137" s="19">
        <v>96</v>
      </c>
      <c r="D137" s="4">
        <f>3/22*100</f>
        <v>13.636363636363635</v>
      </c>
      <c r="F137" t="s">
        <v>37</v>
      </c>
      <c r="G137" s="19">
        <v>2</v>
      </c>
      <c r="H137" s="19">
        <v>96</v>
      </c>
      <c r="I137" s="17">
        <f>9/30*100</f>
        <v>30</v>
      </c>
      <c r="K137" t="s">
        <v>46</v>
      </c>
      <c r="L137" s="19">
        <v>1</v>
      </c>
      <c r="M137" s="19">
        <v>96</v>
      </c>
      <c r="N137" s="19" t="s">
        <v>4</v>
      </c>
      <c r="P137" t="s">
        <v>46</v>
      </c>
      <c r="Q137" s="19">
        <v>2</v>
      </c>
      <c r="R137" s="19">
        <v>96</v>
      </c>
      <c r="S137" s="17">
        <f>3/5*100</f>
        <v>60</v>
      </c>
      <c r="U137" t="s">
        <v>46</v>
      </c>
      <c r="V137" s="19">
        <v>3</v>
      </c>
      <c r="W137" s="19">
        <v>96</v>
      </c>
      <c r="X137" s="19" t="s">
        <v>4</v>
      </c>
      <c r="Z137" t="s">
        <v>46</v>
      </c>
      <c r="AA137" s="19">
        <v>4</v>
      </c>
      <c r="AB137" s="19">
        <v>96</v>
      </c>
      <c r="AC137" s="19" t="s">
        <v>4</v>
      </c>
    </row>
    <row r="138" spans="1:29" x14ac:dyDescent="0.25">
      <c r="A138" t="s">
        <v>38</v>
      </c>
      <c r="B138" s="19">
        <v>1</v>
      </c>
      <c r="C138" s="19">
        <v>60</v>
      </c>
      <c r="D138" s="4">
        <f>5/30*100</f>
        <v>16.666666666666664</v>
      </c>
      <c r="F138" t="s">
        <v>38</v>
      </c>
      <c r="G138" s="19">
        <v>2</v>
      </c>
      <c r="H138" s="19">
        <v>60</v>
      </c>
      <c r="I138" s="4">
        <f>3/27*100</f>
        <v>11.111111111111111</v>
      </c>
      <c r="K138" t="s">
        <v>47</v>
      </c>
      <c r="L138" s="19">
        <v>1</v>
      </c>
      <c r="M138" s="19">
        <v>60</v>
      </c>
      <c r="N138" s="19" t="s">
        <v>4</v>
      </c>
      <c r="P138" t="s">
        <v>47</v>
      </c>
      <c r="Q138" s="19">
        <v>2</v>
      </c>
      <c r="R138" s="19">
        <v>60</v>
      </c>
      <c r="S138">
        <v>0</v>
      </c>
      <c r="U138" t="s">
        <v>47</v>
      </c>
      <c r="V138" s="19">
        <v>3</v>
      </c>
      <c r="W138" s="19">
        <v>60</v>
      </c>
      <c r="X138" s="5">
        <v>0</v>
      </c>
      <c r="Z138" t="s">
        <v>47</v>
      </c>
      <c r="AA138" s="19">
        <v>4</v>
      </c>
      <c r="AB138" s="19">
        <v>60</v>
      </c>
      <c r="AC138" s="19" t="s">
        <v>4</v>
      </c>
    </row>
    <row r="139" spans="1:29" x14ac:dyDescent="0.25">
      <c r="A139" t="s">
        <v>38</v>
      </c>
      <c r="B139" s="19">
        <v>1</v>
      </c>
      <c r="C139" s="19">
        <v>72</v>
      </c>
      <c r="D139" s="4">
        <f>7/30*100</f>
        <v>23.333333333333332</v>
      </c>
      <c r="F139" t="s">
        <v>38</v>
      </c>
      <c r="G139" s="19">
        <v>2</v>
      </c>
      <c r="H139" s="19">
        <v>72</v>
      </c>
      <c r="I139" s="4">
        <f>7/27*100</f>
        <v>25.925925925925924</v>
      </c>
      <c r="K139" t="s">
        <v>47</v>
      </c>
      <c r="L139" s="19">
        <v>1</v>
      </c>
      <c r="M139" s="19">
        <v>72</v>
      </c>
      <c r="N139" s="19" t="s">
        <v>4</v>
      </c>
      <c r="P139" t="s">
        <v>47</v>
      </c>
      <c r="Q139" s="19">
        <v>2</v>
      </c>
      <c r="R139" s="19">
        <v>72</v>
      </c>
      <c r="S139">
        <v>0</v>
      </c>
      <c r="U139" t="s">
        <v>47</v>
      </c>
      <c r="V139" s="19">
        <v>3</v>
      </c>
      <c r="W139" s="19">
        <v>72</v>
      </c>
      <c r="X139" s="5">
        <v>100</v>
      </c>
      <c r="Z139" t="s">
        <v>47</v>
      </c>
      <c r="AA139" s="19">
        <v>4</v>
      </c>
      <c r="AB139" s="19">
        <v>72</v>
      </c>
      <c r="AC139" s="19" t="s">
        <v>4</v>
      </c>
    </row>
    <row r="140" spans="1:29" x14ac:dyDescent="0.25">
      <c r="A140" t="s">
        <v>38</v>
      </c>
      <c r="B140" s="19">
        <v>1</v>
      </c>
      <c r="C140" s="19">
        <v>96</v>
      </c>
      <c r="D140" s="4">
        <f>8/30*100</f>
        <v>26.666666666666668</v>
      </c>
      <c r="F140" t="s">
        <v>38</v>
      </c>
      <c r="G140" s="19">
        <v>2</v>
      </c>
      <c r="H140" s="37">
        <v>96</v>
      </c>
      <c r="I140" s="4">
        <f>15/27*100</f>
        <v>55.555555555555557</v>
      </c>
      <c r="K140" t="s">
        <v>47</v>
      </c>
      <c r="L140" s="19">
        <v>1</v>
      </c>
      <c r="M140" s="37">
        <v>96</v>
      </c>
      <c r="N140" s="19" t="s">
        <v>4</v>
      </c>
      <c r="P140" t="s">
        <v>47</v>
      </c>
      <c r="Q140" s="19">
        <v>2</v>
      </c>
      <c r="R140" s="37">
        <v>96</v>
      </c>
      <c r="S140" s="19" t="s">
        <v>4</v>
      </c>
      <c r="U140" t="s">
        <v>47</v>
      </c>
      <c r="V140" s="19">
        <v>3</v>
      </c>
      <c r="W140" s="37">
        <v>96</v>
      </c>
      <c r="X140" s="5" t="s">
        <v>4</v>
      </c>
      <c r="Z140" t="s">
        <v>47</v>
      </c>
      <c r="AA140" s="19">
        <v>4</v>
      </c>
      <c r="AB140" s="37">
        <v>96</v>
      </c>
      <c r="AC140" s="19" t="s">
        <v>4</v>
      </c>
    </row>
    <row r="141" spans="1:29" x14ac:dyDescent="0.25">
      <c r="A141" t="s">
        <v>39</v>
      </c>
      <c r="B141" s="19">
        <v>1</v>
      </c>
      <c r="C141" s="19">
        <v>60</v>
      </c>
      <c r="D141">
        <v>0</v>
      </c>
      <c r="F141" t="s">
        <v>39</v>
      </c>
      <c r="G141" s="19">
        <v>2</v>
      </c>
      <c r="H141" s="19">
        <v>60</v>
      </c>
      <c r="I141" s="17">
        <f>8/32*100</f>
        <v>25</v>
      </c>
      <c r="K141" t="s">
        <v>48</v>
      </c>
      <c r="L141" s="19">
        <v>1</v>
      </c>
      <c r="M141" s="19">
        <v>60</v>
      </c>
      <c r="N141" s="4">
        <f>1/17*100</f>
        <v>5.8823529411764701</v>
      </c>
      <c r="P141" t="s">
        <v>48</v>
      </c>
      <c r="Q141" s="19">
        <v>2</v>
      </c>
      <c r="R141" s="19">
        <v>60</v>
      </c>
      <c r="S141">
        <v>0</v>
      </c>
      <c r="U141" t="s">
        <v>48</v>
      </c>
      <c r="V141" s="19">
        <v>3</v>
      </c>
      <c r="W141" s="19">
        <v>60</v>
      </c>
      <c r="X141" s="5">
        <v>0</v>
      </c>
      <c r="Z141" t="s">
        <v>48</v>
      </c>
      <c r="AA141" s="19">
        <v>4</v>
      </c>
      <c r="AB141" s="19">
        <v>60</v>
      </c>
      <c r="AC141">
        <v>0</v>
      </c>
    </row>
    <row r="142" spans="1:29" x14ac:dyDescent="0.25">
      <c r="A142" t="s">
        <v>39</v>
      </c>
      <c r="B142" s="19">
        <v>1</v>
      </c>
      <c r="C142" s="19">
        <v>72</v>
      </c>
      <c r="D142" s="4">
        <f>1/31*100</f>
        <v>3.225806451612903</v>
      </c>
      <c r="F142" t="s">
        <v>39</v>
      </c>
      <c r="G142" s="19">
        <v>2</v>
      </c>
      <c r="H142" s="19">
        <v>72</v>
      </c>
      <c r="I142">
        <f>15/32*100</f>
        <v>46.875</v>
      </c>
      <c r="K142" t="s">
        <v>48</v>
      </c>
      <c r="L142" s="19">
        <v>1</v>
      </c>
      <c r="M142" s="19">
        <v>72</v>
      </c>
      <c r="N142" s="4">
        <f>5/14*100</f>
        <v>35.714285714285715</v>
      </c>
      <c r="P142" t="s">
        <v>48</v>
      </c>
      <c r="Q142" s="19">
        <v>2</v>
      </c>
      <c r="R142" s="19">
        <v>72</v>
      </c>
      <c r="S142">
        <v>0</v>
      </c>
      <c r="U142" t="s">
        <v>48</v>
      </c>
      <c r="V142" s="19">
        <v>3</v>
      </c>
      <c r="W142" s="19">
        <v>72</v>
      </c>
      <c r="X142" s="4">
        <f>1/6*100</f>
        <v>16.666666666666664</v>
      </c>
      <c r="Z142" t="s">
        <v>48</v>
      </c>
      <c r="AA142" s="19">
        <v>4</v>
      </c>
      <c r="AB142" s="19">
        <v>72</v>
      </c>
      <c r="AC142" s="18">
        <f>1/8*100</f>
        <v>12.5</v>
      </c>
    </row>
    <row r="143" spans="1:29" x14ac:dyDescent="0.25">
      <c r="A143" t="s">
        <v>39</v>
      </c>
      <c r="B143" s="19">
        <v>1</v>
      </c>
      <c r="C143" s="19">
        <v>96</v>
      </c>
      <c r="D143" s="4">
        <f>5/31*100</f>
        <v>16.129032258064516</v>
      </c>
      <c r="F143" t="s">
        <v>39</v>
      </c>
      <c r="G143" s="19">
        <v>2</v>
      </c>
      <c r="H143" s="19">
        <v>96</v>
      </c>
      <c r="I143" s="4">
        <f>21/32*100</f>
        <v>65.625</v>
      </c>
      <c r="K143" t="s">
        <v>48</v>
      </c>
      <c r="L143" s="19">
        <v>1</v>
      </c>
      <c r="M143" s="19">
        <v>96</v>
      </c>
      <c r="N143" s="17">
        <f>3/6*100</f>
        <v>50</v>
      </c>
      <c r="P143" t="s">
        <v>48</v>
      </c>
      <c r="Q143" s="19">
        <v>2</v>
      </c>
      <c r="R143" s="19">
        <v>96</v>
      </c>
      <c r="S143" s="4">
        <f>4/14*100</f>
        <v>28.571428571428569</v>
      </c>
      <c r="U143" t="s">
        <v>48</v>
      </c>
      <c r="V143" s="19">
        <v>3</v>
      </c>
      <c r="W143" s="19">
        <v>96</v>
      </c>
      <c r="X143" s="17">
        <f>2/4*100</f>
        <v>50</v>
      </c>
      <c r="Z143" t="s">
        <v>48</v>
      </c>
      <c r="AA143" s="19">
        <v>4</v>
      </c>
      <c r="AB143" s="19">
        <v>96</v>
      </c>
      <c r="AC143" s="4">
        <f>5/6*100</f>
        <v>83.333333333333343</v>
      </c>
    </row>
    <row r="144" spans="1:29" x14ac:dyDescent="0.25">
      <c r="A144" t="s">
        <v>40</v>
      </c>
      <c r="B144" s="19">
        <v>1</v>
      </c>
      <c r="C144" s="19">
        <v>60</v>
      </c>
      <c r="D144">
        <v>0</v>
      </c>
      <c r="F144" t="s">
        <v>40</v>
      </c>
      <c r="G144" s="19">
        <v>2</v>
      </c>
      <c r="H144" s="19">
        <v>60</v>
      </c>
      <c r="I144" s="4">
        <f>14/27*100</f>
        <v>51.851851851851848</v>
      </c>
      <c r="K144" t="s">
        <v>49</v>
      </c>
      <c r="L144" s="19">
        <v>1</v>
      </c>
      <c r="M144" s="19">
        <v>60</v>
      </c>
      <c r="N144">
        <v>0</v>
      </c>
      <c r="P144" t="s">
        <v>49</v>
      </c>
      <c r="Q144" s="19">
        <v>2</v>
      </c>
      <c r="R144" s="19">
        <v>60</v>
      </c>
      <c r="S144">
        <v>0</v>
      </c>
      <c r="U144" t="s">
        <v>49</v>
      </c>
      <c r="V144" s="19">
        <v>3</v>
      </c>
      <c r="W144" s="19">
        <v>60</v>
      </c>
      <c r="X144">
        <v>0</v>
      </c>
      <c r="Z144" t="s">
        <v>49</v>
      </c>
      <c r="AA144" s="19">
        <v>4</v>
      </c>
      <c r="AB144" s="19">
        <v>60</v>
      </c>
      <c r="AC144">
        <v>0</v>
      </c>
    </row>
    <row r="145" spans="1:29" x14ac:dyDescent="0.25">
      <c r="A145" t="s">
        <v>40</v>
      </c>
      <c r="B145" s="19">
        <v>1</v>
      </c>
      <c r="C145" s="19">
        <v>72</v>
      </c>
      <c r="D145">
        <f>3/32*100</f>
        <v>9.375</v>
      </c>
      <c r="F145" t="s">
        <v>40</v>
      </c>
      <c r="G145" s="19">
        <v>2</v>
      </c>
      <c r="H145" s="19">
        <v>72</v>
      </c>
      <c r="I145" s="4">
        <f>17/27*100</f>
        <v>62.962962962962962</v>
      </c>
      <c r="K145" t="s">
        <v>49</v>
      </c>
      <c r="L145" s="19">
        <v>1</v>
      </c>
      <c r="M145" s="19">
        <v>72</v>
      </c>
      <c r="N145" s="4">
        <f>1/12*100</f>
        <v>8.3333333333333321</v>
      </c>
      <c r="P145" t="s">
        <v>49</v>
      </c>
      <c r="Q145" s="19">
        <v>2</v>
      </c>
      <c r="R145" s="19">
        <v>72</v>
      </c>
      <c r="S145" s="4">
        <f>1/14*100</f>
        <v>7.1428571428571423</v>
      </c>
      <c r="U145" t="s">
        <v>49</v>
      </c>
      <c r="V145" s="19">
        <v>3</v>
      </c>
      <c r="W145" s="19">
        <v>72</v>
      </c>
      <c r="X145" s="4">
        <f>7/15*100</f>
        <v>46.666666666666664</v>
      </c>
      <c r="Z145" t="s">
        <v>49</v>
      </c>
      <c r="AA145" s="19">
        <v>4</v>
      </c>
      <c r="AB145" s="19">
        <v>72</v>
      </c>
      <c r="AC145">
        <v>100</v>
      </c>
    </row>
    <row r="146" spans="1:29" x14ac:dyDescent="0.25">
      <c r="A146" t="s">
        <v>40</v>
      </c>
      <c r="B146" s="19">
        <v>1</v>
      </c>
      <c r="C146" s="19">
        <v>96</v>
      </c>
      <c r="D146" s="4">
        <f>6/32*100</f>
        <v>18.75</v>
      </c>
      <c r="F146" t="s">
        <v>40</v>
      </c>
      <c r="G146" s="19">
        <v>2</v>
      </c>
      <c r="H146" s="19">
        <v>96</v>
      </c>
      <c r="I146" s="4">
        <f>23/27*100</f>
        <v>85.18518518518519</v>
      </c>
      <c r="K146" t="s">
        <v>49</v>
      </c>
      <c r="L146" s="19">
        <v>1</v>
      </c>
      <c r="M146" s="19">
        <v>96</v>
      </c>
      <c r="N146" s="17">
        <f>6/8*100</f>
        <v>75</v>
      </c>
      <c r="P146" t="s">
        <v>49</v>
      </c>
      <c r="Q146" s="19">
        <v>2</v>
      </c>
      <c r="R146" s="19">
        <v>96</v>
      </c>
      <c r="S146" s="4">
        <f>7/9*100</f>
        <v>77.777777777777786</v>
      </c>
      <c r="U146" t="s">
        <v>49</v>
      </c>
      <c r="V146" s="19">
        <v>3</v>
      </c>
      <c r="W146" s="19">
        <v>96</v>
      </c>
      <c r="X146" s="17">
        <f>9/10*100</f>
        <v>90</v>
      </c>
      <c r="Z146" t="s">
        <v>49</v>
      </c>
      <c r="AA146" s="19">
        <v>4</v>
      </c>
      <c r="AB146" s="19">
        <v>96</v>
      </c>
      <c r="AC146">
        <v>100</v>
      </c>
    </row>
    <row r="147" spans="1:29" x14ac:dyDescent="0.25">
      <c r="A147" t="s">
        <v>24</v>
      </c>
      <c r="B147" s="19">
        <v>1</v>
      </c>
      <c r="C147" s="19">
        <v>60</v>
      </c>
      <c r="D147" s="4">
        <f>6/32*100</f>
        <v>18.75</v>
      </c>
      <c r="G147" s="19"/>
      <c r="H147" s="19"/>
      <c r="K147" t="s">
        <v>50</v>
      </c>
      <c r="L147" s="19">
        <v>1</v>
      </c>
      <c r="M147" s="19">
        <v>60</v>
      </c>
      <c r="N147">
        <v>0</v>
      </c>
      <c r="P147" t="s">
        <v>50</v>
      </c>
      <c r="Q147" s="19">
        <v>2</v>
      </c>
      <c r="R147" s="19">
        <v>60</v>
      </c>
      <c r="S147">
        <v>0</v>
      </c>
      <c r="U147" t="s">
        <v>50</v>
      </c>
      <c r="V147" s="19">
        <v>3</v>
      </c>
      <c r="W147" s="19">
        <v>60</v>
      </c>
      <c r="X147">
        <v>0</v>
      </c>
      <c r="Z147" t="s">
        <v>50</v>
      </c>
      <c r="AA147" s="19">
        <v>4</v>
      </c>
      <c r="AB147" s="19">
        <v>60</v>
      </c>
      <c r="AC147" s="4">
        <f>1/28*100</f>
        <v>3.5714285714285712</v>
      </c>
    </row>
    <row r="148" spans="1:29" x14ac:dyDescent="0.25">
      <c r="A148" t="s">
        <v>24</v>
      </c>
      <c r="B148" s="19">
        <v>1</v>
      </c>
      <c r="C148" s="19">
        <v>72</v>
      </c>
      <c r="D148">
        <f>15/32*100</f>
        <v>46.875</v>
      </c>
      <c r="G148" s="19"/>
      <c r="H148" s="19"/>
      <c r="K148" t="s">
        <v>50</v>
      </c>
      <c r="L148" s="19">
        <v>1</v>
      </c>
      <c r="M148" s="19">
        <v>72</v>
      </c>
      <c r="N148" s="4">
        <f>1/23*100</f>
        <v>4.3478260869565215</v>
      </c>
      <c r="P148" t="s">
        <v>50</v>
      </c>
      <c r="Q148" s="19">
        <v>2</v>
      </c>
      <c r="R148" s="19">
        <v>72</v>
      </c>
      <c r="S148">
        <v>0</v>
      </c>
      <c r="U148" t="s">
        <v>50</v>
      </c>
      <c r="V148" s="19">
        <v>3</v>
      </c>
      <c r="W148" s="19">
        <v>72</v>
      </c>
      <c r="X148" s="4">
        <f>6/19*100</f>
        <v>31.578947368421051</v>
      </c>
      <c r="Z148" t="s">
        <v>50</v>
      </c>
      <c r="AA148" s="19">
        <v>4</v>
      </c>
      <c r="AB148" s="19">
        <v>72</v>
      </c>
      <c r="AC148" s="4">
        <f>5/26*100</f>
        <v>19.230769230769234</v>
      </c>
    </row>
    <row r="149" spans="1:29" x14ac:dyDescent="0.25">
      <c r="A149" t="s">
        <v>24</v>
      </c>
      <c r="B149" s="19">
        <v>1</v>
      </c>
      <c r="C149" s="19">
        <v>96</v>
      </c>
      <c r="D149">
        <f>21/32*100</f>
        <v>65.625</v>
      </c>
      <c r="G149" s="19"/>
      <c r="H149" s="19"/>
      <c r="K149" t="s">
        <v>50</v>
      </c>
      <c r="L149" s="19">
        <v>1</v>
      </c>
      <c r="M149" s="19">
        <v>96</v>
      </c>
      <c r="N149" s="17">
        <f>6/12*100</f>
        <v>50</v>
      </c>
      <c r="P149" t="s">
        <v>50</v>
      </c>
      <c r="Q149" s="19">
        <v>2</v>
      </c>
      <c r="R149" s="19">
        <v>96</v>
      </c>
      <c r="S149" s="4">
        <f>2/26*100</f>
        <v>7.6923076923076925</v>
      </c>
      <c r="U149" t="s">
        <v>50</v>
      </c>
      <c r="V149" s="19">
        <v>3</v>
      </c>
      <c r="W149" s="19">
        <v>96</v>
      </c>
      <c r="X149" s="4">
        <f>15/18*100</f>
        <v>83.333333333333343</v>
      </c>
      <c r="Z149" t="s">
        <v>50</v>
      </c>
      <c r="AA149" s="19">
        <v>4</v>
      </c>
      <c r="AB149" s="19">
        <v>96</v>
      </c>
      <c r="AC149" s="6">
        <v>100</v>
      </c>
    </row>
    <row r="150" spans="1:29" x14ac:dyDescent="0.25">
      <c r="A150" t="s">
        <v>30</v>
      </c>
      <c r="B150" s="19">
        <v>1</v>
      </c>
      <c r="C150" s="19">
        <v>60</v>
      </c>
      <c r="D150" s="18">
        <f>12/32*100</f>
        <v>37.5</v>
      </c>
      <c r="G150" s="19"/>
      <c r="H150" s="19"/>
      <c r="K150" t="s">
        <v>51</v>
      </c>
      <c r="L150" s="19">
        <v>1</v>
      </c>
      <c r="M150" s="19">
        <v>60</v>
      </c>
      <c r="N150" s="4">
        <f>1/26*100</f>
        <v>3.8461538461538463</v>
      </c>
      <c r="P150" t="s">
        <v>51</v>
      </c>
      <c r="Q150" s="19">
        <v>2</v>
      </c>
      <c r="R150" s="19">
        <v>60</v>
      </c>
      <c r="S150">
        <v>0</v>
      </c>
      <c r="U150" t="s">
        <v>51</v>
      </c>
      <c r="V150" s="19">
        <v>3</v>
      </c>
      <c r="W150" s="19">
        <v>60</v>
      </c>
      <c r="X150" s="4">
        <f>1/22*100</f>
        <v>4.5454545454545459</v>
      </c>
      <c r="Z150" t="s">
        <v>51</v>
      </c>
      <c r="AA150" s="19">
        <v>4</v>
      </c>
      <c r="AB150" s="19">
        <v>60</v>
      </c>
      <c r="AC150" s="17">
        <f>1/25*100</f>
        <v>4</v>
      </c>
    </row>
    <row r="151" spans="1:29" x14ac:dyDescent="0.25">
      <c r="A151" t="s">
        <v>30</v>
      </c>
      <c r="B151" s="19">
        <v>1</v>
      </c>
      <c r="C151" s="19">
        <v>72</v>
      </c>
      <c r="D151" s="4">
        <f>22/32*100</f>
        <v>68.75</v>
      </c>
      <c r="G151" s="19"/>
      <c r="H151" s="19"/>
      <c r="K151" t="s">
        <v>51</v>
      </c>
      <c r="L151" s="19">
        <v>1</v>
      </c>
      <c r="M151" s="19">
        <v>72</v>
      </c>
      <c r="N151" s="4">
        <f>4/26*100</f>
        <v>15.384615384615385</v>
      </c>
      <c r="P151" t="s">
        <v>51</v>
      </c>
      <c r="Q151" s="19">
        <v>2</v>
      </c>
      <c r="R151" s="19">
        <v>72</v>
      </c>
      <c r="S151">
        <v>0</v>
      </c>
      <c r="U151" t="s">
        <v>51</v>
      </c>
      <c r="V151" s="19">
        <v>3</v>
      </c>
      <c r="W151" s="19">
        <v>72</v>
      </c>
      <c r="X151" s="17">
        <f>6/20*100</f>
        <v>30</v>
      </c>
      <c r="Z151" t="s">
        <v>51</v>
      </c>
      <c r="AA151" s="19">
        <v>4</v>
      </c>
      <c r="AB151" s="19">
        <v>72</v>
      </c>
      <c r="AC151" s="17">
        <f>10/23*100</f>
        <v>43.478260869565219</v>
      </c>
    </row>
    <row r="152" spans="1:29" x14ac:dyDescent="0.25">
      <c r="A152" t="s">
        <v>30</v>
      </c>
      <c r="B152" s="19">
        <v>1</v>
      </c>
      <c r="C152" s="19">
        <v>96</v>
      </c>
      <c r="D152" s="4">
        <f>25/31*100</f>
        <v>80.645161290322577</v>
      </c>
      <c r="G152" s="19"/>
      <c r="H152" s="19"/>
      <c r="K152" t="s">
        <v>51</v>
      </c>
      <c r="L152" s="19">
        <v>1</v>
      </c>
      <c r="M152" s="19">
        <v>96</v>
      </c>
      <c r="N152" s="4">
        <f>16/26*100</f>
        <v>61.53846153846154</v>
      </c>
      <c r="P152" t="s">
        <v>51</v>
      </c>
      <c r="Q152" s="19">
        <v>2</v>
      </c>
      <c r="R152" s="19">
        <v>96</v>
      </c>
      <c r="S152" s="4">
        <f>7/26*100</f>
        <v>26.923076923076923</v>
      </c>
      <c r="U152" t="s">
        <v>51</v>
      </c>
      <c r="V152" s="19">
        <v>3</v>
      </c>
      <c r="W152" s="19">
        <v>96</v>
      </c>
      <c r="X152" s="4">
        <f>12/19*100</f>
        <v>63.157894736842103</v>
      </c>
      <c r="Z152" t="s">
        <v>51</v>
      </c>
      <c r="AA152" s="19">
        <v>4</v>
      </c>
      <c r="AB152" s="19">
        <v>96</v>
      </c>
      <c r="AC152" s="4">
        <f>12/21*100</f>
        <v>57.142857142857139</v>
      </c>
    </row>
    <row r="153" spans="1:29" x14ac:dyDescent="0.25">
      <c r="G153" s="19"/>
      <c r="H153" s="19"/>
      <c r="K153" t="s">
        <v>37</v>
      </c>
      <c r="L153" s="19">
        <v>3</v>
      </c>
      <c r="M153" s="19">
        <v>60</v>
      </c>
      <c r="N153" s="17">
        <f>3/30*100</f>
        <v>10</v>
      </c>
      <c r="P153" t="s">
        <v>37</v>
      </c>
      <c r="Q153" s="19">
        <v>4</v>
      </c>
      <c r="R153" s="19">
        <v>60</v>
      </c>
      <c r="S153">
        <v>0</v>
      </c>
      <c r="U153" t="s">
        <v>37</v>
      </c>
      <c r="V153" s="19">
        <v>5</v>
      </c>
      <c r="W153" s="19">
        <v>60</v>
      </c>
      <c r="X153">
        <v>0</v>
      </c>
      <c r="Z153" t="s">
        <v>37</v>
      </c>
      <c r="AA153" s="19">
        <v>6</v>
      </c>
      <c r="AB153" s="19">
        <v>60</v>
      </c>
      <c r="AC153">
        <v>0</v>
      </c>
    </row>
    <row r="154" spans="1:29" x14ac:dyDescent="0.25">
      <c r="G154" s="19"/>
      <c r="H154" s="19"/>
      <c r="K154" t="s">
        <v>37</v>
      </c>
      <c r="L154" s="19">
        <v>3</v>
      </c>
      <c r="M154" s="19">
        <v>72</v>
      </c>
      <c r="N154" s="4">
        <f>7/30*100</f>
        <v>23.333333333333332</v>
      </c>
      <c r="P154" t="s">
        <v>37</v>
      </c>
      <c r="Q154" s="19">
        <v>4</v>
      </c>
      <c r="R154" s="19">
        <v>72</v>
      </c>
      <c r="S154">
        <v>0</v>
      </c>
      <c r="U154" t="s">
        <v>37</v>
      </c>
      <c r="V154" s="19">
        <v>5</v>
      </c>
      <c r="W154" s="19">
        <v>72</v>
      </c>
      <c r="X154">
        <v>0</v>
      </c>
      <c r="Z154" t="s">
        <v>37</v>
      </c>
      <c r="AA154" s="19">
        <v>6</v>
      </c>
      <c r="AB154" s="19">
        <v>72</v>
      </c>
      <c r="AC154">
        <v>0</v>
      </c>
    </row>
    <row r="155" spans="1:29" x14ac:dyDescent="0.25">
      <c r="G155" s="19"/>
      <c r="H155" s="19"/>
      <c r="K155" t="s">
        <v>37</v>
      </c>
      <c r="L155" s="19">
        <v>3</v>
      </c>
      <c r="M155" s="49">
        <v>96</v>
      </c>
      <c r="N155" s="4">
        <f>13/30*100</f>
        <v>43.333333333333336</v>
      </c>
      <c r="P155" t="s">
        <v>37</v>
      </c>
      <c r="Q155" s="19">
        <v>4</v>
      </c>
      <c r="R155" s="19">
        <v>96</v>
      </c>
      <c r="S155" s="17">
        <f>3/25*100</f>
        <v>12</v>
      </c>
      <c r="U155" t="s">
        <v>37</v>
      </c>
      <c r="V155" s="19">
        <v>5</v>
      </c>
      <c r="W155" s="19">
        <v>96</v>
      </c>
      <c r="X155">
        <v>0</v>
      </c>
      <c r="Z155" t="s">
        <v>37</v>
      </c>
      <c r="AA155" s="19">
        <v>6</v>
      </c>
      <c r="AB155" s="19">
        <v>96</v>
      </c>
      <c r="AC155" s="17">
        <f>1/25*100</f>
        <v>4</v>
      </c>
    </row>
    <row r="156" spans="1:29" x14ac:dyDescent="0.25">
      <c r="G156" s="19"/>
      <c r="H156" s="19"/>
      <c r="K156" t="s">
        <v>38</v>
      </c>
      <c r="L156" s="19">
        <v>3</v>
      </c>
      <c r="M156" s="19">
        <v>60</v>
      </c>
      <c r="N156" s="4">
        <f>1/31*100</f>
        <v>3.225806451612903</v>
      </c>
      <c r="P156" t="s">
        <v>38</v>
      </c>
      <c r="Q156" s="19">
        <v>4</v>
      </c>
      <c r="R156" s="19">
        <v>60</v>
      </c>
      <c r="S156">
        <v>0</v>
      </c>
      <c r="U156" t="s">
        <v>38</v>
      </c>
      <c r="V156" s="19">
        <v>5</v>
      </c>
      <c r="W156" s="19">
        <v>60</v>
      </c>
      <c r="X156">
        <v>0</v>
      </c>
      <c r="Z156" t="s">
        <v>38</v>
      </c>
      <c r="AA156" s="19">
        <v>6</v>
      </c>
      <c r="AB156" s="19">
        <v>60</v>
      </c>
      <c r="AC156">
        <v>0</v>
      </c>
    </row>
    <row r="157" spans="1:29" x14ac:dyDescent="0.25">
      <c r="G157" s="19"/>
      <c r="H157" s="19"/>
      <c r="K157" t="s">
        <v>38</v>
      </c>
      <c r="L157" s="19">
        <v>3</v>
      </c>
      <c r="M157" s="19">
        <v>72</v>
      </c>
      <c r="N157" s="4">
        <f>5/31*100</f>
        <v>16.129032258064516</v>
      </c>
      <c r="P157" t="s">
        <v>38</v>
      </c>
      <c r="Q157" s="19">
        <v>4</v>
      </c>
      <c r="R157" s="19">
        <v>72</v>
      </c>
      <c r="S157" s="4">
        <f>4/29*100</f>
        <v>13.793103448275861</v>
      </c>
      <c r="U157" t="s">
        <v>38</v>
      </c>
      <c r="V157" s="19">
        <v>5</v>
      </c>
      <c r="W157" s="19">
        <v>72</v>
      </c>
      <c r="X157" s="4">
        <f>8/23*100</f>
        <v>34.782608695652172</v>
      </c>
      <c r="Z157" t="s">
        <v>38</v>
      </c>
      <c r="AA157" s="19">
        <v>6</v>
      </c>
      <c r="AB157" s="19">
        <v>72</v>
      </c>
      <c r="AC157" s="4">
        <f>2/26*100</f>
        <v>7.6923076923076925</v>
      </c>
    </row>
    <row r="158" spans="1:29" x14ac:dyDescent="0.25">
      <c r="G158" s="19"/>
      <c r="H158" s="19"/>
      <c r="K158" t="s">
        <v>38</v>
      </c>
      <c r="L158" s="19">
        <v>3</v>
      </c>
      <c r="M158" s="19">
        <v>96</v>
      </c>
      <c r="N158" s="17">
        <f>21/30*100</f>
        <v>70</v>
      </c>
      <c r="P158" t="s">
        <v>38</v>
      </c>
      <c r="Q158" s="19">
        <v>4</v>
      </c>
      <c r="R158" s="19">
        <v>96</v>
      </c>
      <c r="S158" s="4">
        <f>19/29*100</f>
        <v>65.517241379310349</v>
      </c>
      <c r="U158" t="s">
        <v>38</v>
      </c>
      <c r="V158" s="19">
        <v>5</v>
      </c>
      <c r="W158" s="19">
        <v>96</v>
      </c>
      <c r="X158" s="4">
        <f>15/22*100</f>
        <v>68.181818181818173</v>
      </c>
      <c r="Z158" t="s">
        <v>38</v>
      </c>
      <c r="AA158" s="19">
        <v>6</v>
      </c>
      <c r="AB158" s="19">
        <v>96</v>
      </c>
      <c r="AC158" s="4">
        <f>16/26*100</f>
        <v>61.53846153846154</v>
      </c>
    </row>
    <row r="159" spans="1:29" x14ac:dyDescent="0.25">
      <c r="G159" s="19"/>
      <c r="H159" s="19"/>
      <c r="K159" t="s">
        <v>52</v>
      </c>
      <c r="L159" s="19">
        <v>1</v>
      </c>
      <c r="M159" s="19">
        <v>60</v>
      </c>
      <c r="N159" s="19" t="s">
        <v>4</v>
      </c>
      <c r="P159" t="s">
        <v>52</v>
      </c>
      <c r="Q159" s="19">
        <v>2</v>
      </c>
      <c r="R159" s="19">
        <v>60</v>
      </c>
      <c r="S159" s="19" t="s">
        <v>4</v>
      </c>
      <c r="U159" t="s">
        <v>52</v>
      </c>
      <c r="V159" s="19">
        <v>3</v>
      </c>
      <c r="W159" s="19">
        <v>60</v>
      </c>
      <c r="X159" s="19" t="s">
        <v>4</v>
      </c>
      <c r="Z159" t="s">
        <v>52</v>
      </c>
      <c r="AA159" s="19">
        <v>4</v>
      </c>
      <c r="AB159" s="19">
        <v>60</v>
      </c>
      <c r="AC159" s="19" t="s">
        <v>4</v>
      </c>
    </row>
    <row r="160" spans="1:29" x14ac:dyDescent="0.25">
      <c r="G160" s="19"/>
      <c r="H160" s="19"/>
      <c r="K160" t="s">
        <v>52</v>
      </c>
      <c r="L160" s="19">
        <v>1</v>
      </c>
      <c r="M160" s="19">
        <v>72</v>
      </c>
      <c r="N160" s="19" t="s">
        <v>4</v>
      </c>
      <c r="P160" t="s">
        <v>52</v>
      </c>
      <c r="Q160" s="19">
        <v>2</v>
      </c>
      <c r="R160" s="19">
        <v>72</v>
      </c>
      <c r="S160" s="19" t="s">
        <v>4</v>
      </c>
      <c r="U160" t="s">
        <v>52</v>
      </c>
      <c r="V160" s="19">
        <v>3</v>
      </c>
      <c r="W160" s="19">
        <v>72</v>
      </c>
      <c r="X160" s="19" t="s">
        <v>4</v>
      </c>
      <c r="Z160" t="s">
        <v>52</v>
      </c>
      <c r="AA160" s="19">
        <v>4</v>
      </c>
      <c r="AB160" s="19">
        <v>72</v>
      </c>
      <c r="AC160" s="19" t="s">
        <v>4</v>
      </c>
    </row>
    <row r="161" spans="7:29" x14ac:dyDescent="0.25">
      <c r="G161" s="19"/>
      <c r="H161" s="19"/>
      <c r="K161" t="s">
        <v>52</v>
      </c>
      <c r="L161" s="19">
        <v>1</v>
      </c>
      <c r="M161" s="19">
        <v>96</v>
      </c>
      <c r="N161" s="19" t="s">
        <v>4</v>
      </c>
      <c r="P161" t="s">
        <v>52</v>
      </c>
      <c r="Q161" s="19">
        <v>2</v>
      </c>
      <c r="R161" s="19">
        <v>96</v>
      </c>
      <c r="S161" s="19" t="s">
        <v>4</v>
      </c>
      <c r="U161" t="s">
        <v>52</v>
      </c>
      <c r="V161" s="19">
        <v>3</v>
      </c>
      <c r="W161" s="19">
        <v>96</v>
      </c>
      <c r="X161" s="19" t="s">
        <v>4</v>
      </c>
      <c r="Z161" t="s">
        <v>52</v>
      </c>
      <c r="AA161" s="19">
        <v>4</v>
      </c>
      <c r="AB161" s="19">
        <v>96</v>
      </c>
      <c r="AC161" s="19" t="s">
        <v>4</v>
      </c>
    </row>
    <row r="162" spans="7:29" x14ac:dyDescent="0.25">
      <c r="X162" s="19"/>
    </row>
  </sheetData>
  <mergeCells count="52">
    <mergeCell ref="K7:K8"/>
    <mergeCell ref="L7:L8"/>
    <mergeCell ref="M7:M8"/>
    <mergeCell ref="N7:N8"/>
    <mergeCell ref="M44:M45"/>
    <mergeCell ref="N44:N45"/>
    <mergeCell ref="A7:A8"/>
    <mergeCell ref="B7:B8"/>
    <mergeCell ref="C7:C8"/>
    <mergeCell ref="D7:D8"/>
    <mergeCell ref="F7:F8"/>
    <mergeCell ref="G7:G8"/>
    <mergeCell ref="H7:H8"/>
    <mergeCell ref="I7:I8"/>
    <mergeCell ref="F44:F45"/>
    <mergeCell ref="G44:G45"/>
    <mergeCell ref="H44:H45"/>
    <mergeCell ref="I44:I45"/>
    <mergeCell ref="K44:K45"/>
    <mergeCell ref="L44:L45"/>
    <mergeCell ref="A80:A81"/>
    <mergeCell ref="B80:B81"/>
    <mergeCell ref="C80:C81"/>
    <mergeCell ref="D80:D81"/>
    <mergeCell ref="A44:A45"/>
    <mergeCell ref="B44:B45"/>
    <mergeCell ref="C44:C45"/>
    <mergeCell ref="D44:D45"/>
    <mergeCell ref="W118:W119"/>
    <mergeCell ref="X118:X119"/>
    <mergeCell ref="Z118:Z119"/>
    <mergeCell ref="AA118:AA119"/>
    <mergeCell ref="AB118:AB119"/>
    <mergeCell ref="AC118:AC119"/>
    <mergeCell ref="P118:P119"/>
    <mergeCell ref="Q118:Q119"/>
    <mergeCell ref="R118:R119"/>
    <mergeCell ref="S118:S119"/>
    <mergeCell ref="U118:U119"/>
    <mergeCell ref="V118:V119"/>
    <mergeCell ref="H118:H119"/>
    <mergeCell ref="I118:I119"/>
    <mergeCell ref="K118:K119"/>
    <mergeCell ref="L118:L119"/>
    <mergeCell ref="M118:M119"/>
    <mergeCell ref="N118:N119"/>
    <mergeCell ref="A118:A119"/>
    <mergeCell ref="B118:B119"/>
    <mergeCell ref="C118:C119"/>
    <mergeCell ref="D118:D119"/>
    <mergeCell ref="F118:F119"/>
    <mergeCell ref="G118:G119"/>
  </mergeCells>
  <pageMargins left="0.7" right="0.7" top="0.78740157499999996" bottom="0.78740157499999996" header="0.3" footer="0.3"/>
  <ignoredErrors>
    <ignoredError sqref="N23:N24 I48 D1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5"/>
  <sheetViews>
    <sheetView zoomScale="85" zoomScaleNormal="85" workbookViewId="0">
      <selection activeCell="I191" sqref="I191"/>
    </sheetView>
  </sheetViews>
  <sheetFormatPr baseColWidth="10" defaultRowHeight="15" x14ac:dyDescent="0.25"/>
  <cols>
    <col min="1" max="1" width="15.140625" customWidth="1"/>
    <col min="2" max="3" width="11.42578125" style="7"/>
    <col min="4" max="4" width="13.140625" customWidth="1"/>
    <col min="5" max="5" width="12.42578125" customWidth="1"/>
  </cols>
  <sheetData>
    <row r="1" spans="1:20" ht="18.75" x14ac:dyDescent="0.3">
      <c r="A1" s="1" t="s">
        <v>7</v>
      </c>
      <c r="B1" s="9"/>
      <c r="E1" s="5"/>
    </row>
    <row r="3" spans="1:20" ht="15.75" x14ac:dyDescent="0.25">
      <c r="A3" s="2" t="s">
        <v>10</v>
      </c>
      <c r="B3" s="10"/>
    </row>
    <row r="5" spans="1:20" x14ac:dyDescent="0.25">
      <c r="A5" s="69" t="s">
        <v>55</v>
      </c>
      <c r="B5" s="19"/>
      <c r="C5" s="19"/>
    </row>
    <row r="6" spans="1:20" x14ac:dyDescent="0.25">
      <c r="B6" s="19"/>
      <c r="C6" s="19"/>
    </row>
    <row r="7" spans="1:20" s="24" customFormat="1" ht="15" customHeight="1" x14ac:dyDescent="0.25">
      <c r="A7" s="62" t="s">
        <v>53</v>
      </c>
      <c r="B7" s="62" t="s">
        <v>8</v>
      </c>
      <c r="C7" s="63" t="s">
        <v>11</v>
      </c>
      <c r="D7" s="62" t="s">
        <v>9</v>
      </c>
      <c r="E7" s="62" t="s">
        <v>18</v>
      </c>
      <c r="H7" s="62" t="s">
        <v>53</v>
      </c>
      <c r="I7" s="62" t="s">
        <v>8</v>
      </c>
      <c r="J7" s="63" t="s">
        <v>11</v>
      </c>
      <c r="K7" s="62" t="s">
        <v>9</v>
      </c>
      <c r="L7" s="62" t="s">
        <v>18</v>
      </c>
      <c r="O7" s="62" t="s">
        <v>53</v>
      </c>
      <c r="P7" s="62" t="s">
        <v>8</v>
      </c>
      <c r="Q7" s="63" t="s">
        <v>11</v>
      </c>
      <c r="R7" s="62" t="s">
        <v>9</v>
      </c>
      <c r="S7" s="62" t="s">
        <v>18</v>
      </c>
      <c r="T7" s="61"/>
    </row>
    <row r="8" spans="1:20" x14ac:dyDescent="0.25">
      <c r="A8" s="62"/>
      <c r="B8" s="62"/>
      <c r="C8" s="63"/>
      <c r="D8" s="62"/>
      <c r="E8" s="62"/>
      <c r="H8" s="62"/>
      <c r="I8" s="62"/>
      <c r="J8" s="63"/>
      <c r="K8" s="62"/>
      <c r="L8" s="62"/>
      <c r="O8" s="62"/>
      <c r="P8" s="62"/>
      <c r="Q8" s="63"/>
      <c r="R8" s="62"/>
      <c r="S8" s="62"/>
      <c r="T8" s="61"/>
    </row>
    <row r="9" spans="1:20" x14ac:dyDescent="0.25">
      <c r="A9" t="s">
        <v>0</v>
      </c>
      <c r="B9" s="19">
        <v>1</v>
      </c>
      <c r="C9" s="17">
        <v>139.5</v>
      </c>
      <c r="D9">
        <f>AVERAGE(C9:C16)</f>
        <v>143.625</v>
      </c>
      <c r="E9">
        <f>STDEV(C13,C16)</f>
        <v>8.4852813742385695</v>
      </c>
      <c r="H9" t="s">
        <v>0</v>
      </c>
      <c r="I9" s="19">
        <v>2</v>
      </c>
      <c r="J9">
        <v>157.5</v>
      </c>
      <c r="K9">
        <f>AVERAGE(J9:J16)</f>
        <v>152.4375</v>
      </c>
      <c r="L9">
        <f>STDEV(J9:J16)</f>
        <v>5.6659225701935396</v>
      </c>
      <c r="O9" t="s">
        <v>0</v>
      </c>
      <c r="P9" s="19">
        <v>3</v>
      </c>
      <c r="Q9" s="17">
        <v>150</v>
      </c>
      <c r="R9">
        <f>AVERAGE(Q9:Q16)</f>
        <v>150.1875</v>
      </c>
      <c r="S9">
        <f>STDEV(Q9:Q16)</f>
        <v>5.750388185654451</v>
      </c>
    </row>
    <row r="10" spans="1:20" x14ac:dyDescent="0.25">
      <c r="A10" t="s">
        <v>0</v>
      </c>
      <c r="B10" s="19">
        <v>1</v>
      </c>
      <c r="C10" s="17">
        <v>132</v>
      </c>
      <c r="H10" t="s">
        <v>0</v>
      </c>
      <c r="I10" s="19">
        <v>2</v>
      </c>
      <c r="J10">
        <v>159</v>
      </c>
      <c r="O10" t="s">
        <v>0</v>
      </c>
      <c r="P10" s="19">
        <v>3</v>
      </c>
      <c r="Q10" s="17">
        <v>153</v>
      </c>
    </row>
    <row r="11" spans="1:20" x14ac:dyDescent="0.25">
      <c r="A11" t="s">
        <v>0</v>
      </c>
      <c r="B11" s="19">
        <v>1</v>
      </c>
      <c r="C11" s="17">
        <v>145.5</v>
      </c>
      <c r="H11" t="s">
        <v>0</v>
      </c>
      <c r="I11" s="19">
        <v>2</v>
      </c>
      <c r="J11">
        <v>156</v>
      </c>
      <c r="O11" t="s">
        <v>0</v>
      </c>
      <c r="P11" s="19">
        <v>3</v>
      </c>
      <c r="Q11" s="17">
        <v>156</v>
      </c>
    </row>
    <row r="12" spans="1:20" x14ac:dyDescent="0.25">
      <c r="A12" t="s">
        <v>0</v>
      </c>
      <c r="B12" s="19">
        <v>1</v>
      </c>
      <c r="C12" s="17">
        <v>153</v>
      </c>
      <c r="H12" t="s">
        <v>0</v>
      </c>
      <c r="I12" s="19">
        <v>2</v>
      </c>
      <c r="J12">
        <v>144</v>
      </c>
      <c r="O12" t="s">
        <v>0</v>
      </c>
      <c r="P12" s="19">
        <v>3</v>
      </c>
      <c r="Q12" s="17">
        <v>157.5</v>
      </c>
    </row>
    <row r="13" spans="1:20" x14ac:dyDescent="0.25">
      <c r="A13" t="s">
        <v>0</v>
      </c>
      <c r="B13" s="19">
        <v>1</v>
      </c>
      <c r="C13" s="17">
        <v>141</v>
      </c>
      <c r="H13" t="s">
        <v>0</v>
      </c>
      <c r="I13" s="19">
        <v>2</v>
      </c>
      <c r="J13">
        <v>156</v>
      </c>
      <c r="O13" t="s">
        <v>0</v>
      </c>
      <c r="P13" s="19">
        <v>3</v>
      </c>
      <c r="Q13" s="17">
        <v>150</v>
      </c>
    </row>
    <row r="14" spans="1:20" x14ac:dyDescent="0.25">
      <c r="A14" t="s">
        <v>0</v>
      </c>
      <c r="B14" s="19">
        <v>1</v>
      </c>
      <c r="C14" s="17">
        <v>139.5</v>
      </c>
      <c r="H14" t="s">
        <v>0</v>
      </c>
      <c r="I14" s="19">
        <v>2</v>
      </c>
      <c r="J14">
        <v>153</v>
      </c>
      <c r="O14" t="s">
        <v>0</v>
      </c>
      <c r="P14" s="19">
        <v>3</v>
      </c>
      <c r="Q14" s="17">
        <v>145.5</v>
      </c>
    </row>
    <row r="15" spans="1:20" x14ac:dyDescent="0.25">
      <c r="A15" t="s">
        <v>0</v>
      </c>
      <c r="B15" s="19">
        <v>1</v>
      </c>
      <c r="C15" s="17">
        <v>145.5</v>
      </c>
      <c r="H15" t="s">
        <v>0</v>
      </c>
      <c r="I15" s="19">
        <v>2</v>
      </c>
      <c r="J15">
        <v>147</v>
      </c>
      <c r="O15" t="s">
        <v>0</v>
      </c>
      <c r="P15" s="19">
        <v>3</v>
      </c>
      <c r="Q15" s="17">
        <v>139.5</v>
      </c>
    </row>
    <row r="16" spans="1:20" x14ac:dyDescent="0.25">
      <c r="A16" t="s">
        <v>0</v>
      </c>
      <c r="B16" s="19">
        <v>1</v>
      </c>
      <c r="C16" s="17">
        <v>153</v>
      </c>
      <c r="H16" t="s">
        <v>0</v>
      </c>
      <c r="I16" s="19">
        <v>2</v>
      </c>
      <c r="J16">
        <v>147</v>
      </c>
      <c r="O16" t="s">
        <v>0</v>
      </c>
      <c r="P16" s="19">
        <v>3</v>
      </c>
      <c r="Q16" s="17">
        <v>150</v>
      </c>
    </row>
    <row r="17" spans="1:19" x14ac:dyDescent="0.25">
      <c r="A17" t="s">
        <v>5</v>
      </c>
      <c r="B17" s="19">
        <v>1</v>
      </c>
      <c r="C17" s="17">
        <v>142.5</v>
      </c>
      <c r="D17">
        <f>AVERAGE(C17:C24)</f>
        <v>137.0625</v>
      </c>
      <c r="E17">
        <f>STDEV(C17:C24)</f>
        <v>5.1300062656603336</v>
      </c>
      <c r="H17" t="s">
        <v>5</v>
      </c>
      <c r="I17" s="19">
        <v>2</v>
      </c>
      <c r="J17">
        <v>144</v>
      </c>
      <c r="K17">
        <f>AVERAGE(J17:J24)</f>
        <v>142.875</v>
      </c>
      <c r="L17">
        <f>STDEV(J17:J24)</f>
        <v>4.5178218519231459</v>
      </c>
      <c r="O17" t="s">
        <v>5</v>
      </c>
      <c r="P17" s="19">
        <v>3</v>
      </c>
      <c r="Q17" s="17">
        <v>136.5</v>
      </c>
      <c r="R17">
        <f>AVERAGE(Q17:Q24)</f>
        <v>135.1875</v>
      </c>
      <c r="S17">
        <f>STDEV(Q17:Q24)</f>
        <v>7.7502880130814678</v>
      </c>
    </row>
    <row r="18" spans="1:19" x14ac:dyDescent="0.25">
      <c r="A18" t="s">
        <v>5</v>
      </c>
      <c r="B18" s="19">
        <v>1</v>
      </c>
      <c r="C18" s="17">
        <v>139.5</v>
      </c>
      <c r="H18" t="s">
        <v>5</v>
      </c>
      <c r="I18" s="19">
        <v>2</v>
      </c>
      <c r="J18">
        <v>144</v>
      </c>
      <c r="O18" t="s">
        <v>5</v>
      </c>
      <c r="P18" s="19">
        <v>3</v>
      </c>
      <c r="Q18" s="17">
        <v>147</v>
      </c>
    </row>
    <row r="19" spans="1:19" x14ac:dyDescent="0.25">
      <c r="A19" t="s">
        <v>5</v>
      </c>
      <c r="B19" s="19">
        <v>1</v>
      </c>
      <c r="C19" s="17">
        <v>132</v>
      </c>
      <c r="H19" t="s">
        <v>5</v>
      </c>
      <c r="I19" s="19">
        <v>2</v>
      </c>
      <c r="J19">
        <v>145.5</v>
      </c>
      <c r="O19" t="s">
        <v>5</v>
      </c>
      <c r="P19" s="19">
        <v>3</v>
      </c>
      <c r="Q19" s="17">
        <v>127.5</v>
      </c>
    </row>
    <row r="20" spans="1:19" x14ac:dyDescent="0.25">
      <c r="A20" t="s">
        <v>5</v>
      </c>
      <c r="B20" s="19">
        <v>1</v>
      </c>
      <c r="C20" s="17">
        <v>142.5</v>
      </c>
      <c r="H20" t="s">
        <v>5</v>
      </c>
      <c r="I20" s="19">
        <v>2</v>
      </c>
      <c r="J20">
        <v>133.5</v>
      </c>
      <c r="O20" t="s">
        <v>5</v>
      </c>
      <c r="P20" s="19">
        <v>3</v>
      </c>
      <c r="Q20" s="17">
        <v>142.5</v>
      </c>
    </row>
    <row r="21" spans="1:19" x14ac:dyDescent="0.25">
      <c r="A21" t="s">
        <v>5</v>
      </c>
      <c r="B21" s="19">
        <v>1</v>
      </c>
      <c r="C21" s="17">
        <v>133.5</v>
      </c>
      <c r="H21" t="s">
        <v>5</v>
      </c>
      <c r="I21" s="19">
        <v>2</v>
      </c>
      <c r="J21">
        <v>141</v>
      </c>
      <c r="O21" t="s">
        <v>5</v>
      </c>
      <c r="P21" s="19">
        <v>3</v>
      </c>
      <c r="Q21" s="17">
        <v>123</v>
      </c>
    </row>
    <row r="22" spans="1:19" x14ac:dyDescent="0.25">
      <c r="A22" t="s">
        <v>5</v>
      </c>
      <c r="B22" s="19">
        <v>1</v>
      </c>
      <c r="C22" s="17">
        <v>136.5</v>
      </c>
      <c r="H22" t="s">
        <v>5</v>
      </c>
      <c r="I22" s="19">
        <v>2</v>
      </c>
      <c r="J22">
        <v>148.5</v>
      </c>
      <c r="O22" t="s">
        <v>5</v>
      </c>
      <c r="P22" s="19">
        <v>3</v>
      </c>
      <c r="Q22" s="17">
        <v>132</v>
      </c>
    </row>
    <row r="23" spans="1:19" x14ac:dyDescent="0.25">
      <c r="A23" t="s">
        <v>5</v>
      </c>
      <c r="B23" s="19">
        <v>1</v>
      </c>
      <c r="C23" s="17">
        <v>141</v>
      </c>
      <c r="H23" t="s">
        <v>5</v>
      </c>
      <c r="I23" s="19">
        <v>2</v>
      </c>
      <c r="J23">
        <v>141</v>
      </c>
      <c r="O23" t="s">
        <v>5</v>
      </c>
      <c r="P23" s="19">
        <v>3</v>
      </c>
      <c r="Q23" s="17">
        <v>138</v>
      </c>
    </row>
    <row r="24" spans="1:19" x14ac:dyDescent="0.25">
      <c r="A24" t="s">
        <v>5</v>
      </c>
      <c r="B24" s="19">
        <v>1</v>
      </c>
      <c r="C24" s="17">
        <v>129</v>
      </c>
      <c r="H24" t="s">
        <v>5</v>
      </c>
      <c r="I24" s="19">
        <v>2</v>
      </c>
      <c r="J24">
        <v>145.5</v>
      </c>
      <c r="O24" t="s">
        <v>5</v>
      </c>
      <c r="P24" s="19">
        <v>3</v>
      </c>
      <c r="Q24" s="17">
        <v>135</v>
      </c>
    </row>
    <row r="25" spans="1:19" x14ac:dyDescent="0.25">
      <c r="A25" t="s">
        <v>12</v>
      </c>
      <c r="B25" s="19">
        <v>1</v>
      </c>
      <c r="C25" s="17">
        <v>124.5</v>
      </c>
      <c r="D25">
        <f>AVERAGE(C25:C32)</f>
        <v>133.875</v>
      </c>
      <c r="E25">
        <f>STDEV(C25:C27,C30,C31)</f>
        <v>5.9623820743055376</v>
      </c>
      <c r="H25" t="s">
        <v>12</v>
      </c>
      <c r="I25" s="19">
        <v>2</v>
      </c>
      <c r="J25">
        <v>142.5</v>
      </c>
      <c r="K25">
        <f>AVERAGE(J25:J32)</f>
        <v>135.375</v>
      </c>
      <c r="L25">
        <f>STDEV(J25:J32)</f>
        <v>8.2840207628904459</v>
      </c>
      <c r="O25" t="s">
        <v>12</v>
      </c>
      <c r="P25" s="19">
        <v>3</v>
      </c>
      <c r="Q25" s="17">
        <v>139.5</v>
      </c>
      <c r="R25">
        <f>AVERAGE(Q25:Q32)</f>
        <v>133.3125</v>
      </c>
      <c r="S25">
        <f>STDEV(Q25:Q32)</f>
        <v>7.4110800253982649</v>
      </c>
    </row>
    <row r="26" spans="1:19" x14ac:dyDescent="0.25">
      <c r="A26" t="s">
        <v>12</v>
      </c>
      <c r="B26" s="19">
        <v>1</v>
      </c>
      <c r="C26" s="17">
        <v>133.5</v>
      </c>
      <c r="H26" t="s">
        <v>12</v>
      </c>
      <c r="I26" s="19">
        <v>2</v>
      </c>
      <c r="J26">
        <v>133.5</v>
      </c>
      <c r="O26" t="s">
        <v>12</v>
      </c>
      <c r="P26" s="19">
        <v>3</v>
      </c>
      <c r="Q26" s="17">
        <v>141</v>
      </c>
    </row>
    <row r="27" spans="1:19" x14ac:dyDescent="0.25">
      <c r="A27" t="s">
        <v>12</v>
      </c>
      <c r="B27" s="19">
        <v>1</v>
      </c>
      <c r="C27" s="17">
        <v>136.5</v>
      </c>
      <c r="H27" t="s">
        <v>12</v>
      </c>
      <c r="I27" s="19">
        <v>2</v>
      </c>
      <c r="J27">
        <v>145.5</v>
      </c>
      <c r="O27" t="s">
        <v>12</v>
      </c>
      <c r="P27" s="19">
        <v>3</v>
      </c>
      <c r="Q27" s="17">
        <v>120</v>
      </c>
    </row>
    <row r="28" spans="1:19" x14ac:dyDescent="0.25">
      <c r="A28" t="s">
        <v>12</v>
      </c>
      <c r="B28" s="19">
        <v>1</v>
      </c>
      <c r="C28" s="17">
        <v>142.5</v>
      </c>
      <c r="H28" t="s">
        <v>12</v>
      </c>
      <c r="I28" s="19">
        <v>2</v>
      </c>
      <c r="J28">
        <v>138</v>
      </c>
      <c r="O28" t="s">
        <v>12</v>
      </c>
      <c r="P28" s="19">
        <v>3</v>
      </c>
      <c r="Q28" s="17">
        <v>130.5</v>
      </c>
    </row>
    <row r="29" spans="1:19" x14ac:dyDescent="0.25">
      <c r="A29" t="s">
        <v>12</v>
      </c>
      <c r="B29" s="19">
        <v>1</v>
      </c>
      <c r="C29" s="17">
        <v>133.5</v>
      </c>
      <c r="H29" t="s">
        <v>12</v>
      </c>
      <c r="I29" s="19">
        <v>2</v>
      </c>
      <c r="J29">
        <v>139.5</v>
      </c>
      <c r="O29" t="s">
        <v>12</v>
      </c>
      <c r="P29" s="19">
        <v>3</v>
      </c>
      <c r="Q29" s="17">
        <v>139.5</v>
      </c>
    </row>
    <row r="30" spans="1:19" x14ac:dyDescent="0.25">
      <c r="A30" t="s">
        <v>12</v>
      </c>
      <c r="B30" s="19">
        <v>1</v>
      </c>
      <c r="C30" s="17">
        <v>138</v>
      </c>
      <c r="H30" t="s">
        <v>12</v>
      </c>
      <c r="I30" s="19">
        <v>2</v>
      </c>
      <c r="J30">
        <v>132</v>
      </c>
      <c r="O30" t="s">
        <v>12</v>
      </c>
      <c r="P30" s="19">
        <v>3</v>
      </c>
      <c r="Q30" s="17">
        <v>136.5</v>
      </c>
    </row>
    <row r="31" spans="1:19" x14ac:dyDescent="0.25">
      <c r="A31" t="s">
        <v>12</v>
      </c>
      <c r="B31" s="19">
        <v>1</v>
      </c>
      <c r="C31" s="17">
        <v>139.5</v>
      </c>
      <c r="H31" t="s">
        <v>12</v>
      </c>
      <c r="I31" s="19">
        <v>2</v>
      </c>
      <c r="J31">
        <v>118.5</v>
      </c>
      <c r="O31" t="s">
        <v>12</v>
      </c>
      <c r="P31" s="19">
        <v>3</v>
      </c>
      <c r="Q31" s="17">
        <v>133.5</v>
      </c>
    </row>
    <row r="32" spans="1:19" x14ac:dyDescent="0.25">
      <c r="A32" t="s">
        <v>12</v>
      </c>
      <c r="B32" s="19">
        <v>1</v>
      </c>
      <c r="C32" s="17">
        <v>123</v>
      </c>
      <c r="H32" t="s">
        <v>12</v>
      </c>
      <c r="I32" s="19">
        <v>2</v>
      </c>
      <c r="J32">
        <v>133.5</v>
      </c>
      <c r="O32" t="s">
        <v>12</v>
      </c>
      <c r="P32" s="19">
        <v>3</v>
      </c>
      <c r="Q32" s="17">
        <v>126</v>
      </c>
    </row>
    <row r="33" spans="1:19" x14ac:dyDescent="0.25">
      <c r="A33" t="s">
        <v>13</v>
      </c>
      <c r="B33" s="19">
        <v>1</v>
      </c>
      <c r="C33" s="17">
        <v>117</v>
      </c>
      <c r="D33">
        <f>AVERAGE(C33:C40)</f>
        <v>128.0625</v>
      </c>
      <c r="E33">
        <f>STDEV(C33:C40)</f>
        <v>9.6526735748629324</v>
      </c>
      <c r="H33" t="s">
        <v>13</v>
      </c>
      <c r="I33" s="19">
        <v>2</v>
      </c>
      <c r="J33">
        <v>126</v>
      </c>
      <c r="K33" s="4">
        <f>AVERAGE(J33:J40)</f>
        <v>128.4375</v>
      </c>
      <c r="L33">
        <f>STDEV(J33:J40)</f>
        <v>8.2912927649604615</v>
      </c>
      <c r="O33" t="s">
        <v>13</v>
      </c>
      <c r="P33" s="19">
        <v>3</v>
      </c>
      <c r="Q33" s="17">
        <v>132</v>
      </c>
      <c r="R33">
        <f>AVERAGE(Q33:Q40)</f>
        <v>129.5625</v>
      </c>
      <c r="S33">
        <f>STDEV(Q33:Q40)</f>
        <v>10.171520113954031</v>
      </c>
    </row>
    <row r="34" spans="1:19" x14ac:dyDescent="0.25">
      <c r="A34" t="s">
        <v>13</v>
      </c>
      <c r="B34" s="19">
        <v>1</v>
      </c>
      <c r="C34" s="17">
        <v>115.5</v>
      </c>
      <c r="H34" t="s">
        <v>13</v>
      </c>
      <c r="I34" s="19">
        <v>2</v>
      </c>
      <c r="J34">
        <v>126</v>
      </c>
      <c r="O34" t="s">
        <v>13</v>
      </c>
      <c r="P34" s="19">
        <v>3</v>
      </c>
      <c r="Q34" s="17">
        <v>150</v>
      </c>
    </row>
    <row r="35" spans="1:19" x14ac:dyDescent="0.25">
      <c r="A35" t="s">
        <v>13</v>
      </c>
      <c r="B35" s="19">
        <v>1</v>
      </c>
      <c r="C35" s="17">
        <v>133.5</v>
      </c>
      <c r="H35" t="s">
        <v>13</v>
      </c>
      <c r="I35" s="19">
        <v>2</v>
      </c>
      <c r="J35">
        <v>130.5</v>
      </c>
      <c r="O35" t="s">
        <v>13</v>
      </c>
      <c r="P35" s="19">
        <v>3</v>
      </c>
      <c r="Q35" s="17">
        <v>120</v>
      </c>
    </row>
    <row r="36" spans="1:19" x14ac:dyDescent="0.25">
      <c r="A36" t="s">
        <v>13</v>
      </c>
      <c r="B36" s="19">
        <v>1</v>
      </c>
      <c r="C36" s="17">
        <v>135</v>
      </c>
      <c r="H36" t="s">
        <v>13</v>
      </c>
      <c r="I36" s="19">
        <v>2</v>
      </c>
      <c r="J36">
        <v>114</v>
      </c>
      <c r="O36" t="s">
        <v>13</v>
      </c>
      <c r="P36" s="19">
        <v>3</v>
      </c>
      <c r="Q36" s="17">
        <v>118.5</v>
      </c>
    </row>
    <row r="37" spans="1:19" x14ac:dyDescent="0.25">
      <c r="A37" t="s">
        <v>13</v>
      </c>
      <c r="B37" s="19">
        <v>1</v>
      </c>
      <c r="C37" s="17">
        <v>141</v>
      </c>
      <c r="H37" t="s">
        <v>13</v>
      </c>
      <c r="I37" s="19">
        <v>2</v>
      </c>
      <c r="J37">
        <v>139.5</v>
      </c>
      <c r="O37" t="s">
        <v>13</v>
      </c>
      <c r="P37" s="19">
        <v>3</v>
      </c>
      <c r="Q37" s="17">
        <v>121.5</v>
      </c>
    </row>
    <row r="38" spans="1:19" x14ac:dyDescent="0.25">
      <c r="A38" t="s">
        <v>13</v>
      </c>
      <c r="B38" s="19">
        <v>1</v>
      </c>
      <c r="C38" s="17">
        <v>136.5</v>
      </c>
      <c r="H38" t="s">
        <v>13</v>
      </c>
      <c r="I38" s="19">
        <v>2</v>
      </c>
      <c r="J38">
        <v>135</v>
      </c>
      <c r="O38" t="s">
        <v>13</v>
      </c>
      <c r="P38" s="19">
        <v>3</v>
      </c>
      <c r="Q38" s="17">
        <v>132</v>
      </c>
    </row>
    <row r="39" spans="1:19" x14ac:dyDescent="0.25">
      <c r="A39" t="s">
        <v>13</v>
      </c>
      <c r="B39" s="19">
        <v>1</v>
      </c>
      <c r="C39" s="17">
        <v>121.5</v>
      </c>
      <c r="H39" t="s">
        <v>13</v>
      </c>
      <c r="I39" s="19">
        <v>2</v>
      </c>
      <c r="J39">
        <v>135</v>
      </c>
      <c r="O39" t="s">
        <v>13</v>
      </c>
      <c r="P39" s="19">
        <v>3</v>
      </c>
      <c r="Q39" s="17">
        <v>129</v>
      </c>
    </row>
    <row r="40" spans="1:19" x14ac:dyDescent="0.25">
      <c r="A40" t="s">
        <v>13</v>
      </c>
      <c r="B40" s="19">
        <v>1</v>
      </c>
      <c r="C40" s="17">
        <v>124.5</v>
      </c>
      <c r="H40" t="s">
        <v>13</v>
      </c>
      <c r="I40" s="19">
        <v>2</v>
      </c>
      <c r="J40">
        <v>121.5</v>
      </c>
      <c r="O40" t="s">
        <v>13</v>
      </c>
      <c r="P40" s="19">
        <v>3</v>
      </c>
      <c r="Q40" s="17">
        <v>133.5</v>
      </c>
    </row>
    <row r="41" spans="1:19" x14ac:dyDescent="0.25">
      <c r="A41" t="s">
        <v>14</v>
      </c>
      <c r="B41" s="19">
        <v>1</v>
      </c>
      <c r="C41" s="17">
        <v>124.5</v>
      </c>
      <c r="D41">
        <f>AVERAGE(C41:C48)</f>
        <v>123.5625</v>
      </c>
      <c r="E41">
        <f>STDEV(C41:C48)</f>
        <v>4.6708633340865671</v>
      </c>
      <c r="H41" t="s">
        <v>14</v>
      </c>
      <c r="I41" s="19">
        <v>2</v>
      </c>
      <c r="J41">
        <v>121.5</v>
      </c>
      <c r="K41">
        <f>AVERAGE(J41:J48)</f>
        <v>124.5</v>
      </c>
      <c r="L41" s="17">
        <f>STDEV(J41:J48)</f>
        <v>3</v>
      </c>
      <c r="O41" t="s">
        <v>14</v>
      </c>
      <c r="P41" s="19">
        <v>3</v>
      </c>
      <c r="Q41" s="17">
        <v>111</v>
      </c>
      <c r="R41">
        <f>AVERAGE(Q41:Q48)</f>
        <v>128.625</v>
      </c>
      <c r="S41">
        <f>STDEV(Q41:Q48)</f>
        <v>8.9552458688429422</v>
      </c>
    </row>
    <row r="42" spans="1:19" x14ac:dyDescent="0.25">
      <c r="A42" t="s">
        <v>14</v>
      </c>
      <c r="B42" s="19">
        <v>1</v>
      </c>
      <c r="C42" s="17">
        <v>120</v>
      </c>
      <c r="H42" t="s">
        <v>14</v>
      </c>
      <c r="I42" s="19">
        <v>2</v>
      </c>
      <c r="J42">
        <v>127.5</v>
      </c>
      <c r="O42" t="s">
        <v>14</v>
      </c>
      <c r="P42" s="19">
        <v>3</v>
      </c>
      <c r="Q42" s="17">
        <v>127.5</v>
      </c>
    </row>
    <row r="43" spans="1:19" x14ac:dyDescent="0.25">
      <c r="A43" t="s">
        <v>14</v>
      </c>
      <c r="B43" s="19">
        <v>1</v>
      </c>
      <c r="C43" s="17">
        <v>127.5</v>
      </c>
      <c r="H43" t="s">
        <v>14</v>
      </c>
      <c r="I43" s="19">
        <v>2</v>
      </c>
      <c r="J43">
        <v>120</v>
      </c>
      <c r="O43" t="s">
        <v>14</v>
      </c>
      <c r="P43" s="19">
        <v>3</v>
      </c>
      <c r="Q43" s="17">
        <v>127.5</v>
      </c>
    </row>
    <row r="44" spans="1:19" x14ac:dyDescent="0.25">
      <c r="A44" t="s">
        <v>14</v>
      </c>
      <c r="B44" s="19">
        <v>1</v>
      </c>
      <c r="C44" s="17">
        <v>121.5</v>
      </c>
      <c r="H44" t="s">
        <v>14</v>
      </c>
      <c r="I44" s="19">
        <v>2</v>
      </c>
      <c r="J44">
        <v>126</v>
      </c>
      <c r="O44" t="s">
        <v>14</v>
      </c>
      <c r="P44" s="19">
        <v>3</v>
      </c>
      <c r="Q44" s="17">
        <v>124.5</v>
      </c>
    </row>
    <row r="45" spans="1:19" x14ac:dyDescent="0.25">
      <c r="A45" t="s">
        <v>14</v>
      </c>
      <c r="B45" s="19">
        <v>1</v>
      </c>
      <c r="C45" s="17">
        <v>120</v>
      </c>
      <c r="H45" t="s">
        <v>14</v>
      </c>
      <c r="I45" s="19">
        <v>2</v>
      </c>
      <c r="J45">
        <v>127.5</v>
      </c>
      <c r="O45" t="s">
        <v>14</v>
      </c>
      <c r="P45" s="19">
        <v>3</v>
      </c>
      <c r="Q45" s="17">
        <v>139.5</v>
      </c>
    </row>
    <row r="46" spans="1:19" x14ac:dyDescent="0.25">
      <c r="A46" t="s">
        <v>14</v>
      </c>
      <c r="B46" s="19">
        <v>1</v>
      </c>
      <c r="C46" s="17">
        <v>117</v>
      </c>
      <c r="H46" t="s">
        <v>14</v>
      </c>
      <c r="I46" s="19">
        <v>2</v>
      </c>
      <c r="J46">
        <v>127.5</v>
      </c>
      <c r="O46" t="s">
        <v>14</v>
      </c>
      <c r="P46" s="19">
        <v>3</v>
      </c>
      <c r="Q46" s="17">
        <v>138</v>
      </c>
    </row>
    <row r="47" spans="1:19" x14ac:dyDescent="0.25">
      <c r="A47" t="s">
        <v>14</v>
      </c>
      <c r="B47" s="19">
        <v>1</v>
      </c>
      <c r="C47" s="17">
        <v>130.5</v>
      </c>
      <c r="H47" t="s">
        <v>14</v>
      </c>
      <c r="I47" s="19">
        <v>2</v>
      </c>
      <c r="J47">
        <v>123</v>
      </c>
      <c r="O47" t="s">
        <v>14</v>
      </c>
      <c r="P47" s="19">
        <v>3</v>
      </c>
      <c r="Q47" s="17">
        <v>133.5</v>
      </c>
    </row>
    <row r="48" spans="1:19" x14ac:dyDescent="0.25">
      <c r="A48" t="s">
        <v>14</v>
      </c>
      <c r="B48" s="19">
        <v>1</v>
      </c>
      <c r="C48" s="17">
        <v>127.5</v>
      </c>
      <c r="H48" t="s">
        <v>14</v>
      </c>
      <c r="I48" s="19">
        <v>2</v>
      </c>
      <c r="J48">
        <v>123</v>
      </c>
      <c r="O48" t="s">
        <v>14</v>
      </c>
      <c r="P48" s="19">
        <v>3</v>
      </c>
      <c r="Q48" s="17">
        <v>127.5</v>
      </c>
    </row>
    <row r="49" spans="1:19" x14ac:dyDescent="0.25">
      <c r="A49" t="s">
        <v>15</v>
      </c>
      <c r="B49" s="19">
        <v>1</v>
      </c>
      <c r="C49" s="17">
        <v>129</v>
      </c>
      <c r="D49">
        <f>AVERAGE(C49:C56)</f>
        <v>120.9375</v>
      </c>
      <c r="E49">
        <f>STDEV(C49:C55)</f>
        <v>8.8922116805341833</v>
      </c>
      <c r="H49" t="s">
        <v>15</v>
      </c>
      <c r="I49" s="19">
        <v>2</v>
      </c>
      <c r="J49">
        <v>124.5</v>
      </c>
      <c r="K49" s="4">
        <f>AVERAGE(J49:J56)</f>
        <v>119.4375</v>
      </c>
      <c r="L49">
        <f>STDEV(J49:J56)</f>
        <v>7.475853988484717</v>
      </c>
      <c r="O49" t="s">
        <v>15</v>
      </c>
      <c r="P49" s="19">
        <v>3</v>
      </c>
      <c r="Q49" s="17">
        <v>114</v>
      </c>
      <c r="R49">
        <f>AVERAGE(Q49:Q56)</f>
        <v>115.5</v>
      </c>
      <c r="S49">
        <f>STDEV(Q49:Q56)</f>
        <v>5.5549205986353085</v>
      </c>
    </row>
    <row r="50" spans="1:19" x14ac:dyDescent="0.25">
      <c r="A50" t="s">
        <v>15</v>
      </c>
      <c r="B50" s="19">
        <v>1</v>
      </c>
      <c r="C50" s="17">
        <v>112.5</v>
      </c>
      <c r="H50" t="s">
        <v>15</v>
      </c>
      <c r="I50" s="19">
        <v>2</v>
      </c>
      <c r="J50">
        <v>123</v>
      </c>
      <c r="O50" t="s">
        <v>15</v>
      </c>
      <c r="P50" s="19">
        <v>3</v>
      </c>
      <c r="Q50" s="17">
        <v>112.5</v>
      </c>
    </row>
    <row r="51" spans="1:19" x14ac:dyDescent="0.25">
      <c r="A51" t="s">
        <v>15</v>
      </c>
      <c r="B51" s="19">
        <v>1</v>
      </c>
      <c r="C51" s="17">
        <v>129</v>
      </c>
      <c r="H51" t="s">
        <v>15</v>
      </c>
      <c r="I51" s="19">
        <v>2</v>
      </c>
      <c r="J51">
        <v>126</v>
      </c>
      <c r="O51" t="s">
        <v>15</v>
      </c>
      <c r="P51" s="19">
        <v>3</v>
      </c>
      <c r="Q51" s="17">
        <v>126</v>
      </c>
    </row>
    <row r="52" spans="1:19" x14ac:dyDescent="0.25">
      <c r="A52" t="s">
        <v>15</v>
      </c>
      <c r="B52" s="19">
        <v>1</v>
      </c>
      <c r="C52" s="17">
        <v>105</v>
      </c>
      <c r="H52" t="s">
        <v>15</v>
      </c>
      <c r="I52" s="19">
        <v>2</v>
      </c>
      <c r="J52">
        <v>129</v>
      </c>
      <c r="O52" t="s">
        <v>15</v>
      </c>
      <c r="P52" s="19">
        <v>3</v>
      </c>
      <c r="Q52" s="17">
        <v>109.5</v>
      </c>
    </row>
    <row r="53" spans="1:19" x14ac:dyDescent="0.25">
      <c r="A53" t="s">
        <v>15</v>
      </c>
      <c r="B53" s="19">
        <v>1</v>
      </c>
      <c r="C53" s="17">
        <v>123</v>
      </c>
      <c r="H53" t="s">
        <v>15</v>
      </c>
      <c r="I53" s="19">
        <v>2</v>
      </c>
      <c r="J53">
        <v>112.5</v>
      </c>
      <c r="O53" t="s">
        <v>15</v>
      </c>
      <c r="P53" s="19">
        <v>3</v>
      </c>
      <c r="Q53" s="17">
        <v>117</v>
      </c>
    </row>
    <row r="54" spans="1:19" x14ac:dyDescent="0.25">
      <c r="A54" t="s">
        <v>15</v>
      </c>
      <c r="B54" s="19">
        <v>1</v>
      </c>
      <c r="C54" s="17">
        <v>118.5</v>
      </c>
      <c r="H54" t="s">
        <v>15</v>
      </c>
      <c r="I54" s="19">
        <v>2</v>
      </c>
      <c r="J54">
        <v>111</v>
      </c>
      <c r="O54" t="s">
        <v>15</v>
      </c>
      <c r="P54" s="19">
        <v>3</v>
      </c>
      <c r="Q54" s="17">
        <v>120</v>
      </c>
    </row>
    <row r="55" spans="1:19" x14ac:dyDescent="0.25">
      <c r="A55" t="s">
        <v>15</v>
      </c>
      <c r="B55" s="19">
        <v>1</v>
      </c>
      <c r="C55" s="17">
        <v>124.5</v>
      </c>
      <c r="H55" t="s">
        <v>15</v>
      </c>
      <c r="I55" s="19">
        <v>2</v>
      </c>
      <c r="J55">
        <v>109.5</v>
      </c>
      <c r="O55" t="s">
        <v>15</v>
      </c>
      <c r="P55" s="19">
        <v>3</v>
      </c>
      <c r="Q55" s="17">
        <v>109.5</v>
      </c>
    </row>
    <row r="56" spans="1:19" x14ac:dyDescent="0.25">
      <c r="A56" t="s">
        <v>15</v>
      </c>
      <c r="B56" s="19">
        <v>1</v>
      </c>
      <c r="C56" s="17">
        <v>126</v>
      </c>
      <c r="H56" t="s">
        <v>15</v>
      </c>
      <c r="I56" s="19">
        <v>2</v>
      </c>
      <c r="J56">
        <v>120</v>
      </c>
      <c r="O56" t="s">
        <v>15</v>
      </c>
      <c r="P56" s="19">
        <v>3</v>
      </c>
      <c r="Q56" s="17">
        <v>115.5</v>
      </c>
    </row>
    <row r="57" spans="1:19" x14ac:dyDescent="0.25">
      <c r="A57" t="s">
        <v>16</v>
      </c>
      <c r="B57" s="19">
        <v>1</v>
      </c>
      <c r="C57" s="28" t="s">
        <v>4</v>
      </c>
      <c r="D57">
        <f>AVERAGE(C57:C64)</f>
        <v>111.14285714285714</v>
      </c>
      <c r="E57">
        <f>STDEV(C57:C64)</f>
        <v>13.924541541568162</v>
      </c>
      <c r="H57" t="s">
        <v>16</v>
      </c>
      <c r="I57" s="19">
        <v>2</v>
      </c>
      <c r="J57" s="19" t="s">
        <v>4</v>
      </c>
      <c r="K57" s="4">
        <f>AVERAGE(J57:J64)</f>
        <v>113.35714285714286</v>
      </c>
      <c r="L57">
        <f>STDEV(J57:J64)</f>
        <v>7.9305016955333381</v>
      </c>
      <c r="O57" t="s">
        <v>16</v>
      </c>
      <c r="P57" s="19">
        <v>3</v>
      </c>
      <c r="Q57" s="17">
        <v>90</v>
      </c>
      <c r="R57" s="4">
        <f>AVERAGE(Q57:Q64)</f>
        <v>113.14285714285714</v>
      </c>
      <c r="S57">
        <f>STDEV(Q57:Q64)</f>
        <v>12.212405870378578</v>
      </c>
    </row>
    <row r="58" spans="1:19" x14ac:dyDescent="0.25">
      <c r="A58" t="s">
        <v>16</v>
      </c>
      <c r="B58" s="19">
        <v>1</v>
      </c>
      <c r="C58" s="17">
        <v>84</v>
      </c>
      <c r="H58" t="s">
        <v>16</v>
      </c>
      <c r="I58" s="19">
        <v>2</v>
      </c>
      <c r="J58">
        <v>109.5</v>
      </c>
      <c r="O58" t="s">
        <v>16</v>
      </c>
      <c r="P58" s="19">
        <v>3</v>
      </c>
      <c r="Q58" s="53">
        <v>105</v>
      </c>
    </row>
    <row r="59" spans="1:19" x14ac:dyDescent="0.25">
      <c r="A59" t="s">
        <v>16</v>
      </c>
      <c r="B59" s="19">
        <v>1</v>
      </c>
      <c r="C59" s="17">
        <v>111</v>
      </c>
      <c r="H59" t="s">
        <v>16</v>
      </c>
      <c r="I59" s="19">
        <v>2</v>
      </c>
      <c r="J59">
        <v>99</v>
      </c>
      <c r="O59" t="s">
        <v>16</v>
      </c>
      <c r="P59" s="19">
        <v>3</v>
      </c>
      <c r="Q59" s="53">
        <v>123</v>
      </c>
    </row>
    <row r="60" spans="1:19" x14ac:dyDescent="0.25">
      <c r="A60" t="s">
        <v>16</v>
      </c>
      <c r="B60" s="19">
        <v>1</v>
      </c>
      <c r="C60" s="17">
        <v>130.5</v>
      </c>
      <c r="H60" t="s">
        <v>16</v>
      </c>
      <c r="I60" s="19">
        <v>2</v>
      </c>
      <c r="J60">
        <v>112.5</v>
      </c>
      <c r="O60" t="s">
        <v>16</v>
      </c>
      <c r="P60" s="19">
        <v>3</v>
      </c>
      <c r="Q60" s="17">
        <v>123</v>
      </c>
    </row>
    <row r="61" spans="1:19" x14ac:dyDescent="0.25">
      <c r="A61" t="s">
        <v>16</v>
      </c>
      <c r="B61" s="19">
        <v>1</v>
      </c>
      <c r="C61" s="17">
        <v>115</v>
      </c>
      <c r="H61" t="s">
        <v>16</v>
      </c>
      <c r="I61" s="19">
        <v>2</v>
      </c>
      <c r="J61">
        <v>124.5</v>
      </c>
      <c r="O61" t="s">
        <v>16</v>
      </c>
      <c r="P61" s="19">
        <v>3</v>
      </c>
      <c r="Q61" s="17">
        <v>114</v>
      </c>
    </row>
    <row r="62" spans="1:19" x14ac:dyDescent="0.25">
      <c r="A62" t="s">
        <v>16</v>
      </c>
      <c r="B62" s="19">
        <v>1</v>
      </c>
      <c r="C62" s="17">
        <v>114</v>
      </c>
      <c r="H62" t="s">
        <v>16</v>
      </c>
      <c r="I62" s="19">
        <v>2</v>
      </c>
      <c r="J62">
        <v>114</v>
      </c>
      <c r="O62" t="s">
        <v>16</v>
      </c>
      <c r="P62" s="19">
        <v>3</v>
      </c>
      <c r="Q62" s="17">
        <v>123</v>
      </c>
    </row>
    <row r="63" spans="1:19" x14ac:dyDescent="0.25">
      <c r="A63" t="s">
        <v>16</v>
      </c>
      <c r="B63" s="19">
        <v>1</v>
      </c>
      <c r="C63" s="17">
        <v>108</v>
      </c>
      <c r="H63" t="s">
        <v>16</v>
      </c>
      <c r="I63" s="19">
        <v>2</v>
      </c>
      <c r="J63">
        <v>115.5</v>
      </c>
      <c r="O63" t="s">
        <v>16</v>
      </c>
      <c r="P63" s="19">
        <v>3</v>
      </c>
      <c r="Q63" s="17">
        <v>114</v>
      </c>
    </row>
    <row r="64" spans="1:19" x14ac:dyDescent="0.25">
      <c r="A64" t="s">
        <v>16</v>
      </c>
      <c r="B64" s="19">
        <v>1</v>
      </c>
      <c r="C64" s="17">
        <v>115.5</v>
      </c>
      <c r="H64" t="s">
        <v>16</v>
      </c>
      <c r="I64" s="19">
        <v>2</v>
      </c>
      <c r="J64">
        <v>118.5</v>
      </c>
      <c r="O64" t="s">
        <v>16</v>
      </c>
      <c r="P64" s="19">
        <v>3</v>
      </c>
      <c r="Q64" s="19" t="s">
        <v>4</v>
      </c>
    </row>
    <row r="65" spans="1:19" x14ac:dyDescent="0.25">
      <c r="A65" t="s">
        <v>6</v>
      </c>
      <c r="B65" s="19">
        <v>1</v>
      </c>
      <c r="C65" s="19" t="s">
        <v>4</v>
      </c>
      <c r="D65" t="e">
        <f>AVERAGE(C65:C72)</f>
        <v>#DIV/0!</v>
      </c>
      <c r="E65" t="e">
        <f>STDEV(C65:C71)</f>
        <v>#DIV/0!</v>
      </c>
      <c r="H65" t="s">
        <v>6</v>
      </c>
      <c r="I65" s="19">
        <v>2</v>
      </c>
      <c r="J65" s="19" t="s">
        <v>4</v>
      </c>
      <c r="K65" t="e">
        <f>AVERAGE(J65:J72)</f>
        <v>#DIV/0!</v>
      </c>
      <c r="L65" t="e">
        <f>STDEV(J65:J72)</f>
        <v>#DIV/0!</v>
      </c>
      <c r="O65" t="s">
        <v>6</v>
      </c>
      <c r="P65" s="19">
        <v>3</v>
      </c>
      <c r="Q65" s="17">
        <v>96</v>
      </c>
      <c r="R65">
        <f>AVERAGE(Q65:Q72)</f>
        <v>94.5</v>
      </c>
      <c r="S65">
        <f>STDEV(Q65:Q72)</f>
        <v>2.1213203435596424</v>
      </c>
    </row>
    <row r="66" spans="1:19" x14ac:dyDescent="0.25">
      <c r="A66" t="s">
        <v>6</v>
      </c>
      <c r="B66" s="19">
        <v>1</v>
      </c>
      <c r="C66" s="19" t="s">
        <v>4</v>
      </c>
      <c r="H66" t="s">
        <v>6</v>
      </c>
      <c r="I66" s="19">
        <v>2</v>
      </c>
      <c r="J66" s="19" t="s">
        <v>4</v>
      </c>
      <c r="O66" t="s">
        <v>6</v>
      </c>
      <c r="P66" s="19">
        <v>3</v>
      </c>
      <c r="Q66" s="19" t="s">
        <v>4</v>
      </c>
    </row>
    <row r="67" spans="1:19" x14ac:dyDescent="0.25">
      <c r="A67" t="s">
        <v>6</v>
      </c>
      <c r="B67" s="19">
        <v>1</v>
      </c>
      <c r="C67" s="19" t="s">
        <v>4</v>
      </c>
      <c r="H67" t="s">
        <v>6</v>
      </c>
      <c r="I67" s="19">
        <v>2</v>
      </c>
      <c r="J67" s="19" t="s">
        <v>4</v>
      </c>
      <c r="O67" t="s">
        <v>6</v>
      </c>
      <c r="P67" s="19">
        <v>3</v>
      </c>
      <c r="Q67" s="19" t="s">
        <v>4</v>
      </c>
    </row>
    <row r="68" spans="1:19" x14ac:dyDescent="0.25">
      <c r="A68" t="s">
        <v>6</v>
      </c>
      <c r="B68" s="19">
        <v>1</v>
      </c>
      <c r="C68" s="19" t="s">
        <v>4</v>
      </c>
      <c r="H68" t="s">
        <v>6</v>
      </c>
      <c r="I68" s="19">
        <v>2</v>
      </c>
      <c r="J68" s="19" t="s">
        <v>4</v>
      </c>
      <c r="O68" t="s">
        <v>6</v>
      </c>
      <c r="P68" s="19">
        <v>3</v>
      </c>
      <c r="Q68" s="19" t="s">
        <v>4</v>
      </c>
    </row>
    <row r="69" spans="1:19" x14ac:dyDescent="0.25">
      <c r="A69" t="s">
        <v>6</v>
      </c>
      <c r="B69" s="19">
        <v>1</v>
      </c>
      <c r="C69" s="19" t="s">
        <v>4</v>
      </c>
      <c r="H69" t="s">
        <v>6</v>
      </c>
      <c r="I69" s="19">
        <v>2</v>
      </c>
      <c r="J69" s="19" t="s">
        <v>4</v>
      </c>
      <c r="O69" t="s">
        <v>6</v>
      </c>
      <c r="P69" s="19">
        <v>3</v>
      </c>
      <c r="Q69" s="17">
        <v>93</v>
      </c>
    </row>
    <row r="70" spans="1:19" x14ac:dyDescent="0.25">
      <c r="A70" t="s">
        <v>6</v>
      </c>
      <c r="B70" s="19">
        <v>1</v>
      </c>
      <c r="C70" s="19" t="s">
        <v>4</v>
      </c>
      <c r="H70" t="s">
        <v>6</v>
      </c>
      <c r="I70" s="19">
        <v>2</v>
      </c>
      <c r="J70" s="19" t="s">
        <v>4</v>
      </c>
      <c r="O70" t="s">
        <v>6</v>
      </c>
      <c r="P70" s="19">
        <v>3</v>
      </c>
      <c r="Q70" s="19" t="s">
        <v>4</v>
      </c>
    </row>
    <row r="71" spans="1:19" x14ac:dyDescent="0.25">
      <c r="A71" t="s">
        <v>6</v>
      </c>
      <c r="B71" s="19">
        <v>1</v>
      </c>
      <c r="C71" s="19" t="s">
        <v>4</v>
      </c>
      <c r="H71" t="s">
        <v>6</v>
      </c>
      <c r="I71" s="19">
        <v>2</v>
      </c>
      <c r="J71" s="19" t="s">
        <v>4</v>
      </c>
      <c r="O71" t="s">
        <v>6</v>
      </c>
      <c r="P71" s="19">
        <v>3</v>
      </c>
      <c r="Q71" s="19" t="s">
        <v>4</v>
      </c>
    </row>
    <row r="72" spans="1:19" x14ac:dyDescent="0.25">
      <c r="A72" t="s">
        <v>6</v>
      </c>
      <c r="B72" s="19">
        <v>1</v>
      </c>
      <c r="C72" s="19" t="s">
        <v>4</v>
      </c>
      <c r="H72" t="s">
        <v>6</v>
      </c>
      <c r="I72" s="19">
        <v>2</v>
      </c>
      <c r="J72" s="19" t="s">
        <v>4</v>
      </c>
      <c r="O72" t="s">
        <v>6</v>
      </c>
      <c r="P72" s="19">
        <v>3</v>
      </c>
      <c r="Q72" s="19" t="s">
        <v>4</v>
      </c>
    </row>
    <row r="73" spans="1:19" x14ac:dyDescent="0.25">
      <c r="A73" t="s">
        <v>17</v>
      </c>
      <c r="B73" s="19">
        <v>1</v>
      </c>
      <c r="C73" s="19" t="s">
        <v>4</v>
      </c>
      <c r="D73" t="e">
        <f>AVERAGE(C73:C80)</f>
        <v>#DIV/0!</v>
      </c>
      <c r="E73" t="e">
        <f>STDEV(C73:C80)</f>
        <v>#DIV/0!</v>
      </c>
      <c r="H73" t="s">
        <v>17</v>
      </c>
      <c r="I73" s="19">
        <v>2</v>
      </c>
      <c r="J73" s="19" t="s">
        <v>4</v>
      </c>
      <c r="K73" t="e">
        <f>AVERAGE(J73:J80)</f>
        <v>#DIV/0!</v>
      </c>
      <c r="L73" t="e">
        <f>STDEV(J73:J80)</f>
        <v>#DIV/0!</v>
      </c>
      <c r="O73" t="s">
        <v>17</v>
      </c>
      <c r="P73" s="19">
        <v>3</v>
      </c>
      <c r="Q73" s="19" t="s">
        <v>4</v>
      </c>
      <c r="R73" t="e">
        <f>AVERAGE(Q73:Q80)</f>
        <v>#DIV/0!</v>
      </c>
      <c r="S73" t="e">
        <f>STDEV(Q73:Q80)</f>
        <v>#DIV/0!</v>
      </c>
    </row>
    <row r="74" spans="1:19" x14ac:dyDescent="0.25">
      <c r="A74" t="s">
        <v>17</v>
      </c>
      <c r="B74" s="19">
        <v>1</v>
      </c>
      <c r="C74" s="19" t="s">
        <v>4</v>
      </c>
      <c r="H74" t="s">
        <v>17</v>
      </c>
      <c r="I74" s="19">
        <v>2</v>
      </c>
      <c r="J74" s="19" t="s">
        <v>4</v>
      </c>
      <c r="O74" t="s">
        <v>17</v>
      </c>
      <c r="P74" s="19">
        <v>3</v>
      </c>
      <c r="Q74" s="19" t="s">
        <v>4</v>
      </c>
    </row>
    <row r="75" spans="1:19" x14ac:dyDescent="0.25">
      <c r="A75" t="s">
        <v>17</v>
      </c>
      <c r="B75" s="19">
        <v>1</v>
      </c>
      <c r="C75" s="19" t="s">
        <v>4</v>
      </c>
      <c r="H75" t="s">
        <v>17</v>
      </c>
      <c r="I75" s="19">
        <v>2</v>
      </c>
      <c r="J75" s="19" t="s">
        <v>4</v>
      </c>
      <c r="O75" t="s">
        <v>17</v>
      </c>
      <c r="P75" s="19">
        <v>3</v>
      </c>
      <c r="Q75" s="19" t="s">
        <v>4</v>
      </c>
    </row>
    <row r="76" spans="1:19" x14ac:dyDescent="0.25">
      <c r="A76" t="s">
        <v>17</v>
      </c>
      <c r="B76" s="19">
        <v>1</v>
      </c>
      <c r="C76" s="19" t="s">
        <v>4</v>
      </c>
      <c r="H76" t="s">
        <v>17</v>
      </c>
      <c r="I76" s="19">
        <v>2</v>
      </c>
      <c r="J76" s="19" t="s">
        <v>4</v>
      </c>
      <c r="O76" t="s">
        <v>17</v>
      </c>
      <c r="P76" s="19">
        <v>3</v>
      </c>
      <c r="Q76" s="19" t="s">
        <v>4</v>
      </c>
    </row>
    <row r="77" spans="1:19" x14ac:dyDescent="0.25">
      <c r="A77" t="s">
        <v>17</v>
      </c>
      <c r="B77" s="19">
        <v>1</v>
      </c>
      <c r="C77" s="19" t="s">
        <v>4</v>
      </c>
      <c r="H77" t="s">
        <v>17</v>
      </c>
      <c r="I77" s="19">
        <v>2</v>
      </c>
      <c r="J77" s="19" t="s">
        <v>4</v>
      </c>
      <c r="O77" t="s">
        <v>17</v>
      </c>
      <c r="P77" s="19">
        <v>3</v>
      </c>
      <c r="Q77" s="19" t="s">
        <v>4</v>
      </c>
    </row>
    <row r="78" spans="1:19" x14ac:dyDescent="0.25">
      <c r="A78" t="s">
        <v>17</v>
      </c>
      <c r="B78" s="19">
        <v>1</v>
      </c>
      <c r="C78" s="19" t="s">
        <v>4</v>
      </c>
      <c r="H78" t="s">
        <v>17</v>
      </c>
      <c r="I78" s="19">
        <v>2</v>
      </c>
      <c r="J78" s="19" t="s">
        <v>4</v>
      </c>
      <c r="O78" t="s">
        <v>17</v>
      </c>
      <c r="P78" s="19">
        <v>3</v>
      </c>
      <c r="Q78" s="19" t="s">
        <v>4</v>
      </c>
    </row>
    <row r="79" spans="1:19" x14ac:dyDescent="0.25">
      <c r="A79" t="s">
        <v>17</v>
      </c>
      <c r="B79" s="19">
        <v>1</v>
      </c>
      <c r="C79" s="19" t="s">
        <v>4</v>
      </c>
      <c r="H79" t="s">
        <v>17</v>
      </c>
      <c r="I79" s="19">
        <v>2</v>
      </c>
      <c r="J79" s="19" t="s">
        <v>4</v>
      </c>
      <c r="O79" t="s">
        <v>17</v>
      </c>
      <c r="P79" s="19">
        <v>3</v>
      </c>
      <c r="Q79" s="19" t="s">
        <v>4</v>
      </c>
    </row>
    <row r="80" spans="1:19" x14ac:dyDescent="0.25">
      <c r="A80" t="s">
        <v>17</v>
      </c>
      <c r="B80" s="19">
        <v>1</v>
      </c>
      <c r="C80" s="19" t="s">
        <v>4</v>
      </c>
      <c r="H80" t="s">
        <v>17</v>
      </c>
      <c r="I80" s="19">
        <v>2</v>
      </c>
      <c r="J80" s="19" t="s">
        <v>4</v>
      </c>
      <c r="O80" t="s">
        <v>17</v>
      </c>
      <c r="P80" s="19">
        <v>3</v>
      </c>
      <c r="Q80" s="19" t="s">
        <v>4</v>
      </c>
    </row>
    <row r="81" spans="1:20" x14ac:dyDescent="0.25">
      <c r="A81" t="s">
        <v>21</v>
      </c>
      <c r="B81" s="19">
        <v>1</v>
      </c>
      <c r="C81" s="53">
        <v>151.5</v>
      </c>
      <c r="D81">
        <f>AVERAGE(C81:C88)</f>
        <v>143.8125</v>
      </c>
      <c r="E81">
        <f>STDEV(C81:C88)</f>
        <v>5.5222763163649926</v>
      </c>
      <c r="H81" t="s">
        <v>21</v>
      </c>
      <c r="I81" s="19">
        <v>2</v>
      </c>
      <c r="J81" s="53">
        <v>142.5</v>
      </c>
      <c r="K81">
        <f>AVERAGE(J81:J88)</f>
        <v>140.4375</v>
      </c>
      <c r="L81">
        <f>STDEV(J81:J88)</f>
        <v>4.1613656755582396</v>
      </c>
      <c r="O81" t="s">
        <v>21</v>
      </c>
      <c r="P81" s="19">
        <v>3</v>
      </c>
      <c r="Q81" s="53">
        <v>148.5</v>
      </c>
      <c r="R81" s="17">
        <f>AVERAGE(Q81:Q88)</f>
        <v>135</v>
      </c>
      <c r="S81">
        <f>STDEV(Q81:Q88)</f>
        <v>7.5213980463361043</v>
      </c>
    </row>
    <row r="82" spans="1:20" x14ac:dyDescent="0.25">
      <c r="A82" t="s">
        <v>21</v>
      </c>
      <c r="B82" s="19">
        <v>1</v>
      </c>
      <c r="C82" s="53">
        <v>138</v>
      </c>
      <c r="H82" t="s">
        <v>21</v>
      </c>
      <c r="I82" s="19">
        <v>2</v>
      </c>
      <c r="J82" s="53">
        <v>144</v>
      </c>
      <c r="O82" t="s">
        <v>21</v>
      </c>
      <c r="P82" s="19">
        <v>3</v>
      </c>
      <c r="Q82" s="53">
        <v>136.5</v>
      </c>
    </row>
    <row r="83" spans="1:20" x14ac:dyDescent="0.25">
      <c r="A83" t="s">
        <v>21</v>
      </c>
      <c r="B83" s="19">
        <v>1</v>
      </c>
      <c r="C83" s="53">
        <v>145.5</v>
      </c>
      <c r="H83" t="s">
        <v>21</v>
      </c>
      <c r="I83" s="19">
        <v>2</v>
      </c>
      <c r="J83" s="53">
        <v>144</v>
      </c>
      <c r="O83" t="s">
        <v>21</v>
      </c>
      <c r="P83" s="19">
        <v>3</v>
      </c>
      <c r="Q83" s="53">
        <v>141</v>
      </c>
    </row>
    <row r="84" spans="1:20" x14ac:dyDescent="0.25">
      <c r="A84" t="s">
        <v>21</v>
      </c>
      <c r="B84" s="19">
        <v>1</v>
      </c>
      <c r="C84" s="53">
        <v>135</v>
      </c>
      <c r="H84" t="s">
        <v>21</v>
      </c>
      <c r="I84" s="19">
        <v>2</v>
      </c>
      <c r="J84" s="53">
        <v>139.5</v>
      </c>
      <c r="O84" t="s">
        <v>21</v>
      </c>
      <c r="P84" s="19">
        <v>3</v>
      </c>
      <c r="Q84" s="53">
        <v>127.5</v>
      </c>
    </row>
    <row r="85" spans="1:20" x14ac:dyDescent="0.25">
      <c r="A85" t="s">
        <v>21</v>
      </c>
      <c r="B85" s="19">
        <v>1</v>
      </c>
      <c r="C85" s="53">
        <v>148.5</v>
      </c>
      <c r="H85" t="s">
        <v>21</v>
      </c>
      <c r="I85" s="19">
        <v>2</v>
      </c>
      <c r="J85" s="53">
        <v>144</v>
      </c>
      <c r="O85" t="s">
        <v>21</v>
      </c>
      <c r="P85" s="19">
        <v>3</v>
      </c>
      <c r="Q85" s="53">
        <v>130.5</v>
      </c>
    </row>
    <row r="86" spans="1:20" x14ac:dyDescent="0.25">
      <c r="A86" t="s">
        <v>21</v>
      </c>
      <c r="B86" s="19">
        <v>1</v>
      </c>
      <c r="C86" s="53">
        <v>144</v>
      </c>
      <c r="H86" t="s">
        <v>21</v>
      </c>
      <c r="I86" s="19">
        <v>2</v>
      </c>
      <c r="J86" s="53">
        <v>138</v>
      </c>
      <c r="O86" t="s">
        <v>21</v>
      </c>
      <c r="P86" s="19">
        <v>3</v>
      </c>
      <c r="Q86" s="53">
        <v>138</v>
      </c>
    </row>
    <row r="87" spans="1:20" x14ac:dyDescent="0.25">
      <c r="A87" t="s">
        <v>21</v>
      </c>
      <c r="B87" s="19">
        <v>1</v>
      </c>
      <c r="C87" s="53">
        <v>141</v>
      </c>
      <c r="H87" t="s">
        <v>21</v>
      </c>
      <c r="I87" s="19">
        <v>2</v>
      </c>
      <c r="J87" s="53">
        <v>132</v>
      </c>
      <c r="O87" t="s">
        <v>21</v>
      </c>
      <c r="P87" s="19">
        <v>3</v>
      </c>
      <c r="Q87" s="53">
        <v>126</v>
      </c>
    </row>
    <row r="88" spans="1:20" x14ac:dyDescent="0.25">
      <c r="A88" t="s">
        <v>21</v>
      </c>
      <c r="B88" s="19">
        <v>1</v>
      </c>
      <c r="C88" s="53">
        <v>147</v>
      </c>
      <c r="H88" t="s">
        <v>21</v>
      </c>
      <c r="I88" s="19">
        <v>2</v>
      </c>
      <c r="J88" s="53">
        <v>139.5</v>
      </c>
      <c r="O88" t="s">
        <v>21</v>
      </c>
      <c r="P88" s="19">
        <v>3</v>
      </c>
      <c r="Q88" s="53">
        <v>132</v>
      </c>
    </row>
    <row r="89" spans="1:20" x14ac:dyDescent="0.25">
      <c r="B89" s="19"/>
      <c r="J89" s="19"/>
      <c r="K89" s="19"/>
      <c r="R89" s="19"/>
      <c r="S89" s="19"/>
      <c r="T89" s="19"/>
    </row>
    <row r="90" spans="1:20" s="22" customFormat="1" x14ac:dyDescent="0.25">
      <c r="B90" s="23"/>
      <c r="C90" s="23"/>
      <c r="J90" s="23"/>
      <c r="K90" s="23"/>
      <c r="R90" s="23"/>
      <c r="S90" s="23"/>
      <c r="T90" s="23"/>
    </row>
    <row r="91" spans="1:20" x14ac:dyDescent="0.25">
      <c r="B91" s="19"/>
      <c r="J91" s="19"/>
      <c r="K91" s="19"/>
      <c r="R91" s="19"/>
      <c r="S91" s="19"/>
      <c r="T91" s="19"/>
    </row>
    <row r="92" spans="1:20" x14ac:dyDescent="0.25">
      <c r="A92" s="69" t="s">
        <v>34</v>
      </c>
      <c r="B92" s="19"/>
      <c r="C92" s="19"/>
      <c r="J92" s="19"/>
      <c r="K92" s="19"/>
      <c r="R92" s="19"/>
      <c r="S92" s="19"/>
      <c r="T92" s="19"/>
    </row>
    <row r="93" spans="1:20" x14ac:dyDescent="0.25">
      <c r="B93" s="19"/>
      <c r="J93" s="19"/>
      <c r="K93" s="19"/>
      <c r="R93" s="19"/>
      <c r="S93" s="19"/>
      <c r="T93" s="19"/>
    </row>
    <row r="94" spans="1:20" s="24" customFormat="1" ht="15" customHeight="1" x14ac:dyDescent="0.25">
      <c r="A94" s="62" t="s">
        <v>53</v>
      </c>
      <c r="B94" s="62" t="s">
        <v>8</v>
      </c>
      <c r="C94" s="63" t="s">
        <v>11</v>
      </c>
      <c r="D94" s="62" t="s">
        <v>9</v>
      </c>
      <c r="E94" s="62" t="s">
        <v>18</v>
      </c>
      <c r="H94" s="62" t="s">
        <v>53</v>
      </c>
      <c r="I94" s="62" t="s">
        <v>8</v>
      </c>
      <c r="J94" s="63" t="s">
        <v>11</v>
      </c>
      <c r="K94" s="62" t="s">
        <v>9</v>
      </c>
      <c r="L94" s="62" t="s">
        <v>18</v>
      </c>
      <c r="O94" s="62" t="s">
        <v>53</v>
      </c>
      <c r="P94" s="62" t="s">
        <v>8</v>
      </c>
      <c r="Q94" s="63" t="s">
        <v>11</v>
      </c>
      <c r="R94" s="62" t="s">
        <v>9</v>
      </c>
      <c r="S94" s="62" t="s">
        <v>18</v>
      </c>
      <c r="T94" s="61"/>
    </row>
    <row r="95" spans="1:20" x14ac:dyDescent="0.25">
      <c r="A95" s="62"/>
      <c r="B95" s="62"/>
      <c r="C95" s="63"/>
      <c r="D95" s="62"/>
      <c r="E95" s="62"/>
      <c r="H95" s="62"/>
      <c r="I95" s="62"/>
      <c r="J95" s="63"/>
      <c r="K95" s="62"/>
      <c r="L95" s="62"/>
      <c r="O95" s="62"/>
      <c r="P95" s="62"/>
      <c r="Q95" s="63"/>
      <c r="R95" s="62"/>
      <c r="S95" s="62"/>
      <c r="T95" s="61"/>
    </row>
    <row r="96" spans="1:20" x14ac:dyDescent="0.25">
      <c r="A96" t="s">
        <v>0</v>
      </c>
      <c r="B96" s="7">
        <v>4</v>
      </c>
      <c r="C96" s="53">
        <v>144</v>
      </c>
      <c r="D96">
        <f>AVERAGE(C96:C103)</f>
        <v>153.375</v>
      </c>
      <c r="E96">
        <f>STDEV(C96:C103)</f>
        <v>5.8782285961479444</v>
      </c>
      <c r="H96" t="s">
        <v>0</v>
      </c>
      <c r="I96" s="19">
        <v>5</v>
      </c>
      <c r="J96" s="53">
        <v>136.5</v>
      </c>
      <c r="K96" s="4">
        <f>AVERAGE(J96:J103)</f>
        <v>147.1875</v>
      </c>
      <c r="L96">
        <f>STDEV(J96:J103)</f>
        <v>5.8611158128319367</v>
      </c>
      <c r="O96" t="s">
        <v>0</v>
      </c>
      <c r="P96" s="19">
        <v>6</v>
      </c>
      <c r="Q96" s="53">
        <v>144</v>
      </c>
      <c r="R96">
        <f>AVERAGE(Q96:Q103)</f>
        <v>143.5625</v>
      </c>
      <c r="S96">
        <f>STDEV(Q96:Q103)</f>
        <v>10.455475325670962</v>
      </c>
    </row>
    <row r="97" spans="1:19" x14ac:dyDescent="0.25">
      <c r="A97" t="s">
        <v>0</v>
      </c>
      <c r="B97" s="19">
        <v>4</v>
      </c>
      <c r="C97" s="53">
        <v>159</v>
      </c>
      <c r="H97" t="s">
        <v>0</v>
      </c>
      <c r="I97" s="19">
        <v>5</v>
      </c>
      <c r="J97" s="53">
        <v>150</v>
      </c>
      <c r="O97" t="s">
        <v>0</v>
      </c>
      <c r="P97" s="19">
        <v>6</v>
      </c>
      <c r="Q97" s="53">
        <v>127.5</v>
      </c>
    </row>
    <row r="98" spans="1:19" x14ac:dyDescent="0.25">
      <c r="A98" t="s">
        <v>0</v>
      </c>
      <c r="B98" s="19">
        <v>4</v>
      </c>
      <c r="C98" s="53">
        <v>154.5</v>
      </c>
      <c r="H98" t="s">
        <v>0</v>
      </c>
      <c r="I98" s="19">
        <v>5</v>
      </c>
      <c r="J98" s="53">
        <v>153</v>
      </c>
      <c r="O98" t="s">
        <v>0</v>
      </c>
      <c r="P98" s="19">
        <v>6</v>
      </c>
      <c r="Q98" s="53">
        <v>156</v>
      </c>
    </row>
    <row r="99" spans="1:19" x14ac:dyDescent="0.25">
      <c r="A99" t="s">
        <v>0</v>
      </c>
      <c r="B99" s="19">
        <v>4</v>
      </c>
      <c r="C99" s="53">
        <v>147</v>
      </c>
      <c r="H99" t="s">
        <v>0</v>
      </c>
      <c r="I99" s="19">
        <v>5</v>
      </c>
      <c r="J99" s="53">
        <v>144</v>
      </c>
      <c r="O99" t="s">
        <v>0</v>
      </c>
      <c r="P99" s="19">
        <v>6</v>
      </c>
      <c r="Q99" s="53">
        <v>129</v>
      </c>
    </row>
    <row r="100" spans="1:19" x14ac:dyDescent="0.25">
      <c r="A100" t="s">
        <v>0</v>
      </c>
      <c r="B100" s="19">
        <v>4</v>
      </c>
      <c r="C100" s="53">
        <v>157.5</v>
      </c>
      <c r="H100" t="s">
        <v>0</v>
      </c>
      <c r="I100" s="19">
        <v>5</v>
      </c>
      <c r="J100" s="53">
        <v>145.5</v>
      </c>
      <c r="O100" t="s">
        <v>0</v>
      </c>
      <c r="P100" s="19">
        <v>6</v>
      </c>
      <c r="Q100" s="53">
        <v>147</v>
      </c>
    </row>
    <row r="101" spans="1:19" x14ac:dyDescent="0.25">
      <c r="A101" t="s">
        <v>0</v>
      </c>
      <c r="B101" s="19">
        <v>4</v>
      </c>
      <c r="C101" s="53">
        <v>160.5</v>
      </c>
      <c r="H101" t="s">
        <v>0</v>
      </c>
      <c r="I101" s="19">
        <v>5</v>
      </c>
      <c r="J101" s="53">
        <v>150</v>
      </c>
      <c r="O101" t="s">
        <v>0</v>
      </c>
      <c r="P101" s="19">
        <v>6</v>
      </c>
      <c r="Q101" s="53">
        <v>146.5</v>
      </c>
    </row>
    <row r="102" spans="1:19" x14ac:dyDescent="0.25">
      <c r="A102" t="s">
        <v>0</v>
      </c>
      <c r="B102" s="19">
        <v>4</v>
      </c>
      <c r="C102" s="53">
        <v>150</v>
      </c>
      <c r="H102" t="s">
        <v>0</v>
      </c>
      <c r="I102" s="19">
        <v>5</v>
      </c>
      <c r="J102" s="53">
        <v>154.5</v>
      </c>
      <c r="O102" t="s">
        <v>0</v>
      </c>
      <c r="P102" s="19">
        <v>6</v>
      </c>
      <c r="Q102" s="53">
        <v>154.5</v>
      </c>
    </row>
    <row r="103" spans="1:19" x14ac:dyDescent="0.25">
      <c r="A103" t="s">
        <v>0</v>
      </c>
      <c r="B103" s="19">
        <v>4</v>
      </c>
      <c r="C103" s="53">
        <v>154.5</v>
      </c>
      <c r="H103" t="s">
        <v>0</v>
      </c>
      <c r="I103" s="19">
        <v>5</v>
      </c>
      <c r="J103" s="53">
        <v>144</v>
      </c>
      <c r="O103" t="s">
        <v>0</v>
      </c>
      <c r="P103" s="19">
        <v>6</v>
      </c>
      <c r="Q103" s="53">
        <v>144</v>
      </c>
    </row>
    <row r="104" spans="1:19" x14ac:dyDescent="0.25">
      <c r="A104" t="s">
        <v>5</v>
      </c>
      <c r="B104" s="19">
        <v>4</v>
      </c>
      <c r="C104" s="53">
        <v>148.5</v>
      </c>
      <c r="D104">
        <f>AVERAGE(C104:C111)</f>
        <v>146.625</v>
      </c>
      <c r="E104">
        <f>STDEV(C104:C111)</f>
        <v>4.9262416853882778</v>
      </c>
      <c r="H104" t="s">
        <v>5</v>
      </c>
      <c r="I104" s="19">
        <v>5</v>
      </c>
      <c r="J104" s="53">
        <v>156</v>
      </c>
      <c r="K104" s="4">
        <f>AVERAGE(J104:J111)</f>
        <v>147.75</v>
      </c>
      <c r="L104">
        <f>STDEV(J104:J111)</f>
        <v>6.8033605141660898</v>
      </c>
      <c r="O104" t="s">
        <v>5</v>
      </c>
      <c r="P104" s="19">
        <v>6</v>
      </c>
      <c r="Q104" s="53">
        <v>156</v>
      </c>
      <c r="R104">
        <f>AVERAGE(Q104:Q111)</f>
        <v>138.375</v>
      </c>
      <c r="S104">
        <f>STDEV(Q104:Q111)</f>
        <v>8.0078086890234825</v>
      </c>
    </row>
    <row r="105" spans="1:19" x14ac:dyDescent="0.25">
      <c r="A105" t="s">
        <v>5</v>
      </c>
      <c r="B105" s="19">
        <v>4</v>
      </c>
      <c r="C105" s="53">
        <v>157.5</v>
      </c>
      <c r="H105" t="s">
        <v>5</v>
      </c>
      <c r="I105" s="19">
        <v>5</v>
      </c>
      <c r="J105" s="53">
        <v>151.5</v>
      </c>
      <c r="O105" t="s">
        <v>5</v>
      </c>
      <c r="P105" s="19">
        <v>6</v>
      </c>
      <c r="Q105" s="53">
        <v>139.5</v>
      </c>
    </row>
    <row r="106" spans="1:19" x14ac:dyDescent="0.25">
      <c r="A106" t="s">
        <v>5</v>
      </c>
      <c r="B106" s="19">
        <v>4</v>
      </c>
      <c r="C106" s="53">
        <v>147</v>
      </c>
      <c r="H106" t="s">
        <v>5</v>
      </c>
      <c r="I106" s="19">
        <v>5</v>
      </c>
      <c r="J106" s="53">
        <v>142.5</v>
      </c>
      <c r="O106" t="s">
        <v>5</v>
      </c>
      <c r="P106" s="19">
        <v>6</v>
      </c>
      <c r="Q106" s="53">
        <v>133.5</v>
      </c>
    </row>
    <row r="107" spans="1:19" x14ac:dyDescent="0.25">
      <c r="A107" t="s">
        <v>5</v>
      </c>
      <c r="B107" s="19">
        <v>4</v>
      </c>
      <c r="C107" s="53">
        <v>145.5</v>
      </c>
      <c r="H107" t="s">
        <v>5</v>
      </c>
      <c r="I107" s="19">
        <v>5</v>
      </c>
      <c r="J107" s="53">
        <v>145.5</v>
      </c>
      <c r="O107" t="s">
        <v>5</v>
      </c>
      <c r="P107" s="19">
        <v>6</v>
      </c>
      <c r="Q107" s="53">
        <v>138</v>
      </c>
    </row>
    <row r="108" spans="1:19" x14ac:dyDescent="0.25">
      <c r="A108" t="s">
        <v>5</v>
      </c>
      <c r="B108" s="19">
        <v>4</v>
      </c>
      <c r="C108" s="53">
        <v>141</v>
      </c>
      <c r="H108" t="s">
        <v>5</v>
      </c>
      <c r="I108" s="19">
        <v>5</v>
      </c>
      <c r="J108" s="53">
        <v>159</v>
      </c>
      <c r="O108" t="s">
        <v>5</v>
      </c>
      <c r="P108" s="19">
        <v>6</v>
      </c>
      <c r="Q108" s="53">
        <v>129</v>
      </c>
    </row>
    <row r="109" spans="1:19" x14ac:dyDescent="0.25">
      <c r="A109" t="s">
        <v>5</v>
      </c>
      <c r="B109" s="19">
        <v>4</v>
      </c>
      <c r="C109" s="53">
        <v>144</v>
      </c>
      <c r="H109" t="s">
        <v>5</v>
      </c>
      <c r="I109" s="19">
        <v>5</v>
      </c>
      <c r="J109" s="53">
        <v>142.5</v>
      </c>
      <c r="O109" t="s">
        <v>5</v>
      </c>
      <c r="P109" s="19">
        <v>6</v>
      </c>
      <c r="Q109" s="53">
        <v>133.5</v>
      </c>
    </row>
    <row r="110" spans="1:19" x14ac:dyDescent="0.25">
      <c r="A110" t="s">
        <v>5</v>
      </c>
      <c r="B110" s="19">
        <v>4</v>
      </c>
      <c r="C110" s="53">
        <v>144</v>
      </c>
      <c r="H110" t="s">
        <v>5</v>
      </c>
      <c r="I110" s="19">
        <v>5</v>
      </c>
      <c r="J110" s="53">
        <v>142.5</v>
      </c>
      <c r="O110" t="s">
        <v>5</v>
      </c>
      <c r="P110" s="19">
        <v>6</v>
      </c>
      <c r="Q110" s="53">
        <v>138</v>
      </c>
    </row>
    <row r="111" spans="1:19" x14ac:dyDescent="0.25">
      <c r="A111" t="s">
        <v>5</v>
      </c>
      <c r="B111" s="19">
        <v>4</v>
      </c>
      <c r="C111" s="53">
        <v>145.5</v>
      </c>
      <c r="H111" t="s">
        <v>5</v>
      </c>
      <c r="I111" s="19">
        <v>5</v>
      </c>
      <c r="J111" s="53">
        <v>142.5</v>
      </c>
      <c r="O111" t="s">
        <v>5</v>
      </c>
      <c r="P111" s="19">
        <v>6</v>
      </c>
      <c r="Q111" s="53">
        <v>139.5</v>
      </c>
    </row>
    <row r="112" spans="1:19" x14ac:dyDescent="0.25">
      <c r="A112" t="s">
        <v>12</v>
      </c>
      <c r="B112" s="19">
        <v>4</v>
      </c>
      <c r="C112" s="53">
        <v>141</v>
      </c>
      <c r="D112">
        <f>AVERAGE(C112:C119)</f>
        <v>142.6875</v>
      </c>
      <c r="E112">
        <f>STDEV(C112:C119)</f>
        <v>3.7123106012293743</v>
      </c>
      <c r="H112" t="s">
        <v>12</v>
      </c>
      <c r="I112" s="19">
        <v>5</v>
      </c>
      <c r="J112" s="53">
        <v>148.5</v>
      </c>
      <c r="K112" s="4">
        <f>AVERAGE(J112:J119)</f>
        <v>146.4375</v>
      </c>
      <c r="L112">
        <f>STDEV(J112:J119)</f>
        <v>4.0039043445117413</v>
      </c>
      <c r="O112" t="s">
        <v>12</v>
      </c>
      <c r="P112" s="19">
        <v>6</v>
      </c>
      <c r="Q112" s="53">
        <v>139.5</v>
      </c>
      <c r="R112">
        <f>AVERAGE(Q112:Q119)</f>
        <v>138.5625</v>
      </c>
      <c r="S112">
        <f>STDEV(Q112:Q119)</f>
        <v>9.139543205215455</v>
      </c>
    </row>
    <row r="113" spans="1:19" x14ac:dyDescent="0.25">
      <c r="A113" t="s">
        <v>12</v>
      </c>
      <c r="B113" s="19">
        <v>4</v>
      </c>
      <c r="C113" s="53">
        <v>141</v>
      </c>
      <c r="H113" t="s">
        <v>12</v>
      </c>
      <c r="I113" s="19">
        <v>5</v>
      </c>
      <c r="J113" s="53">
        <v>147</v>
      </c>
      <c r="O113" t="s">
        <v>12</v>
      </c>
      <c r="P113" s="19">
        <v>6</v>
      </c>
      <c r="Q113" s="53">
        <v>126</v>
      </c>
    </row>
    <row r="114" spans="1:19" x14ac:dyDescent="0.25">
      <c r="A114" t="s">
        <v>12</v>
      </c>
      <c r="B114" s="19">
        <v>4</v>
      </c>
      <c r="C114" s="53">
        <v>139.5</v>
      </c>
      <c r="H114" t="s">
        <v>12</v>
      </c>
      <c r="I114" s="19">
        <v>5</v>
      </c>
      <c r="J114" s="53">
        <v>145.5</v>
      </c>
      <c r="O114" t="s">
        <v>12</v>
      </c>
      <c r="P114" s="19">
        <v>6</v>
      </c>
      <c r="Q114" s="53">
        <v>145.5</v>
      </c>
    </row>
    <row r="115" spans="1:19" x14ac:dyDescent="0.25">
      <c r="A115" t="s">
        <v>12</v>
      </c>
      <c r="B115" s="19">
        <v>4</v>
      </c>
      <c r="C115" s="53">
        <v>139.5</v>
      </c>
      <c r="H115" t="s">
        <v>12</v>
      </c>
      <c r="I115" s="19">
        <v>5</v>
      </c>
      <c r="J115" s="53">
        <v>141</v>
      </c>
      <c r="O115" t="s">
        <v>12</v>
      </c>
      <c r="P115" s="19">
        <v>6</v>
      </c>
      <c r="Q115" s="53">
        <v>145.5</v>
      </c>
    </row>
    <row r="116" spans="1:19" x14ac:dyDescent="0.25">
      <c r="A116" t="s">
        <v>12</v>
      </c>
      <c r="B116" s="19">
        <v>4</v>
      </c>
      <c r="C116" s="53">
        <v>148.5</v>
      </c>
      <c r="H116" t="s">
        <v>12</v>
      </c>
      <c r="I116" s="19">
        <v>5</v>
      </c>
      <c r="J116" s="53">
        <v>142.5</v>
      </c>
      <c r="O116" t="s">
        <v>12</v>
      </c>
      <c r="P116" s="19">
        <v>6</v>
      </c>
      <c r="Q116" s="53">
        <v>136.5</v>
      </c>
    </row>
    <row r="117" spans="1:19" x14ac:dyDescent="0.25">
      <c r="A117" t="s">
        <v>12</v>
      </c>
      <c r="B117" s="19">
        <v>4</v>
      </c>
      <c r="C117" s="53">
        <v>142.5</v>
      </c>
      <c r="H117" t="s">
        <v>12</v>
      </c>
      <c r="I117" s="19">
        <v>5</v>
      </c>
      <c r="J117" s="53">
        <v>144</v>
      </c>
      <c r="O117" t="s">
        <v>12</v>
      </c>
      <c r="P117" s="19">
        <v>6</v>
      </c>
      <c r="Q117" s="53">
        <v>153</v>
      </c>
    </row>
    <row r="118" spans="1:19" x14ac:dyDescent="0.25">
      <c r="A118" t="s">
        <v>12</v>
      </c>
      <c r="B118" s="19">
        <v>4</v>
      </c>
      <c r="C118" s="53">
        <v>148.5</v>
      </c>
      <c r="H118" t="s">
        <v>12</v>
      </c>
      <c r="I118" s="19">
        <v>5</v>
      </c>
      <c r="J118" s="53">
        <v>153</v>
      </c>
      <c r="O118" t="s">
        <v>12</v>
      </c>
      <c r="P118" s="19">
        <v>6</v>
      </c>
      <c r="Q118" s="53">
        <v>133.5</v>
      </c>
    </row>
    <row r="119" spans="1:19" x14ac:dyDescent="0.25">
      <c r="A119" t="s">
        <v>12</v>
      </c>
      <c r="B119" s="19">
        <v>4</v>
      </c>
      <c r="C119" s="53">
        <v>141</v>
      </c>
      <c r="H119" t="s">
        <v>12</v>
      </c>
      <c r="I119" s="19">
        <v>5</v>
      </c>
      <c r="J119" s="53">
        <v>150</v>
      </c>
      <c r="O119" t="s">
        <v>12</v>
      </c>
      <c r="P119" s="19">
        <v>6</v>
      </c>
      <c r="Q119" s="53">
        <v>129</v>
      </c>
    </row>
    <row r="120" spans="1:19" x14ac:dyDescent="0.25">
      <c r="A120" t="s">
        <v>13</v>
      </c>
      <c r="B120" s="19">
        <v>4</v>
      </c>
      <c r="C120" s="53">
        <v>150</v>
      </c>
      <c r="D120">
        <f>AVERAGE(C120:C127)</f>
        <v>141.9375</v>
      </c>
      <c r="E120">
        <f>STDEV(C120:C127)</f>
        <v>7.2132690231267542</v>
      </c>
      <c r="H120" t="s">
        <v>13</v>
      </c>
      <c r="I120" s="19">
        <v>5</v>
      </c>
      <c r="J120" s="53">
        <v>118.5</v>
      </c>
      <c r="K120" s="4">
        <f>AVERAGE(J120:J127)</f>
        <v>132.1875</v>
      </c>
      <c r="L120">
        <f>STDEV(J120:J127)</f>
        <v>13.306651129631161</v>
      </c>
      <c r="O120" t="s">
        <v>13</v>
      </c>
      <c r="P120" s="19">
        <v>6</v>
      </c>
      <c r="Q120" s="53">
        <v>127.5</v>
      </c>
      <c r="R120">
        <f>AVERAGE(Q120:Q127)</f>
        <v>135.5625</v>
      </c>
      <c r="S120">
        <f>STDEV(Q120:Q127)</f>
        <v>7.8122499959998724</v>
      </c>
    </row>
    <row r="121" spans="1:19" x14ac:dyDescent="0.25">
      <c r="A121" t="s">
        <v>13</v>
      </c>
      <c r="B121" s="19">
        <v>4</v>
      </c>
      <c r="C121" s="53">
        <v>135</v>
      </c>
      <c r="H121" t="s">
        <v>13</v>
      </c>
      <c r="I121" s="19">
        <v>5</v>
      </c>
      <c r="J121" s="53">
        <v>141</v>
      </c>
      <c r="O121" t="s">
        <v>13</v>
      </c>
      <c r="P121" s="19">
        <v>6</v>
      </c>
      <c r="Q121" s="53">
        <v>144</v>
      </c>
    </row>
    <row r="122" spans="1:19" x14ac:dyDescent="0.25">
      <c r="A122" t="s">
        <v>13</v>
      </c>
      <c r="B122" s="19">
        <v>4</v>
      </c>
      <c r="C122" s="53">
        <v>133.5</v>
      </c>
      <c r="H122" t="s">
        <v>13</v>
      </c>
      <c r="I122" s="19">
        <v>5</v>
      </c>
      <c r="J122" s="53">
        <v>118.5</v>
      </c>
      <c r="O122" t="s">
        <v>13</v>
      </c>
      <c r="P122" s="19">
        <v>6</v>
      </c>
      <c r="Q122" s="53">
        <v>130.5</v>
      </c>
    </row>
    <row r="123" spans="1:19" x14ac:dyDescent="0.25">
      <c r="A123" t="s">
        <v>13</v>
      </c>
      <c r="B123" s="19">
        <v>4</v>
      </c>
      <c r="C123" s="53">
        <v>150</v>
      </c>
      <c r="H123" t="s">
        <v>13</v>
      </c>
      <c r="I123" s="19">
        <v>5</v>
      </c>
      <c r="J123" s="53">
        <v>141</v>
      </c>
      <c r="O123" t="s">
        <v>13</v>
      </c>
      <c r="P123" s="19">
        <v>6</v>
      </c>
      <c r="Q123" s="53">
        <v>129</v>
      </c>
    </row>
    <row r="124" spans="1:19" x14ac:dyDescent="0.25">
      <c r="A124" t="s">
        <v>13</v>
      </c>
      <c r="B124" s="19">
        <v>4</v>
      </c>
      <c r="C124" s="53">
        <v>150</v>
      </c>
      <c r="H124" t="s">
        <v>13</v>
      </c>
      <c r="I124" s="19">
        <v>5</v>
      </c>
      <c r="J124" s="53">
        <v>144</v>
      </c>
      <c r="O124" t="s">
        <v>13</v>
      </c>
      <c r="P124" s="19">
        <v>6</v>
      </c>
      <c r="Q124" s="53">
        <v>136.5</v>
      </c>
    </row>
    <row r="125" spans="1:19" x14ac:dyDescent="0.25">
      <c r="A125" t="s">
        <v>13</v>
      </c>
      <c r="B125" s="19">
        <v>4</v>
      </c>
      <c r="C125" s="53">
        <v>141</v>
      </c>
      <c r="H125" t="s">
        <v>13</v>
      </c>
      <c r="I125" s="19">
        <v>5</v>
      </c>
      <c r="J125" s="53">
        <v>150</v>
      </c>
      <c r="O125" t="s">
        <v>13</v>
      </c>
      <c r="P125" s="19">
        <v>6</v>
      </c>
      <c r="Q125" s="53">
        <v>135</v>
      </c>
    </row>
    <row r="126" spans="1:19" x14ac:dyDescent="0.25">
      <c r="A126" t="s">
        <v>13</v>
      </c>
      <c r="B126" s="19">
        <v>4</v>
      </c>
      <c r="C126" s="53">
        <v>135</v>
      </c>
      <c r="H126" t="s">
        <v>13</v>
      </c>
      <c r="I126" s="19">
        <v>5</v>
      </c>
      <c r="J126" s="53">
        <v>127.5</v>
      </c>
      <c r="O126" t="s">
        <v>13</v>
      </c>
      <c r="P126" s="19">
        <v>6</v>
      </c>
      <c r="Q126" s="53">
        <v>132</v>
      </c>
    </row>
    <row r="127" spans="1:19" x14ac:dyDescent="0.25">
      <c r="A127" t="s">
        <v>13</v>
      </c>
      <c r="B127" s="19">
        <v>4</v>
      </c>
      <c r="C127" s="53">
        <v>141</v>
      </c>
      <c r="H127" t="s">
        <v>13</v>
      </c>
      <c r="I127" s="19">
        <v>5</v>
      </c>
      <c r="J127" s="53">
        <v>117</v>
      </c>
      <c r="O127" t="s">
        <v>13</v>
      </c>
      <c r="P127" s="19">
        <v>6</v>
      </c>
      <c r="Q127" s="53">
        <v>150</v>
      </c>
    </row>
    <row r="128" spans="1:19" x14ac:dyDescent="0.25">
      <c r="A128" t="s">
        <v>14</v>
      </c>
      <c r="B128" s="19">
        <v>4</v>
      </c>
      <c r="C128" s="53">
        <v>129</v>
      </c>
      <c r="D128">
        <f>AVERAGE(C128:C135)</f>
        <v>127.125</v>
      </c>
      <c r="E128">
        <f>STDEV(C128:C135)</f>
        <v>5.5404357745062409</v>
      </c>
      <c r="H128" t="s">
        <v>14</v>
      </c>
      <c r="I128" s="19">
        <v>5</v>
      </c>
      <c r="J128" s="53">
        <v>127.5</v>
      </c>
      <c r="K128" s="4">
        <f>AVERAGE(J128:J135)</f>
        <v>127.6875</v>
      </c>
      <c r="L128">
        <f>STDEV(J128:J135)</f>
        <v>7.666893112597827</v>
      </c>
      <c r="O128" t="s">
        <v>14</v>
      </c>
      <c r="P128" s="19">
        <v>6</v>
      </c>
      <c r="Q128" s="53">
        <v>147</v>
      </c>
      <c r="R128">
        <f>AVERAGE(Q128:Q135)</f>
        <v>136.125</v>
      </c>
      <c r="S128">
        <f>STDEV(Q128:Q135)</f>
        <v>9.4783588091127733</v>
      </c>
    </row>
    <row r="129" spans="1:19" x14ac:dyDescent="0.25">
      <c r="A129" t="s">
        <v>14</v>
      </c>
      <c r="B129" s="19">
        <v>4</v>
      </c>
      <c r="C129" s="53">
        <v>123</v>
      </c>
      <c r="H129" t="s">
        <v>14</v>
      </c>
      <c r="I129" s="19">
        <v>5</v>
      </c>
      <c r="J129" s="53">
        <v>120</v>
      </c>
      <c r="O129" t="s">
        <v>14</v>
      </c>
      <c r="P129" s="19">
        <v>6</v>
      </c>
      <c r="Q129" s="53">
        <v>142.5</v>
      </c>
    </row>
    <row r="130" spans="1:19" x14ac:dyDescent="0.25">
      <c r="A130" t="s">
        <v>14</v>
      </c>
      <c r="B130" s="19">
        <v>4</v>
      </c>
      <c r="C130" s="53">
        <v>133.5</v>
      </c>
      <c r="H130" t="s">
        <v>14</v>
      </c>
      <c r="I130" s="19">
        <v>5</v>
      </c>
      <c r="J130" s="53">
        <v>123</v>
      </c>
      <c r="O130" t="s">
        <v>14</v>
      </c>
      <c r="P130" s="19">
        <v>6</v>
      </c>
      <c r="Q130" s="53">
        <v>136.5</v>
      </c>
    </row>
    <row r="131" spans="1:19" x14ac:dyDescent="0.25">
      <c r="A131" t="s">
        <v>14</v>
      </c>
      <c r="B131" s="19">
        <v>4</v>
      </c>
      <c r="C131" s="53">
        <v>117</v>
      </c>
      <c r="H131" t="s">
        <v>14</v>
      </c>
      <c r="I131" s="19">
        <v>5</v>
      </c>
      <c r="J131" s="53">
        <v>138</v>
      </c>
      <c r="O131" t="s">
        <v>14</v>
      </c>
      <c r="P131" s="19">
        <v>6</v>
      </c>
      <c r="Q131" s="53">
        <v>129</v>
      </c>
    </row>
    <row r="132" spans="1:19" x14ac:dyDescent="0.25">
      <c r="A132" t="s">
        <v>14</v>
      </c>
      <c r="B132" s="19">
        <v>4</v>
      </c>
      <c r="C132" s="53">
        <v>133.5</v>
      </c>
      <c r="H132" t="s">
        <v>14</v>
      </c>
      <c r="I132" s="19">
        <v>5</v>
      </c>
      <c r="J132" s="53">
        <v>130.5</v>
      </c>
      <c r="O132" t="s">
        <v>14</v>
      </c>
      <c r="P132" s="19">
        <v>6</v>
      </c>
      <c r="Q132" s="53">
        <v>124.5</v>
      </c>
    </row>
    <row r="133" spans="1:19" x14ac:dyDescent="0.25">
      <c r="A133" t="s">
        <v>14</v>
      </c>
      <c r="B133" s="19">
        <v>4</v>
      </c>
      <c r="C133" s="53">
        <v>129</v>
      </c>
      <c r="H133" t="s">
        <v>14</v>
      </c>
      <c r="I133" s="19">
        <v>5</v>
      </c>
      <c r="J133" s="53">
        <v>115.5</v>
      </c>
      <c r="O133" t="s">
        <v>14</v>
      </c>
      <c r="P133" s="19">
        <v>6</v>
      </c>
      <c r="Q133" s="53">
        <v>123</v>
      </c>
    </row>
    <row r="134" spans="1:19" x14ac:dyDescent="0.25">
      <c r="A134" t="s">
        <v>14</v>
      </c>
      <c r="B134" s="19">
        <v>4</v>
      </c>
      <c r="C134" s="53">
        <v>127.5</v>
      </c>
      <c r="H134" t="s">
        <v>14</v>
      </c>
      <c r="I134" s="19">
        <v>5</v>
      </c>
      <c r="J134" s="53">
        <v>133.5</v>
      </c>
      <c r="O134" t="s">
        <v>14</v>
      </c>
      <c r="P134" s="19">
        <v>6</v>
      </c>
      <c r="Q134" s="53">
        <v>141</v>
      </c>
    </row>
    <row r="135" spans="1:19" x14ac:dyDescent="0.25">
      <c r="A135" t="s">
        <v>14</v>
      </c>
      <c r="B135" s="19">
        <v>4</v>
      </c>
      <c r="C135" s="53">
        <v>124.5</v>
      </c>
      <c r="H135" t="s">
        <v>14</v>
      </c>
      <c r="I135" s="19">
        <v>5</v>
      </c>
      <c r="J135" s="53">
        <v>133.5</v>
      </c>
      <c r="O135" t="s">
        <v>14</v>
      </c>
      <c r="P135" s="19">
        <v>6</v>
      </c>
      <c r="Q135" s="53">
        <v>145.5</v>
      </c>
    </row>
    <row r="136" spans="1:19" x14ac:dyDescent="0.25">
      <c r="A136" t="s">
        <v>15</v>
      </c>
      <c r="B136" s="19">
        <v>4</v>
      </c>
      <c r="C136" s="53">
        <v>126</v>
      </c>
      <c r="D136">
        <f>AVERAGE(C136:C143)</f>
        <v>130.5</v>
      </c>
      <c r="E136">
        <f>STDEV(C136:C143)</f>
        <v>2.7774602993176543</v>
      </c>
      <c r="H136" t="s">
        <v>15</v>
      </c>
      <c r="I136" s="19">
        <v>5</v>
      </c>
      <c r="J136" s="53">
        <v>136.5</v>
      </c>
      <c r="K136">
        <f>AVERAGE(J136:J143)</f>
        <v>134.625</v>
      </c>
      <c r="L136">
        <f>STDEV(J136:J143)</f>
        <v>9.410290719662779</v>
      </c>
      <c r="O136" t="s">
        <v>15</v>
      </c>
      <c r="P136" s="19">
        <v>6</v>
      </c>
      <c r="Q136" s="53">
        <v>121.5</v>
      </c>
      <c r="R136">
        <f>AVERAGE(Q136:Q143)</f>
        <v>122.4375</v>
      </c>
      <c r="S136">
        <f>STDEV(Q136:Q143)</f>
        <v>11.47804581426149</v>
      </c>
    </row>
    <row r="137" spans="1:19" x14ac:dyDescent="0.25">
      <c r="A137" t="s">
        <v>15</v>
      </c>
      <c r="B137" s="19">
        <v>4</v>
      </c>
      <c r="C137" s="53">
        <v>133.5</v>
      </c>
      <c r="H137" t="s">
        <v>15</v>
      </c>
      <c r="I137" s="19">
        <v>5</v>
      </c>
      <c r="J137" s="53">
        <v>147</v>
      </c>
      <c r="O137" t="s">
        <v>15</v>
      </c>
      <c r="P137" s="19">
        <v>6</v>
      </c>
      <c r="Q137" s="53">
        <v>145.5</v>
      </c>
    </row>
    <row r="138" spans="1:19" x14ac:dyDescent="0.25">
      <c r="A138" t="s">
        <v>15</v>
      </c>
      <c r="B138" s="19">
        <v>4</v>
      </c>
      <c r="C138" s="53">
        <v>132</v>
      </c>
      <c r="H138" t="s">
        <v>15</v>
      </c>
      <c r="I138" s="19">
        <v>5</v>
      </c>
      <c r="J138" s="53">
        <v>142.5</v>
      </c>
      <c r="O138" t="s">
        <v>15</v>
      </c>
      <c r="P138" s="19">
        <v>6</v>
      </c>
      <c r="Q138" s="53">
        <v>133.5</v>
      </c>
    </row>
    <row r="139" spans="1:19" x14ac:dyDescent="0.25">
      <c r="A139" t="s">
        <v>15</v>
      </c>
      <c r="B139" s="19">
        <v>4</v>
      </c>
      <c r="C139" s="53">
        <v>129</v>
      </c>
      <c r="H139" t="s">
        <v>15</v>
      </c>
      <c r="I139" s="19">
        <v>5</v>
      </c>
      <c r="J139" s="53">
        <v>136.5</v>
      </c>
      <c r="O139" t="s">
        <v>15</v>
      </c>
      <c r="P139" s="19">
        <v>6</v>
      </c>
      <c r="Q139" s="53">
        <v>121.5</v>
      </c>
    </row>
    <row r="140" spans="1:19" x14ac:dyDescent="0.25">
      <c r="A140" t="s">
        <v>15</v>
      </c>
      <c r="B140" s="19">
        <v>4</v>
      </c>
      <c r="C140" s="53">
        <v>132</v>
      </c>
      <c r="H140" t="s">
        <v>15</v>
      </c>
      <c r="I140" s="19">
        <v>5</v>
      </c>
      <c r="J140" s="53">
        <v>121.5</v>
      </c>
      <c r="O140" t="s">
        <v>15</v>
      </c>
      <c r="P140" s="19">
        <v>6</v>
      </c>
      <c r="Q140" s="53">
        <v>114</v>
      </c>
    </row>
    <row r="141" spans="1:19" x14ac:dyDescent="0.25">
      <c r="A141" t="s">
        <v>15</v>
      </c>
      <c r="B141" s="19">
        <v>4</v>
      </c>
      <c r="C141" s="53">
        <v>130.5</v>
      </c>
      <c r="H141" t="s">
        <v>15</v>
      </c>
      <c r="I141" s="19">
        <v>5</v>
      </c>
      <c r="J141" s="53">
        <v>135</v>
      </c>
      <c r="O141" t="s">
        <v>15</v>
      </c>
      <c r="P141" s="19">
        <v>6</v>
      </c>
      <c r="Q141" s="53">
        <v>115.5</v>
      </c>
    </row>
    <row r="142" spans="1:19" x14ac:dyDescent="0.25">
      <c r="A142" t="s">
        <v>15</v>
      </c>
      <c r="B142" s="19">
        <v>4</v>
      </c>
      <c r="C142" s="53">
        <v>133.5</v>
      </c>
      <c r="H142" t="s">
        <v>15</v>
      </c>
      <c r="I142" s="19">
        <v>5</v>
      </c>
      <c r="J142" s="53">
        <v>120</v>
      </c>
      <c r="O142" t="s">
        <v>15</v>
      </c>
      <c r="P142" s="19">
        <v>6</v>
      </c>
      <c r="Q142" s="53">
        <v>115.5</v>
      </c>
    </row>
    <row r="143" spans="1:19" x14ac:dyDescent="0.25">
      <c r="A143" t="s">
        <v>15</v>
      </c>
      <c r="B143" s="19">
        <v>4</v>
      </c>
      <c r="C143" s="53">
        <v>127.5</v>
      </c>
      <c r="H143" t="s">
        <v>15</v>
      </c>
      <c r="I143" s="19">
        <v>5</v>
      </c>
      <c r="J143" s="53">
        <v>138</v>
      </c>
      <c r="O143" t="s">
        <v>15</v>
      </c>
      <c r="P143" s="19">
        <v>6</v>
      </c>
      <c r="Q143" s="53">
        <v>112.5</v>
      </c>
    </row>
    <row r="144" spans="1:19" x14ac:dyDescent="0.25">
      <c r="A144" t="s">
        <v>16</v>
      </c>
      <c r="B144" s="19">
        <v>4</v>
      </c>
      <c r="C144" s="53">
        <v>133.5</v>
      </c>
      <c r="D144">
        <f>AVERAGE(C144:C151)</f>
        <v>136.125</v>
      </c>
      <c r="E144">
        <f>STDEV(C144:C151)</f>
        <v>5.7118298293979315</v>
      </c>
      <c r="H144" t="s">
        <v>16</v>
      </c>
      <c r="I144" s="19">
        <v>5</v>
      </c>
      <c r="J144" s="53">
        <v>133.5</v>
      </c>
      <c r="K144" s="18">
        <f>AVERAGE(J144:J151)</f>
        <v>148.5</v>
      </c>
      <c r="L144">
        <f>STDEV(J144:J151)</f>
        <v>11.47979591655332</v>
      </c>
      <c r="O144" t="s">
        <v>16</v>
      </c>
      <c r="P144" s="19">
        <v>6</v>
      </c>
      <c r="Q144" s="53">
        <v>121.5</v>
      </c>
      <c r="R144">
        <f>AVERAGE(Q144:Q151)</f>
        <v>115.875</v>
      </c>
      <c r="S144">
        <f>STDEV(Q144:Q151)</f>
        <v>12.046783803156758</v>
      </c>
    </row>
    <row r="145" spans="1:19" x14ac:dyDescent="0.25">
      <c r="A145" t="s">
        <v>16</v>
      </c>
      <c r="B145" s="19">
        <v>4</v>
      </c>
      <c r="C145" s="53">
        <v>127.5</v>
      </c>
      <c r="H145" t="s">
        <v>16</v>
      </c>
      <c r="I145" s="19">
        <v>5</v>
      </c>
      <c r="J145" s="53">
        <v>148.5</v>
      </c>
      <c r="O145" t="s">
        <v>16</v>
      </c>
      <c r="P145" s="19">
        <v>6</v>
      </c>
      <c r="Q145" s="53">
        <v>99</v>
      </c>
    </row>
    <row r="146" spans="1:19" x14ac:dyDescent="0.25">
      <c r="A146" t="s">
        <v>16</v>
      </c>
      <c r="B146" s="19">
        <v>4</v>
      </c>
      <c r="C146" s="53">
        <v>138</v>
      </c>
      <c r="H146" t="s">
        <v>16</v>
      </c>
      <c r="I146" s="19">
        <v>5</v>
      </c>
      <c r="J146" s="53">
        <v>151.5</v>
      </c>
      <c r="O146" t="s">
        <v>16</v>
      </c>
      <c r="P146" s="19">
        <v>6</v>
      </c>
      <c r="Q146" s="53">
        <v>109.5</v>
      </c>
    </row>
    <row r="147" spans="1:19" x14ac:dyDescent="0.25">
      <c r="A147" t="s">
        <v>16</v>
      </c>
      <c r="B147" s="19">
        <v>4</v>
      </c>
      <c r="C147" s="53">
        <v>138</v>
      </c>
      <c r="H147" t="s">
        <v>16</v>
      </c>
      <c r="I147" s="19">
        <v>5</v>
      </c>
      <c r="J147" s="53">
        <v>132</v>
      </c>
      <c r="O147" t="s">
        <v>16</v>
      </c>
      <c r="P147" s="19">
        <v>6</v>
      </c>
      <c r="Q147" s="53">
        <v>135</v>
      </c>
    </row>
    <row r="148" spans="1:19" x14ac:dyDescent="0.25">
      <c r="A148" t="s">
        <v>16</v>
      </c>
      <c r="B148" s="19">
        <v>4</v>
      </c>
      <c r="C148" s="53">
        <v>144</v>
      </c>
      <c r="H148" t="s">
        <v>16</v>
      </c>
      <c r="I148" s="19">
        <v>5</v>
      </c>
      <c r="J148" s="53">
        <v>160.5</v>
      </c>
      <c r="O148" t="s">
        <v>16</v>
      </c>
      <c r="P148" s="19">
        <v>6</v>
      </c>
      <c r="Q148" s="53">
        <v>109.5</v>
      </c>
    </row>
    <row r="149" spans="1:19" x14ac:dyDescent="0.25">
      <c r="A149" t="s">
        <v>16</v>
      </c>
      <c r="B149" s="19">
        <v>4</v>
      </c>
      <c r="C149" s="53">
        <v>129</v>
      </c>
      <c r="H149" t="s">
        <v>16</v>
      </c>
      <c r="I149" s="19">
        <v>5</v>
      </c>
      <c r="J149" s="53">
        <v>165</v>
      </c>
      <c r="O149" t="s">
        <v>16</v>
      </c>
      <c r="P149" s="19">
        <v>6</v>
      </c>
      <c r="Q149" s="53">
        <v>105</v>
      </c>
    </row>
    <row r="150" spans="1:19" x14ac:dyDescent="0.25">
      <c r="A150" t="s">
        <v>16</v>
      </c>
      <c r="B150" s="19">
        <v>4</v>
      </c>
      <c r="C150" s="53">
        <v>141</v>
      </c>
      <c r="H150" t="s">
        <v>16</v>
      </c>
      <c r="I150" s="19">
        <v>5</v>
      </c>
      <c r="J150" s="53">
        <v>148.5</v>
      </c>
      <c r="O150" t="s">
        <v>16</v>
      </c>
      <c r="P150" s="19">
        <v>6</v>
      </c>
      <c r="Q150" s="53">
        <v>126</v>
      </c>
    </row>
    <row r="151" spans="1:19" x14ac:dyDescent="0.25">
      <c r="A151" t="s">
        <v>16</v>
      </c>
      <c r="B151" s="19">
        <v>4</v>
      </c>
      <c r="C151" s="53">
        <v>138</v>
      </c>
      <c r="H151" t="s">
        <v>16</v>
      </c>
      <c r="I151" s="19">
        <v>5</v>
      </c>
      <c r="J151" s="53">
        <v>148.5</v>
      </c>
      <c r="O151" t="s">
        <v>16</v>
      </c>
      <c r="P151" s="19">
        <v>6</v>
      </c>
      <c r="Q151" s="53">
        <v>121.5</v>
      </c>
    </row>
    <row r="152" spans="1:19" x14ac:dyDescent="0.25">
      <c r="A152" t="s">
        <v>6</v>
      </c>
      <c r="B152" s="19">
        <v>4</v>
      </c>
      <c r="C152" s="53">
        <v>154.5</v>
      </c>
      <c r="D152">
        <f>AVERAGE(C152:C159)</f>
        <v>141.75</v>
      </c>
      <c r="E152">
        <f>STDEV(C152:C159)</f>
        <v>8.8196209831100045</v>
      </c>
      <c r="H152" t="s">
        <v>6</v>
      </c>
      <c r="I152" s="19">
        <v>5</v>
      </c>
      <c r="J152" s="53">
        <v>144</v>
      </c>
      <c r="K152" s="18">
        <f>AVERAGE(J152:J159)</f>
        <v>145.5</v>
      </c>
      <c r="L152">
        <f>STDEV(J152:J159)</f>
        <v>7.8966539025806908</v>
      </c>
      <c r="O152" t="s">
        <v>6</v>
      </c>
      <c r="P152" s="19">
        <v>6</v>
      </c>
      <c r="Q152" s="53">
        <v>144</v>
      </c>
      <c r="R152">
        <f>AVERAGE(Q152:Q159)</f>
        <v>150.5625</v>
      </c>
      <c r="S152">
        <f>STDEV(Q152:Q159)</f>
        <v>5.7782690191044974</v>
      </c>
    </row>
    <row r="153" spans="1:19" x14ac:dyDescent="0.25">
      <c r="A153" t="s">
        <v>6</v>
      </c>
      <c r="B153" s="19">
        <v>4</v>
      </c>
      <c r="C153" s="53">
        <v>145.5</v>
      </c>
      <c r="H153" t="s">
        <v>6</v>
      </c>
      <c r="I153" s="19">
        <v>5</v>
      </c>
      <c r="J153" s="53">
        <v>141</v>
      </c>
      <c r="O153" t="s">
        <v>6</v>
      </c>
      <c r="P153" s="19">
        <v>6</v>
      </c>
      <c r="Q153" s="53">
        <v>148.5</v>
      </c>
    </row>
    <row r="154" spans="1:19" x14ac:dyDescent="0.25">
      <c r="A154" t="s">
        <v>6</v>
      </c>
      <c r="B154" s="19">
        <v>4</v>
      </c>
      <c r="C154" s="53">
        <v>130.5</v>
      </c>
      <c r="H154" t="s">
        <v>6</v>
      </c>
      <c r="I154" s="19">
        <v>5</v>
      </c>
      <c r="J154" s="53">
        <v>142.5</v>
      </c>
      <c r="O154" t="s">
        <v>6</v>
      </c>
      <c r="P154" s="19">
        <v>6</v>
      </c>
      <c r="Q154" s="53">
        <v>142.5</v>
      </c>
    </row>
    <row r="155" spans="1:19" x14ac:dyDescent="0.25">
      <c r="A155" t="s">
        <v>6</v>
      </c>
      <c r="B155" s="19">
        <v>4</v>
      </c>
      <c r="C155" s="53">
        <v>139.5</v>
      </c>
      <c r="H155" t="s">
        <v>6</v>
      </c>
      <c r="I155" s="19">
        <v>5</v>
      </c>
      <c r="J155" s="53">
        <v>163.5</v>
      </c>
      <c r="O155" t="s">
        <v>6</v>
      </c>
      <c r="P155" s="19">
        <v>6</v>
      </c>
      <c r="Q155" s="53">
        <v>156</v>
      </c>
    </row>
    <row r="156" spans="1:19" x14ac:dyDescent="0.25">
      <c r="A156" t="s">
        <v>6</v>
      </c>
      <c r="B156" s="19">
        <v>4</v>
      </c>
      <c r="C156" s="53">
        <v>147</v>
      </c>
      <c r="H156" t="s">
        <v>6</v>
      </c>
      <c r="I156" s="19">
        <v>5</v>
      </c>
      <c r="J156" s="53">
        <v>139.5</v>
      </c>
      <c r="O156" t="s">
        <v>6</v>
      </c>
      <c r="P156" s="19">
        <v>6</v>
      </c>
      <c r="Q156" s="53">
        <v>154.5</v>
      </c>
    </row>
    <row r="157" spans="1:19" x14ac:dyDescent="0.25">
      <c r="A157" t="s">
        <v>6</v>
      </c>
      <c r="B157" s="19">
        <v>4</v>
      </c>
      <c r="C157" s="53">
        <v>132</v>
      </c>
      <c r="H157" t="s">
        <v>6</v>
      </c>
      <c r="I157" s="19">
        <v>5</v>
      </c>
      <c r="J157" s="53">
        <v>148.5</v>
      </c>
      <c r="O157" t="s">
        <v>6</v>
      </c>
      <c r="P157" s="19">
        <v>6</v>
      </c>
      <c r="Q157" s="53">
        <v>159</v>
      </c>
    </row>
    <row r="158" spans="1:19" x14ac:dyDescent="0.25">
      <c r="A158" t="s">
        <v>6</v>
      </c>
      <c r="B158" s="19">
        <v>4</v>
      </c>
      <c r="C158" s="53">
        <v>150</v>
      </c>
      <c r="H158" t="s">
        <v>6</v>
      </c>
      <c r="I158" s="19">
        <v>5</v>
      </c>
      <c r="J158" s="53">
        <v>139.5</v>
      </c>
      <c r="O158" t="s">
        <v>6</v>
      </c>
      <c r="P158" s="19">
        <v>6</v>
      </c>
      <c r="Q158" s="53">
        <v>151.5</v>
      </c>
    </row>
    <row r="159" spans="1:19" x14ac:dyDescent="0.25">
      <c r="A159" t="s">
        <v>6</v>
      </c>
      <c r="B159" s="19">
        <v>4</v>
      </c>
      <c r="C159" s="53">
        <v>135</v>
      </c>
      <c r="H159" t="s">
        <v>6</v>
      </c>
      <c r="I159" s="19">
        <v>5</v>
      </c>
      <c r="J159" s="53">
        <v>145.5</v>
      </c>
      <c r="O159" t="s">
        <v>6</v>
      </c>
      <c r="P159" s="19">
        <v>6</v>
      </c>
      <c r="Q159" s="53">
        <v>148.5</v>
      </c>
    </row>
    <row r="160" spans="1:19" x14ac:dyDescent="0.25">
      <c r="A160" t="s">
        <v>17</v>
      </c>
      <c r="B160" s="19">
        <v>4</v>
      </c>
      <c r="C160" s="53">
        <v>156</v>
      </c>
      <c r="D160">
        <f>AVERAGE(C160:C167)</f>
        <v>146.0625</v>
      </c>
      <c r="E160">
        <f>STDEV(C160:C167)</f>
        <v>8.0153312916114512</v>
      </c>
      <c r="H160" t="s">
        <v>17</v>
      </c>
      <c r="I160" s="19">
        <v>5</v>
      </c>
      <c r="J160" s="53">
        <v>153</v>
      </c>
      <c r="K160" s="4">
        <f>AVERAGE(J160:J167)</f>
        <v>155.4375</v>
      </c>
      <c r="L160">
        <f>STDEV(J160:J167)</f>
        <v>6.6570987889405915</v>
      </c>
      <c r="O160" t="s">
        <v>17</v>
      </c>
      <c r="P160" s="19">
        <v>6</v>
      </c>
      <c r="Q160" s="53">
        <v>147</v>
      </c>
      <c r="R160">
        <f>AVERAGE(Q160:Q167)</f>
        <v>146.625</v>
      </c>
      <c r="S160">
        <f>STDEV(Q160:Q167)</f>
        <v>5.2423413525964575</v>
      </c>
    </row>
    <row r="161" spans="1:19" x14ac:dyDescent="0.25">
      <c r="A161" t="s">
        <v>17</v>
      </c>
      <c r="B161" s="19">
        <v>4</v>
      </c>
      <c r="C161" s="53">
        <v>151.5</v>
      </c>
      <c r="H161" t="s">
        <v>17</v>
      </c>
      <c r="I161" s="19">
        <v>5</v>
      </c>
      <c r="J161" s="53">
        <v>168</v>
      </c>
      <c r="O161" t="s">
        <v>17</v>
      </c>
      <c r="P161" s="19">
        <v>6</v>
      </c>
      <c r="Q161" s="53">
        <v>147</v>
      </c>
    </row>
    <row r="162" spans="1:19" x14ac:dyDescent="0.25">
      <c r="A162" t="s">
        <v>17</v>
      </c>
      <c r="B162" s="19">
        <v>4</v>
      </c>
      <c r="C162" s="53">
        <v>132</v>
      </c>
      <c r="H162" t="s">
        <v>17</v>
      </c>
      <c r="I162" s="19">
        <v>5</v>
      </c>
      <c r="J162" s="53">
        <v>148.5</v>
      </c>
      <c r="O162" t="s">
        <v>17</v>
      </c>
      <c r="P162" s="19">
        <v>6</v>
      </c>
      <c r="Q162" s="53">
        <v>139.5</v>
      </c>
    </row>
    <row r="163" spans="1:19" x14ac:dyDescent="0.25">
      <c r="A163" t="s">
        <v>17</v>
      </c>
      <c r="B163" s="19">
        <v>4</v>
      </c>
      <c r="C163" s="53">
        <v>136.5</v>
      </c>
      <c r="H163" t="s">
        <v>17</v>
      </c>
      <c r="I163" s="19">
        <v>5</v>
      </c>
      <c r="J163" s="53">
        <v>153</v>
      </c>
      <c r="O163" t="s">
        <v>17</v>
      </c>
      <c r="P163" s="19">
        <v>6</v>
      </c>
      <c r="Q163" s="53">
        <v>157.5</v>
      </c>
    </row>
    <row r="164" spans="1:19" x14ac:dyDescent="0.25">
      <c r="A164" t="s">
        <v>17</v>
      </c>
      <c r="B164" s="19">
        <v>4</v>
      </c>
      <c r="C164" s="53">
        <v>147</v>
      </c>
      <c r="H164" t="s">
        <v>17</v>
      </c>
      <c r="I164" s="19">
        <v>5</v>
      </c>
      <c r="J164" s="53">
        <v>156</v>
      </c>
      <c r="O164" t="s">
        <v>17</v>
      </c>
      <c r="P164" s="19">
        <v>6</v>
      </c>
      <c r="Q164" s="53">
        <v>145.5</v>
      </c>
    </row>
    <row r="165" spans="1:19" x14ac:dyDescent="0.25">
      <c r="A165" t="s">
        <v>17</v>
      </c>
      <c r="B165" s="19">
        <v>4</v>
      </c>
      <c r="C165" s="53">
        <v>145.5</v>
      </c>
      <c r="H165" t="s">
        <v>17</v>
      </c>
      <c r="I165" s="19">
        <v>5</v>
      </c>
      <c r="J165" s="53">
        <v>162</v>
      </c>
      <c r="O165" t="s">
        <v>17</v>
      </c>
      <c r="P165" s="19">
        <v>6</v>
      </c>
      <c r="Q165" s="53">
        <v>142.5</v>
      </c>
    </row>
    <row r="166" spans="1:19" x14ac:dyDescent="0.25">
      <c r="A166" t="s">
        <v>17</v>
      </c>
      <c r="B166" s="19">
        <v>4</v>
      </c>
      <c r="C166" s="53">
        <v>150</v>
      </c>
      <c r="H166" t="s">
        <v>17</v>
      </c>
      <c r="I166" s="19">
        <v>5</v>
      </c>
      <c r="J166" s="53">
        <v>154.5</v>
      </c>
      <c r="O166" t="s">
        <v>17</v>
      </c>
      <c r="P166" s="19">
        <v>6</v>
      </c>
      <c r="Q166" s="53">
        <v>145.5</v>
      </c>
    </row>
    <row r="167" spans="1:19" x14ac:dyDescent="0.25">
      <c r="A167" t="s">
        <v>17</v>
      </c>
      <c r="B167" s="19">
        <v>4</v>
      </c>
      <c r="C167" s="53">
        <v>150</v>
      </c>
      <c r="H167" t="s">
        <v>17</v>
      </c>
      <c r="I167" s="19">
        <v>5</v>
      </c>
      <c r="J167" s="53">
        <v>148.5</v>
      </c>
      <c r="O167" t="s">
        <v>17</v>
      </c>
      <c r="P167" s="19">
        <v>6</v>
      </c>
      <c r="Q167" s="53">
        <v>148.5</v>
      </c>
    </row>
    <row r="168" spans="1:19" x14ac:dyDescent="0.25">
      <c r="A168" t="s">
        <v>19</v>
      </c>
      <c r="B168" s="19">
        <v>4</v>
      </c>
      <c r="C168" s="53">
        <v>136.5</v>
      </c>
      <c r="D168">
        <f>AVERAGE(C168:C175)</f>
        <v>131.625</v>
      </c>
      <c r="E168">
        <f>STDEV(C168:C175)</f>
        <v>7.2049090407661831</v>
      </c>
      <c r="H168" t="s">
        <v>19</v>
      </c>
      <c r="I168" s="19">
        <v>5</v>
      </c>
      <c r="J168" s="53">
        <v>141</v>
      </c>
      <c r="K168">
        <f>AVERAGE(J168:J175)</f>
        <v>135.375</v>
      </c>
      <c r="L168">
        <f>STDEV(J168:J175)</f>
        <v>5.3635675760502117</v>
      </c>
      <c r="O168" t="s">
        <v>19</v>
      </c>
      <c r="P168" s="19">
        <v>6</v>
      </c>
      <c r="Q168" s="53">
        <v>126</v>
      </c>
      <c r="R168">
        <f>AVERAGE(Q168:Q175)</f>
        <v>130.125</v>
      </c>
      <c r="S168">
        <f>STDEV(Q168:Q175)</f>
        <v>6.0400449383380295</v>
      </c>
    </row>
    <row r="169" spans="1:19" x14ac:dyDescent="0.25">
      <c r="A169" t="s">
        <v>19</v>
      </c>
      <c r="B169" s="19">
        <v>4</v>
      </c>
      <c r="C169" s="53">
        <v>135</v>
      </c>
      <c r="H169" t="s">
        <v>19</v>
      </c>
      <c r="I169" s="19">
        <v>5</v>
      </c>
      <c r="J169" s="53">
        <v>132</v>
      </c>
      <c r="O169" t="s">
        <v>19</v>
      </c>
      <c r="P169" s="19">
        <v>6</v>
      </c>
      <c r="Q169" s="53">
        <v>135</v>
      </c>
    </row>
    <row r="170" spans="1:19" x14ac:dyDescent="0.25">
      <c r="A170" t="s">
        <v>19</v>
      </c>
      <c r="B170" s="19">
        <v>4</v>
      </c>
      <c r="C170" s="53">
        <v>124.5</v>
      </c>
      <c r="H170" t="s">
        <v>19</v>
      </c>
      <c r="I170" s="19">
        <v>5</v>
      </c>
      <c r="J170" s="53">
        <v>142.5</v>
      </c>
      <c r="O170" t="s">
        <v>19</v>
      </c>
      <c r="P170" s="19">
        <v>6</v>
      </c>
      <c r="Q170" s="53">
        <v>121.5</v>
      </c>
    </row>
    <row r="171" spans="1:19" x14ac:dyDescent="0.25">
      <c r="A171" t="s">
        <v>19</v>
      </c>
      <c r="B171" s="19">
        <v>4</v>
      </c>
      <c r="C171" s="53">
        <v>136.5</v>
      </c>
      <c r="H171" t="s">
        <v>19</v>
      </c>
      <c r="I171" s="19">
        <v>5</v>
      </c>
      <c r="J171" s="53">
        <v>132</v>
      </c>
      <c r="O171" t="s">
        <v>19</v>
      </c>
      <c r="P171" s="19">
        <v>6</v>
      </c>
      <c r="Q171" s="53">
        <v>129</v>
      </c>
    </row>
    <row r="172" spans="1:19" x14ac:dyDescent="0.25">
      <c r="A172" t="s">
        <v>19</v>
      </c>
      <c r="B172" s="19">
        <v>4</v>
      </c>
      <c r="C172" s="53">
        <v>121.5</v>
      </c>
      <c r="H172" t="s">
        <v>19</v>
      </c>
      <c r="I172" s="19">
        <v>5</v>
      </c>
      <c r="J172" s="53">
        <v>141</v>
      </c>
      <c r="O172" t="s">
        <v>19</v>
      </c>
      <c r="P172" s="19">
        <v>6</v>
      </c>
      <c r="Q172" s="53">
        <v>135</v>
      </c>
    </row>
    <row r="173" spans="1:19" x14ac:dyDescent="0.25">
      <c r="A173" t="s">
        <v>19</v>
      </c>
      <c r="B173" s="19">
        <v>4</v>
      </c>
      <c r="C173" s="53">
        <v>126</v>
      </c>
      <c r="H173" t="s">
        <v>19</v>
      </c>
      <c r="I173" s="19">
        <v>5</v>
      </c>
      <c r="J173" s="53">
        <v>129</v>
      </c>
      <c r="O173" t="s">
        <v>19</v>
      </c>
      <c r="P173" s="19">
        <v>6</v>
      </c>
      <c r="Q173" s="53">
        <v>136.5</v>
      </c>
    </row>
    <row r="174" spans="1:19" x14ac:dyDescent="0.25">
      <c r="A174" t="s">
        <v>19</v>
      </c>
      <c r="B174" s="19">
        <v>4</v>
      </c>
      <c r="C174" s="53">
        <v>130.5</v>
      </c>
      <c r="H174" t="s">
        <v>19</v>
      </c>
      <c r="I174" s="19">
        <v>5</v>
      </c>
      <c r="J174" s="53">
        <v>130.5</v>
      </c>
      <c r="O174" t="s">
        <v>19</v>
      </c>
      <c r="P174" s="19">
        <v>6</v>
      </c>
      <c r="Q174" s="53">
        <v>135</v>
      </c>
    </row>
    <row r="175" spans="1:19" x14ac:dyDescent="0.25">
      <c r="A175" t="s">
        <v>19</v>
      </c>
      <c r="B175" s="19">
        <v>4</v>
      </c>
      <c r="C175" s="53">
        <v>142.5</v>
      </c>
      <c r="H175" t="s">
        <v>19</v>
      </c>
      <c r="I175" s="19">
        <v>5</v>
      </c>
      <c r="J175" s="53">
        <v>135</v>
      </c>
      <c r="O175" t="s">
        <v>19</v>
      </c>
      <c r="P175" s="19">
        <v>6</v>
      </c>
      <c r="Q175" s="53">
        <v>123</v>
      </c>
    </row>
    <row r="177" spans="1:30" x14ac:dyDescent="0.25">
      <c r="A177" s="22"/>
      <c r="B177" s="23"/>
      <c r="C177" s="23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9" spans="1:30" x14ac:dyDescent="0.25">
      <c r="A179" s="69" t="s">
        <v>41</v>
      </c>
      <c r="B179" s="19"/>
      <c r="C179" s="19"/>
    </row>
    <row r="180" spans="1:30" x14ac:dyDescent="0.25">
      <c r="B180" s="19"/>
      <c r="C180" s="19"/>
    </row>
    <row r="181" spans="1:30" x14ac:dyDescent="0.25">
      <c r="A181" s="62" t="s">
        <v>53</v>
      </c>
      <c r="B181" s="62" t="s">
        <v>8</v>
      </c>
      <c r="C181" s="63" t="s">
        <v>11</v>
      </c>
      <c r="D181" s="62" t="s">
        <v>9</v>
      </c>
      <c r="E181" s="62" t="s">
        <v>18</v>
      </c>
    </row>
    <row r="182" spans="1:30" x14ac:dyDescent="0.25">
      <c r="A182" s="62"/>
      <c r="B182" s="62"/>
      <c r="C182" s="63"/>
      <c r="D182" s="62"/>
      <c r="E182" s="62"/>
    </row>
    <row r="183" spans="1:30" x14ac:dyDescent="0.25">
      <c r="A183" t="s">
        <v>27</v>
      </c>
      <c r="B183" s="7">
        <v>1</v>
      </c>
      <c r="C183" s="53">
        <v>139.5</v>
      </c>
      <c r="D183" s="4">
        <f>AVERAGE(C183:C190)</f>
        <v>143.625</v>
      </c>
      <c r="E183" s="4">
        <f>STDEV(C183:C190)</f>
        <v>5.5981502046913425</v>
      </c>
      <c r="I183" s="19"/>
      <c r="J183" s="19"/>
      <c r="Q183" s="19"/>
      <c r="R183" s="19"/>
    </row>
    <row r="184" spans="1:30" x14ac:dyDescent="0.25">
      <c r="A184" t="s">
        <v>27</v>
      </c>
      <c r="B184" s="19">
        <v>1</v>
      </c>
      <c r="C184" s="53">
        <v>147</v>
      </c>
      <c r="D184" s="4"/>
      <c r="E184" s="4"/>
      <c r="I184" s="19"/>
      <c r="J184" s="19"/>
      <c r="Q184" s="19"/>
      <c r="R184" s="19"/>
    </row>
    <row r="185" spans="1:30" x14ac:dyDescent="0.25">
      <c r="A185" t="s">
        <v>27</v>
      </c>
      <c r="B185" s="19">
        <v>1</v>
      </c>
      <c r="C185" s="53">
        <v>144</v>
      </c>
      <c r="D185" s="4"/>
      <c r="E185" s="4"/>
      <c r="I185" s="19"/>
      <c r="J185" s="19"/>
      <c r="Q185" s="19"/>
      <c r="R185" s="19"/>
    </row>
    <row r="186" spans="1:30" x14ac:dyDescent="0.25">
      <c r="A186" t="s">
        <v>27</v>
      </c>
      <c r="B186" s="19">
        <v>1</v>
      </c>
      <c r="C186" s="53">
        <v>144</v>
      </c>
      <c r="D186" s="4"/>
      <c r="E186" s="4"/>
      <c r="I186" s="19"/>
      <c r="J186" s="19"/>
      <c r="Q186" s="19"/>
      <c r="R186" s="19"/>
    </row>
    <row r="187" spans="1:30" x14ac:dyDescent="0.25">
      <c r="A187" t="s">
        <v>27</v>
      </c>
      <c r="B187" s="19">
        <v>1</v>
      </c>
      <c r="C187" s="53">
        <v>145.5</v>
      </c>
      <c r="D187" s="4"/>
      <c r="E187" s="4"/>
      <c r="I187" s="19"/>
      <c r="J187" s="19"/>
      <c r="Q187" s="19"/>
      <c r="R187" s="19"/>
    </row>
    <row r="188" spans="1:30" x14ac:dyDescent="0.25">
      <c r="A188" t="s">
        <v>27</v>
      </c>
      <c r="B188" s="19">
        <v>1</v>
      </c>
      <c r="C188" s="53">
        <v>147</v>
      </c>
      <c r="D188" s="4"/>
      <c r="E188" s="4"/>
      <c r="I188" s="19"/>
      <c r="J188" s="19"/>
      <c r="Q188" s="19"/>
      <c r="R188" s="19"/>
    </row>
    <row r="189" spans="1:30" x14ac:dyDescent="0.25">
      <c r="A189" t="s">
        <v>27</v>
      </c>
      <c r="B189" s="19">
        <v>1</v>
      </c>
      <c r="C189" s="53">
        <v>150</v>
      </c>
      <c r="D189" s="4"/>
      <c r="E189" s="4"/>
      <c r="I189" s="19"/>
      <c r="J189" s="19"/>
      <c r="Q189" s="19"/>
      <c r="R189" s="19"/>
    </row>
    <row r="190" spans="1:30" x14ac:dyDescent="0.25">
      <c r="A190" t="s">
        <v>23</v>
      </c>
      <c r="B190" s="19">
        <v>1</v>
      </c>
      <c r="C190" s="53">
        <v>132</v>
      </c>
      <c r="D190" s="4"/>
      <c r="E190" s="4"/>
      <c r="I190" s="19"/>
      <c r="J190" s="19"/>
      <c r="Q190" s="19"/>
      <c r="R190" s="19"/>
    </row>
    <row r="191" spans="1:30" x14ac:dyDescent="0.25">
      <c r="A191" t="s">
        <v>23</v>
      </c>
      <c r="B191" s="19">
        <v>1</v>
      </c>
      <c r="C191" s="19" t="s">
        <v>4</v>
      </c>
      <c r="D191" s="20" t="s">
        <v>4</v>
      </c>
      <c r="E191" s="20" t="s">
        <v>4</v>
      </c>
      <c r="I191" s="19"/>
      <c r="J191" s="19"/>
      <c r="Q191" s="19"/>
      <c r="R191" s="19"/>
    </row>
    <row r="192" spans="1:30" x14ac:dyDescent="0.25">
      <c r="A192" t="s">
        <v>23</v>
      </c>
      <c r="B192" s="19">
        <v>1</v>
      </c>
      <c r="C192" s="19" t="s">
        <v>4</v>
      </c>
      <c r="D192" s="4"/>
      <c r="E192" s="4"/>
      <c r="I192" s="19"/>
      <c r="J192" s="19"/>
      <c r="Q192" s="19"/>
      <c r="R192" s="19"/>
    </row>
    <row r="193" spans="1:18" x14ac:dyDescent="0.25">
      <c r="A193" t="s">
        <v>23</v>
      </c>
      <c r="B193" s="19">
        <v>1</v>
      </c>
      <c r="C193" s="19" t="s">
        <v>4</v>
      </c>
      <c r="D193" s="4"/>
      <c r="E193" s="4"/>
      <c r="I193" s="19"/>
      <c r="J193" s="19"/>
      <c r="Q193" s="19"/>
      <c r="R193" s="19"/>
    </row>
    <row r="194" spans="1:18" x14ac:dyDescent="0.25">
      <c r="A194" t="s">
        <v>23</v>
      </c>
      <c r="B194" s="19">
        <v>1</v>
      </c>
      <c r="C194" s="19" t="s">
        <v>4</v>
      </c>
      <c r="D194" s="4"/>
      <c r="E194" s="4"/>
      <c r="I194" s="19"/>
      <c r="J194" s="19"/>
      <c r="Q194" s="19"/>
      <c r="R194" s="19"/>
    </row>
    <row r="195" spans="1:18" x14ac:dyDescent="0.25">
      <c r="A195" t="s">
        <v>23</v>
      </c>
      <c r="B195" s="19">
        <v>1</v>
      </c>
      <c r="C195" s="19" t="s">
        <v>4</v>
      </c>
      <c r="D195" s="4"/>
      <c r="E195" s="4"/>
      <c r="I195" s="19"/>
      <c r="J195" s="19"/>
      <c r="Q195" s="19"/>
      <c r="R195" s="19"/>
    </row>
    <row r="196" spans="1:18" x14ac:dyDescent="0.25">
      <c r="A196" t="s">
        <v>23</v>
      </c>
      <c r="B196" s="19">
        <v>1</v>
      </c>
      <c r="C196" s="19" t="s">
        <v>4</v>
      </c>
      <c r="D196" s="4"/>
      <c r="E196" s="4"/>
      <c r="I196" s="19"/>
      <c r="J196" s="19"/>
      <c r="Q196" s="19"/>
      <c r="R196" s="19"/>
    </row>
    <row r="197" spans="1:18" x14ac:dyDescent="0.25">
      <c r="A197" t="s">
        <v>23</v>
      </c>
      <c r="B197" s="19">
        <v>1</v>
      </c>
      <c r="C197" s="19" t="s">
        <v>4</v>
      </c>
      <c r="D197" s="4"/>
      <c r="E197" s="4"/>
      <c r="I197" s="19"/>
      <c r="J197" s="19"/>
      <c r="Q197" s="19"/>
      <c r="R197" s="19"/>
    </row>
    <row r="198" spans="1:18" x14ac:dyDescent="0.25">
      <c r="A198" t="s">
        <v>23</v>
      </c>
      <c r="B198" s="19">
        <v>1</v>
      </c>
      <c r="C198" s="19" t="s">
        <v>4</v>
      </c>
      <c r="D198" s="4"/>
      <c r="E198" s="4"/>
      <c r="I198" s="19"/>
      <c r="J198" s="19"/>
      <c r="Q198" s="19"/>
      <c r="R198" s="19"/>
    </row>
    <row r="199" spans="1:18" x14ac:dyDescent="0.25">
      <c r="A199" t="s">
        <v>29</v>
      </c>
      <c r="B199" s="19">
        <v>1</v>
      </c>
      <c r="C199" s="19" t="s">
        <v>4</v>
      </c>
      <c r="D199" s="20" t="s">
        <v>4</v>
      </c>
      <c r="E199" s="20" t="s">
        <v>4</v>
      </c>
      <c r="I199" s="19"/>
      <c r="J199" s="19"/>
      <c r="Q199" s="19"/>
      <c r="R199" s="19"/>
    </row>
    <row r="200" spans="1:18" x14ac:dyDescent="0.25">
      <c r="A200" t="s">
        <v>29</v>
      </c>
      <c r="B200" s="19">
        <v>1</v>
      </c>
      <c r="C200" s="19" t="s">
        <v>4</v>
      </c>
      <c r="D200" s="4"/>
      <c r="E200" s="4"/>
      <c r="I200" s="19"/>
      <c r="J200" s="19"/>
      <c r="Q200" s="19"/>
      <c r="R200" s="19"/>
    </row>
    <row r="201" spans="1:18" x14ac:dyDescent="0.25">
      <c r="A201" t="s">
        <v>29</v>
      </c>
      <c r="B201" s="19">
        <v>1</v>
      </c>
      <c r="C201" s="19" t="s">
        <v>4</v>
      </c>
      <c r="D201" s="4"/>
      <c r="E201" s="4"/>
      <c r="I201" s="19"/>
      <c r="J201" s="19"/>
      <c r="Q201" s="19"/>
      <c r="R201" s="19"/>
    </row>
    <row r="202" spans="1:18" x14ac:dyDescent="0.25">
      <c r="A202" t="s">
        <v>29</v>
      </c>
      <c r="B202" s="19">
        <v>1</v>
      </c>
      <c r="C202" s="19" t="s">
        <v>4</v>
      </c>
      <c r="D202" s="4"/>
      <c r="E202" s="4"/>
      <c r="I202" s="19"/>
      <c r="J202" s="19"/>
      <c r="Q202" s="19"/>
      <c r="R202" s="19"/>
    </row>
    <row r="203" spans="1:18" x14ac:dyDescent="0.25">
      <c r="A203" t="s">
        <v>29</v>
      </c>
      <c r="B203" s="19">
        <v>1</v>
      </c>
      <c r="C203" s="19" t="s">
        <v>4</v>
      </c>
      <c r="D203" s="4"/>
      <c r="E203" s="4"/>
      <c r="I203" s="19"/>
      <c r="J203" s="19"/>
      <c r="Q203" s="19"/>
      <c r="R203" s="19"/>
    </row>
    <row r="204" spans="1:18" x14ac:dyDescent="0.25">
      <c r="A204" t="s">
        <v>29</v>
      </c>
      <c r="B204" s="19">
        <v>1</v>
      </c>
      <c r="C204" s="19" t="s">
        <v>4</v>
      </c>
      <c r="D204" s="4"/>
      <c r="E204" s="4"/>
      <c r="I204" s="19"/>
      <c r="J204" s="19"/>
      <c r="Q204" s="19"/>
      <c r="R204" s="19"/>
    </row>
    <row r="205" spans="1:18" x14ac:dyDescent="0.25">
      <c r="A205" t="s">
        <v>29</v>
      </c>
      <c r="B205" s="19">
        <v>1</v>
      </c>
      <c r="C205" s="19" t="s">
        <v>4</v>
      </c>
      <c r="D205" s="4"/>
      <c r="E205" s="4"/>
      <c r="I205" s="19"/>
      <c r="J205" s="19"/>
      <c r="Q205" s="19"/>
      <c r="R205" s="19"/>
    </row>
    <row r="206" spans="1:18" x14ac:dyDescent="0.25">
      <c r="A206" t="s">
        <v>29</v>
      </c>
      <c r="B206" s="19">
        <v>1</v>
      </c>
      <c r="C206" s="19" t="s">
        <v>4</v>
      </c>
      <c r="D206" s="4"/>
      <c r="E206" s="4"/>
      <c r="I206" s="19"/>
      <c r="J206" s="19"/>
      <c r="Q206" s="19"/>
      <c r="R206" s="19"/>
    </row>
    <row r="207" spans="1:18" x14ac:dyDescent="0.25">
      <c r="A207" t="s">
        <v>24</v>
      </c>
      <c r="B207" s="19">
        <v>1</v>
      </c>
      <c r="C207" s="53">
        <v>142.5</v>
      </c>
      <c r="D207" s="4">
        <f>AVERAGE(C207:C214)</f>
        <v>148.3125</v>
      </c>
      <c r="E207" s="4">
        <f>STDEV(C207:C214)</f>
        <v>5.694216991198803</v>
      </c>
      <c r="I207" s="19"/>
      <c r="J207" s="19"/>
      <c r="Q207" s="19"/>
      <c r="R207" s="19"/>
    </row>
    <row r="208" spans="1:18" x14ac:dyDescent="0.25">
      <c r="A208" t="s">
        <v>24</v>
      </c>
      <c r="B208" s="19">
        <v>1</v>
      </c>
      <c r="C208" s="53">
        <v>148.5</v>
      </c>
      <c r="D208" s="4"/>
      <c r="E208" s="4"/>
      <c r="I208" s="19"/>
      <c r="J208" s="19"/>
      <c r="Q208" s="19"/>
      <c r="R208" s="19"/>
    </row>
    <row r="209" spans="1:18" x14ac:dyDescent="0.25">
      <c r="A209" t="s">
        <v>24</v>
      </c>
      <c r="B209" s="19">
        <v>1</v>
      </c>
      <c r="C209" s="53">
        <v>159</v>
      </c>
      <c r="D209" s="4"/>
      <c r="E209" s="4"/>
      <c r="I209" s="19"/>
      <c r="J209" s="19"/>
      <c r="Q209" s="19"/>
      <c r="R209" s="19"/>
    </row>
    <row r="210" spans="1:18" x14ac:dyDescent="0.25">
      <c r="A210" t="s">
        <v>24</v>
      </c>
      <c r="B210" s="19">
        <v>1</v>
      </c>
      <c r="C210" s="53">
        <v>144</v>
      </c>
      <c r="D210" s="4"/>
      <c r="E210" s="4"/>
      <c r="I210" s="19"/>
      <c r="J210" s="19"/>
      <c r="Q210" s="19"/>
      <c r="R210" s="19"/>
    </row>
    <row r="211" spans="1:18" x14ac:dyDescent="0.25">
      <c r="A211" t="s">
        <v>24</v>
      </c>
      <c r="B211" s="19">
        <v>1</v>
      </c>
      <c r="C211" s="53">
        <v>147</v>
      </c>
      <c r="D211" s="4"/>
      <c r="E211" s="4"/>
      <c r="I211" s="19"/>
      <c r="J211" s="19"/>
      <c r="Q211" s="19"/>
      <c r="R211" s="19"/>
    </row>
    <row r="212" spans="1:18" x14ac:dyDescent="0.25">
      <c r="A212" t="s">
        <v>24</v>
      </c>
      <c r="B212" s="19">
        <v>1</v>
      </c>
      <c r="C212" s="53">
        <v>150</v>
      </c>
      <c r="D212" s="4"/>
      <c r="E212" s="4"/>
      <c r="I212" s="19"/>
      <c r="J212" s="19"/>
      <c r="Q212" s="19"/>
      <c r="R212" s="19"/>
    </row>
    <row r="213" spans="1:18" x14ac:dyDescent="0.25">
      <c r="A213" t="s">
        <v>24</v>
      </c>
      <c r="B213" s="19">
        <v>1</v>
      </c>
      <c r="C213" s="53">
        <v>153</v>
      </c>
      <c r="D213" s="4"/>
      <c r="E213" s="4"/>
      <c r="I213" s="19"/>
      <c r="J213" s="19"/>
      <c r="Q213" s="19"/>
      <c r="R213" s="19"/>
    </row>
    <row r="214" spans="1:18" x14ac:dyDescent="0.25">
      <c r="A214" t="s">
        <v>24</v>
      </c>
      <c r="B214" s="19">
        <v>1</v>
      </c>
      <c r="C214" s="53">
        <v>142.5</v>
      </c>
      <c r="D214" s="4"/>
      <c r="E214" s="4"/>
      <c r="I214" s="19"/>
      <c r="J214" s="19"/>
      <c r="Q214" s="19"/>
      <c r="R214" s="19"/>
    </row>
    <row r="215" spans="1:18" x14ac:dyDescent="0.25">
      <c r="A215" t="s">
        <v>30</v>
      </c>
      <c r="B215" s="19">
        <v>1</v>
      </c>
      <c r="C215" s="53">
        <v>163.5</v>
      </c>
      <c r="D215" s="4">
        <f>AVERAGE(C215:C222)</f>
        <v>147.375</v>
      </c>
      <c r="E215" s="4">
        <f>STDEV(C215:C222)</f>
        <v>7.8045316506318487</v>
      </c>
      <c r="I215" s="19"/>
      <c r="J215" s="19"/>
      <c r="Q215" s="19"/>
      <c r="R215" s="19"/>
    </row>
    <row r="216" spans="1:18" x14ac:dyDescent="0.25">
      <c r="A216" t="s">
        <v>30</v>
      </c>
      <c r="B216" s="19">
        <v>1</v>
      </c>
      <c r="C216" s="53">
        <v>145.5</v>
      </c>
      <c r="D216" s="4"/>
      <c r="E216" s="4"/>
      <c r="I216" s="19"/>
      <c r="J216" s="19"/>
      <c r="Q216" s="19"/>
      <c r="R216" s="19"/>
    </row>
    <row r="217" spans="1:18" x14ac:dyDescent="0.25">
      <c r="A217" t="s">
        <v>30</v>
      </c>
      <c r="B217" s="19">
        <v>1</v>
      </c>
      <c r="C217" s="53">
        <v>136.5</v>
      </c>
      <c r="D217" s="4"/>
      <c r="E217" s="4"/>
      <c r="I217" s="19"/>
      <c r="J217" s="19"/>
      <c r="Q217" s="19"/>
      <c r="R217" s="19"/>
    </row>
    <row r="218" spans="1:18" x14ac:dyDescent="0.25">
      <c r="A218" t="s">
        <v>30</v>
      </c>
      <c r="B218" s="19">
        <v>1</v>
      </c>
      <c r="C218" s="53">
        <v>148.5</v>
      </c>
      <c r="D218" s="4"/>
      <c r="E218" s="4"/>
      <c r="I218" s="19"/>
      <c r="J218" s="19"/>
      <c r="Q218" s="19"/>
      <c r="R218" s="19"/>
    </row>
    <row r="219" spans="1:18" x14ac:dyDescent="0.25">
      <c r="A219" t="s">
        <v>30</v>
      </c>
      <c r="B219" s="19">
        <v>1</v>
      </c>
      <c r="C219" s="53">
        <v>147</v>
      </c>
      <c r="D219" s="4"/>
      <c r="E219" s="4"/>
      <c r="I219" s="19"/>
      <c r="J219" s="19"/>
      <c r="Q219" s="19"/>
      <c r="R219" s="19"/>
    </row>
    <row r="220" spans="1:18" x14ac:dyDescent="0.25">
      <c r="A220" t="s">
        <v>30</v>
      </c>
      <c r="B220" s="19">
        <v>1</v>
      </c>
      <c r="C220" s="53">
        <v>148.5</v>
      </c>
      <c r="D220" s="4"/>
      <c r="E220" s="4"/>
      <c r="I220" s="19"/>
      <c r="J220" s="19"/>
      <c r="Q220" s="19"/>
      <c r="R220" s="19"/>
    </row>
    <row r="221" spans="1:18" x14ac:dyDescent="0.25">
      <c r="A221" t="s">
        <v>30</v>
      </c>
      <c r="B221" s="19">
        <v>1</v>
      </c>
      <c r="C221" s="53">
        <v>141</v>
      </c>
      <c r="D221" s="4"/>
      <c r="E221" s="4"/>
      <c r="I221" s="19"/>
      <c r="J221" s="19"/>
      <c r="Q221" s="19"/>
      <c r="R221" s="19"/>
    </row>
    <row r="222" spans="1:18" x14ac:dyDescent="0.25">
      <c r="A222" t="s">
        <v>30</v>
      </c>
      <c r="B222" s="19">
        <v>1</v>
      </c>
      <c r="C222" s="53">
        <v>148.5</v>
      </c>
      <c r="D222" s="4"/>
      <c r="E222" s="4"/>
      <c r="I222" s="19"/>
      <c r="J222" s="19"/>
      <c r="Q222" s="19"/>
      <c r="R222" s="19"/>
    </row>
    <row r="223" spans="1:18" x14ac:dyDescent="0.25">
      <c r="A223" t="s">
        <v>25</v>
      </c>
      <c r="B223" s="19">
        <v>1</v>
      </c>
      <c r="C223" s="53">
        <v>139.5</v>
      </c>
      <c r="D223" s="4">
        <f>AVERAGE(C223:C230)</f>
        <v>139.5</v>
      </c>
      <c r="E223" s="4">
        <f>STDEV(C223:C230)</f>
        <v>7.4354363883846313</v>
      </c>
      <c r="I223" s="19"/>
      <c r="J223" s="19"/>
      <c r="Q223" s="19"/>
      <c r="R223" s="19"/>
    </row>
    <row r="224" spans="1:18" x14ac:dyDescent="0.25">
      <c r="A224" t="s">
        <v>25</v>
      </c>
      <c r="B224" s="19">
        <v>1</v>
      </c>
      <c r="C224" s="53">
        <v>135</v>
      </c>
      <c r="D224" s="4"/>
      <c r="E224" s="4"/>
      <c r="I224" s="19"/>
      <c r="J224" s="19"/>
      <c r="Q224" s="19"/>
      <c r="R224" s="19"/>
    </row>
    <row r="225" spans="1:18" x14ac:dyDescent="0.25">
      <c r="A225" t="s">
        <v>25</v>
      </c>
      <c r="B225" s="19">
        <v>1</v>
      </c>
      <c r="C225" s="53">
        <v>142.5</v>
      </c>
      <c r="D225" s="4"/>
      <c r="E225" s="4"/>
      <c r="I225" s="19"/>
      <c r="J225" s="19"/>
      <c r="Q225" s="19"/>
      <c r="R225" s="19"/>
    </row>
    <row r="226" spans="1:18" x14ac:dyDescent="0.25">
      <c r="A226" t="s">
        <v>25</v>
      </c>
      <c r="B226" s="19">
        <v>1</v>
      </c>
      <c r="C226" s="53">
        <v>148.5</v>
      </c>
      <c r="D226" s="4"/>
      <c r="E226" s="4"/>
      <c r="I226" s="19"/>
      <c r="J226" s="19"/>
      <c r="Q226" s="19"/>
      <c r="R226" s="19"/>
    </row>
    <row r="227" spans="1:18" x14ac:dyDescent="0.25">
      <c r="A227" t="s">
        <v>25</v>
      </c>
      <c r="B227" s="19">
        <v>1</v>
      </c>
      <c r="C227" s="53">
        <v>151.5</v>
      </c>
      <c r="D227" s="4"/>
      <c r="E227" s="4"/>
      <c r="I227" s="19"/>
      <c r="J227" s="19"/>
      <c r="Q227" s="19"/>
      <c r="R227" s="19"/>
    </row>
    <row r="228" spans="1:18" x14ac:dyDescent="0.25">
      <c r="A228" t="s">
        <v>25</v>
      </c>
      <c r="B228" s="19">
        <v>1</v>
      </c>
      <c r="C228" s="53">
        <v>132</v>
      </c>
      <c r="D228" s="4"/>
      <c r="E228" s="4"/>
      <c r="I228" s="19"/>
      <c r="J228" s="19"/>
      <c r="Q228" s="19"/>
      <c r="R228" s="19"/>
    </row>
    <row r="229" spans="1:18" x14ac:dyDescent="0.25">
      <c r="A229" t="s">
        <v>25</v>
      </c>
      <c r="B229" s="19">
        <v>1</v>
      </c>
      <c r="C229" s="53">
        <v>132</v>
      </c>
      <c r="D229" s="4"/>
      <c r="E229" s="4"/>
      <c r="I229" s="19"/>
      <c r="J229" s="19"/>
      <c r="Q229" s="19"/>
      <c r="R229" s="19"/>
    </row>
    <row r="230" spans="1:18" x14ac:dyDescent="0.25">
      <c r="A230" t="s">
        <v>25</v>
      </c>
      <c r="B230" s="19">
        <v>1</v>
      </c>
      <c r="C230" s="53">
        <v>135</v>
      </c>
      <c r="D230" s="4"/>
      <c r="E230" s="4"/>
      <c r="I230" s="19"/>
      <c r="J230" s="19"/>
      <c r="Q230" s="19"/>
      <c r="R230" s="19"/>
    </row>
    <row r="231" spans="1:18" x14ac:dyDescent="0.25">
      <c r="A231" t="s">
        <v>31</v>
      </c>
      <c r="B231" s="19">
        <v>1</v>
      </c>
      <c r="C231" s="53">
        <v>151.5</v>
      </c>
      <c r="D231" s="4">
        <f>AVERAGE(C231:C238)</f>
        <v>151.3125</v>
      </c>
      <c r="E231" s="4">
        <f>STDEV(C231:C238)</f>
        <v>3.6246921051508441</v>
      </c>
      <c r="I231" s="19"/>
      <c r="J231" s="19"/>
      <c r="Q231" s="19"/>
      <c r="R231" s="19"/>
    </row>
    <row r="232" spans="1:18" x14ac:dyDescent="0.25">
      <c r="A232" t="s">
        <v>31</v>
      </c>
      <c r="B232" s="19">
        <v>1</v>
      </c>
      <c r="C232" s="53">
        <v>151.5</v>
      </c>
      <c r="D232" s="4"/>
      <c r="E232" s="4"/>
      <c r="I232" s="19"/>
      <c r="J232" s="19"/>
      <c r="Q232" s="19"/>
      <c r="R232" s="19"/>
    </row>
    <row r="233" spans="1:18" x14ac:dyDescent="0.25">
      <c r="A233" t="s">
        <v>31</v>
      </c>
      <c r="B233" s="19">
        <v>1</v>
      </c>
      <c r="C233" s="53">
        <v>150</v>
      </c>
      <c r="D233" s="4"/>
      <c r="E233" s="4"/>
      <c r="I233" s="19"/>
      <c r="J233" s="19"/>
      <c r="Q233" s="19"/>
      <c r="R233" s="19"/>
    </row>
    <row r="234" spans="1:18" x14ac:dyDescent="0.25">
      <c r="A234" t="s">
        <v>31</v>
      </c>
      <c r="B234" s="19">
        <v>1</v>
      </c>
      <c r="C234" s="53">
        <v>147</v>
      </c>
      <c r="D234" s="4"/>
      <c r="E234" s="4"/>
      <c r="I234" s="19"/>
      <c r="J234" s="19"/>
      <c r="Q234" s="19"/>
      <c r="R234" s="19"/>
    </row>
    <row r="235" spans="1:18" x14ac:dyDescent="0.25">
      <c r="A235" t="s">
        <v>31</v>
      </c>
      <c r="B235" s="19">
        <v>1</v>
      </c>
      <c r="C235" s="53">
        <v>153</v>
      </c>
      <c r="D235" s="4"/>
      <c r="E235" s="4"/>
      <c r="I235" s="19"/>
      <c r="J235" s="19"/>
      <c r="Q235" s="19"/>
      <c r="R235" s="19"/>
    </row>
    <row r="236" spans="1:18" x14ac:dyDescent="0.25">
      <c r="A236" t="s">
        <v>31</v>
      </c>
      <c r="B236" s="19">
        <v>1</v>
      </c>
      <c r="C236" s="53">
        <v>159</v>
      </c>
      <c r="D236" s="4"/>
      <c r="E236" s="4"/>
      <c r="I236" s="19"/>
      <c r="J236" s="19"/>
      <c r="Q236" s="19"/>
      <c r="R236" s="19"/>
    </row>
    <row r="237" spans="1:18" x14ac:dyDescent="0.25">
      <c r="A237" t="s">
        <v>31</v>
      </c>
      <c r="B237" s="19">
        <v>1</v>
      </c>
      <c r="C237" s="53">
        <v>148.5</v>
      </c>
      <c r="D237" s="4"/>
      <c r="E237" s="4"/>
      <c r="I237" s="19"/>
      <c r="J237" s="19"/>
      <c r="Q237" s="19"/>
      <c r="R237" s="19"/>
    </row>
    <row r="238" spans="1:18" x14ac:dyDescent="0.25">
      <c r="A238" t="s">
        <v>31</v>
      </c>
      <c r="B238" s="19">
        <v>1</v>
      </c>
      <c r="C238" s="53">
        <v>150</v>
      </c>
      <c r="D238" s="4"/>
      <c r="E238" s="4"/>
      <c r="I238" s="19"/>
      <c r="J238" s="19"/>
      <c r="Q238" s="19"/>
      <c r="R238" s="19"/>
    </row>
    <row r="239" spans="1:18" x14ac:dyDescent="0.25">
      <c r="A239" t="s">
        <v>26</v>
      </c>
      <c r="B239" s="19">
        <v>1</v>
      </c>
      <c r="C239" s="53">
        <v>148.5</v>
      </c>
      <c r="D239" s="4">
        <f>AVERAGE(C239:C246)</f>
        <v>139.6875</v>
      </c>
      <c r="E239" s="4">
        <f>STDEV(C239:C246)</f>
        <v>7.9549512883486599</v>
      </c>
      <c r="I239" s="19"/>
      <c r="J239" s="19"/>
      <c r="Q239" s="19"/>
      <c r="R239" s="19"/>
    </row>
    <row r="240" spans="1:18" x14ac:dyDescent="0.25">
      <c r="A240" t="s">
        <v>26</v>
      </c>
      <c r="B240" s="19">
        <v>1</v>
      </c>
      <c r="C240" s="53">
        <v>141</v>
      </c>
      <c r="D240" s="4"/>
      <c r="E240" s="4"/>
      <c r="I240" s="19"/>
      <c r="J240" s="19"/>
      <c r="Q240" s="19"/>
      <c r="R240" s="19"/>
    </row>
    <row r="241" spans="1:18" x14ac:dyDescent="0.25">
      <c r="A241" t="s">
        <v>26</v>
      </c>
      <c r="B241" s="19">
        <v>1</v>
      </c>
      <c r="C241" s="53">
        <v>148.5</v>
      </c>
      <c r="D241" s="4"/>
      <c r="E241" s="4"/>
      <c r="I241" s="19"/>
      <c r="J241" s="19"/>
      <c r="Q241" s="19"/>
      <c r="R241" s="19"/>
    </row>
    <row r="242" spans="1:18" x14ac:dyDescent="0.25">
      <c r="A242" t="s">
        <v>26</v>
      </c>
      <c r="B242" s="19">
        <v>1</v>
      </c>
      <c r="C242" s="53">
        <v>126</v>
      </c>
      <c r="D242" s="4"/>
      <c r="E242" s="4"/>
      <c r="I242" s="19"/>
      <c r="J242" s="19"/>
      <c r="Q242" s="19"/>
      <c r="R242" s="19"/>
    </row>
    <row r="243" spans="1:18" x14ac:dyDescent="0.25">
      <c r="A243" t="s">
        <v>26</v>
      </c>
      <c r="B243" s="19">
        <v>1</v>
      </c>
      <c r="C243" s="53">
        <v>138</v>
      </c>
      <c r="D243" s="4"/>
      <c r="E243" s="4"/>
      <c r="I243" s="19"/>
      <c r="J243" s="19"/>
      <c r="Q243" s="19"/>
      <c r="R243" s="19"/>
    </row>
    <row r="244" spans="1:18" x14ac:dyDescent="0.25">
      <c r="A244" t="s">
        <v>26</v>
      </c>
      <c r="B244" s="19">
        <v>1</v>
      </c>
      <c r="C244" s="53">
        <v>138</v>
      </c>
      <c r="D244" s="4"/>
      <c r="E244" s="4"/>
      <c r="I244" s="19"/>
      <c r="J244" s="19"/>
      <c r="Q244" s="19"/>
      <c r="R244" s="19"/>
    </row>
    <row r="245" spans="1:18" x14ac:dyDescent="0.25">
      <c r="A245" t="s">
        <v>26</v>
      </c>
      <c r="B245" s="19">
        <v>1</v>
      </c>
      <c r="C245" s="53">
        <v>132</v>
      </c>
      <c r="D245" s="4"/>
      <c r="E245" s="4"/>
      <c r="I245" s="19"/>
      <c r="J245" s="19"/>
      <c r="Q245" s="19"/>
      <c r="R245" s="19"/>
    </row>
    <row r="246" spans="1:18" x14ac:dyDescent="0.25">
      <c r="A246" t="s">
        <v>26</v>
      </c>
      <c r="B246" s="19">
        <v>1</v>
      </c>
      <c r="C246" s="53">
        <v>145.5</v>
      </c>
      <c r="D246" s="4"/>
      <c r="E246" s="4"/>
      <c r="I246" s="19"/>
      <c r="J246" s="19"/>
      <c r="Q246" s="19"/>
      <c r="R246" s="19"/>
    </row>
    <row r="247" spans="1:18" x14ac:dyDescent="0.25">
      <c r="A247" t="s">
        <v>32</v>
      </c>
      <c r="B247" s="19">
        <v>1</v>
      </c>
      <c r="C247" s="53">
        <v>153</v>
      </c>
      <c r="D247" s="4">
        <f>AVERAGE(C247:C254)</f>
        <v>157.125</v>
      </c>
      <c r="E247" s="4">
        <f>STDEV(C247:C254)</f>
        <v>4.7939694259708059</v>
      </c>
      <c r="I247" s="19"/>
      <c r="J247" s="19"/>
      <c r="Q247" s="19"/>
      <c r="R247" s="19"/>
    </row>
    <row r="248" spans="1:18" x14ac:dyDescent="0.25">
      <c r="A248" t="s">
        <v>32</v>
      </c>
      <c r="B248" s="19">
        <v>1</v>
      </c>
      <c r="C248" s="53">
        <v>156</v>
      </c>
      <c r="D248" s="4"/>
      <c r="E248" s="4"/>
      <c r="I248" s="19"/>
      <c r="J248" s="19"/>
      <c r="Q248" s="19"/>
      <c r="R248" s="19"/>
    </row>
    <row r="249" spans="1:18" x14ac:dyDescent="0.25">
      <c r="A249" t="s">
        <v>32</v>
      </c>
      <c r="B249" s="19">
        <v>1</v>
      </c>
      <c r="C249" s="53">
        <v>165</v>
      </c>
      <c r="D249" s="4"/>
      <c r="E249" s="4"/>
      <c r="I249" s="19"/>
      <c r="J249" s="19"/>
      <c r="Q249" s="19"/>
      <c r="R249" s="19"/>
    </row>
    <row r="250" spans="1:18" x14ac:dyDescent="0.25">
      <c r="A250" t="s">
        <v>32</v>
      </c>
      <c r="B250" s="19">
        <v>1</v>
      </c>
      <c r="C250" s="53">
        <v>156</v>
      </c>
      <c r="D250" s="4"/>
      <c r="E250" s="4"/>
      <c r="I250" s="19"/>
      <c r="J250" s="19"/>
      <c r="Q250" s="19"/>
      <c r="R250" s="19"/>
    </row>
    <row r="251" spans="1:18" x14ac:dyDescent="0.25">
      <c r="A251" t="s">
        <v>32</v>
      </c>
      <c r="B251" s="19">
        <v>1</v>
      </c>
      <c r="C251" s="53">
        <v>156</v>
      </c>
      <c r="D251" s="4"/>
      <c r="E251" s="4"/>
      <c r="I251" s="19"/>
      <c r="J251" s="19"/>
      <c r="Q251" s="19"/>
      <c r="R251" s="19"/>
    </row>
    <row r="252" spans="1:18" x14ac:dyDescent="0.25">
      <c r="A252" t="s">
        <v>32</v>
      </c>
      <c r="B252" s="19">
        <v>1</v>
      </c>
      <c r="C252" s="53">
        <v>150</v>
      </c>
      <c r="D252" s="4"/>
      <c r="E252" s="4"/>
      <c r="I252" s="19"/>
      <c r="J252" s="19"/>
      <c r="Q252" s="19"/>
      <c r="R252" s="19"/>
    </row>
    <row r="253" spans="1:18" x14ac:dyDescent="0.25">
      <c r="A253" t="s">
        <v>32</v>
      </c>
      <c r="B253" s="19">
        <v>1</v>
      </c>
      <c r="C253" s="53">
        <v>162</v>
      </c>
      <c r="D253" s="4"/>
      <c r="E253" s="4"/>
      <c r="I253" s="19"/>
      <c r="J253" s="19"/>
      <c r="Q253" s="19"/>
      <c r="R253" s="19"/>
    </row>
    <row r="254" spans="1:18" x14ac:dyDescent="0.25">
      <c r="A254" t="s">
        <v>32</v>
      </c>
      <c r="B254" s="19">
        <v>1</v>
      </c>
      <c r="C254" s="53">
        <v>159</v>
      </c>
      <c r="D254" s="4"/>
      <c r="E254" s="4"/>
      <c r="I254" s="19"/>
      <c r="J254" s="19"/>
      <c r="Q254" s="19"/>
      <c r="R254" s="19"/>
    </row>
    <row r="255" spans="1:18" x14ac:dyDescent="0.25">
      <c r="A255" t="s">
        <v>28</v>
      </c>
      <c r="B255" s="19">
        <v>1</v>
      </c>
      <c r="C255" s="53">
        <v>147</v>
      </c>
      <c r="D255" s="4">
        <f>AVERAGE(C255:C262)</f>
        <v>148.6875</v>
      </c>
      <c r="E255" s="4">
        <f>STDEV(C255:C262)</f>
        <v>3.7979082588784503</v>
      </c>
      <c r="I255" s="19"/>
      <c r="J255" s="19"/>
      <c r="Q255" s="19"/>
      <c r="R255" s="19"/>
    </row>
    <row r="256" spans="1:18" x14ac:dyDescent="0.25">
      <c r="A256" t="s">
        <v>28</v>
      </c>
      <c r="B256" s="19">
        <v>1</v>
      </c>
      <c r="C256" s="53">
        <v>148.5</v>
      </c>
      <c r="D256" s="4"/>
      <c r="E256" s="4"/>
      <c r="I256" s="19"/>
      <c r="J256" s="19"/>
      <c r="Q256" s="19"/>
      <c r="R256" s="19"/>
    </row>
    <row r="257" spans="1:18" x14ac:dyDescent="0.25">
      <c r="A257" t="s">
        <v>28</v>
      </c>
      <c r="B257" s="19">
        <v>1</v>
      </c>
      <c r="C257" s="53">
        <v>144</v>
      </c>
      <c r="D257" s="4"/>
      <c r="E257" s="4"/>
      <c r="I257" s="19"/>
      <c r="J257" s="19"/>
      <c r="Q257" s="19"/>
      <c r="R257" s="19"/>
    </row>
    <row r="258" spans="1:18" x14ac:dyDescent="0.25">
      <c r="A258" t="s">
        <v>28</v>
      </c>
      <c r="B258" s="19">
        <v>1</v>
      </c>
      <c r="C258" s="53">
        <v>148.5</v>
      </c>
      <c r="D258" s="4"/>
      <c r="E258" s="4"/>
      <c r="I258" s="19"/>
      <c r="J258" s="19"/>
      <c r="Q258" s="19"/>
      <c r="R258" s="19"/>
    </row>
    <row r="259" spans="1:18" x14ac:dyDescent="0.25">
      <c r="A259" t="s">
        <v>28</v>
      </c>
      <c r="B259" s="19">
        <v>1</v>
      </c>
      <c r="C259" s="53">
        <v>144</v>
      </c>
      <c r="D259" s="4"/>
      <c r="E259" s="4"/>
      <c r="I259" s="19"/>
      <c r="J259" s="19"/>
      <c r="Q259" s="19"/>
      <c r="R259" s="19"/>
    </row>
    <row r="260" spans="1:18" x14ac:dyDescent="0.25">
      <c r="A260" t="s">
        <v>28</v>
      </c>
      <c r="B260" s="19">
        <v>1</v>
      </c>
      <c r="C260" s="53">
        <v>153</v>
      </c>
      <c r="D260" s="4"/>
      <c r="E260" s="4"/>
      <c r="I260" s="19"/>
      <c r="J260" s="19"/>
      <c r="Q260" s="19"/>
      <c r="R260" s="19"/>
    </row>
    <row r="261" spans="1:18" x14ac:dyDescent="0.25">
      <c r="A261" t="s">
        <v>28</v>
      </c>
      <c r="B261" s="19">
        <v>1</v>
      </c>
      <c r="C261" s="53">
        <v>154.5</v>
      </c>
      <c r="D261" s="4"/>
      <c r="E261" s="4"/>
      <c r="I261" s="19"/>
      <c r="J261" s="19"/>
      <c r="Q261" s="19"/>
      <c r="R261" s="19"/>
    </row>
    <row r="262" spans="1:18" x14ac:dyDescent="0.25">
      <c r="A262" t="s">
        <v>28</v>
      </c>
      <c r="B262" s="19">
        <v>1</v>
      </c>
      <c r="C262" s="53">
        <v>150</v>
      </c>
      <c r="D262" s="4"/>
      <c r="E262" s="4"/>
      <c r="I262" s="19"/>
      <c r="J262" s="19"/>
      <c r="Q262" s="19"/>
      <c r="R262" s="19"/>
    </row>
    <row r="263" spans="1:18" x14ac:dyDescent="0.25">
      <c r="A263" t="s">
        <v>33</v>
      </c>
      <c r="B263" s="19">
        <v>1</v>
      </c>
      <c r="C263" s="53">
        <v>147</v>
      </c>
      <c r="D263" s="4">
        <f>AVERAGE(C263:C270)</f>
        <v>148.875</v>
      </c>
      <c r="E263" s="4">
        <f>STDEV(C263:C270)</f>
        <v>4.0686080455816125</v>
      </c>
      <c r="I263" s="19"/>
      <c r="J263" s="19"/>
      <c r="Q263" s="19"/>
      <c r="R263" s="19"/>
    </row>
    <row r="264" spans="1:18" x14ac:dyDescent="0.25">
      <c r="A264" t="s">
        <v>33</v>
      </c>
      <c r="B264" s="19">
        <v>1</v>
      </c>
      <c r="C264" s="53">
        <v>150</v>
      </c>
      <c r="D264" s="4"/>
      <c r="E264" s="4"/>
      <c r="I264" s="19"/>
      <c r="J264" s="19"/>
      <c r="Q264" s="19"/>
      <c r="R264" s="19"/>
    </row>
    <row r="265" spans="1:18" x14ac:dyDescent="0.25">
      <c r="A265" t="s">
        <v>33</v>
      </c>
      <c r="B265" s="19">
        <v>1</v>
      </c>
      <c r="C265" s="53">
        <v>147</v>
      </c>
      <c r="D265" s="4"/>
      <c r="E265" s="4"/>
      <c r="I265" s="19"/>
      <c r="J265" s="19"/>
      <c r="Q265" s="19"/>
      <c r="R265" s="19"/>
    </row>
    <row r="266" spans="1:18" x14ac:dyDescent="0.25">
      <c r="A266" t="s">
        <v>33</v>
      </c>
      <c r="B266" s="19">
        <v>1</v>
      </c>
      <c r="C266" s="53">
        <v>154.5</v>
      </c>
      <c r="D266" s="4"/>
      <c r="E266" s="4"/>
      <c r="I266" s="19"/>
      <c r="J266" s="19"/>
      <c r="Q266" s="19"/>
      <c r="R266" s="19"/>
    </row>
    <row r="267" spans="1:18" x14ac:dyDescent="0.25">
      <c r="A267" t="s">
        <v>33</v>
      </c>
      <c r="B267" s="19">
        <v>1</v>
      </c>
      <c r="C267" s="53">
        <v>154.5</v>
      </c>
      <c r="D267" s="4"/>
      <c r="E267" s="4"/>
      <c r="I267" s="19"/>
      <c r="J267" s="19"/>
      <c r="Q267" s="19"/>
      <c r="R267" s="19"/>
    </row>
    <row r="268" spans="1:18" x14ac:dyDescent="0.25">
      <c r="A268" t="s">
        <v>33</v>
      </c>
      <c r="B268" s="19">
        <v>1</v>
      </c>
      <c r="C268" s="53">
        <v>142.5</v>
      </c>
      <c r="D268" s="4"/>
      <c r="E268" s="4"/>
      <c r="I268" s="19"/>
      <c r="J268" s="19"/>
      <c r="Q268" s="19"/>
      <c r="R268" s="19"/>
    </row>
    <row r="269" spans="1:18" x14ac:dyDescent="0.25">
      <c r="A269" t="s">
        <v>33</v>
      </c>
      <c r="B269" s="19">
        <v>1</v>
      </c>
      <c r="C269" s="53">
        <v>148.5</v>
      </c>
      <c r="D269" s="4"/>
      <c r="E269" s="4"/>
      <c r="I269" s="19"/>
      <c r="J269" s="19"/>
      <c r="Q269" s="19"/>
      <c r="R269" s="19"/>
    </row>
    <row r="270" spans="1:18" x14ac:dyDescent="0.25">
      <c r="A270" t="s">
        <v>33</v>
      </c>
      <c r="B270" s="19">
        <v>1</v>
      </c>
      <c r="C270" s="53">
        <v>147</v>
      </c>
      <c r="D270" s="4"/>
      <c r="E270" s="4"/>
      <c r="I270" s="19"/>
      <c r="J270" s="19"/>
      <c r="Q270" s="19"/>
      <c r="R270" s="19"/>
    </row>
    <row r="272" spans="1:18" s="24" customFormat="1" x14ac:dyDescent="0.25">
      <c r="B272" s="49"/>
      <c r="C272" s="49"/>
    </row>
    <row r="273" spans="1:41" x14ac:dyDescent="0.25">
      <c r="O273" s="24"/>
    </row>
    <row r="274" spans="1:41" ht="15" customHeight="1" x14ac:dyDescent="0.25">
      <c r="A274" s="62" t="s">
        <v>53</v>
      </c>
      <c r="B274" s="62" t="s">
        <v>8</v>
      </c>
      <c r="C274" s="63" t="s">
        <v>11</v>
      </c>
      <c r="D274" s="62" t="s">
        <v>9</v>
      </c>
      <c r="E274" s="62" t="s">
        <v>18</v>
      </c>
      <c r="H274" s="62" t="s">
        <v>53</v>
      </c>
      <c r="I274" s="62" t="s">
        <v>8</v>
      </c>
      <c r="J274" s="63" t="s">
        <v>11</v>
      </c>
      <c r="K274" s="62" t="s">
        <v>9</v>
      </c>
      <c r="L274" s="70" t="s">
        <v>18</v>
      </c>
      <c r="M274" s="24"/>
      <c r="O274" s="62" t="s">
        <v>53</v>
      </c>
      <c r="P274" s="62" t="s">
        <v>8</v>
      </c>
      <c r="Q274" s="63" t="s">
        <v>11</v>
      </c>
      <c r="R274" s="62" t="s">
        <v>9</v>
      </c>
      <c r="S274" s="62" t="s">
        <v>18</v>
      </c>
      <c r="T274" s="61"/>
      <c r="V274" s="62" t="s">
        <v>53</v>
      </c>
      <c r="W274" s="62" t="s">
        <v>8</v>
      </c>
      <c r="X274" s="63" t="s">
        <v>11</v>
      </c>
      <c r="Y274" s="62" t="s">
        <v>9</v>
      </c>
      <c r="Z274" s="62" t="s">
        <v>18</v>
      </c>
      <c r="AA274" s="61"/>
      <c r="AC274" s="62" t="s">
        <v>53</v>
      </c>
      <c r="AD274" s="62" t="s">
        <v>8</v>
      </c>
      <c r="AE274" s="63" t="s">
        <v>11</v>
      </c>
      <c r="AF274" s="62" t="s">
        <v>9</v>
      </c>
      <c r="AG274" s="62" t="s">
        <v>18</v>
      </c>
      <c r="AK274" s="62" t="s">
        <v>53</v>
      </c>
      <c r="AL274" s="62" t="s">
        <v>8</v>
      </c>
      <c r="AM274" s="63" t="s">
        <v>11</v>
      </c>
      <c r="AN274" s="62" t="s">
        <v>9</v>
      </c>
      <c r="AO274" s="62" t="s">
        <v>18</v>
      </c>
    </row>
    <row r="275" spans="1:41" x14ac:dyDescent="0.25">
      <c r="A275" s="62"/>
      <c r="B275" s="62"/>
      <c r="C275" s="63"/>
      <c r="D275" s="62"/>
      <c r="E275" s="62"/>
      <c r="H275" s="62"/>
      <c r="I275" s="62"/>
      <c r="J275" s="63"/>
      <c r="K275" s="62"/>
      <c r="L275" s="70"/>
      <c r="M275" s="24"/>
      <c r="O275" s="62"/>
      <c r="P275" s="62"/>
      <c r="Q275" s="63"/>
      <c r="R275" s="62"/>
      <c r="S275" s="62"/>
      <c r="T275" s="61"/>
      <c r="V275" s="62"/>
      <c r="W275" s="62"/>
      <c r="X275" s="63"/>
      <c r="Y275" s="62"/>
      <c r="Z275" s="62"/>
      <c r="AA275" s="61"/>
      <c r="AC275" s="62"/>
      <c r="AD275" s="62"/>
      <c r="AE275" s="63"/>
      <c r="AF275" s="62"/>
      <c r="AG275" s="62"/>
      <c r="AH275" s="14" t="s">
        <v>3</v>
      </c>
      <c r="AI275" s="14"/>
      <c r="AK275" s="62"/>
      <c r="AL275" s="62"/>
      <c r="AM275" s="63"/>
      <c r="AN275" s="62"/>
      <c r="AO275" s="62"/>
    </row>
    <row r="276" spans="1:41" x14ac:dyDescent="0.25">
      <c r="A276" t="s">
        <v>0</v>
      </c>
      <c r="B276" s="7">
        <v>1</v>
      </c>
      <c r="C276" s="53">
        <v>145.5</v>
      </c>
      <c r="D276" s="4">
        <f>AVERAGE(C276:C283)</f>
        <v>157.125</v>
      </c>
      <c r="E276" s="4">
        <f>STDEV(C276:C283)</f>
        <v>7.4677879685256965</v>
      </c>
      <c r="H276" t="s">
        <v>0</v>
      </c>
      <c r="I276" s="19">
        <v>2</v>
      </c>
      <c r="J276" s="17">
        <v>156.5</v>
      </c>
      <c r="K276" s="4">
        <f>AVERAGE(J276:J283)</f>
        <v>159.25</v>
      </c>
      <c r="L276" s="27">
        <f>STDEV(J276:J283)</f>
        <v>6.4531277023515621</v>
      </c>
      <c r="M276" s="24"/>
      <c r="O276" t="s">
        <v>0</v>
      </c>
      <c r="P276" s="19">
        <v>3</v>
      </c>
      <c r="Q276" s="17">
        <v>160.5</v>
      </c>
      <c r="R276" s="4">
        <f>AVERAGE(Q276:Q283)</f>
        <v>160.875</v>
      </c>
      <c r="S276" s="4">
        <f>STDEV(Q276:Q283)</f>
        <v>4.2990862816583313</v>
      </c>
      <c r="T276" s="4"/>
      <c r="V276" t="s">
        <v>0</v>
      </c>
      <c r="W276" s="19">
        <v>4</v>
      </c>
      <c r="X276">
        <v>148.5</v>
      </c>
      <c r="Y276" s="4">
        <f>AVERAGE(X276:X283)</f>
        <v>156.75</v>
      </c>
      <c r="Z276" s="4">
        <f>STDEV(X276:X283)</f>
        <v>9</v>
      </c>
      <c r="AA276" s="4"/>
      <c r="AC276" t="s">
        <v>0</v>
      </c>
      <c r="AD276" s="19">
        <v>1</v>
      </c>
      <c r="AE276" s="19">
        <v>5</v>
      </c>
      <c r="AF276" s="17">
        <v>169.5</v>
      </c>
      <c r="AG276" s="4">
        <f>AVERAGE(AF276:AF283)</f>
        <v>159</v>
      </c>
      <c r="AH276" s="4">
        <f>STDEV(AF276:AF283)</f>
        <v>6.9436507482941359</v>
      </c>
      <c r="AI276" s="4"/>
      <c r="AK276" t="s">
        <v>0</v>
      </c>
      <c r="AL276" s="19">
        <v>6</v>
      </c>
      <c r="AM276" s="17">
        <v>162</v>
      </c>
      <c r="AN276" s="4">
        <f>AVERAGE(AM276:AM283)</f>
        <v>161.25</v>
      </c>
      <c r="AO276" s="4">
        <f>STDEV(AM276:AM283)</f>
        <v>8.254868693253524</v>
      </c>
    </row>
    <row r="277" spans="1:41" x14ac:dyDescent="0.25">
      <c r="A277" t="s">
        <v>0</v>
      </c>
      <c r="B277" s="19">
        <v>1</v>
      </c>
      <c r="C277" s="53">
        <v>150</v>
      </c>
      <c r="H277" t="s">
        <v>0</v>
      </c>
      <c r="I277" s="19">
        <v>2</v>
      </c>
      <c r="J277" s="17">
        <v>154.5</v>
      </c>
      <c r="L277" s="24"/>
      <c r="M277" s="24"/>
      <c r="O277" t="s">
        <v>0</v>
      </c>
      <c r="P277" s="19">
        <v>3</v>
      </c>
      <c r="Q277" s="17">
        <v>165</v>
      </c>
      <c r="V277" t="s">
        <v>0</v>
      </c>
      <c r="W277" s="19">
        <v>4</v>
      </c>
      <c r="X277" s="17">
        <v>174</v>
      </c>
      <c r="AC277" t="s">
        <v>0</v>
      </c>
      <c r="AD277" s="19">
        <v>2</v>
      </c>
      <c r="AE277" s="19">
        <v>5</v>
      </c>
      <c r="AF277" s="17">
        <v>156</v>
      </c>
      <c r="AK277" t="s">
        <v>0</v>
      </c>
      <c r="AL277" s="19">
        <v>6</v>
      </c>
      <c r="AM277" s="17">
        <v>159</v>
      </c>
    </row>
    <row r="278" spans="1:41" x14ac:dyDescent="0.25">
      <c r="A278" t="s">
        <v>0</v>
      </c>
      <c r="B278" s="19">
        <v>1</v>
      </c>
      <c r="C278" s="53">
        <v>156</v>
      </c>
      <c r="H278" t="s">
        <v>0</v>
      </c>
      <c r="I278" s="19">
        <v>2</v>
      </c>
      <c r="J278" s="17">
        <v>159</v>
      </c>
      <c r="L278" s="24"/>
      <c r="M278" s="24"/>
      <c r="O278" t="s">
        <v>0</v>
      </c>
      <c r="P278" s="19">
        <v>3</v>
      </c>
      <c r="Q278" s="17">
        <v>157.5</v>
      </c>
      <c r="V278" t="s">
        <v>0</v>
      </c>
      <c r="W278" s="19">
        <v>4</v>
      </c>
      <c r="X278">
        <v>160.5</v>
      </c>
      <c r="AC278" t="s">
        <v>0</v>
      </c>
      <c r="AD278" s="19">
        <v>3</v>
      </c>
      <c r="AE278" s="19">
        <v>5</v>
      </c>
      <c r="AF278" s="17">
        <v>163.5</v>
      </c>
      <c r="AK278" t="s">
        <v>0</v>
      </c>
      <c r="AL278" s="19">
        <v>6</v>
      </c>
      <c r="AM278" s="17">
        <v>165</v>
      </c>
    </row>
    <row r="279" spans="1:41" x14ac:dyDescent="0.25">
      <c r="A279" t="s">
        <v>0</v>
      </c>
      <c r="B279" s="19">
        <v>1</v>
      </c>
      <c r="C279" s="53">
        <v>163.5</v>
      </c>
      <c r="H279" t="s">
        <v>0</v>
      </c>
      <c r="I279" s="19">
        <v>2</v>
      </c>
      <c r="J279" s="17">
        <v>174</v>
      </c>
      <c r="L279" s="24"/>
      <c r="M279" s="24"/>
      <c r="O279" t="s">
        <v>0</v>
      </c>
      <c r="P279" s="19">
        <v>3</v>
      </c>
      <c r="Q279" s="17">
        <v>160.5</v>
      </c>
      <c r="V279" t="s">
        <v>0</v>
      </c>
      <c r="W279" s="19">
        <v>4</v>
      </c>
      <c r="X279">
        <v>163.5</v>
      </c>
      <c r="AC279" t="s">
        <v>0</v>
      </c>
      <c r="AD279" s="19">
        <v>4</v>
      </c>
      <c r="AE279" s="19">
        <v>5</v>
      </c>
      <c r="AF279" s="17">
        <v>157.5</v>
      </c>
      <c r="AK279" t="s">
        <v>0</v>
      </c>
      <c r="AL279" s="19">
        <v>6</v>
      </c>
      <c r="AM279" s="17">
        <v>148.5</v>
      </c>
    </row>
    <row r="280" spans="1:41" x14ac:dyDescent="0.25">
      <c r="A280" t="s">
        <v>0</v>
      </c>
      <c r="B280" s="19">
        <v>1</v>
      </c>
      <c r="C280" s="53">
        <v>159</v>
      </c>
      <c r="H280" t="s">
        <v>0</v>
      </c>
      <c r="I280" s="19">
        <v>2</v>
      </c>
      <c r="J280" s="17">
        <v>156</v>
      </c>
      <c r="L280" s="24"/>
      <c r="M280" s="24"/>
      <c r="O280" t="s">
        <v>0</v>
      </c>
      <c r="P280" s="19">
        <v>3</v>
      </c>
      <c r="Q280" s="17">
        <v>154.5</v>
      </c>
      <c r="V280" t="s">
        <v>0</v>
      </c>
      <c r="W280" s="19">
        <v>4</v>
      </c>
      <c r="X280">
        <v>148.5</v>
      </c>
      <c r="AC280" t="s">
        <v>0</v>
      </c>
      <c r="AD280" s="19">
        <v>5</v>
      </c>
      <c r="AE280" s="19">
        <v>5</v>
      </c>
      <c r="AF280" s="17">
        <v>166.5</v>
      </c>
      <c r="AK280" t="s">
        <v>0</v>
      </c>
      <c r="AL280" s="19">
        <v>6</v>
      </c>
      <c r="AM280" s="17">
        <v>172.5</v>
      </c>
    </row>
    <row r="281" spans="1:41" x14ac:dyDescent="0.25">
      <c r="A281" t="s">
        <v>0</v>
      </c>
      <c r="B281" s="19">
        <v>1</v>
      </c>
      <c r="C281" s="53">
        <v>153</v>
      </c>
      <c r="H281" t="s">
        <v>0</v>
      </c>
      <c r="I281" s="19">
        <v>2</v>
      </c>
      <c r="J281" s="17">
        <v>157.5</v>
      </c>
      <c r="L281" s="24"/>
      <c r="M281" s="24"/>
      <c r="O281" t="s">
        <v>0</v>
      </c>
      <c r="P281" s="19">
        <v>3</v>
      </c>
      <c r="Q281" s="17">
        <v>157.5</v>
      </c>
      <c r="V281" t="s">
        <v>0</v>
      </c>
      <c r="W281" s="19">
        <v>4</v>
      </c>
      <c r="X281" s="17">
        <v>150</v>
      </c>
      <c r="AC281" t="s">
        <v>0</v>
      </c>
      <c r="AD281" s="19">
        <v>6</v>
      </c>
      <c r="AE281" s="19">
        <v>5</v>
      </c>
      <c r="AF281" s="17">
        <v>150</v>
      </c>
      <c r="AK281" t="s">
        <v>0</v>
      </c>
      <c r="AL281" s="19">
        <v>6</v>
      </c>
      <c r="AM281" s="17">
        <v>171</v>
      </c>
    </row>
    <row r="282" spans="1:41" x14ac:dyDescent="0.25">
      <c r="A282" t="s">
        <v>0</v>
      </c>
      <c r="B282" s="19">
        <v>1</v>
      </c>
      <c r="C282" s="53">
        <v>168</v>
      </c>
      <c r="H282" t="s">
        <v>0</v>
      </c>
      <c r="I282" s="19">
        <v>2</v>
      </c>
      <c r="J282" s="17">
        <v>154.5</v>
      </c>
      <c r="L282" s="24"/>
      <c r="M282" s="24"/>
      <c r="O282" t="s">
        <v>0</v>
      </c>
      <c r="P282" s="19">
        <v>3</v>
      </c>
      <c r="Q282" s="17">
        <v>166.5</v>
      </c>
      <c r="V282" t="s">
        <v>0</v>
      </c>
      <c r="W282" s="19">
        <v>4</v>
      </c>
      <c r="X282">
        <v>151.5</v>
      </c>
      <c r="AC282" t="s">
        <v>0</v>
      </c>
      <c r="AD282" s="19">
        <v>7</v>
      </c>
      <c r="AE282" s="19">
        <v>5</v>
      </c>
      <c r="AF282" s="17">
        <v>151.5</v>
      </c>
      <c r="AK282" t="s">
        <v>0</v>
      </c>
      <c r="AL282" s="19">
        <v>6</v>
      </c>
      <c r="AM282" s="17">
        <v>159</v>
      </c>
    </row>
    <row r="283" spans="1:41" x14ac:dyDescent="0.25">
      <c r="A283" t="s">
        <v>0</v>
      </c>
      <c r="B283" s="19">
        <v>1</v>
      </c>
      <c r="C283" s="53">
        <v>162</v>
      </c>
      <c r="H283" t="s">
        <v>0</v>
      </c>
      <c r="I283" s="19">
        <v>2</v>
      </c>
      <c r="J283" s="17">
        <v>162</v>
      </c>
      <c r="L283" s="24"/>
      <c r="M283" s="24"/>
      <c r="O283" t="s">
        <v>0</v>
      </c>
      <c r="P283" s="19">
        <v>3</v>
      </c>
      <c r="Q283" s="17">
        <v>165</v>
      </c>
      <c r="V283" t="s">
        <v>0</v>
      </c>
      <c r="W283" s="19">
        <v>4</v>
      </c>
      <c r="X283">
        <v>157.5</v>
      </c>
      <c r="AC283" t="s">
        <v>0</v>
      </c>
      <c r="AD283" s="19">
        <v>8</v>
      </c>
      <c r="AE283" s="19">
        <v>5</v>
      </c>
      <c r="AF283" s="17">
        <v>157.5</v>
      </c>
      <c r="AK283" t="s">
        <v>0</v>
      </c>
      <c r="AL283" s="19">
        <v>6</v>
      </c>
      <c r="AM283" s="17">
        <v>153</v>
      </c>
    </row>
    <row r="284" spans="1:41" x14ac:dyDescent="0.25">
      <c r="A284" t="s">
        <v>23</v>
      </c>
      <c r="B284" s="19">
        <v>1</v>
      </c>
      <c r="C284" s="19" t="s">
        <v>4</v>
      </c>
      <c r="D284" s="4" t="e">
        <f>AVERAGE(C284:C291)</f>
        <v>#DIV/0!</v>
      </c>
      <c r="E284" s="4" t="e">
        <f>STDEV(C284:C291)</f>
        <v>#DIV/0!</v>
      </c>
      <c r="H284" t="s">
        <v>35</v>
      </c>
      <c r="I284" s="19">
        <v>2</v>
      </c>
      <c r="J284" s="17">
        <v>132</v>
      </c>
      <c r="K284" s="4">
        <f>AVERAGE(J284:J291)</f>
        <v>141</v>
      </c>
      <c r="L284" s="27">
        <f>STDEV(J284:J291)</f>
        <v>10.606601717798213</v>
      </c>
      <c r="M284" s="24"/>
      <c r="O284" t="s">
        <v>23</v>
      </c>
      <c r="P284" s="19">
        <v>1</v>
      </c>
      <c r="Q284" s="19" t="s">
        <v>4</v>
      </c>
      <c r="R284" s="4" t="e">
        <f>AVERAGE(Q284:Q291)</f>
        <v>#DIV/0!</v>
      </c>
      <c r="S284" s="4" t="e">
        <f>STDEV(Q284:Q291)</f>
        <v>#DIV/0!</v>
      </c>
      <c r="T284" s="4"/>
      <c r="V284" t="s">
        <v>23</v>
      </c>
      <c r="W284" s="19">
        <v>2</v>
      </c>
      <c r="X284" s="19" t="s">
        <v>4</v>
      </c>
      <c r="Y284" s="34">
        <f>AVERAGE(X284:X291)</f>
        <v>96</v>
      </c>
      <c r="Z284" s="34" t="e">
        <f>STDEV(X284:X291)</f>
        <v>#DIV/0!</v>
      </c>
      <c r="AA284" s="34"/>
      <c r="AC284" t="s">
        <v>23</v>
      </c>
      <c r="AD284" s="19">
        <v>1</v>
      </c>
      <c r="AE284" s="19">
        <v>3</v>
      </c>
      <c r="AF284" s="19" t="s">
        <v>4</v>
      </c>
      <c r="AG284" s="4" t="e">
        <f>AVERAGE(AF284:AF291)</f>
        <v>#DIV/0!</v>
      </c>
      <c r="AH284" s="4" t="e">
        <f>STDEV(AF284:AF291)</f>
        <v>#DIV/0!</v>
      </c>
      <c r="AI284" s="4"/>
      <c r="AK284" t="s">
        <v>23</v>
      </c>
      <c r="AL284" s="19">
        <v>4</v>
      </c>
      <c r="AM284" s="19" t="s">
        <v>4</v>
      </c>
      <c r="AN284" s="4" t="e">
        <f>AVERAGE(AM284:AM291)</f>
        <v>#DIV/0!</v>
      </c>
      <c r="AO284" s="4" t="e">
        <f>STDEV(AM284:AM291)</f>
        <v>#DIV/0!</v>
      </c>
    </row>
    <row r="285" spans="1:41" x14ac:dyDescent="0.25">
      <c r="A285" t="s">
        <v>23</v>
      </c>
      <c r="B285" s="19">
        <v>1</v>
      </c>
      <c r="C285" s="19" t="s">
        <v>4</v>
      </c>
      <c r="H285" t="s">
        <v>35</v>
      </c>
      <c r="I285" s="19">
        <v>2</v>
      </c>
      <c r="J285" s="17">
        <v>132</v>
      </c>
      <c r="L285" s="24"/>
      <c r="M285" s="24"/>
      <c r="O285" t="s">
        <v>23</v>
      </c>
      <c r="P285" s="19">
        <v>1</v>
      </c>
      <c r="Q285" s="19" t="s">
        <v>4</v>
      </c>
      <c r="V285" t="s">
        <v>23</v>
      </c>
      <c r="W285" s="19">
        <v>2</v>
      </c>
      <c r="X285" s="19" t="s">
        <v>4</v>
      </c>
      <c r="AC285" t="s">
        <v>23</v>
      </c>
      <c r="AD285" s="19">
        <v>2</v>
      </c>
      <c r="AE285" s="19">
        <v>3</v>
      </c>
      <c r="AF285" s="19" t="s">
        <v>4</v>
      </c>
      <c r="AK285" t="s">
        <v>23</v>
      </c>
      <c r="AL285" s="19">
        <v>4</v>
      </c>
      <c r="AM285" s="19" t="s">
        <v>4</v>
      </c>
    </row>
    <row r="286" spans="1:41" x14ac:dyDescent="0.25">
      <c r="A286" t="s">
        <v>23</v>
      </c>
      <c r="B286" s="19">
        <v>1</v>
      </c>
      <c r="C286" s="19" t="s">
        <v>4</v>
      </c>
      <c r="H286" t="s">
        <v>35</v>
      </c>
      <c r="I286" s="19">
        <v>2</v>
      </c>
      <c r="J286">
        <v>139.5</v>
      </c>
      <c r="L286" s="24"/>
      <c r="M286" s="24"/>
      <c r="O286" t="s">
        <v>23</v>
      </c>
      <c r="P286" s="19">
        <v>1</v>
      </c>
      <c r="Q286" s="19" t="s">
        <v>4</v>
      </c>
      <c r="V286" t="s">
        <v>23</v>
      </c>
      <c r="W286" s="19">
        <v>2</v>
      </c>
      <c r="X286" s="19" t="s">
        <v>4</v>
      </c>
      <c r="AC286" t="s">
        <v>23</v>
      </c>
      <c r="AD286" s="19">
        <v>3</v>
      </c>
      <c r="AE286" s="19">
        <v>3</v>
      </c>
      <c r="AF286" s="19" t="s">
        <v>4</v>
      </c>
      <c r="AK286" t="s">
        <v>23</v>
      </c>
      <c r="AL286" s="19">
        <v>4</v>
      </c>
      <c r="AM286" s="19" t="s">
        <v>4</v>
      </c>
    </row>
    <row r="287" spans="1:41" x14ac:dyDescent="0.25">
      <c r="A287" t="s">
        <v>23</v>
      </c>
      <c r="B287" s="19">
        <v>1</v>
      </c>
      <c r="C287" s="19" t="s">
        <v>4</v>
      </c>
      <c r="H287" t="s">
        <v>35</v>
      </c>
      <c r="I287" s="19">
        <v>2</v>
      </c>
      <c r="J287">
        <v>127.5</v>
      </c>
      <c r="L287" s="24"/>
      <c r="M287" s="24"/>
      <c r="O287" t="s">
        <v>23</v>
      </c>
      <c r="P287" s="19">
        <v>1</v>
      </c>
      <c r="Q287" s="19" t="s">
        <v>4</v>
      </c>
      <c r="V287" t="s">
        <v>23</v>
      </c>
      <c r="W287" s="19">
        <v>2</v>
      </c>
      <c r="X287" s="19" t="s">
        <v>4</v>
      </c>
      <c r="AC287" t="s">
        <v>23</v>
      </c>
      <c r="AD287" s="19">
        <v>4</v>
      </c>
      <c r="AE287" s="19">
        <v>3</v>
      </c>
      <c r="AF287" s="19" t="s">
        <v>4</v>
      </c>
      <c r="AK287" t="s">
        <v>23</v>
      </c>
      <c r="AL287" s="19">
        <v>4</v>
      </c>
      <c r="AM287" s="19" t="s">
        <v>4</v>
      </c>
    </row>
    <row r="288" spans="1:41" x14ac:dyDescent="0.25">
      <c r="A288" t="s">
        <v>23</v>
      </c>
      <c r="B288" s="19">
        <v>1</v>
      </c>
      <c r="C288" s="19" t="s">
        <v>4</v>
      </c>
      <c r="H288" t="s">
        <v>35</v>
      </c>
      <c r="I288" s="19">
        <v>2</v>
      </c>
      <c r="J288">
        <v>148.5</v>
      </c>
      <c r="L288" s="24"/>
      <c r="M288" s="24"/>
      <c r="O288" t="s">
        <v>23</v>
      </c>
      <c r="P288" s="19">
        <v>1</v>
      </c>
      <c r="Q288" s="19" t="s">
        <v>4</v>
      </c>
      <c r="V288" t="s">
        <v>23</v>
      </c>
      <c r="W288" s="19">
        <v>2</v>
      </c>
      <c r="X288" s="19" t="s">
        <v>4</v>
      </c>
      <c r="AC288" t="s">
        <v>23</v>
      </c>
      <c r="AD288" s="19">
        <v>5</v>
      </c>
      <c r="AE288" s="19">
        <v>3</v>
      </c>
      <c r="AF288" s="19" t="s">
        <v>4</v>
      </c>
      <c r="AK288" t="s">
        <v>23</v>
      </c>
      <c r="AL288" s="19">
        <v>4</v>
      </c>
      <c r="AM288" s="19" t="s">
        <v>4</v>
      </c>
    </row>
    <row r="289" spans="1:41" x14ac:dyDescent="0.25">
      <c r="A289" t="s">
        <v>23</v>
      </c>
      <c r="B289" s="19">
        <v>1</v>
      </c>
      <c r="C289" s="19" t="s">
        <v>4</v>
      </c>
      <c r="H289" t="s">
        <v>35</v>
      </c>
      <c r="I289" s="19">
        <v>2</v>
      </c>
      <c r="J289">
        <v>139.5</v>
      </c>
      <c r="L289" s="24"/>
      <c r="M289" s="24"/>
      <c r="O289" t="s">
        <v>23</v>
      </c>
      <c r="P289" s="19">
        <v>1</v>
      </c>
      <c r="Q289" s="19" t="s">
        <v>4</v>
      </c>
      <c r="V289" t="s">
        <v>23</v>
      </c>
      <c r="W289" s="19">
        <v>2</v>
      </c>
      <c r="X289" s="53">
        <v>96</v>
      </c>
      <c r="AC289" t="s">
        <v>23</v>
      </c>
      <c r="AD289" s="19">
        <v>6</v>
      </c>
      <c r="AE289" s="19">
        <v>3</v>
      </c>
      <c r="AF289" s="19" t="s">
        <v>4</v>
      </c>
      <c r="AK289" t="s">
        <v>23</v>
      </c>
      <c r="AL289" s="19">
        <v>4</v>
      </c>
      <c r="AM289" s="19" t="s">
        <v>4</v>
      </c>
    </row>
    <row r="290" spans="1:41" x14ac:dyDescent="0.25">
      <c r="A290" t="s">
        <v>23</v>
      </c>
      <c r="B290" s="19">
        <v>1</v>
      </c>
      <c r="C290" s="19" t="s">
        <v>4</v>
      </c>
      <c r="H290" t="s">
        <v>35</v>
      </c>
      <c r="I290" s="19">
        <v>2</v>
      </c>
      <c r="J290">
        <v>157.5</v>
      </c>
      <c r="L290" s="24"/>
      <c r="M290" s="24"/>
      <c r="O290" t="s">
        <v>23</v>
      </c>
      <c r="P290" s="19">
        <v>1</v>
      </c>
      <c r="Q290" s="19" t="s">
        <v>4</v>
      </c>
      <c r="V290" t="s">
        <v>23</v>
      </c>
      <c r="W290" s="19">
        <v>2</v>
      </c>
      <c r="X290" s="19" t="s">
        <v>4</v>
      </c>
      <c r="AC290" t="s">
        <v>23</v>
      </c>
      <c r="AD290" s="19">
        <v>7</v>
      </c>
      <c r="AE290" s="19">
        <v>3</v>
      </c>
      <c r="AF290" s="19" t="s">
        <v>4</v>
      </c>
      <c r="AK290" t="s">
        <v>23</v>
      </c>
      <c r="AL290" s="19">
        <v>4</v>
      </c>
      <c r="AM290" s="19" t="s">
        <v>4</v>
      </c>
    </row>
    <row r="291" spans="1:41" x14ac:dyDescent="0.25">
      <c r="A291" t="s">
        <v>23</v>
      </c>
      <c r="B291" s="19">
        <v>1</v>
      </c>
      <c r="C291" s="19" t="s">
        <v>4</v>
      </c>
      <c r="H291" t="s">
        <v>35</v>
      </c>
      <c r="I291" s="19">
        <v>2</v>
      </c>
      <c r="J291">
        <v>151.5</v>
      </c>
      <c r="L291" s="24"/>
      <c r="M291" s="24"/>
      <c r="O291" t="s">
        <v>23</v>
      </c>
      <c r="P291" s="19">
        <v>1</v>
      </c>
      <c r="Q291" s="19" t="s">
        <v>4</v>
      </c>
      <c r="V291" t="s">
        <v>23</v>
      </c>
      <c r="W291" s="19">
        <v>2</v>
      </c>
      <c r="X291" s="19" t="s">
        <v>4</v>
      </c>
      <c r="AC291" t="s">
        <v>23</v>
      </c>
      <c r="AD291" s="19">
        <v>8</v>
      </c>
      <c r="AE291" s="19">
        <v>3</v>
      </c>
      <c r="AF291" s="19" t="s">
        <v>4</v>
      </c>
      <c r="AK291" t="s">
        <v>23</v>
      </c>
      <c r="AL291" s="19">
        <v>4</v>
      </c>
      <c r="AM291" s="19" t="s">
        <v>4</v>
      </c>
    </row>
    <row r="292" spans="1:41" x14ac:dyDescent="0.25">
      <c r="A292" t="s">
        <v>29</v>
      </c>
      <c r="B292" s="19">
        <v>1</v>
      </c>
      <c r="C292" s="19" t="s">
        <v>4</v>
      </c>
      <c r="D292" s="4" t="e">
        <f>AVERAGE(C292:C299)</f>
        <v>#DIV/0!</v>
      </c>
      <c r="E292" s="4" t="e">
        <f>STDEV(C292:C299)</f>
        <v>#DIV/0!</v>
      </c>
      <c r="H292" t="s">
        <v>36</v>
      </c>
      <c r="I292" s="19">
        <v>2</v>
      </c>
      <c r="J292" s="17">
        <v>148.5</v>
      </c>
      <c r="K292" s="4">
        <f>AVERAGE(J292:J298)</f>
        <v>150.21428571428572</v>
      </c>
      <c r="L292" s="27">
        <f>STDEV(J292:J298)</f>
        <v>4.5355736761107268</v>
      </c>
      <c r="M292" s="24"/>
      <c r="O292" t="s">
        <v>29</v>
      </c>
      <c r="P292" s="19">
        <v>1</v>
      </c>
      <c r="Q292" s="19" t="s">
        <v>4</v>
      </c>
      <c r="R292" s="4" t="e">
        <f>AVERAGE(Q292:Q299)</f>
        <v>#DIV/0!</v>
      </c>
      <c r="S292" s="4" t="e">
        <f>STDEV(Q292:Q299)</f>
        <v>#DIV/0!</v>
      </c>
      <c r="T292" s="4"/>
      <c r="V292" t="s">
        <v>29</v>
      </c>
      <c r="W292" s="19">
        <v>2</v>
      </c>
      <c r="X292" s="19" t="s">
        <v>4</v>
      </c>
      <c r="Y292" s="4" t="e">
        <f>AVERAGE(X292:X299)</f>
        <v>#DIV/0!</v>
      </c>
      <c r="Z292" s="4" t="e">
        <f>STDEV(X292:X299)</f>
        <v>#DIV/0!</v>
      </c>
      <c r="AA292" s="4"/>
      <c r="AC292" t="s">
        <v>29</v>
      </c>
      <c r="AD292" s="19">
        <v>1</v>
      </c>
      <c r="AE292" s="19">
        <v>3</v>
      </c>
      <c r="AF292" s="19" t="s">
        <v>4</v>
      </c>
      <c r="AG292" s="4" t="e">
        <f>AVERAGE(AF292:AF299)</f>
        <v>#DIV/0!</v>
      </c>
      <c r="AH292" s="4" t="e">
        <f>STDEV(AF292:AF299)</f>
        <v>#DIV/0!</v>
      </c>
      <c r="AI292" s="4"/>
      <c r="AK292" t="s">
        <v>29</v>
      </c>
      <c r="AL292" s="19">
        <v>4</v>
      </c>
      <c r="AM292" s="19" t="s">
        <v>4</v>
      </c>
      <c r="AN292" s="4" t="e">
        <f>AVERAGE(AM292:AM299)</f>
        <v>#DIV/0!</v>
      </c>
      <c r="AO292" s="4" t="e">
        <f>STDEV(AM292:AM299)</f>
        <v>#DIV/0!</v>
      </c>
    </row>
    <row r="293" spans="1:41" x14ac:dyDescent="0.25">
      <c r="A293" t="s">
        <v>29</v>
      </c>
      <c r="B293" s="19">
        <v>1</v>
      </c>
      <c r="C293" s="19" t="s">
        <v>4</v>
      </c>
      <c r="H293" t="s">
        <v>36</v>
      </c>
      <c r="I293" s="19">
        <v>2</v>
      </c>
      <c r="J293" s="17">
        <v>159</v>
      </c>
      <c r="L293" s="24"/>
      <c r="M293" s="24"/>
      <c r="O293" t="s">
        <v>29</v>
      </c>
      <c r="P293" s="19">
        <v>1</v>
      </c>
      <c r="Q293" s="19" t="s">
        <v>4</v>
      </c>
      <c r="V293" t="s">
        <v>29</v>
      </c>
      <c r="W293" s="19">
        <v>2</v>
      </c>
      <c r="X293" s="19" t="s">
        <v>4</v>
      </c>
      <c r="AC293" t="s">
        <v>29</v>
      </c>
      <c r="AD293" s="19">
        <v>2</v>
      </c>
      <c r="AE293" s="19">
        <v>3</v>
      </c>
      <c r="AF293" s="19" t="s">
        <v>4</v>
      </c>
      <c r="AK293" t="s">
        <v>29</v>
      </c>
      <c r="AL293" s="19">
        <v>4</v>
      </c>
      <c r="AM293" s="19" t="s">
        <v>4</v>
      </c>
    </row>
    <row r="294" spans="1:41" x14ac:dyDescent="0.25">
      <c r="A294" t="s">
        <v>29</v>
      </c>
      <c r="B294" s="19">
        <v>1</v>
      </c>
      <c r="C294" s="19" t="s">
        <v>4</v>
      </c>
      <c r="H294" t="s">
        <v>36</v>
      </c>
      <c r="I294" s="19">
        <v>2</v>
      </c>
      <c r="J294" s="17">
        <v>153</v>
      </c>
      <c r="L294" s="24"/>
      <c r="M294" s="24"/>
      <c r="O294" t="s">
        <v>29</v>
      </c>
      <c r="P294" s="19">
        <v>1</v>
      </c>
      <c r="Q294" s="19" t="s">
        <v>4</v>
      </c>
      <c r="V294" t="s">
        <v>29</v>
      </c>
      <c r="W294" s="19">
        <v>2</v>
      </c>
      <c r="X294" s="19" t="s">
        <v>4</v>
      </c>
      <c r="AC294" t="s">
        <v>29</v>
      </c>
      <c r="AD294" s="19">
        <v>3</v>
      </c>
      <c r="AE294" s="19">
        <v>3</v>
      </c>
      <c r="AF294" s="19" t="s">
        <v>4</v>
      </c>
      <c r="AK294" t="s">
        <v>29</v>
      </c>
      <c r="AL294" s="19">
        <v>4</v>
      </c>
      <c r="AM294" s="19" t="s">
        <v>4</v>
      </c>
    </row>
    <row r="295" spans="1:41" x14ac:dyDescent="0.25">
      <c r="A295" t="s">
        <v>29</v>
      </c>
      <c r="B295" s="19">
        <v>1</v>
      </c>
      <c r="C295" s="19" t="s">
        <v>4</v>
      </c>
      <c r="H295" t="s">
        <v>36</v>
      </c>
      <c r="I295" s="19">
        <v>2</v>
      </c>
      <c r="J295" s="17">
        <v>148.5</v>
      </c>
      <c r="L295" s="24"/>
      <c r="M295" s="24"/>
      <c r="O295" t="s">
        <v>29</v>
      </c>
      <c r="P295" s="19">
        <v>1</v>
      </c>
      <c r="Q295" s="19" t="s">
        <v>4</v>
      </c>
      <c r="V295" t="s">
        <v>29</v>
      </c>
      <c r="W295" s="19">
        <v>2</v>
      </c>
      <c r="X295" s="19" t="s">
        <v>4</v>
      </c>
      <c r="AC295" t="s">
        <v>29</v>
      </c>
      <c r="AD295" s="19">
        <v>4</v>
      </c>
      <c r="AE295" s="19">
        <v>3</v>
      </c>
      <c r="AF295" s="19" t="s">
        <v>4</v>
      </c>
      <c r="AK295" t="s">
        <v>29</v>
      </c>
      <c r="AL295" s="19">
        <v>4</v>
      </c>
      <c r="AM295" s="19" t="s">
        <v>4</v>
      </c>
    </row>
    <row r="296" spans="1:41" x14ac:dyDescent="0.25">
      <c r="A296" t="s">
        <v>29</v>
      </c>
      <c r="B296" s="19">
        <v>1</v>
      </c>
      <c r="C296" s="19" t="s">
        <v>4</v>
      </c>
      <c r="H296" t="s">
        <v>36</v>
      </c>
      <c r="I296" s="19">
        <v>2</v>
      </c>
      <c r="J296" s="17">
        <v>150</v>
      </c>
      <c r="L296" s="24"/>
      <c r="M296" s="24"/>
      <c r="O296" t="s">
        <v>29</v>
      </c>
      <c r="P296" s="19">
        <v>1</v>
      </c>
      <c r="Q296" s="19" t="s">
        <v>4</v>
      </c>
      <c r="V296" t="s">
        <v>29</v>
      </c>
      <c r="W296" s="19">
        <v>2</v>
      </c>
      <c r="X296" s="19" t="s">
        <v>4</v>
      </c>
      <c r="AC296" t="s">
        <v>29</v>
      </c>
      <c r="AD296" s="19">
        <v>5</v>
      </c>
      <c r="AE296" s="19">
        <v>3</v>
      </c>
      <c r="AF296" s="19" t="s">
        <v>4</v>
      </c>
      <c r="AK296" t="s">
        <v>29</v>
      </c>
      <c r="AL296" s="19">
        <v>4</v>
      </c>
      <c r="AM296" s="19" t="s">
        <v>4</v>
      </c>
    </row>
    <row r="297" spans="1:41" x14ac:dyDescent="0.25">
      <c r="A297" t="s">
        <v>29</v>
      </c>
      <c r="B297" s="19">
        <v>1</v>
      </c>
      <c r="C297" s="19" t="s">
        <v>4</v>
      </c>
      <c r="H297" t="s">
        <v>36</v>
      </c>
      <c r="I297" s="19">
        <v>2</v>
      </c>
      <c r="J297" s="17">
        <v>145.5</v>
      </c>
      <c r="L297" s="24"/>
      <c r="M297" s="24"/>
      <c r="O297" t="s">
        <v>29</v>
      </c>
      <c r="P297" s="19">
        <v>1</v>
      </c>
      <c r="Q297" s="19" t="s">
        <v>4</v>
      </c>
      <c r="V297" t="s">
        <v>29</v>
      </c>
      <c r="W297" s="19">
        <v>2</v>
      </c>
      <c r="X297" s="19" t="s">
        <v>4</v>
      </c>
      <c r="AC297" t="s">
        <v>29</v>
      </c>
      <c r="AD297" s="19">
        <v>6</v>
      </c>
      <c r="AE297" s="19">
        <v>3</v>
      </c>
      <c r="AF297" s="19" t="s">
        <v>4</v>
      </c>
      <c r="AK297" t="s">
        <v>29</v>
      </c>
      <c r="AL297" s="19">
        <v>4</v>
      </c>
      <c r="AM297" s="19" t="s">
        <v>4</v>
      </c>
    </row>
    <row r="298" spans="1:41" x14ac:dyDescent="0.25">
      <c r="A298" t="s">
        <v>29</v>
      </c>
      <c r="B298" s="19">
        <v>1</v>
      </c>
      <c r="C298" s="19" t="s">
        <v>4</v>
      </c>
      <c r="H298" t="s">
        <v>36</v>
      </c>
      <c r="I298" s="19">
        <v>2</v>
      </c>
      <c r="J298" s="17">
        <v>147</v>
      </c>
      <c r="L298" s="24"/>
      <c r="M298" s="24"/>
      <c r="O298" t="s">
        <v>29</v>
      </c>
      <c r="P298" s="19">
        <v>1</v>
      </c>
      <c r="Q298" s="19" t="s">
        <v>4</v>
      </c>
      <c r="V298" t="s">
        <v>29</v>
      </c>
      <c r="W298" s="19">
        <v>2</v>
      </c>
      <c r="X298" s="19" t="s">
        <v>4</v>
      </c>
      <c r="AC298" t="s">
        <v>29</v>
      </c>
      <c r="AD298" s="19">
        <v>7</v>
      </c>
      <c r="AE298" s="19">
        <v>3</v>
      </c>
      <c r="AF298" s="19" t="s">
        <v>4</v>
      </c>
      <c r="AK298" t="s">
        <v>29</v>
      </c>
      <c r="AL298" s="19">
        <v>4</v>
      </c>
      <c r="AM298" s="19" t="s">
        <v>4</v>
      </c>
    </row>
    <row r="299" spans="1:41" x14ac:dyDescent="0.25">
      <c r="A299" t="s">
        <v>29</v>
      </c>
      <c r="B299" s="19">
        <v>1</v>
      </c>
      <c r="C299" s="19" t="s">
        <v>4</v>
      </c>
      <c r="H299" t="s">
        <v>42</v>
      </c>
      <c r="I299" s="19">
        <v>1</v>
      </c>
      <c r="J299" s="17">
        <v>147</v>
      </c>
      <c r="K299" s="4">
        <f>AVERAGE(J299:J306)</f>
        <v>136.5</v>
      </c>
      <c r="L299" s="27">
        <f>STDEV(J299:J306)</f>
        <v>5.257647491307984</v>
      </c>
      <c r="M299" s="24"/>
      <c r="O299" t="s">
        <v>29</v>
      </c>
      <c r="P299" s="19">
        <v>1</v>
      </c>
      <c r="Q299" s="19" t="s">
        <v>4</v>
      </c>
      <c r="V299" t="s">
        <v>29</v>
      </c>
      <c r="W299" s="19">
        <v>2</v>
      </c>
      <c r="X299" s="19" t="s">
        <v>4</v>
      </c>
      <c r="AC299" t="s">
        <v>29</v>
      </c>
      <c r="AD299" s="19">
        <v>8</v>
      </c>
      <c r="AE299" s="19">
        <v>3</v>
      </c>
      <c r="AF299" s="19" t="s">
        <v>4</v>
      </c>
      <c r="AK299" t="s">
        <v>29</v>
      </c>
      <c r="AL299" s="19">
        <v>4</v>
      </c>
      <c r="AM299" s="19" t="s">
        <v>4</v>
      </c>
    </row>
    <row r="300" spans="1:41" x14ac:dyDescent="0.25">
      <c r="A300" t="s">
        <v>35</v>
      </c>
      <c r="B300" s="19">
        <v>1</v>
      </c>
      <c r="C300" s="53">
        <v>156</v>
      </c>
      <c r="D300" s="4">
        <f>AVERAGE(C300:C307)</f>
        <v>148</v>
      </c>
      <c r="E300" s="4">
        <f>STDEV(C300:C307)</f>
        <v>9.1651513899116797</v>
      </c>
      <c r="H300" t="s">
        <v>42</v>
      </c>
      <c r="I300" s="19">
        <v>1</v>
      </c>
      <c r="J300" s="17">
        <v>129</v>
      </c>
      <c r="L300" s="24"/>
      <c r="M300" s="24"/>
      <c r="O300" t="s">
        <v>44</v>
      </c>
      <c r="P300" s="19">
        <v>1</v>
      </c>
      <c r="Q300" s="19" t="s">
        <v>4</v>
      </c>
      <c r="R300" s="4" t="e">
        <f>AVERAGE(Q300:Q307)</f>
        <v>#DIV/0!</v>
      </c>
      <c r="S300" s="4" t="e">
        <f>STDEV(Q300:Q307)</f>
        <v>#DIV/0!</v>
      </c>
      <c r="T300" s="4"/>
      <c r="V300" t="s">
        <v>44</v>
      </c>
      <c r="W300" s="19">
        <v>2</v>
      </c>
      <c r="X300" s="19" t="s">
        <v>4</v>
      </c>
      <c r="Y300" s="34">
        <f>AVERAGE(X300:X307)</f>
        <v>135</v>
      </c>
      <c r="Z300" s="34" t="e">
        <f>STDEV(X300:X307)</f>
        <v>#DIV/0!</v>
      </c>
      <c r="AA300" s="34"/>
      <c r="AC300" t="s">
        <v>44</v>
      </c>
      <c r="AD300" s="19">
        <v>1</v>
      </c>
      <c r="AE300" s="19">
        <v>3</v>
      </c>
      <c r="AF300" s="19" t="s">
        <v>4</v>
      </c>
      <c r="AG300" s="4" t="e">
        <f>AVERAGE(AF300:AF307)</f>
        <v>#DIV/0!</v>
      </c>
      <c r="AH300" s="4" t="e">
        <f>STDEV(AF300:AF307)</f>
        <v>#DIV/0!</v>
      </c>
      <c r="AI300" s="4"/>
      <c r="AK300" t="s">
        <v>44</v>
      </c>
      <c r="AL300" s="19">
        <v>4</v>
      </c>
      <c r="AM300" s="19" t="s">
        <v>4</v>
      </c>
      <c r="AN300" s="4" t="e">
        <f>AVERAGE(AM300:AM307)</f>
        <v>#DIV/0!</v>
      </c>
      <c r="AO300" s="4" t="e">
        <f>STDEV(AM300:AM307)</f>
        <v>#DIV/0!</v>
      </c>
    </row>
    <row r="301" spans="1:41" x14ac:dyDescent="0.25">
      <c r="A301" t="s">
        <v>35</v>
      </c>
      <c r="B301" s="19">
        <v>1</v>
      </c>
      <c r="C301" s="19" t="s">
        <v>4</v>
      </c>
      <c r="H301" t="s">
        <v>42</v>
      </c>
      <c r="I301" s="19">
        <v>1</v>
      </c>
      <c r="J301" s="17">
        <v>135</v>
      </c>
      <c r="L301" s="24"/>
      <c r="M301" s="24"/>
      <c r="O301" t="s">
        <v>44</v>
      </c>
      <c r="P301" s="19">
        <v>1</v>
      </c>
      <c r="Q301" s="19" t="s">
        <v>4</v>
      </c>
      <c r="V301" t="s">
        <v>44</v>
      </c>
      <c r="W301" s="19">
        <v>2</v>
      </c>
      <c r="X301" s="19" t="s">
        <v>4</v>
      </c>
      <c r="AC301" t="s">
        <v>44</v>
      </c>
      <c r="AD301" s="19">
        <v>2</v>
      </c>
      <c r="AE301" s="19">
        <v>3</v>
      </c>
      <c r="AF301" s="19" t="s">
        <v>4</v>
      </c>
      <c r="AK301" t="s">
        <v>44</v>
      </c>
      <c r="AL301" s="19">
        <v>4</v>
      </c>
      <c r="AM301" s="19" t="s">
        <v>4</v>
      </c>
    </row>
    <row r="302" spans="1:41" x14ac:dyDescent="0.25">
      <c r="A302" t="s">
        <v>35</v>
      </c>
      <c r="B302" s="19">
        <v>1</v>
      </c>
      <c r="C302" s="17">
        <v>150</v>
      </c>
      <c r="H302" t="s">
        <v>42</v>
      </c>
      <c r="I302" s="19">
        <v>1</v>
      </c>
      <c r="J302" s="17">
        <v>139.5</v>
      </c>
      <c r="L302" s="24"/>
      <c r="M302" s="24"/>
      <c r="O302" t="s">
        <v>44</v>
      </c>
      <c r="P302" s="19">
        <v>1</v>
      </c>
      <c r="Q302" s="19" t="s">
        <v>4</v>
      </c>
      <c r="V302" t="s">
        <v>44</v>
      </c>
      <c r="W302" s="19">
        <v>2</v>
      </c>
      <c r="X302" s="19" t="s">
        <v>4</v>
      </c>
      <c r="AC302" t="s">
        <v>44</v>
      </c>
      <c r="AD302" s="19">
        <v>3</v>
      </c>
      <c r="AE302" s="19">
        <v>3</v>
      </c>
      <c r="AF302" s="19" t="s">
        <v>4</v>
      </c>
      <c r="AK302" t="s">
        <v>44</v>
      </c>
      <c r="AL302" s="19">
        <v>4</v>
      </c>
      <c r="AM302" s="19" t="s">
        <v>4</v>
      </c>
    </row>
    <row r="303" spans="1:41" x14ac:dyDescent="0.25">
      <c r="A303" t="s">
        <v>35</v>
      </c>
      <c r="B303" s="19">
        <v>1</v>
      </c>
      <c r="C303" s="19" t="s">
        <v>4</v>
      </c>
      <c r="H303" t="s">
        <v>42</v>
      </c>
      <c r="I303" s="19">
        <v>1</v>
      </c>
      <c r="J303" s="17">
        <v>135</v>
      </c>
      <c r="L303" s="24"/>
      <c r="M303" s="24"/>
      <c r="O303" t="s">
        <v>44</v>
      </c>
      <c r="P303" s="19">
        <v>1</v>
      </c>
      <c r="Q303" s="19" t="s">
        <v>4</v>
      </c>
      <c r="V303" t="s">
        <v>44</v>
      </c>
      <c r="W303" s="19">
        <v>2</v>
      </c>
      <c r="X303" s="19" t="s">
        <v>4</v>
      </c>
      <c r="AC303" t="s">
        <v>44</v>
      </c>
      <c r="AD303" s="19">
        <v>4</v>
      </c>
      <c r="AE303" s="19">
        <v>3</v>
      </c>
      <c r="AF303" s="19" t="s">
        <v>4</v>
      </c>
      <c r="AK303" t="s">
        <v>44</v>
      </c>
      <c r="AL303" s="19">
        <v>4</v>
      </c>
      <c r="AM303" s="19" t="s">
        <v>4</v>
      </c>
    </row>
    <row r="304" spans="1:41" x14ac:dyDescent="0.25">
      <c r="A304" t="s">
        <v>35</v>
      </c>
      <c r="B304" s="19">
        <v>1</v>
      </c>
      <c r="C304" s="17">
        <v>138</v>
      </c>
      <c r="H304" t="s">
        <v>42</v>
      </c>
      <c r="I304" s="19">
        <v>1</v>
      </c>
      <c r="J304" s="17">
        <v>135</v>
      </c>
      <c r="L304" s="24"/>
      <c r="M304" s="24"/>
      <c r="O304" t="s">
        <v>44</v>
      </c>
      <c r="P304" s="19">
        <v>1</v>
      </c>
      <c r="Q304" s="19" t="s">
        <v>4</v>
      </c>
      <c r="V304" t="s">
        <v>44</v>
      </c>
      <c r="W304" s="19">
        <v>2</v>
      </c>
      <c r="X304" s="19" t="s">
        <v>4</v>
      </c>
      <c r="AC304" t="s">
        <v>44</v>
      </c>
      <c r="AD304" s="19">
        <v>5</v>
      </c>
      <c r="AE304" s="19">
        <v>3</v>
      </c>
      <c r="AF304" s="19" t="s">
        <v>4</v>
      </c>
      <c r="AK304" t="s">
        <v>44</v>
      </c>
      <c r="AL304" s="19">
        <v>4</v>
      </c>
      <c r="AM304" s="19" t="s">
        <v>4</v>
      </c>
    </row>
    <row r="305" spans="1:41" x14ac:dyDescent="0.25">
      <c r="A305" t="s">
        <v>35</v>
      </c>
      <c r="B305" s="19">
        <v>1</v>
      </c>
      <c r="C305" s="19" t="s">
        <v>4</v>
      </c>
      <c r="H305" t="s">
        <v>42</v>
      </c>
      <c r="I305" s="19">
        <v>1</v>
      </c>
      <c r="J305" s="17">
        <v>133.5</v>
      </c>
      <c r="L305" s="24"/>
      <c r="M305" s="24"/>
      <c r="O305" t="s">
        <v>44</v>
      </c>
      <c r="P305" s="19">
        <v>1</v>
      </c>
      <c r="Q305" s="19" t="s">
        <v>4</v>
      </c>
      <c r="V305" t="s">
        <v>44</v>
      </c>
      <c r="W305" s="19">
        <v>2</v>
      </c>
      <c r="X305" s="19" t="s">
        <v>4</v>
      </c>
      <c r="AC305" t="s">
        <v>44</v>
      </c>
      <c r="AD305" s="19">
        <v>6</v>
      </c>
      <c r="AE305" s="19">
        <v>3</v>
      </c>
      <c r="AF305" s="19" t="s">
        <v>4</v>
      </c>
      <c r="AK305" t="s">
        <v>44</v>
      </c>
      <c r="AL305" s="19">
        <v>4</v>
      </c>
      <c r="AM305" s="19" t="s">
        <v>4</v>
      </c>
    </row>
    <row r="306" spans="1:41" x14ac:dyDescent="0.25">
      <c r="A306" t="s">
        <v>35</v>
      </c>
      <c r="B306" s="19">
        <v>1</v>
      </c>
      <c r="C306" s="19" t="s">
        <v>4</v>
      </c>
      <c r="H306" t="s">
        <v>42</v>
      </c>
      <c r="I306" s="19">
        <v>1</v>
      </c>
      <c r="J306" s="17">
        <v>138</v>
      </c>
      <c r="L306" s="24"/>
      <c r="M306" s="24"/>
      <c r="O306" t="s">
        <v>44</v>
      </c>
      <c r="P306" s="19">
        <v>1</v>
      </c>
      <c r="Q306" s="19" t="s">
        <v>4</v>
      </c>
      <c r="V306" t="s">
        <v>44</v>
      </c>
      <c r="W306" s="19">
        <v>2</v>
      </c>
      <c r="X306" s="19" t="s">
        <v>4</v>
      </c>
      <c r="AC306" t="s">
        <v>44</v>
      </c>
      <c r="AD306" s="19">
        <v>7</v>
      </c>
      <c r="AE306" s="19">
        <v>3</v>
      </c>
      <c r="AF306" s="19" t="s">
        <v>4</v>
      </c>
      <c r="AK306" t="s">
        <v>44</v>
      </c>
      <c r="AL306" s="19">
        <v>4</v>
      </c>
      <c r="AM306" s="19" t="s">
        <v>4</v>
      </c>
    </row>
    <row r="307" spans="1:41" x14ac:dyDescent="0.25">
      <c r="A307" t="s">
        <v>35</v>
      </c>
      <c r="B307" s="19">
        <v>1</v>
      </c>
      <c r="C307" s="19" t="s">
        <v>4</v>
      </c>
      <c r="H307" t="s">
        <v>43</v>
      </c>
      <c r="I307" s="19">
        <v>1</v>
      </c>
      <c r="J307" s="53">
        <v>156</v>
      </c>
      <c r="K307" s="4">
        <f>AVERAGE(J307:J313)</f>
        <v>144</v>
      </c>
      <c r="L307" s="27">
        <f>STDEV(J307:J313)</f>
        <v>9.3674969975975966</v>
      </c>
      <c r="M307" s="24"/>
      <c r="O307" t="s">
        <v>44</v>
      </c>
      <c r="P307" s="19">
        <v>1</v>
      </c>
      <c r="Q307" s="19" t="s">
        <v>4</v>
      </c>
      <c r="V307" t="s">
        <v>44</v>
      </c>
      <c r="W307" s="19">
        <v>2</v>
      </c>
      <c r="X307" s="53">
        <v>135</v>
      </c>
      <c r="AC307" t="s">
        <v>44</v>
      </c>
      <c r="AD307" s="19">
        <v>8</v>
      </c>
      <c r="AE307" s="19">
        <v>3</v>
      </c>
      <c r="AF307" s="19" t="s">
        <v>4</v>
      </c>
      <c r="AK307" t="s">
        <v>44</v>
      </c>
      <c r="AL307" s="19">
        <v>4</v>
      </c>
      <c r="AM307" s="19" t="s">
        <v>4</v>
      </c>
    </row>
    <row r="308" spans="1:41" x14ac:dyDescent="0.25">
      <c r="A308" t="s">
        <v>36</v>
      </c>
      <c r="B308" s="19">
        <v>1</v>
      </c>
      <c r="C308" s="19" t="s">
        <v>4</v>
      </c>
      <c r="D308" s="4">
        <f>AVERAGE(C308:C315)</f>
        <v>137.75</v>
      </c>
      <c r="E308" s="4">
        <f>STDEV(C308:C315)</f>
        <v>6.7360967926537398</v>
      </c>
      <c r="H308" t="s">
        <v>43</v>
      </c>
      <c r="I308" s="19">
        <v>1</v>
      </c>
      <c r="J308" s="53">
        <v>151.5</v>
      </c>
      <c r="L308" s="24"/>
      <c r="M308" s="24"/>
      <c r="O308" t="s">
        <v>45</v>
      </c>
      <c r="P308" s="19">
        <v>1</v>
      </c>
      <c r="Q308" s="19" t="s">
        <v>4</v>
      </c>
      <c r="R308" s="4" t="e">
        <f>AVERAGE(Q308:Q315)</f>
        <v>#DIV/0!</v>
      </c>
      <c r="S308" s="4" t="e">
        <f>STDEV(Q308:Q315)</f>
        <v>#DIV/0!</v>
      </c>
      <c r="T308" s="4"/>
      <c r="V308" t="s">
        <v>45</v>
      </c>
      <c r="W308" s="19">
        <v>2</v>
      </c>
      <c r="X308" s="19" t="s">
        <v>4</v>
      </c>
      <c r="Y308" s="34">
        <f>AVERAGE(X308:X315)</f>
        <v>134.5</v>
      </c>
      <c r="Z308" s="34">
        <f>STDEV(X308:X315)</f>
        <v>4.8218253804964775</v>
      </c>
      <c r="AA308" s="34"/>
      <c r="AC308" t="s">
        <v>45</v>
      </c>
      <c r="AD308" s="19">
        <v>1</v>
      </c>
      <c r="AE308" s="19">
        <v>3</v>
      </c>
      <c r="AF308" s="19" t="s">
        <v>4</v>
      </c>
      <c r="AG308" s="4" t="e">
        <f>AVERAGE(AF308:AF315)</f>
        <v>#DIV/0!</v>
      </c>
      <c r="AH308" s="4" t="e">
        <f>STDEV(AF308:AF315)</f>
        <v>#DIV/0!</v>
      </c>
      <c r="AI308" s="4"/>
      <c r="AK308" t="s">
        <v>45</v>
      </c>
      <c r="AL308" s="19">
        <v>4</v>
      </c>
      <c r="AM308" s="19" t="s">
        <v>4</v>
      </c>
      <c r="AN308" s="4" t="e">
        <f>AVERAGE(AM308:AM315)</f>
        <v>#DIV/0!</v>
      </c>
      <c r="AO308" s="4" t="e">
        <f>STDEV(AM308:AM315)</f>
        <v>#DIV/0!</v>
      </c>
    </row>
    <row r="309" spans="1:41" x14ac:dyDescent="0.25">
      <c r="A309" t="s">
        <v>36</v>
      </c>
      <c r="B309" s="19">
        <v>1</v>
      </c>
      <c r="C309" s="53">
        <v>129</v>
      </c>
      <c r="H309" t="s">
        <v>43</v>
      </c>
      <c r="I309" s="19">
        <v>1</v>
      </c>
      <c r="J309" s="53">
        <v>148.5</v>
      </c>
      <c r="L309" s="24"/>
      <c r="M309" s="24"/>
      <c r="O309" t="s">
        <v>45</v>
      </c>
      <c r="P309" s="19">
        <v>1</v>
      </c>
      <c r="Q309" s="19" t="s">
        <v>4</v>
      </c>
      <c r="V309" t="s">
        <v>45</v>
      </c>
      <c r="W309" s="19">
        <v>2</v>
      </c>
      <c r="X309" s="19" t="s">
        <v>4</v>
      </c>
      <c r="AC309" t="s">
        <v>45</v>
      </c>
      <c r="AD309" s="19">
        <v>2</v>
      </c>
      <c r="AE309" s="19">
        <v>3</v>
      </c>
      <c r="AF309" s="19" t="s">
        <v>4</v>
      </c>
      <c r="AK309" t="s">
        <v>45</v>
      </c>
      <c r="AL309" s="19">
        <v>4</v>
      </c>
      <c r="AM309" s="19" t="s">
        <v>4</v>
      </c>
    </row>
    <row r="310" spans="1:41" x14ac:dyDescent="0.25">
      <c r="A310" t="s">
        <v>36</v>
      </c>
      <c r="B310" s="19">
        <v>1</v>
      </c>
      <c r="C310" s="17">
        <v>147</v>
      </c>
      <c r="H310" t="s">
        <v>43</v>
      </c>
      <c r="I310" s="19">
        <v>1</v>
      </c>
      <c r="J310" s="53">
        <v>147</v>
      </c>
      <c r="L310" s="24"/>
      <c r="M310" s="24"/>
      <c r="O310" t="s">
        <v>45</v>
      </c>
      <c r="P310" s="19">
        <v>1</v>
      </c>
      <c r="Q310" s="19" t="s">
        <v>4</v>
      </c>
      <c r="V310" t="s">
        <v>45</v>
      </c>
      <c r="W310" s="19">
        <v>2</v>
      </c>
      <c r="X310" s="19" t="s">
        <v>4</v>
      </c>
      <c r="AC310" t="s">
        <v>45</v>
      </c>
      <c r="AD310" s="19">
        <v>3</v>
      </c>
      <c r="AE310" s="19">
        <v>3</v>
      </c>
      <c r="AF310" s="19" t="s">
        <v>4</v>
      </c>
      <c r="AK310" t="s">
        <v>45</v>
      </c>
      <c r="AL310" s="19">
        <v>4</v>
      </c>
      <c r="AM310" s="19" t="s">
        <v>4</v>
      </c>
    </row>
    <row r="311" spans="1:41" x14ac:dyDescent="0.25">
      <c r="A311" t="s">
        <v>36</v>
      </c>
      <c r="B311" s="19">
        <v>1</v>
      </c>
      <c r="C311" s="17">
        <v>135</v>
      </c>
      <c r="H311" t="s">
        <v>43</v>
      </c>
      <c r="I311" s="19">
        <v>1</v>
      </c>
      <c r="J311" s="53">
        <v>132</v>
      </c>
      <c r="L311" s="24"/>
      <c r="M311" s="24"/>
      <c r="O311" t="s">
        <v>45</v>
      </c>
      <c r="P311" s="19">
        <v>1</v>
      </c>
      <c r="Q311" s="19" t="s">
        <v>4</v>
      </c>
      <c r="V311" t="s">
        <v>45</v>
      </c>
      <c r="W311" s="19">
        <v>2</v>
      </c>
      <c r="X311" s="19" t="s">
        <v>4</v>
      </c>
      <c r="AC311" t="s">
        <v>45</v>
      </c>
      <c r="AD311" s="19">
        <v>4</v>
      </c>
      <c r="AE311" s="19">
        <v>3</v>
      </c>
      <c r="AF311" s="19" t="s">
        <v>4</v>
      </c>
      <c r="AK311" t="s">
        <v>45</v>
      </c>
      <c r="AL311" s="19">
        <v>4</v>
      </c>
      <c r="AM311" s="19" t="s">
        <v>4</v>
      </c>
    </row>
    <row r="312" spans="1:41" x14ac:dyDescent="0.25">
      <c r="A312" t="s">
        <v>36</v>
      </c>
      <c r="B312" s="19">
        <v>1</v>
      </c>
      <c r="C312" s="19" t="s">
        <v>4</v>
      </c>
      <c r="H312" t="s">
        <v>43</v>
      </c>
      <c r="I312" s="19">
        <v>1</v>
      </c>
      <c r="J312" s="53">
        <v>132</v>
      </c>
      <c r="L312" s="24"/>
      <c r="M312" s="24"/>
      <c r="O312" t="s">
        <v>45</v>
      </c>
      <c r="P312" s="19">
        <v>1</v>
      </c>
      <c r="Q312" s="19" t="s">
        <v>4</v>
      </c>
      <c r="V312" t="s">
        <v>45</v>
      </c>
      <c r="W312" s="19">
        <v>2</v>
      </c>
      <c r="X312" s="19" t="s">
        <v>4</v>
      </c>
      <c r="AC312" t="s">
        <v>45</v>
      </c>
      <c r="AD312" s="19">
        <v>5</v>
      </c>
      <c r="AE312" s="19">
        <v>3</v>
      </c>
      <c r="AF312" s="19" t="s">
        <v>4</v>
      </c>
      <c r="AK312" t="s">
        <v>45</v>
      </c>
      <c r="AL312" s="19">
        <v>4</v>
      </c>
      <c r="AM312" s="19" t="s">
        <v>4</v>
      </c>
    </row>
    <row r="313" spans="1:41" x14ac:dyDescent="0.25">
      <c r="A313" t="s">
        <v>36</v>
      </c>
      <c r="B313" s="19">
        <v>1</v>
      </c>
      <c r="C313" s="17">
        <v>144</v>
      </c>
      <c r="H313" t="s">
        <v>43</v>
      </c>
      <c r="I313" s="19">
        <v>1</v>
      </c>
      <c r="J313" s="53">
        <v>141</v>
      </c>
      <c r="L313" s="24"/>
      <c r="M313" s="24"/>
      <c r="O313" t="s">
        <v>45</v>
      </c>
      <c r="P313" s="19">
        <v>1</v>
      </c>
      <c r="Q313" s="19" t="s">
        <v>4</v>
      </c>
      <c r="V313" t="s">
        <v>45</v>
      </c>
      <c r="W313" s="19">
        <v>2</v>
      </c>
      <c r="X313" s="17">
        <v>136.5</v>
      </c>
      <c r="AC313" t="s">
        <v>45</v>
      </c>
      <c r="AD313" s="19">
        <v>6</v>
      </c>
      <c r="AE313" s="19">
        <v>3</v>
      </c>
      <c r="AF313" s="19" t="s">
        <v>4</v>
      </c>
      <c r="AK313" t="s">
        <v>45</v>
      </c>
      <c r="AL313" s="19">
        <v>4</v>
      </c>
      <c r="AM313" s="19" t="s">
        <v>4</v>
      </c>
    </row>
    <row r="314" spans="1:41" x14ac:dyDescent="0.25">
      <c r="A314" t="s">
        <v>36</v>
      </c>
      <c r="B314" s="19">
        <v>1</v>
      </c>
      <c r="C314">
        <v>133.5</v>
      </c>
      <c r="H314" t="s">
        <v>37</v>
      </c>
      <c r="I314" s="19">
        <v>2</v>
      </c>
      <c r="J314">
        <v>148.5</v>
      </c>
      <c r="K314" s="4">
        <f>AVERAGE(J314:J321)</f>
        <v>144.5625</v>
      </c>
      <c r="L314" s="27">
        <f>STDEV(J314:J321)</f>
        <v>5.1922847984843266</v>
      </c>
      <c r="M314" s="24"/>
      <c r="O314" t="s">
        <v>45</v>
      </c>
      <c r="P314" s="19">
        <v>1</v>
      </c>
      <c r="Q314" s="19" t="s">
        <v>4</v>
      </c>
      <c r="V314" t="s">
        <v>45</v>
      </c>
      <c r="W314" s="19">
        <v>2</v>
      </c>
      <c r="X314" s="17">
        <v>129</v>
      </c>
      <c r="AC314" t="s">
        <v>45</v>
      </c>
      <c r="AD314" s="19">
        <v>7</v>
      </c>
      <c r="AE314" s="19">
        <v>3</v>
      </c>
      <c r="AF314" s="19" t="s">
        <v>4</v>
      </c>
      <c r="AK314" t="s">
        <v>45</v>
      </c>
      <c r="AL314" s="19">
        <v>4</v>
      </c>
      <c r="AM314" s="19" t="s">
        <v>4</v>
      </c>
    </row>
    <row r="315" spans="1:41" x14ac:dyDescent="0.25">
      <c r="A315" t="s">
        <v>36</v>
      </c>
      <c r="B315" s="19">
        <v>1</v>
      </c>
      <c r="C315" s="17">
        <v>138</v>
      </c>
      <c r="H315" t="s">
        <v>37</v>
      </c>
      <c r="I315" s="19">
        <v>2</v>
      </c>
      <c r="J315">
        <v>151.5</v>
      </c>
      <c r="L315" s="24"/>
      <c r="M315" s="24"/>
      <c r="O315" t="s">
        <v>45</v>
      </c>
      <c r="P315" s="19">
        <v>1</v>
      </c>
      <c r="Q315" s="19" t="s">
        <v>4</v>
      </c>
      <c r="V315" t="s">
        <v>45</v>
      </c>
      <c r="W315" s="19">
        <v>2</v>
      </c>
      <c r="X315" s="17">
        <v>138</v>
      </c>
      <c r="AC315" t="s">
        <v>45</v>
      </c>
      <c r="AD315" s="19">
        <v>8</v>
      </c>
      <c r="AE315" s="19">
        <v>3</v>
      </c>
      <c r="AF315" s="19" t="s">
        <v>4</v>
      </c>
      <c r="AK315" t="s">
        <v>45</v>
      </c>
      <c r="AL315" s="19">
        <v>4</v>
      </c>
      <c r="AM315" s="19" t="s">
        <v>4</v>
      </c>
    </row>
    <row r="316" spans="1:41" x14ac:dyDescent="0.25">
      <c r="A316" t="s">
        <v>37</v>
      </c>
      <c r="B316" s="19">
        <v>1</v>
      </c>
      <c r="C316" s="53">
        <v>159</v>
      </c>
      <c r="D316" s="4">
        <f>AVERAGE(C316:C323)</f>
        <v>151.3125</v>
      </c>
      <c r="E316" s="4">
        <f>STDEV(C316:C323)</f>
        <v>5.750388185654451</v>
      </c>
      <c r="H316" t="s">
        <v>37</v>
      </c>
      <c r="I316" s="19">
        <v>2</v>
      </c>
      <c r="J316">
        <v>142.5</v>
      </c>
      <c r="L316" s="24"/>
      <c r="M316" s="24"/>
      <c r="O316" t="s">
        <v>46</v>
      </c>
      <c r="P316" s="19">
        <v>1</v>
      </c>
      <c r="Q316" s="17">
        <v>90</v>
      </c>
      <c r="R316" s="4">
        <f>AVERAGE(Q316:Q323)</f>
        <v>119.25</v>
      </c>
      <c r="S316" s="4">
        <f>STDEV(Q316:Q323)</f>
        <v>27.31757675929547</v>
      </c>
      <c r="T316" s="4"/>
      <c r="V316" t="s">
        <v>46</v>
      </c>
      <c r="W316" s="19">
        <v>2</v>
      </c>
      <c r="X316" s="17">
        <v>133.5</v>
      </c>
      <c r="Y316" s="4">
        <f>AVERAGE(X316:X323)</f>
        <v>128.875</v>
      </c>
      <c r="Z316" s="4">
        <f>STDEV(X316:X323)</f>
        <v>9.2726556528937731</v>
      </c>
      <c r="AA316" s="4"/>
      <c r="AC316" t="s">
        <v>46</v>
      </c>
      <c r="AD316" s="19">
        <v>1</v>
      </c>
      <c r="AE316" s="19">
        <v>3</v>
      </c>
      <c r="AF316" s="19" t="s">
        <v>4</v>
      </c>
      <c r="AG316" s="4">
        <f>AVERAGE(AF316:AF323)</f>
        <v>129</v>
      </c>
      <c r="AH316" s="4">
        <f>STDEV(AF316:AF323)</f>
        <v>0</v>
      </c>
      <c r="AI316" s="4"/>
      <c r="AK316" t="s">
        <v>46</v>
      </c>
      <c r="AL316" s="19">
        <v>4</v>
      </c>
      <c r="AM316" s="19" t="s">
        <v>4</v>
      </c>
      <c r="AN316" s="4">
        <f>AVERAGE(AM316:AM324)</f>
        <v>135.375</v>
      </c>
      <c r="AO316" s="4">
        <f>STDEV(AM316:AM324)</f>
        <v>10.703387314303823</v>
      </c>
    </row>
    <row r="317" spans="1:41" x14ac:dyDescent="0.25">
      <c r="A317" t="s">
        <v>37</v>
      </c>
      <c r="B317" s="19">
        <v>1</v>
      </c>
      <c r="C317" s="53">
        <v>154.5</v>
      </c>
      <c r="H317" t="s">
        <v>37</v>
      </c>
      <c r="I317" s="19">
        <v>2</v>
      </c>
      <c r="J317">
        <v>139.5</v>
      </c>
      <c r="L317" s="24"/>
      <c r="M317" s="24"/>
      <c r="O317" t="s">
        <v>46</v>
      </c>
      <c r="P317" s="19">
        <v>1</v>
      </c>
      <c r="Q317" s="19" t="s">
        <v>4</v>
      </c>
      <c r="V317" t="s">
        <v>46</v>
      </c>
      <c r="W317" s="19">
        <v>2</v>
      </c>
      <c r="X317" s="17">
        <v>117</v>
      </c>
      <c r="AC317" t="s">
        <v>46</v>
      </c>
      <c r="AD317" s="19">
        <v>2</v>
      </c>
      <c r="AE317" s="19">
        <v>3</v>
      </c>
      <c r="AF317" s="19" t="s">
        <v>4</v>
      </c>
      <c r="AK317" t="s">
        <v>46</v>
      </c>
      <c r="AL317" s="19">
        <v>4</v>
      </c>
      <c r="AM317" s="17">
        <v>120</v>
      </c>
    </row>
    <row r="318" spans="1:41" x14ac:dyDescent="0.25">
      <c r="A318" t="s">
        <v>37</v>
      </c>
      <c r="B318" s="19">
        <v>1</v>
      </c>
      <c r="C318" s="53">
        <v>147</v>
      </c>
      <c r="H318" t="s">
        <v>37</v>
      </c>
      <c r="I318" s="19">
        <v>2</v>
      </c>
      <c r="J318">
        <v>136.5</v>
      </c>
      <c r="L318" s="24"/>
      <c r="M318" s="24"/>
      <c r="O318" t="s">
        <v>46</v>
      </c>
      <c r="P318" s="19">
        <v>1</v>
      </c>
      <c r="Q318" s="19" t="s">
        <v>4</v>
      </c>
      <c r="V318" t="s">
        <v>46</v>
      </c>
      <c r="W318" s="19">
        <v>2</v>
      </c>
      <c r="X318" s="17">
        <v>112.5</v>
      </c>
      <c r="AC318" t="s">
        <v>46</v>
      </c>
      <c r="AD318" s="19">
        <v>3</v>
      </c>
      <c r="AE318" s="19">
        <v>3</v>
      </c>
      <c r="AF318" s="19" t="s">
        <v>4</v>
      </c>
      <c r="AK318" t="s">
        <v>46</v>
      </c>
      <c r="AL318" s="19">
        <v>4</v>
      </c>
      <c r="AM318" s="17">
        <v>144</v>
      </c>
    </row>
    <row r="319" spans="1:41" x14ac:dyDescent="0.25">
      <c r="A319" t="s">
        <v>37</v>
      </c>
      <c r="B319" s="19">
        <v>1</v>
      </c>
      <c r="C319" s="53">
        <v>156</v>
      </c>
      <c r="H319" t="s">
        <v>37</v>
      </c>
      <c r="I319" s="19">
        <v>2</v>
      </c>
      <c r="J319" s="17">
        <v>144</v>
      </c>
      <c r="L319" s="24"/>
      <c r="M319" s="24"/>
      <c r="O319" t="s">
        <v>46</v>
      </c>
      <c r="P319" s="19">
        <v>1</v>
      </c>
      <c r="Q319" s="19" t="s">
        <v>4</v>
      </c>
      <c r="V319" t="s">
        <v>46</v>
      </c>
      <c r="W319" s="19">
        <v>2</v>
      </c>
      <c r="X319" s="17">
        <v>132</v>
      </c>
      <c r="AC319" t="s">
        <v>46</v>
      </c>
      <c r="AD319" s="19">
        <v>4</v>
      </c>
      <c r="AE319" s="19">
        <v>3</v>
      </c>
      <c r="AF319" s="19" t="s">
        <v>4</v>
      </c>
      <c r="AK319" t="s">
        <v>46</v>
      </c>
      <c r="AL319" s="19">
        <v>4</v>
      </c>
      <c r="AM319" s="17">
        <v>136.5</v>
      </c>
    </row>
    <row r="320" spans="1:41" x14ac:dyDescent="0.25">
      <c r="A320" t="s">
        <v>37</v>
      </c>
      <c r="B320" s="19">
        <v>1</v>
      </c>
      <c r="C320" s="53">
        <v>151.5</v>
      </c>
      <c r="H320" t="s">
        <v>37</v>
      </c>
      <c r="I320" s="19">
        <v>2</v>
      </c>
      <c r="J320" s="17">
        <v>150</v>
      </c>
      <c r="L320" s="24"/>
      <c r="M320" s="24"/>
      <c r="O320" t="s">
        <v>46</v>
      </c>
      <c r="P320" s="19">
        <v>1</v>
      </c>
      <c r="Q320" s="17">
        <v>144</v>
      </c>
      <c r="V320" t="s">
        <v>46</v>
      </c>
      <c r="W320" s="19">
        <v>2</v>
      </c>
      <c r="X320" s="17">
        <v>127.5</v>
      </c>
      <c r="AC320" t="s">
        <v>46</v>
      </c>
      <c r="AD320" s="19">
        <v>5</v>
      </c>
      <c r="AE320" s="19">
        <v>3</v>
      </c>
      <c r="AF320" s="19" t="s">
        <v>4</v>
      </c>
      <c r="AK320" t="s">
        <v>46</v>
      </c>
      <c r="AL320" s="19">
        <v>4</v>
      </c>
      <c r="AM320" s="19" t="s">
        <v>4</v>
      </c>
    </row>
    <row r="321" spans="1:41" x14ac:dyDescent="0.25">
      <c r="A321" t="s">
        <v>37</v>
      </c>
      <c r="B321" s="19">
        <v>1</v>
      </c>
      <c r="C321" s="53">
        <v>142.5</v>
      </c>
      <c r="H321" t="s">
        <v>37</v>
      </c>
      <c r="I321" s="19">
        <v>2</v>
      </c>
      <c r="J321" s="17">
        <v>144</v>
      </c>
      <c r="L321" s="24"/>
      <c r="M321" s="24"/>
      <c r="O321" t="s">
        <v>46</v>
      </c>
      <c r="P321" s="19">
        <v>1</v>
      </c>
      <c r="Q321" s="17">
        <v>141</v>
      </c>
      <c r="V321" t="s">
        <v>46</v>
      </c>
      <c r="W321" s="19">
        <v>2</v>
      </c>
      <c r="X321" s="17">
        <v>136</v>
      </c>
      <c r="AC321" t="s">
        <v>46</v>
      </c>
      <c r="AD321" s="19">
        <v>6</v>
      </c>
      <c r="AE321" s="19">
        <v>3</v>
      </c>
      <c r="AF321" s="17">
        <v>129</v>
      </c>
      <c r="AK321" t="s">
        <v>46</v>
      </c>
      <c r="AL321" s="19">
        <v>4</v>
      </c>
      <c r="AM321" s="17">
        <v>141</v>
      </c>
    </row>
    <row r="322" spans="1:41" x14ac:dyDescent="0.25">
      <c r="A322" t="s">
        <v>37</v>
      </c>
      <c r="B322" s="19">
        <v>1</v>
      </c>
      <c r="C322" s="53">
        <v>154.5</v>
      </c>
      <c r="H322" t="s">
        <v>38</v>
      </c>
      <c r="I322" s="19">
        <v>2</v>
      </c>
      <c r="J322" s="53">
        <v>138</v>
      </c>
      <c r="K322" s="4">
        <f>AVERAGE(J322:J328)</f>
        <v>146.78571428571428</v>
      </c>
      <c r="L322" s="27">
        <f>STDEV(J322:J328)</f>
        <v>9.8524833707765556</v>
      </c>
      <c r="M322" s="24"/>
      <c r="O322" t="s">
        <v>46</v>
      </c>
      <c r="P322" s="19">
        <v>1</v>
      </c>
      <c r="Q322" s="19" t="s">
        <v>4</v>
      </c>
      <c r="V322" t="s">
        <v>46</v>
      </c>
      <c r="W322" s="19">
        <v>2</v>
      </c>
      <c r="X322" s="17">
        <v>136.5</v>
      </c>
      <c r="AC322" t="s">
        <v>46</v>
      </c>
      <c r="AD322" s="19">
        <v>7</v>
      </c>
      <c r="AE322" s="19">
        <v>3</v>
      </c>
      <c r="AF322" s="17">
        <v>129</v>
      </c>
      <c r="AK322" t="s">
        <v>46</v>
      </c>
      <c r="AL322" s="19">
        <v>4</v>
      </c>
      <c r="AM322" s="19" t="s">
        <v>4</v>
      </c>
    </row>
    <row r="323" spans="1:41" x14ac:dyDescent="0.25">
      <c r="A323" t="s">
        <v>37</v>
      </c>
      <c r="B323" s="19">
        <v>1</v>
      </c>
      <c r="C323" s="53">
        <v>145.5</v>
      </c>
      <c r="H323" t="s">
        <v>38</v>
      </c>
      <c r="I323" s="19">
        <v>2</v>
      </c>
      <c r="J323" s="53">
        <v>160.5</v>
      </c>
      <c r="L323" s="24"/>
      <c r="M323" s="24"/>
      <c r="O323" t="s">
        <v>46</v>
      </c>
      <c r="P323" s="19">
        <v>1</v>
      </c>
      <c r="Q323" s="17">
        <v>102</v>
      </c>
      <c r="V323" t="s">
        <v>46</v>
      </c>
      <c r="W323" s="19">
        <v>2</v>
      </c>
      <c r="X323" s="17">
        <v>136</v>
      </c>
      <c r="AC323" t="s">
        <v>46</v>
      </c>
      <c r="AD323" s="19">
        <v>8</v>
      </c>
      <c r="AE323" s="19">
        <v>3</v>
      </c>
      <c r="AF323" s="19" t="s">
        <v>4</v>
      </c>
      <c r="AK323" t="s">
        <v>46</v>
      </c>
      <c r="AL323" s="19">
        <v>4</v>
      </c>
      <c r="AM323" s="19" t="s">
        <v>4</v>
      </c>
    </row>
    <row r="324" spans="1:41" x14ac:dyDescent="0.25">
      <c r="A324" t="s">
        <v>38</v>
      </c>
      <c r="B324" s="19">
        <v>1</v>
      </c>
      <c r="C324" s="53">
        <v>156</v>
      </c>
      <c r="D324" s="4">
        <f>AVERAGE(C324:C331)</f>
        <v>158.625</v>
      </c>
      <c r="E324" s="4">
        <f>STDEV(C324:C331)</f>
        <v>8.5888216387847489</v>
      </c>
      <c r="H324" t="s">
        <v>38</v>
      </c>
      <c r="I324" s="19">
        <v>2</v>
      </c>
      <c r="J324" s="53">
        <v>141</v>
      </c>
      <c r="L324" s="24"/>
      <c r="M324" s="24"/>
      <c r="O324" t="s">
        <v>47</v>
      </c>
      <c r="P324" s="19">
        <v>1</v>
      </c>
      <c r="Q324" s="19" t="s">
        <v>4</v>
      </c>
      <c r="R324" s="4">
        <f>AVERAGE(Q324:Q331)</f>
        <v>117</v>
      </c>
      <c r="S324" s="4" t="e">
        <f>STDEV(Q324:Q331)</f>
        <v>#DIV/0!</v>
      </c>
      <c r="T324" s="4"/>
      <c r="V324" t="s">
        <v>47</v>
      </c>
      <c r="W324" s="19">
        <v>2</v>
      </c>
      <c r="X324" s="17">
        <v>126</v>
      </c>
      <c r="Y324" s="4">
        <f>AVERAGE(X324:X331)</f>
        <v>134.625</v>
      </c>
      <c r="Z324" s="4">
        <f>STDEV(X324:X331)</f>
        <v>7.381201992707072</v>
      </c>
      <c r="AA324" s="4"/>
      <c r="AC324" t="s">
        <v>47</v>
      </c>
      <c r="AD324" s="19">
        <v>1</v>
      </c>
      <c r="AE324" s="19">
        <v>3</v>
      </c>
      <c r="AF324" s="19" t="s">
        <v>4</v>
      </c>
      <c r="AG324" s="4">
        <f>AVERAGE(AF324:AF331)</f>
        <v>131.625</v>
      </c>
      <c r="AH324" s="4">
        <f>STDEV(AF324:AF331)</f>
        <v>8.8635489506179184</v>
      </c>
      <c r="AI324" s="4"/>
      <c r="AK324" t="s">
        <v>47</v>
      </c>
      <c r="AL324" s="19">
        <v>4</v>
      </c>
      <c r="AM324" s="19" t="s">
        <v>4</v>
      </c>
      <c r="AN324" s="4" t="e">
        <f>AVERAGE(AM324:AM331)</f>
        <v>#DIV/0!</v>
      </c>
      <c r="AO324" s="4" t="e">
        <f>STDEV(AM324:AM331)</f>
        <v>#DIV/0!</v>
      </c>
    </row>
    <row r="325" spans="1:41" x14ac:dyDescent="0.25">
      <c r="A325" t="s">
        <v>38</v>
      </c>
      <c r="B325" s="19">
        <v>1</v>
      </c>
      <c r="C325" s="53">
        <v>169.5</v>
      </c>
      <c r="H325" t="s">
        <v>38</v>
      </c>
      <c r="I325" s="19">
        <v>2</v>
      </c>
      <c r="J325" s="53">
        <v>156</v>
      </c>
      <c r="L325" s="24"/>
      <c r="M325" s="24"/>
      <c r="O325" t="s">
        <v>47</v>
      </c>
      <c r="P325" s="19">
        <v>1</v>
      </c>
      <c r="Q325" s="17">
        <v>117</v>
      </c>
      <c r="V325" t="s">
        <v>47</v>
      </c>
      <c r="W325" s="19">
        <v>2</v>
      </c>
      <c r="X325" s="17">
        <v>144</v>
      </c>
      <c r="AC325" t="s">
        <v>47</v>
      </c>
      <c r="AD325" s="19">
        <v>2</v>
      </c>
      <c r="AE325" s="19">
        <v>3</v>
      </c>
      <c r="AF325" s="19" t="s">
        <v>4</v>
      </c>
      <c r="AK325" t="s">
        <v>47</v>
      </c>
      <c r="AL325" s="19">
        <v>4</v>
      </c>
      <c r="AM325" s="19" t="s">
        <v>4</v>
      </c>
    </row>
    <row r="326" spans="1:41" x14ac:dyDescent="0.25">
      <c r="A326" t="s">
        <v>38</v>
      </c>
      <c r="B326" s="19">
        <v>1</v>
      </c>
      <c r="C326" s="53">
        <v>165</v>
      </c>
      <c r="H326" t="s">
        <v>38</v>
      </c>
      <c r="I326" s="19">
        <v>2</v>
      </c>
      <c r="J326" s="53">
        <v>154.5</v>
      </c>
      <c r="L326" s="24"/>
      <c r="M326" s="24"/>
      <c r="O326" t="s">
        <v>47</v>
      </c>
      <c r="P326" s="19">
        <v>1</v>
      </c>
      <c r="Q326" s="19" t="s">
        <v>4</v>
      </c>
      <c r="V326" t="s">
        <v>47</v>
      </c>
      <c r="W326" s="19">
        <v>2</v>
      </c>
      <c r="X326" s="17">
        <v>127.5</v>
      </c>
      <c r="AC326" t="s">
        <v>47</v>
      </c>
      <c r="AD326" s="19">
        <v>3</v>
      </c>
      <c r="AE326" s="19">
        <v>3</v>
      </c>
      <c r="AF326" s="17">
        <v>124.5</v>
      </c>
      <c r="AK326" t="s">
        <v>47</v>
      </c>
      <c r="AL326" s="19">
        <v>4</v>
      </c>
      <c r="AM326" s="19" t="s">
        <v>4</v>
      </c>
    </row>
    <row r="327" spans="1:41" x14ac:dyDescent="0.25">
      <c r="A327" t="s">
        <v>38</v>
      </c>
      <c r="B327" s="19">
        <v>1</v>
      </c>
      <c r="C327" s="53">
        <v>165</v>
      </c>
      <c r="H327" t="s">
        <v>38</v>
      </c>
      <c r="I327" s="19">
        <v>2</v>
      </c>
      <c r="J327" s="53">
        <v>141</v>
      </c>
      <c r="L327" s="24"/>
      <c r="M327" s="24"/>
      <c r="O327" t="s">
        <v>47</v>
      </c>
      <c r="P327" s="19">
        <v>1</v>
      </c>
      <c r="Q327" s="19" t="s">
        <v>4</v>
      </c>
      <c r="V327" t="s">
        <v>47</v>
      </c>
      <c r="W327" s="19">
        <v>2</v>
      </c>
      <c r="X327" s="17">
        <v>145.5</v>
      </c>
      <c r="AC327" t="s">
        <v>47</v>
      </c>
      <c r="AD327" s="19">
        <v>4</v>
      </c>
      <c r="AE327" s="19">
        <v>3</v>
      </c>
      <c r="AF327" s="17">
        <v>126</v>
      </c>
      <c r="AK327" t="s">
        <v>47</v>
      </c>
      <c r="AL327" s="19">
        <v>4</v>
      </c>
      <c r="AM327" s="19" t="s">
        <v>4</v>
      </c>
    </row>
    <row r="328" spans="1:41" x14ac:dyDescent="0.25">
      <c r="A328" t="s">
        <v>38</v>
      </c>
      <c r="B328" s="19">
        <v>1</v>
      </c>
      <c r="C328" s="53">
        <v>165</v>
      </c>
      <c r="H328" t="s">
        <v>38</v>
      </c>
      <c r="I328" s="19">
        <v>2</v>
      </c>
      <c r="J328" s="53">
        <v>136.5</v>
      </c>
      <c r="L328" s="24"/>
      <c r="M328" s="24"/>
      <c r="O328" t="s">
        <v>47</v>
      </c>
      <c r="P328" s="19">
        <v>1</v>
      </c>
      <c r="Q328" s="19" t="s">
        <v>4</v>
      </c>
      <c r="V328" t="s">
        <v>47</v>
      </c>
      <c r="W328" s="19">
        <v>2</v>
      </c>
      <c r="X328" s="17">
        <v>135</v>
      </c>
      <c r="AC328" t="s">
        <v>47</v>
      </c>
      <c r="AD328" s="19">
        <v>5</v>
      </c>
      <c r="AE328" s="19">
        <v>3</v>
      </c>
      <c r="AF328" s="19" t="s">
        <v>4</v>
      </c>
      <c r="AK328" t="s">
        <v>47</v>
      </c>
      <c r="AL328" s="19">
        <v>4</v>
      </c>
      <c r="AM328" s="19" t="s">
        <v>4</v>
      </c>
    </row>
    <row r="329" spans="1:41" x14ac:dyDescent="0.25">
      <c r="A329" t="s">
        <v>38</v>
      </c>
      <c r="B329" s="19">
        <v>1</v>
      </c>
      <c r="C329" s="53">
        <v>147</v>
      </c>
      <c r="H329" t="s">
        <v>39</v>
      </c>
      <c r="I329" s="19">
        <v>2</v>
      </c>
      <c r="J329" s="53">
        <v>150.5</v>
      </c>
      <c r="K329" s="4">
        <f>AVERAGE(J329:J336)</f>
        <v>149.125</v>
      </c>
      <c r="L329" s="27">
        <f>STDEV(J329:J336)</f>
        <v>5.6236109396009963</v>
      </c>
      <c r="M329" s="24"/>
      <c r="O329" t="s">
        <v>47</v>
      </c>
      <c r="P329" s="19">
        <v>1</v>
      </c>
      <c r="Q329" s="19" t="s">
        <v>4</v>
      </c>
      <c r="V329" t="s">
        <v>47</v>
      </c>
      <c r="W329" s="19">
        <v>2</v>
      </c>
      <c r="X329" s="17">
        <v>129</v>
      </c>
      <c r="AC329" t="s">
        <v>47</v>
      </c>
      <c r="AD329" s="19">
        <v>6</v>
      </c>
      <c r="AE329" s="19">
        <v>3</v>
      </c>
      <c r="AF329" s="19" t="s">
        <v>4</v>
      </c>
      <c r="AK329" t="s">
        <v>47</v>
      </c>
      <c r="AL329" s="19">
        <v>4</v>
      </c>
      <c r="AM329" s="19" t="s">
        <v>4</v>
      </c>
    </row>
    <row r="330" spans="1:41" x14ac:dyDescent="0.25">
      <c r="A330" t="s">
        <v>38</v>
      </c>
      <c r="B330" s="19">
        <v>1</v>
      </c>
      <c r="C330" s="53">
        <v>148.5</v>
      </c>
      <c r="H330" t="s">
        <v>39</v>
      </c>
      <c r="I330" s="19">
        <v>2</v>
      </c>
      <c r="J330" s="53">
        <v>159</v>
      </c>
      <c r="L330" s="24"/>
      <c r="M330" s="24"/>
      <c r="O330" t="s">
        <v>47</v>
      </c>
      <c r="P330" s="19">
        <v>1</v>
      </c>
      <c r="Q330" s="19" t="s">
        <v>4</v>
      </c>
      <c r="V330" t="s">
        <v>47</v>
      </c>
      <c r="W330" s="19">
        <v>2</v>
      </c>
      <c r="X330" s="17">
        <v>132</v>
      </c>
      <c r="AC330" t="s">
        <v>47</v>
      </c>
      <c r="AD330" s="19">
        <v>7</v>
      </c>
      <c r="AE330" s="19">
        <v>3</v>
      </c>
      <c r="AF330" s="17">
        <v>132</v>
      </c>
      <c r="AK330" t="s">
        <v>47</v>
      </c>
      <c r="AL330" s="19">
        <v>4</v>
      </c>
      <c r="AM330" s="19" t="s">
        <v>4</v>
      </c>
    </row>
    <row r="331" spans="1:41" x14ac:dyDescent="0.25">
      <c r="A331" t="s">
        <v>38</v>
      </c>
      <c r="B331" s="19">
        <v>1</v>
      </c>
      <c r="C331" s="53">
        <v>153</v>
      </c>
      <c r="H331" t="s">
        <v>39</v>
      </c>
      <c r="I331" s="19">
        <v>2</v>
      </c>
      <c r="J331" s="53">
        <v>153</v>
      </c>
      <c r="L331" s="24"/>
      <c r="M331" s="24"/>
      <c r="O331" t="s">
        <v>47</v>
      </c>
      <c r="P331" s="19">
        <v>1</v>
      </c>
      <c r="Q331" s="19" t="s">
        <v>4</v>
      </c>
      <c r="V331" t="s">
        <v>47</v>
      </c>
      <c r="W331" s="19">
        <v>2</v>
      </c>
      <c r="X331" s="17">
        <v>138</v>
      </c>
      <c r="AC331" t="s">
        <v>47</v>
      </c>
      <c r="AD331" s="19">
        <v>8</v>
      </c>
      <c r="AE331" s="19">
        <v>3</v>
      </c>
      <c r="AF331" s="17">
        <v>144</v>
      </c>
      <c r="AK331" t="s">
        <v>47</v>
      </c>
      <c r="AL331" s="19">
        <v>4</v>
      </c>
      <c r="AM331" s="19" t="s">
        <v>4</v>
      </c>
    </row>
    <row r="332" spans="1:41" x14ac:dyDescent="0.25">
      <c r="A332" t="s">
        <v>39</v>
      </c>
      <c r="B332" s="19">
        <v>1</v>
      </c>
      <c r="C332" s="53">
        <v>136.5</v>
      </c>
      <c r="D332" s="4">
        <f>AVERAGE(C332:C339)</f>
        <v>145.3125</v>
      </c>
      <c r="E332" s="4">
        <f>STDEV(C332:C339)</f>
        <v>9.0511936860757292</v>
      </c>
      <c r="H332" t="s">
        <v>39</v>
      </c>
      <c r="I332" s="19">
        <v>2</v>
      </c>
      <c r="J332" s="53">
        <v>147</v>
      </c>
      <c r="L332" s="24"/>
      <c r="M332" s="24"/>
      <c r="O332" t="s">
        <v>48</v>
      </c>
      <c r="P332" s="19">
        <v>1</v>
      </c>
      <c r="Q332" s="17">
        <v>139.5</v>
      </c>
      <c r="R332" s="4">
        <f>AVERAGE(Q332:Q339)</f>
        <v>133.25</v>
      </c>
      <c r="S332" s="4">
        <f>STDEV(Q332:Q339)</f>
        <v>13.734731782705374</v>
      </c>
      <c r="T332" s="4"/>
      <c r="V332" t="s">
        <v>48</v>
      </c>
      <c r="W332" s="19">
        <v>2</v>
      </c>
      <c r="X332" s="17">
        <v>132</v>
      </c>
      <c r="Y332" s="4">
        <f>AVERAGE(X332:X339)</f>
        <v>127.375</v>
      </c>
      <c r="Z332" s="4">
        <f>STDEV(X332:X339)</f>
        <v>9.5720948595383231</v>
      </c>
      <c r="AA332" s="4"/>
      <c r="AC332" t="s">
        <v>48</v>
      </c>
      <c r="AD332" s="19">
        <v>1</v>
      </c>
      <c r="AE332" s="19">
        <v>3</v>
      </c>
      <c r="AF332" s="17">
        <v>129</v>
      </c>
      <c r="AG332" s="4">
        <f>AVERAGE(AF332:AF339)</f>
        <v>150.8125</v>
      </c>
      <c r="AH332" s="4">
        <f>STDEV(AF332:AF339)</f>
        <v>13.065596864612479</v>
      </c>
      <c r="AI332" s="4"/>
      <c r="AK332" t="s">
        <v>48</v>
      </c>
      <c r="AL332" s="19">
        <v>4</v>
      </c>
      <c r="AM332" s="17">
        <v>138</v>
      </c>
      <c r="AN332" s="4">
        <f>AVERAGE(AM332:AM339)</f>
        <v>136.5</v>
      </c>
      <c r="AO332" s="4">
        <f>STDEV(AM332:AM339)</f>
        <v>4.9425268262874837</v>
      </c>
    </row>
    <row r="333" spans="1:41" x14ac:dyDescent="0.25">
      <c r="A333" t="s">
        <v>39</v>
      </c>
      <c r="B333" s="19">
        <v>1</v>
      </c>
      <c r="C333" s="53">
        <v>145.5</v>
      </c>
      <c r="H333" t="s">
        <v>39</v>
      </c>
      <c r="I333" s="19">
        <v>2</v>
      </c>
      <c r="J333" s="53">
        <v>139.5</v>
      </c>
      <c r="L333" s="24"/>
      <c r="M333" s="24"/>
      <c r="O333" t="s">
        <v>48</v>
      </c>
      <c r="P333" s="19">
        <v>1</v>
      </c>
      <c r="Q333" s="17">
        <v>135</v>
      </c>
      <c r="V333" t="s">
        <v>48</v>
      </c>
      <c r="W333" s="19">
        <v>2</v>
      </c>
      <c r="X333" s="17">
        <v>136.5</v>
      </c>
      <c r="AC333" t="s">
        <v>48</v>
      </c>
      <c r="AD333" s="19">
        <v>2</v>
      </c>
      <c r="AE333" s="19">
        <v>3</v>
      </c>
      <c r="AF333" s="17">
        <v>141</v>
      </c>
      <c r="AK333" t="s">
        <v>48</v>
      </c>
      <c r="AL333" s="19">
        <v>4</v>
      </c>
      <c r="AM333" s="17">
        <v>136.5</v>
      </c>
    </row>
    <row r="334" spans="1:41" x14ac:dyDescent="0.25">
      <c r="A334" t="s">
        <v>39</v>
      </c>
      <c r="B334" s="19">
        <v>1</v>
      </c>
      <c r="C334" s="53">
        <v>142.5</v>
      </c>
      <c r="H334" t="s">
        <v>39</v>
      </c>
      <c r="I334" s="19">
        <v>2</v>
      </c>
      <c r="J334" s="53">
        <v>147</v>
      </c>
      <c r="L334" s="24"/>
      <c r="M334" s="24"/>
      <c r="O334" t="s">
        <v>48</v>
      </c>
      <c r="P334" s="19">
        <v>1</v>
      </c>
      <c r="Q334" s="17">
        <v>137.5</v>
      </c>
      <c r="V334" t="s">
        <v>48</v>
      </c>
      <c r="W334" s="19">
        <v>2</v>
      </c>
      <c r="X334" s="17">
        <v>129</v>
      </c>
      <c r="AC334" t="s">
        <v>48</v>
      </c>
      <c r="AD334" s="19">
        <v>3</v>
      </c>
      <c r="AE334" s="19">
        <v>3</v>
      </c>
      <c r="AF334" s="17">
        <v>149</v>
      </c>
      <c r="AK334" t="s">
        <v>48</v>
      </c>
      <c r="AL334" s="19">
        <v>4</v>
      </c>
      <c r="AM334" s="17">
        <v>130.5</v>
      </c>
    </row>
    <row r="335" spans="1:41" x14ac:dyDescent="0.25">
      <c r="A335" t="s">
        <v>39</v>
      </c>
      <c r="B335" s="19">
        <v>1</v>
      </c>
      <c r="C335" s="53">
        <v>165</v>
      </c>
      <c r="H335" t="s">
        <v>39</v>
      </c>
      <c r="I335" s="19">
        <v>2</v>
      </c>
      <c r="J335" s="53">
        <v>147</v>
      </c>
      <c r="L335" s="24"/>
      <c r="M335" s="24"/>
      <c r="O335" t="s">
        <v>48</v>
      </c>
      <c r="P335" s="19">
        <v>1</v>
      </c>
      <c r="Q335" s="17">
        <v>141</v>
      </c>
      <c r="V335" t="s">
        <v>48</v>
      </c>
      <c r="W335" s="19">
        <v>2</v>
      </c>
      <c r="X335" s="17">
        <v>127.5</v>
      </c>
      <c r="AC335" t="s">
        <v>48</v>
      </c>
      <c r="AD335" s="19">
        <v>4</v>
      </c>
      <c r="AE335" s="19">
        <v>3</v>
      </c>
      <c r="AF335" s="17">
        <v>162</v>
      </c>
      <c r="AK335" t="s">
        <v>48</v>
      </c>
      <c r="AL335" s="19">
        <v>4</v>
      </c>
      <c r="AM335" s="17">
        <v>132</v>
      </c>
    </row>
    <row r="336" spans="1:41" x14ac:dyDescent="0.25">
      <c r="A336" t="s">
        <v>39</v>
      </c>
      <c r="B336" s="19">
        <v>1</v>
      </c>
      <c r="C336" s="53">
        <v>147</v>
      </c>
      <c r="H336" t="s">
        <v>39</v>
      </c>
      <c r="I336" s="19">
        <v>2</v>
      </c>
      <c r="J336" s="53">
        <v>150</v>
      </c>
      <c r="L336" s="24"/>
      <c r="M336" s="24"/>
      <c r="O336" t="s">
        <v>48</v>
      </c>
      <c r="P336" s="19">
        <v>1</v>
      </c>
      <c r="Q336" s="17">
        <v>100.5</v>
      </c>
      <c r="V336" t="s">
        <v>48</v>
      </c>
      <c r="W336" s="19">
        <v>2</v>
      </c>
      <c r="X336" s="17">
        <v>106.5</v>
      </c>
      <c r="AC336" t="s">
        <v>48</v>
      </c>
      <c r="AD336" s="19">
        <v>5</v>
      </c>
      <c r="AE336" s="19">
        <v>3</v>
      </c>
      <c r="AF336" s="17">
        <v>168</v>
      </c>
      <c r="AK336" t="s">
        <v>48</v>
      </c>
      <c r="AL336" s="19">
        <v>4</v>
      </c>
      <c r="AM336" s="17">
        <v>132</v>
      </c>
    </row>
    <row r="337" spans="1:41" x14ac:dyDescent="0.25">
      <c r="A337" t="s">
        <v>39</v>
      </c>
      <c r="B337" s="19">
        <v>1</v>
      </c>
      <c r="C337" s="53">
        <v>148.5</v>
      </c>
      <c r="H337" t="s">
        <v>40</v>
      </c>
      <c r="I337" s="19">
        <v>2</v>
      </c>
      <c r="J337" s="53">
        <v>139.5</v>
      </c>
      <c r="K337" s="4">
        <f>AVERAGE(J337:J343)</f>
        <v>147.85714285714286</v>
      </c>
      <c r="L337" s="27">
        <f>STDEV(J337:J343)</f>
        <v>7.238291037451944</v>
      </c>
      <c r="M337" s="24"/>
      <c r="O337" t="s">
        <v>48</v>
      </c>
      <c r="P337" s="19">
        <v>1</v>
      </c>
      <c r="Q337" s="17">
        <v>130.5</v>
      </c>
      <c r="V337" t="s">
        <v>48</v>
      </c>
      <c r="W337" s="19">
        <v>2</v>
      </c>
      <c r="X337" s="17">
        <v>136.5</v>
      </c>
      <c r="AC337" t="s">
        <v>48</v>
      </c>
      <c r="AD337" s="19">
        <v>6</v>
      </c>
      <c r="AE337" s="19">
        <v>3</v>
      </c>
      <c r="AF337" s="17">
        <v>153</v>
      </c>
      <c r="AK337" t="s">
        <v>48</v>
      </c>
      <c r="AL337" s="19">
        <v>4</v>
      </c>
      <c r="AM337" s="17">
        <v>142.5</v>
      </c>
    </row>
    <row r="338" spans="1:41" x14ac:dyDescent="0.25">
      <c r="A338" t="s">
        <v>39</v>
      </c>
      <c r="B338" s="19">
        <v>1</v>
      </c>
      <c r="C338" s="53">
        <v>138</v>
      </c>
      <c r="H338" t="s">
        <v>40</v>
      </c>
      <c r="I338" s="19">
        <v>2</v>
      </c>
      <c r="J338" s="53">
        <v>138</v>
      </c>
      <c r="L338" s="24"/>
      <c r="M338" s="24"/>
      <c r="O338" t="s">
        <v>48</v>
      </c>
      <c r="P338" s="19">
        <v>1</v>
      </c>
      <c r="Q338" s="17">
        <v>141</v>
      </c>
      <c r="V338" t="s">
        <v>48</v>
      </c>
      <c r="W338" s="19">
        <v>2</v>
      </c>
      <c r="X338" s="17">
        <v>127.5</v>
      </c>
      <c r="AC338" t="s">
        <v>48</v>
      </c>
      <c r="AD338" s="19">
        <v>7</v>
      </c>
      <c r="AE338" s="19">
        <v>3</v>
      </c>
      <c r="AF338" s="17">
        <v>162</v>
      </c>
      <c r="AK338" t="s">
        <v>48</v>
      </c>
      <c r="AL338" s="19">
        <v>4</v>
      </c>
      <c r="AM338" s="17">
        <v>144</v>
      </c>
    </row>
    <row r="339" spans="1:41" x14ac:dyDescent="0.25">
      <c r="A339" t="s">
        <v>39</v>
      </c>
      <c r="B339" s="19">
        <v>1</v>
      </c>
      <c r="C339" s="53">
        <v>139.5</v>
      </c>
      <c r="H339" t="s">
        <v>40</v>
      </c>
      <c r="I339" s="19">
        <v>2</v>
      </c>
      <c r="J339" s="53">
        <v>153</v>
      </c>
      <c r="L339" s="24"/>
      <c r="M339" s="24"/>
      <c r="O339" t="s">
        <v>48</v>
      </c>
      <c r="P339" s="19">
        <v>1</v>
      </c>
      <c r="Q339" s="17">
        <v>141</v>
      </c>
      <c r="V339" t="s">
        <v>48</v>
      </c>
      <c r="W339" s="19">
        <v>2</v>
      </c>
      <c r="X339" s="17">
        <v>123.5</v>
      </c>
      <c r="AC339" t="s">
        <v>48</v>
      </c>
      <c r="AD339" s="19">
        <v>8</v>
      </c>
      <c r="AE339" s="19">
        <v>3</v>
      </c>
      <c r="AF339" s="17">
        <v>142.5</v>
      </c>
      <c r="AK339" t="s">
        <v>48</v>
      </c>
      <c r="AL339" s="19">
        <v>4</v>
      </c>
      <c r="AM339" s="17">
        <v>136.5</v>
      </c>
    </row>
    <row r="340" spans="1:41" x14ac:dyDescent="0.25">
      <c r="A340" t="s">
        <v>40</v>
      </c>
      <c r="B340" s="19">
        <v>1</v>
      </c>
      <c r="C340" s="53">
        <v>160.5</v>
      </c>
      <c r="D340" s="4">
        <f>AVERAGE(C340:C347)</f>
        <v>164.0625</v>
      </c>
      <c r="E340" s="4">
        <f>STDEV(C340:C347)</f>
        <v>7.3018466353186495</v>
      </c>
      <c r="H340" t="s">
        <v>40</v>
      </c>
      <c r="I340" s="19">
        <v>2</v>
      </c>
      <c r="J340" s="53">
        <v>156</v>
      </c>
      <c r="L340" s="24"/>
      <c r="M340" s="24"/>
      <c r="O340" t="s">
        <v>49</v>
      </c>
      <c r="P340" s="19">
        <v>1</v>
      </c>
      <c r="Q340" s="17">
        <v>120</v>
      </c>
      <c r="R340" s="4">
        <f>AVERAGE(Q340:Q347)</f>
        <v>142.5</v>
      </c>
      <c r="S340" s="4">
        <f>STDEV(Q340:Q347)</f>
        <v>15.629642167551831</v>
      </c>
      <c r="T340" s="4"/>
      <c r="V340" t="s">
        <v>49</v>
      </c>
      <c r="W340" s="19">
        <v>2</v>
      </c>
      <c r="X340" s="19" t="s">
        <v>4</v>
      </c>
      <c r="Y340" s="4">
        <f>AVERAGE(X340:X347)</f>
        <v>124.71428571428571</v>
      </c>
      <c r="Z340" s="4">
        <f>STDEV(X340:X347)</f>
        <v>6.8972044026133208</v>
      </c>
      <c r="AA340" s="4"/>
      <c r="AC340" t="s">
        <v>49</v>
      </c>
      <c r="AD340" s="19">
        <v>1</v>
      </c>
      <c r="AE340" s="19">
        <v>3</v>
      </c>
      <c r="AF340" s="17">
        <v>142.5</v>
      </c>
      <c r="AG340" s="4">
        <f>AVERAGE(AF340:AF347)</f>
        <v>142.6875</v>
      </c>
      <c r="AH340" s="4">
        <f>STDEV(AF340:AF347)</f>
        <v>8.4258848623919445</v>
      </c>
      <c r="AI340" s="4"/>
      <c r="AK340" t="s">
        <v>49</v>
      </c>
      <c r="AL340" s="19">
        <v>4</v>
      </c>
      <c r="AM340" s="17">
        <v>142.5</v>
      </c>
      <c r="AN340" s="4">
        <f>AVERAGE(AM340:AM347)</f>
        <v>124.1875</v>
      </c>
      <c r="AO340" s="4">
        <f>STDEV(AM340:AM347)</f>
        <v>19.983810411716494</v>
      </c>
    </row>
    <row r="341" spans="1:41" x14ac:dyDescent="0.25">
      <c r="A341" t="s">
        <v>40</v>
      </c>
      <c r="B341" s="19">
        <v>1</v>
      </c>
      <c r="C341" s="53">
        <v>163.5</v>
      </c>
      <c r="H341" t="s">
        <v>40</v>
      </c>
      <c r="I341" s="19">
        <v>2</v>
      </c>
      <c r="J341" s="53">
        <v>153</v>
      </c>
      <c r="L341" s="24"/>
      <c r="M341" s="24"/>
      <c r="O341" t="s">
        <v>49</v>
      </c>
      <c r="P341" s="19">
        <v>1</v>
      </c>
      <c r="Q341" s="17">
        <v>160.5</v>
      </c>
      <c r="V341" t="s">
        <v>49</v>
      </c>
      <c r="W341" s="19">
        <v>2</v>
      </c>
      <c r="X341" s="17">
        <v>120</v>
      </c>
      <c r="AC341" t="s">
        <v>49</v>
      </c>
      <c r="AD341" s="19">
        <v>2</v>
      </c>
      <c r="AE341" s="19">
        <v>3</v>
      </c>
      <c r="AF341" s="17">
        <v>135</v>
      </c>
      <c r="AK341" t="s">
        <v>49</v>
      </c>
      <c r="AL341" s="19">
        <v>4</v>
      </c>
      <c r="AM341" s="17">
        <v>78</v>
      </c>
    </row>
    <row r="342" spans="1:41" x14ac:dyDescent="0.25">
      <c r="A342" t="s">
        <v>40</v>
      </c>
      <c r="B342" s="19">
        <v>1</v>
      </c>
      <c r="C342" s="53">
        <v>165</v>
      </c>
      <c r="H342" t="s">
        <v>40</v>
      </c>
      <c r="I342" s="19">
        <v>2</v>
      </c>
      <c r="J342" s="53">
        <v>151.5</v>
      </c>
      <c r="L342" s="24"/>
      <c r="M342" s="24"/>
      <c r="O342" t="s">
        <v>49</v>
      </c>
      <c r="P342" s="19">
        <v>1</v>
      </c>
      <c r="Q342" s="17">
        <v>144</v>
      </c>
      <c r="V342" t="s">
        <v>49</v>
      </c>
      <c r="W342" s="19">
        <v>2</v>
      </c>
      <c r="X342" s="17">
        <v>121.5</v>
      </c>
      <c r="AC342" t="s">
        <v>49</v>
      </c>
      <c r="AD342" s="19">
        <v>3</v>
      </c>
      <c r="AE342" s="19">
        <v>3</v>
      </c>
      <c r="AF342" s="17">
        <v>135</v>
      </c>
      <c r="AK342" t="s">
        <v>49</v>
      </c>
      <c r="AL342" s="19">
        <v>4</v>
      </c>
      <c r="AM342" s="17">
        <v>135</v>
      </c>
    </row>
    <row r="343" spans="1:41" x14ac:dyDescent="0.25">
      <c r="A343" t="s">
        <v>40</v>
      </c>
      <c r="B343" s="19">
        <v>1</v>
      </c>
      <c r="C343" s="53">
        <v>178.5</v>
      </c>
      <c r="H343" t="s">
        <v>40</v>
      </c>
      <c r="I343" s="19">
        <v>2</v>
      </c>
      <c r="J343" s="53">
        <v>144</v>
      </c>
      <c r="L343" s="24"/>
      <c r="M343" s="24"/>
      <c r="O343" t="s">
        <v>49</v>
      </c>
      <c r="P343" s="19">
        <v>1</v>
      </c>
      <c r="Q343" s="17">
        <v>136.5</v>
      </c>
      <c r="V343" t="s">
        <v>49</v>
      </c>
      <c r="W343" s="19">
        <v>2</v>
      </c>
      <c r="X343" s="17">
        <v>124.5</v>
      </c>
      <c r="AC343" t="s">
        <v>49</v>
      </c>
      <c r="AD343" s="19">
        <v>4</v>
      </c>
      <c r="AE343" s="19">
        <v>3</v>
      </c>
      <c r="AF343" s="17">
        <v>154.5</v>
      </c>
      <c r="AK343" t="s">
        <v>49</v>
      </c>
      <c r="AL343" s="19">
        <v>4</v>
      </c>
      <c r="AM343" s="17">
        <v>120</v>
      </c>
    </row>
    <row r="344" spans="1:41" x14ac:dyDescent="0.25">
      <c r="A344" t="s">
        <v>40</v>
      </c>
      <c r="B344" s="19">
        <v>1</v>
      </c>
      <c r="C344" s="53">
        <v>169.5</v>
      </c>
      <c r="L344" s="24"/>
      <c r="M344" s="24"/>
      <c r="O344" t="s">
        <v>49</v>
      </c>
      <c r="P344" s="19">
        <v>1</v>
      </c>
      <c r="Q344" s="17">
        <v>151.5</v>
      </c>
      <c r="V344" t="s">
        <v>49</v>
      </c>
      <c r="W344" s="19">
        <v>2</v>
      </c>
      <c r="X344" s="17">
        <v>132</v>
      </c>
      <c r="AC344" t="s">
        <v>49</v>
      </c>
      <c r="AD344" s="19">
        <v>5</v>
      </c>
      <c r="AE344" s="19">
        <v>3</v>
      </c>
      <c r="AF344" s="17">
        <v>156</v>
      </c>
      <c r="AK344" t="s">
        <v>49</v>
      </c>
      <c r="AL344" s="19">
        <v>4</v>
      </c>
      <c r="AM344" s="17">
        <v>129</v>
      </c>
    </row>
    <row r="345" spans="1:41" x14ac:dyDescent="0.25">
      <c r="A345" t="s">
        <v>40</v>
      </c>
      <c r="B345" s="19">
        <v>1</v>
      </c>
      <c r="C345" s="53">
        <v>154.5</v>
      </c>
      <c r="L345" s="24"/>
      <c r="M345" s="24"/>
      <c r="O345" t="s">
        <v>49</v>
      </c>
      <c r="P345" s="19">
        <v>1</v>
      </c>
      <c r="Q345" s="17">
        <v>130.5</v>
      </c>
      <c r="V345" t="s">
        <v>49</v>
      </c>
      <c r="W345" s="19">
        <v>2</v>
      </c>
      <c r="X345" s="17">
        <v>133.5</v>
      </c>
      <c r="AC345" t="s">
        <v>49</v>
      </c>
      <c r="AD345" s="19">
        <v>6</v>
      </c>
      <c r="AE345" s="19">
        <v>3</v>
      </c>
      <c r="AF345" s="17">
        <v>135</v>
      </c>
      <c r="AK345" t="s">
        <v>49</v>
      </c>
      <c r="AL345" s="19">
        <v>4</v>
      </c>
      <c r="AM345" s="17">
        <v>123</v>
      </c>
    </row>
    <row r="346" spans="1:41" x14ac:dyDescent="0.25">
      <c r="A346" t="s">
        <v>40</v>
      </c>
      <c r="B346" s="19">
        <v>1</v>
      </c>
      <c r="C346" s="53">
        <v>159</v>
      </c>
      <c r="L346" s="24"/>
      <c r="M346" s="24"/>
      <c r="O346" t="s">
        <v>49</v>
      </c>
      <c r="P346" s="19">
        <v>1</v>
      </c>
      <c r="Q346" s="17">
        <v>165</v>
      </c>
      <c r="V346" t="s">
        <v>49</v>
      </c>
      <c r="W346" s="19">
        <v>2</v>
      </c>
      <c r="X346" s="17">
        <v>114</v>
      </c>
      <c r="AC346" t="s">
        <v>49</v>
      </c>
      <c r="AD346" s="19">
        <v>7</v>
      </c>
      <c r="AE346" s="19">
        <v>3</v>
      </c>
      <c r="AF346" s="17">
        <v>142.5</v>
      </c>
      <c r="AK346" t="s">
        <v>49</v>
      </c>
      <c r="AL346" s="19">
        <v>4</v>
      </c>
      <c r="AM346" s="17">
        <v>130.5</v>
      </c>
    </row>
    <row r="347" spans="1:41" x14ac:dyDescent="0.25">
      <c r="A347" t="s">
        <v>40</v>
      </c>
      <c r="B347" s="19">
        <v>1</v>
      </c>
      <c r="C347" s="53">
        <v>162</v>
      </c>
      <c r="I347" s="19"/>
      <c r="L347" s="24"/>
      <c r="M347" s="24"/>
      <c r="O347" t="s">
        <v>49</v>
      </c>
      <c r="P347" s="19">
        <v>1</v>
      </c>
      <c r="Q347" s="17">
        <v>132</v>
      </c>
      <c r="V347" t="s">
        <v>49</v>
      </c>
      <c r="W347" s="19">
        <v>2</v>
      </c>
      <c r="X347" s="17">
        <v>127.5</v>
      </c>
      <c r="AC347" t="s">
        <v>49</v>
      </c>
      <c r="AD347" s="19">
        <v>8</v>
      </c>
      <c r="AE347" s="19">
        <v>3</v>
      </c>
      <c r="AF347" s="17">
        <v>141</v>
      </c>
      <c r="AK347" t="s">
        <v>49</v>
      </c>
      <c r="AL347" s="19">
        <v>4</v>
      </c>
      <c r="AM347" s="17">
        <v>135.5</v>
      </c>
    </row>
    <row r="348" spans="1:41" x14ac:dyDescent="0.25">
      <c r="A348" t="s">
        <v>24</v>
      </c>
      <c r="B348" s="19">
        <v>1</v>
      </c>
      <c r="C348" s="53">
        <v>150</v>
      </c>
      <c r="D348" s="4">
        <f>AVERAGE(C348:C355)</f>
        <v>154.5</v>
      </c>
      <c r="E348" s="4">
        <f>STDEV(C348:C355)</f>
        <v>4.4641428548570694</v>
      </c>
      <c r="I348" s="19"/>
      <c r="K348" s="4"/>
      <c r="L348" s="27"/>
      <c r="M348" s="24"/>
      <c r="O348" t="s">
        <v>50</v>
      </c>
      <c r="P348" s="19">
        <v>1</v>
      </c>
      <c r="Q348" s="17">
        <v>141</v>
      </c>
      <c r="R348" s="4">
        <f>AVERAGE(Q348:Q355)</f>
        <v>139.3125</v>
      </c>
      <c r="S348" s="4">
        <f>STDEV(Q348:Q355)</f>
        <v>6.0233919015783792</v>
      </c>
      <c r="T348" s="4"/>
      <c r="V348" t="s">
        <v>50</v>
      </c>
      <c r="W348" s="19">
        <v>2</v>
      </c>
      <c r="X348" s="17">
        <v>139.5</v>
      </c>
      <c r="Y348" s="4">
        <f>AVERAGE(X348:X355)</f>
        <v>131.0625</v>
      </c>
      <c r="Z348" s="4">
        <f>STDEV(X348:X355)</f>
        <v>7.5613561708768318</v>
      </c>
      <c r="AA348" s="4"/>
      <c r="AC348" t="s">
        <v>50</v>
      </c>
      <c r="AD348" s="19">
        <v>1</v>
      </c>
      <c r="AE348" s="19">
        <v>3</v>
      </c>
      <c r="AF348" s="17">
        <v>158.5</v>
      </c>
      <c r="AG348" s="4">
        <f>AVERAGE(AF348:AF355)</f>
        <v>146.0625</v>
      </c>
      <c r="AH348" s="4">
        <f>STDEV(AF348:AF355)</f>
        <v>6.5978216101983236</v>
      </c>
      <c r="AI348" s="4"/>
      <c r="AK348" t="s">
        <v>50</v>
      </c>
      <c r="AL348" s="19">
        <v>4</v>
      </c>
      <c r="AM348" s="17">
        <v>147</v>
      </c>
      <c r="AN348" s="4">
        <f>AVERAGE(AM348:AM355)</f>
        <v>138.75</v>
      </c>
      <c r="AO348" s="4">
        <f>STDEV(AM348:AM355)</f>
        <v>13.535667169160364</v>
      </c>
    </row>
    <row r="349" spans="1:41" x14ac:dyDescent="0.25">
      <c r="A349" t="s">
        <v>24</v>
      </c>
      <c r="B349" s="19">
        <v>1</v>
      </c>
      <c r="C349" s="53">
        <v>153</v>
      </c>
      <c r="I349" s="19"/>
      <c r="L349" s="24"/>
      <c r="M349" s="24"/>
      <c r="O349" t="s">
        <v>50</v>
      </c>
      <c r="P349" s="19">
        <v>1</v>
      </c>
      <c r="Q349" s="17">
        <v>133.5</v>
      </c>
      <c r="V349" t="s">
        <v>50</v>
      </c>
      <c r="W349" s="19">
        <v>2</v>
      </c>
      <c r="X349" s="17">
        <v>123</v>
      </c>
      <c r="AC349" t="s">
        <v>50</v>
      </c>
      <c r="AD349" s="19">
        <v>2</v>
      </c>
      <c r="AE349" s="19">
        <v>3</v>
      </c>
      <c r="AF349" s="17">
        <v>142.5</v>
      </c>
      <c r="AK349" t="s">
        <v>50</v>
      </c>
      <c r="AL349" s="19">
        <v>4</v>
      </c>
      <c r="AM349" s="17">
        <v>139.5</v>
      </c>
    </row>
    <row r="350" spans="1:41" x14ac:dyDescent="0.25">
      <c r="A350" t="s">
        <v>24</v>
      </c>
      <c r="B350" s="19">
        <v>1</v>
      </c>
      <c r="C350" s="53">
        <v>154.5</v>
      </c>
      <c r="I350" s="19"/>
      <c r="L350" s="24"/>
      <c r="M350" s="24"/>
      <c r="O350" t="s">
        <v>50</v>
      </c>
      <c r="P350" s="19">
        <v>1</v>
      </c>
      <c r="Q350" s="17">
        <v>141</v>
      </c>
      <c r="V350" t="s">
        <v>50</v>
      </c>
      <c r="W350" s="19">
        <v>2</v>
      </c>
      <c r="X350" s="17">
        <v>136.5</v>
      </c>
      <c r="AC350" t="s">
        <v>50</v>
      </c>
      <c r="AD350" s="19">
        <v>3</v>
      </c>
      <c r="AE350" s="19">
        <v>3</v>
      </c>
      <c r="AF350" s="17">
        <v>144.5</v>
      </c>
      <c r="AK350" t="s">
        <v>50</v>
      </c>
      <c r="AL350" s="19">
        <v>4</v>
      </c>
      <c r="AM350" s="17">
        <v>109.5</v>
      </c>
    </row>
    <row r="351" spans="1:41" x14ac:dyDescent="0.25">
      <c r="A351" t="s">
        <v>24</v>
      </c>
      <c r="B351" s="19">
        <v>1</v>
      </c>
      <c r="C351" s="53">
        <v>162</v>
      </c>
      <c r="I351" s="19"/>
      <c r="L351" s="24"/>
      <c r="M351" s="24"/>
      <c r="O351" t="s">
        <v>50</v>
      </c>
      <c r="P351" s="19">
        <v>1</v>
      </c>
      <c r="Q351" s="17">
        <v>148.5</v>
      </c>
      <c r="V351" t="s">
        <v>50</v>
      </c>
      <c r="W351" s="19">
        <v>2</v>
      </c>
      <c r="X351" s="17">
        <v>139.5</v>
      </c>
      <c r="AC351" t="s">
        <v>50</v>
      </c>
      <c r="AD351" s="19">
        <v>4</v>
      </c>
      <c r="AE351" s="19">
        <v>3</v>
      </c>
      <c r="AF351" s="17">
        <v>142.5</v>
      </c>
      <c r="AK351" t="s">
        <v>50</v>
      </c>
      <c r="AL351" s="19">
        <v>4</v>
      </c>
      <c r="AM351" s="17">
        <v>141</v>
      </c>
    </row>
    <row r="352" spans="1:41" x14ac:dyDescent="0.25">
      <c r="A352" t="s">
        <v>24</v>
      </c>
      <c r="B352" s="19">
        <v>1</v>
      </c>
      <c r="C352" s="53">
        <v>160.5</v>
      </c>
      <c r="I352" s="19"/>
      <c r="L352" s="24"/>
      <c r="M352" s="24"/>
      <c r="O352" t="s">
        <v>50</v>
      </c>
      <c r="P352" s="19">
        <v>1</v>
      </c>
      <c r="Q352" s="17">
        <v>144</v>
      </c>
      <c r="V352" t="s">
        <v>50</v>
      </c>
      <c r="W352" s="19">
        <v>2</v>
      </c>
      <c r="X352" s="17">
        <v>132</v>
      </c>
      <c r="AC352" t="s">
        <v>50</v>
      </c>
      <c r="AD352" s="19">
        <v>5</v>
      </c>
      <c r="AE352" s="19">
        <v>3</v>
      </c>
      <c r="AF352" s="17">
        <v>154.5</v>
      </c>
      <c r="AK352" t="s">
        <v>50</v>
      </c>
      <c r="AL352" s="19">
        <v>4</v>
      </c>
      <c r="AM352" s="17">
        <v>144</v>
      </c>
    </row>
    <row r="353" spans="1:41" x14ac:dyDescent="0.25">
      <c r="A353" t="s">
        <v>24</v>
      </c>
      <c r="B353" s="19">
        <v>1</v>
      </c>
      <c r="C353" s="53">
        <v>153</v>
      </c>
      <c r="I353" s="19"/>
      <c r="L353" s="24"/>
      <c r="M353" s="24"/>
      <c r="O353" t="s">
        <v>50</v>
      </c>
      <c r="P353" s="19">
        <v>1</v>
      </c>
      <c r="Q353" s="17">
        <v>139.5</v>
      </c>
      <c r="V353" t="s">
        <v>50</v>
      </c>
      <c r="W353" s="19">
        <v>2</v>
      </c>
      <c r="X353" s="17">
        <v>118.5</v>
      </c>
      <c r="AC353" t="s">
        <v>50</v>
      </c>
      <c r="AD353" s="19">
        <v>6</v>
      </c>
      <c r="AE353" s="19">
        <v>3</v>
      </c>
      <c r="AF353" s="17">
        <v>142.5</v>
      </c>
      <c r="AK353" t="s">
        <v>50</v>
      </c>
      <c r="AL353" s="19">
        <v>4</v>
      </c>
      <c r="AM353" s="17">
        <v>156</v>
      </c>
    </row>
    <row r="354" spans="1:41" x14ac:dyDescent="0.25">
      <c r="A354" t="s">
        <v>24</v>
      </c>
      <c r="B354" s="19">
        <v>1</v>
      </c>
      <c r="C354" s="53">
        <v>150</v>
      </c>
      <c r="I354" s="19"/>
      <c r="L354" s="24"/>
      <c r="M354" s="24"/>
      <c r="O354" t="s">
        <v>50</v>
      </c>
      <c r="P354" s="19">
        <v>1</v>
      </c>
      <c r="Q354" s="17">
        <v>129</v>
      </c>
      <c r="V354" t="s">
        <v>50</v>
      </c>
      <c r="W354" s="19">
        <v>2</v>
      </c>
      <c r="X354" s="17">
        <v>130.5</v>
      </c>
      <c r="AC354" t="s">
        <v>50</v>
      </c>
      <c r="AD354" s="19">
        <v>7</v>
      </c>
      <c r="AE354" s="19">
        <v>3</v>
      </c>
      <c r="AF354" s="17">
        <v>142.5</v>
      </c>
      <c r="AK354" t="s">
        <v>50</v>
      </c>
      <c r="AL354" s="19">
        <v>4</v>
      </c>
      <c r="AM354" s="17">
        <v>139.5</v>
      </c>
    </row>
    <row r="355" spans="1:41" x14ac:dyDescent="0.25">
      <c r="A355" t="s">
        <v>24</v>
      </c>
      <c r="B355" s="19">
        <v>1</v>
      </c>
      <c r="C355" s="53">
        <v>153</v>
      </c>
      <c r="I355" s="19"/>
      <c r="L355" s="24"/>
      <c r="M355" s="24"/>
      <c r="O355" t="s">
        <v>50</v>
      </c>
      <c r="P355" s="19">
        <v>1</v>
      </c>
      <c r="Q355" s="17">
        <v>138</v>
      </c>
      <c r="V355" t="s">
        <v>50</v>
      </c>
      <c r="W355" s="19">
        <v>2</v>
      </c>
      <c r="X355" s="17">
        <v>129</v>
      </c>
      <c r="AC355" t="s">
        <v>50</v>
      </c>
      <c r="AD355" s="19">
        <v>8</v>
      </c>
      <c r="AE355" s="19">
        <v>3</v>
      </c>
      <c r="AF355" s="17">
        <v>141</v>
      </c>
      <c r="AK355" t="s">
        <v>50</v>
      </c>
      <c r="AL355" s="19">
        <v>4</v>
      </c>
      <c r="AM355">
        <v>133.5</v>
      </c>
    </row>
    <row r="356" spans="1:41" x14ac:dyDescent="0.25">
      <c r="A356" t="s">
        <v>30</v>
      </c>
      <c r="B356" s="19">
        <v>1</v>
      </c>
      <c r="C356" s="53">
        <v>175.5</v>
      </c>
      <c r="D356" s="4">
        <f>AVERAGE(C356:C363)</f>
        <v>175.375</v>
      </c>
      <c r="E356" s="4">
        <f>STDEV(C356:C363)</f>
        <v>6.5342504215425175</v>
      </c>
      <c r="I356" s="19"/>
      <c r="K356" s="4"/>
      <c r="L356" s="27"/>
      <c r="M356" s="24"/>
      <c r="O356" t="s">
        <v>51</v>
      </c>
      <c r="P356" s="19">
        <v>1</v>
      </c>
      <c r="Q356" s="17">
        <v>144</v>
      </c>
      <c r="R356" s="4">
        <f>AVERAGE(Q356:Q363)</f>
        <v>143.125</v>
      </c>
      <c r="S356" s="4">
        <f>STDEV(Q356:Q363)</f>
        <v>3.451190270865153</v>
      </c>
      <c r="T356" s="4"/>
      <c r="V356" t="s">
        <v>51</v>
      </c>
      <c r="W356" s="19">
        <v>2</v>
      </c>
      <c r="X356" s="17">
        <v>135</v>
      </c>
      <c r="Y356" s="4">
        <f>AVERAGE(X356:X363)</f>
        <v>146.8125</v>
      </c>
      <c r="Z356" s="4">
        <f>STDEV(X356:X363)</f>
        <v>5.750388185654451</v>
      </c>
      <c r="AA356" s="4"/>
      <c r="AC356" t="s">
        <v>51</v>
      </c>
      <c r="AD356" s="19">
        <v>1</v>
      </c>
      <c r="AE356" s="19">
        <v>3</v>
      </c>
      <c r="AF356" s="17">
        <v>147</v>
      </c>
      <c r="AG356" s="4">
        <f>AVERAGE(AF356:AF363)</f>
        <v>138.9375</v>
      </c>
      <c r="AH356" s="4">
        <f>STDEV(AF356:AF363)</f>
        <v>7.5613561708768318</v>
      </c>
      <c r="AI356" s="4"/>
      <c r="AK356" t="s">
        <v>51</v>
      </c>
      <c r="AL356" s="19">
        <v>4</v>
      </c>
      <c r="AM356" s="17">
        <v>150</v>
      </c>
      <c r="AN356" s="4">
        <f>AVERAGE(AM356:AM363)</f>
        <v>142.3125</v>
      </c>
      <c r="AO356" s="4">
        <f>STDEV(AM356:AM363)</f>
        <v>5.8060159686803683</v>
      </c>
    </row>
    <row r="357" spans="1:41" x14ac:dyDescent="0.25">
      <c r="A357" t="s">
        <v>30</v>
      </c>
      <c r="B357" s="19">
        <v>1</v>
      </c>
      <c r="C357" s="53">
        <v>173.5</v>
      </c>
      <c r="I357" s="19"/>
      <c r="L357" s="24"/>
      <c r="M357" s="24"/>
      <c r="O357" t="s">
        <v>51</v>
      </c>
      <c r="P357" s="19">
        <v>1</v>
      </c>
      <c r="Q357" s="17">
        <v>141</v>
      </c>
      <c r="V357" t="s">
        <v>51</v>
      </c>
      <c r="W357" s="19">
        <v>2</v>
      </c>
      <c r="X357" s="17">
        <v>153</v>
      </c>
      <c r="AC357" t="s">
        <v>51</v>
      </c>
      <c r="AD357" s="19">
        <v>2</v>
      </c>
      <c r="AE357" s="19">
        <v>3</v>
      </c>
      <c r="AF357" s="17">
        <v>138</v>
      </c>
      <c r="AK357" t="s">
        <v>51</v>
      </c>
      <c r="AL357" s="19">
        <v>4</v>
      </c>
      <c r="AM357" s="17">
        <v>132</v>
      </c>
    </row>
    <row r="358" spans="1:41" x14ac:dyDescent="0.25">
      <c r="A358" t="s">
        <v>30</v>
      </c>
      <c r="B358" s="19">
        <v>1</v>
      </c>
      <c r="C358" s="53">
        <v>177</v>
      </c>
      <c r="I358" s="19"/>
      <c r="L358" s="24"/>
      <c r="M358" s="24"/>
      <c r="O358" t="s">
        <v>51</v>
      </c>
      <c r="P358" s="19">
        <v>1</v>
      </c>
      <c r="Q358" s="17">
        <v>147</v>
      </c>
      <c r="V358" t="s">
        <v>51</v>
      </c>
      <c r="W358" s="19">
        <v>2</v>
      </c>
      <c r="X358" s="17">
        <v>150</v>
      </c>
      <c r="AC358" t="s">
        <v>51</v>
      </c>
      <c r="AD358" s="19">
        <v>3</v>
      </c>
      <c r="AE358" s="19">
        <v>3</v>
      </c>
      <c r="AF358" s="17">
        <v>133.5</v>
      </c>
      <c r="AK358" t="s">
        <v>51</v>
      </c>
      <c r="AL358" s="19">
        <v>4</v>
      </c>
      <c r="AM358" s="17">
        <v>138</v>
      </c>
    </row>
    <row r="359" spans="1:41" x14ac:dyDescent="0.25">
      <c r="A359" t="s">
        <v>30</v>
      </c>
      <c r="B359" s="19">
        <v>1</v>
      </c>
      <c r="C359" s="53">
        <v>166</v>
      </c>
      <c r="I359" s="19"/>
      <c r="L359" s="24"/>
      <c r="M359" s="24"/>
      <c r="O359" t="s">
        <v>51</v>
      </c>
      <c r="P359" s="19">
        <v>1</v>
      </c>
      <c r="Q359" s="17">
        <v>137</v>
      </c>
      <c r="V359" t="s">
        <v>51</v>
      </c>
      <c r="W359" s="19">
        <v>2</v>
      </c>
      <c r="X359" s="17">
        <v>153</v>
      </c>
      <c r="AC359" t="s">
        <v>51</v>
      </c>
      <c r="AD359" s="19">
        <v>4</v>
      </c>
      <c r="AE359" s="19">
        <v>3</v>
      </c>
      <c r="AF359" s="17">
        <v>142.5</v>
      </c>
      <c r="AK359" t="s">
        <v>51</v>
      </c>
      <c r="AL359" s="19">
        <v>4</v>
      </c>
      <c r="AM359" s="17">
        <v>147</v>
      </c>
    </row>
    <row r="360" spans="1:41" x14ac:dyDescent="0.25">
      <c r="A360" t="s">
        <v>30</v>
      </c>
      <c r="B360" s="19">
        <v>1</v>
      </c>
      <c r="C360" s="53">
        <v>180</v>
      </c>
      <c r="I360" s="19"/>
      <c r="L360" s="24"/>
      <c r="M360" s="24"/>
      <c r="O360" t="s">
        <v>51</v>
      </c>
      <c r="P360" s="19">
        <v>1</v>
      </c>
      <c r="Q360" s="17">
        <v>147</v>
      </c>
      <c r="V360" t="s">
        <v>51</v>
      </c>
      <c r="W360" s="19">
        <v>2</v>
      </c>
      <c r="X360" s="17">
        <v>147</v>
      </c>
      <c r="AC360" t="s">
        <v>51</v>
      </c>
      <c r="AD360" s="19">
        <v>5</v>
      </c>
      <c r="AE360" s="19">
        <v>3</v>
      </c>
      <c r="AF360" s="17">
        <v>147</v>
      </c>
      <c r="AK360" t="s">
        <v>51</v>
      </c>
      <c r="AL360" s="19">
        <v>4</v>
      </c>
      <c r="AM360" s="17">
        <v>147</v>
      </c>
    </row>
    <row r="361" spans="1:41" x14ac:dyDescent="0.25">
      <c r="A361" t="s">
        <v>30</v>
      </c>
      <c r="B361" s="19">
        <v>1</v>
      </c>
      <c r="C361" s="53">
        <v>169.5</v>
      </c>
      <c r="I361" s="19"/>
      <c r="L361" s="24"/>
      <c r="M361" s="24"/>
      <c r="O361" t="s">
        <v>51</v>
      </c>
      <c r="P361" s="19">
        <v>1</v>
      </c>
      <c r="Q361">
        <v>145.5</v>
      </c>
      <c r="V361" t="s">
        <v>51</v>
      </c>
      <c r="W361" s="19">
        <v>2</v>
      </c>
      <c r="X361" s="17">
        <v>145.5</v>
      </c>
      <c r="AC361" t="s">
        <v>51</v>
      </c>
      <c r="AD361" s="19">
        <v>6</v>
      </c>
      <c r="AE361" s="19">
        <v>3</v>
      </c>
      <c r="AF361" s="17">
        <v>142.5</v>
      </c>
      <c r="AK361" t="s">
        <v>51</v>
      </c>
      <c r="AL361" s="19">
        <v>4</v>
      </c>
      <c r="AM361">
        <v>142.5</v>
      </c>
    </row>
    <row r="362" spans="1:41" x14ac:dyDescent="0.25">
      <c r="A362" t="s">
        <v>30</v>
      </c>
      <c r="B362" s="19">
        <v>1</v>
      </c>
      <c r="C362" s="53">
        <v>174</v>
      </c>
      <c r="I362" s="19"/>
      <c r="L362" s="24"/>
      <c r="M362" s="24"/>
      <c r="O362" t="s">
        <v>51</v>
      </c>
      <c r="P362" s="19">
        <v>1</v>
      </c>
      <c r="Q362" s="17">
        <v>141</v>
      </c>
      <c r="V362" t="s">
        <v>51</v>
      </c>
      <c r="W362" s="19">
        <v>2</v>
      </c>
      <c r="X362" s="17">
        <v>145.5</v>
      </c>
      <c r="AC362" t="s">
        <v>51</v>
      </c>
      <c r="AD362" s="19">
        <v>7</v>
      </c>
      <c r="AE362" s="19">
        <v>3</v>
      </c>
      <c r="AF362" s="17">
        <v>136.5</v>
      </c>
      <c r="AK362" t="s">
        <v>51</v>
      </c>
      <c r="AL362" s="19">
        <v>4</v>
      </c>
      <c r="AM362">
        <v>139.5</v>
      </c>
    </row>
    <row r="363" spans="1:41" x14ac:dyDescent="0.25">
      <c r="A363" t="s">
        <v>30</v>
      </c>
      <c r="B363" s="19">
        <v>1</v>
      </c>
      <c r="C363" s="53">
        <v>187.5</v>
      </c>
      <c r="I363" s="19"/>
      <c r="L363" s="24"/>
      <c r="M363" s="24"/>
      <c r="O363" t="s">
        <v>51</v>
      </c>
      <c r="P363" s="19">
        <v>1</v>
      </c>
      <c r="Q363">
        <v>142.5</v>
      </c>
      <c r="V363" t="s">
        <v>51</v>
      </c>
      <c r="W363" s="19">
        <v>2</v>
      </c>
      <c r="X363" s="17">
        <v>145.5</v>
      </c>
      <c r="AC363" t="s">
        <v>51</v>
      </c>
      <c r="AD363" s="19">
        <v>8</v>
      </c>
      <c r="AE363" s="19">
        <v>3</v>
      </c>
      <c r="AF363" s="17">
        <v>124.5</v>
      </c>
      <c r="AK363" t="s">
        <v>51</v>
      </c>
      <c r="AL363" s="19">
        <v>4</v>
      </c>
      <c r="AM363">
        <v>142.5</v>
      </c>
    </row>
    <row r="364" spans="1:41" x14ac:dyDescent="0.25">
      <c r="B364" s="19"/>
      <c r="I364" s="19"/>
      <c r="K364" s="4"/>
      <c r="L364" s="27"/>
      <c r="M364" s="24"/>
      <c r="O364" t="s">
        <v>37</v>
      </c>
      <c r="P364" s="19">
        <v>3</v>
      </c>
      <c r="Q364" s="17">
        <v>156</v>
      </c>
      <c r="R364" s="4">
        <f>AVERAGE(Q364:Q371)</f>
        <v>144.9375</v>
      </c>
      <c r="S364" s="4">
        <f>STDEV(Q364:Q371)</f>
        <v>9.2791529016084535</v>
      </c>
      <c r="T364" s="4"/>
      <c r="V364" t="s">
        <v>37</v>
      </c>
      <c r="W364" s="19">
        <v>4</v>
      </c>
      <c r="X364" s="17">
        <v>150</v>
      </c>
      <c r="Y364" s="4">
        <f>AVERAGE(X364:X371)</f>
        <v>140.25</v>
      </c>
      <c r="Z364" s="4">
        <f>STDEV(X364:X371)</f>
        <v>6.8033605141660898</v>
      </c>
      <c r="AA364" s="4"/>
      <c r="AC364" t="s">
        <v>37</v>
      </c>
      <c r="AD364" s="19">
        <v>1</v>
      </c>
      <c r="AE364" s="19">
        <v>5</v>
      </c>
      <c r="AF364" s="17">
        <v>142.5</v>
      </c>
      <c r="AG364" s="4">
        <f>AVERAGE(AF364:AF371)</f>
        <v>144.9375</v>
      </c>
      <c r="AH364" s="4">
        <f>STDEV(AF364:AF371)</f>
        <v>3.5800788099864906</v>
      </c>
      <c r="AI364" s="4"/>
      <c r="AK364" t="s">
        <v>37</v>
      </c>
      <c r="AL364" s="19">
        <v>6</v>
      </c>
      <c r="AM364">
        <v>142.5</v>
      </c>
      <c r="AN364" s="4">
        <f>AVERAGE(AM364:AM371)</f>
        <v>142.875</v>
      </c>
      <c r="AO364" s="4">
        <f>STDEV(AM364:AM371)</f>
        <v>4.3732139211339751</v>
      </c>
    </row>
    <row r="365" spans="1:41" x14ac:dyDescent="0.25">
      <c r="B365" s="19"/>
      <c r="I365" s="19"/>
      <c r="L365" s="24"/>
      <c r="M365" s="24"/>
      <c r="O365" t="s">
        <v>37</v>
      </c>
      <c r="P365" s="19">
        <v>3</v>
      </c>
      <c r="Q365" s="17">
        <v>151.5</v>
      </c>
      <c r="V365" t="s">
        <v>37</v>
      </c>
      <c r="W365" s="19">
        <v>4</v>
      </c>
      <c r="X365" s="17">
        <v>132</v>
      </c>
      <c r="AC365" t="s">
        <v>37</v>
      </c>
      <c r="AD365" s="19">
        <v>2</v>
      </c>
      <c r="AE365" s="19">
        <v>5</v>
      </c>
      <c r="AF365" s="17">
        <v>138</v>
      </c>
      <c r="AK365" t="s">
        <v>37</v>
      </c>
      <c r="AL365" s="19">
        <v>6</v>
      </c>
      <c r="AM365">
        <v>139.5</v>
      </c>
    </row>
    <row r="366" spans="1:41" x14ac:dyDescent="0.25">
      <c r="B366" s="19"/>
      <c r="I366" s="19"/>
      <c r="L366" s="24"/>
      <c r="M366" s="24"/>
      <c r="O366" t="s">
        <v>37</v>
      </c>
      <c r="P366" s="19">
        <v>3</v>
      </c>
      <c r="Q366" s="17">
        <v>127.5</v>
      </c>
      <c r="V366" t="s">
        <v>37</v>
      </c>
      <c r="W366" s="19">
        <v>4</v>
      </c>
      <c r="X366" s="17">
        <v>138</v>
      </c>
      <c r="AC366" t="s">
        <v>37</v>
      </c>
      <c r="AD366" s="19">
        <v>3</v>
      </c>
      <c r="AE366" s="19">
        <v>5</v>
      </c>
      <c r="AF366" s="17">
        <v>147</v>
      </c>
      <c r="AK366" t="s">
        <v>37</v>
      </c>
      <c r="AL366" s="19">
        <v>6</v>
      </c>
      <c r="AM366">
        <v>145.5</v>
      </c>
    </row>
    <row r="367" spans="1:41" x14ac:dyDescent="0.25">
      <c r="B367" s="19"/>
      <c r="I367" s="19"/>
      <c r="L367" s="24"/>
      <c r="M367" s="24"/>
      <c r="O367" t="s">
        <v>37</v>
      </c>
      <c r="P367" s="19">
        <v>3</v>
      </c>
      <c r="Q367" s="17">
        <v>151.5</v>
      </c>
      <c r="V367" t="s">
        <v>37</v>
      </c>
      <c r="W367" s="19">
        <v>4</v>
      </c>
      <c r="X367" s="17">
        <v>133.5</v>
      </c>
      <c r="AC367" t="s">
        <v>37</v>
      </c>
      <c r="AD367" s="19">
        <v>4</v>
      </c>
      <c r="AE367" s="19">
        <v>5</v>
      </c>
      <c r="AF367" s="17">
        <v>144</v>
      </c>
      <c r="AK367" t="s">
        <v>37</v>
      </c>
      <c r="AL367" s="19">
        <v>6</v>
      </c>
      <c r="AM367" s="17">
        <v>147</v>
      </c>
    </row>
    <row r="368" spans="1:41" x14ac:dyDescent="0.25">
      <c r="B368" s="19"/>
      <c r="I368" s="19"/>
      <c r="L368" s="24"/>
      <c r="M368" s="24"/>
      <c r="O368" t="s">
        <v>37</v>
      </c>
      <c r="P368" s="19">
        <v>3</v>
      </c>
      <c r="Q368" s="17">
        <v>138</v>
      </c>
      <c r="V368" t="s">
        <v>37</v>
      </c>
      <c r="W368" s="19">
        <v>4</v>
      </c>
      <c r="X368" s="17">
        <v>141</v>
      </c>
      <c r="AC368" t="s">
        <v>37</v>
      </c>
      <c r="AD368" s="19">
        <v>5</v>
      </c>
      <c r="AE368" s="19">
        <v>5</v>
      </c>
      <c r="AF368" s="17">
        <v>145.5</v>
      </c>
      <c r="AK368" t="s">
        <v>37</v>
      </c>
      <c r="AL368" s="19">
        <v>6</v>
      </c>
      <c r="AM368" s="17">
        <v>141</v>
      </c>
    </row>
    <row r="369" spans="2:41" x14ac:dyDescent="0.25">
      <c r="B369" s="19"/>
      <c r="I369" s="19"/>
      <c r="L369" s="24"/>
      <c r="M369" s="24"/>
      <c r="O369" t="s">
        <v>37</v>
      </c>
      <c r="P369" s="19">
        <v>3</v>
      </c>
      <c r="Q369" s="17">
        <v>141</v>
      </c>
      <c r="V369" t="s">
        <v>37</v>
      </c>
      <c r="W369" s="19">
        <v>4</v>
      </c>
      <c r="X369" s="17">
        <v>135</v>
      </c>
      <c r="AC369" t="s">
        <v>37</v>
      </c>
      <c r="AD369" s="19">
        <v>6</v>
      </c>
      <c r="AE369" s="19">
        <v>5</v>
      </c>
      <c r="AF369" s="17">
        <v>145.5</v>
      </c>
      <c r="AK369" t="s">
        <v>37</v>
      </c>
      <c r="AL369" s="19">
        <v>6</v>
      </c>
      <c r="AM369" s="17">
        <v>135</v>
      </c>
    </row>
    <row r="370" spans="2:41" x14ac:dyDescent="0.25">
      <c r="B370" s="19"/>
      <c r="I370" s="19"/>
      <c r="L370" s="24"/>
      <c r="M370" s="24"/>
      <c r="O370" t="s">
        <v>37</v>
      </c>
      <c r="P370" s="19">
        <v>3</v>
      </c>
      <c r="Q370" s="17">
        <v>144</v>
      </c>
      <c r="V370" t="s">
        <v>37</v>
      </c>
      <c r="W370" s="19">
        <v>4</v>
      </c>
      <c r="X370" s="17">
        <v>148.5</v>
      </c>
      <c r="AC370" t="s">
        <v>37</v>
      </c>
      <c r="AD370" s="19">
        <v>7</v>
      </c>
      <c r="AE370" s="19">
        <v>5</v>
      </c>
      <c r="AF370" s="17">
        <v>147</v>
      </c>
      <c r="AK370" t="s">
        <v>37</v>
      </c>
      <c r="AL370" s="19">
        <v>6</v>
      </c>
      <c r="AM370" s="17">
        <v>144</v>
      </c>
    </row>
    <row r="371" spans="2:41" x14ac:dyDescent="0.25">
      <c r="B371" s="19"/>
      <c r="I371" s="19"/>
      <c r="L371" s="24"/>
      <c r="M371" s="24"/>
      <c r="O371" t="s">
        <v>37</v>
      </c>
      <c r="P371" s="19">
        <v>3</v>
      </c>
      <c r="Q371" s="17">
        <v>150</v>
      </c>
      <c r="V371" t="s">
        <v>37</v>
      </c>
      <c r="W371" s="19">
        <v>4</v>
      </c>
      <c r="X371" s="17">
        <v>144</v>
      </c>
      <c r="AC371" t="s">
        <v>37</v>
      </c>
      <c r="AD371" s="19">
        <v>8</v>
      </c>
      <c r="AE371" s="19">
        <v>5</v>
      </c>
      <c r="AF371" s="17">
        <v>150</v>
      </c>
      <c r="AK371" t="s">
        <v>37</v>
      </c>
      <c r="AL371" s="19">
        <v>6</v>
      </c>
      <c r="AM371">
        <v>148.5</v>
      </c>
    </row>
    <row r="372" spans="2:41" x14ac:dyDescent="0.25">
      <c r="B372" s="19"/>
      <c r="I372" s="19"/>
      <c r="K372" s="4"/>
      <c r="L372" s="27"/>
      <c r="M372" s="24"/>
      <c r="O372" t="s">
        <v>38</v>
      </c>
      <c r="P372" s="19">
        <v>3</v>
      </c>
      <c r="Q372">
        <v>121.5</v>
      </c>
      <c r="R372" s="4">
        <f>AVERAGE(Q372:Q379)</f>
        <v>135.375</v>
      </c>
      <c r="S372" s="4">
        <f>STDEV(Q372:Q379)</f>
        <v>10.659502802663921</v>
      </c>
      <c r="T372" s="4"/>
      <c r="V372" t="s">
        <v>38</v>
      </c>
      <c r="W372" s="19">
        <v>4</v>
      </c>
      <c r="X372" s="17">
        <v>153</v>
      </c>
      <c r="Y372" s="4">
        <f>AVERAGE(X372:X379)</f>
        <v>144.5625</v>
      </c>
      <c r="Z372" s="4">
        <f>STDEV(X372:X379)</f>
        <v>5.9428077779543136</v>
      </c>
      <c r="AA372" s="4"/>
      <c r="AC372" t="s">
        <v>38</v>
      </c>
      <c r="AD372" s="19">
        <v>1</v>
      </c>
      <c r="AE372" s="19">
        <v>5</v>
      </c>
      <c r="AF372" s="17">
        <v>133.5</v>
      </c>
      <c r="AG372" s="4">
        <f>AVERAGE(AF372:AF379)</f>
        <v>144.9375</v>
      </c>
      <c r="AH372" s="4">
        <f>STDEV(AF372:AF379)</f>
        <v>7.032767693346015</v>
      </c>
      <c r="AI372" s="4"/>
      <c r="AK372" t="s">
        <v>38</v>
      </c>
      <c r="AL372" s="19">
        <v>6</v>
      </c>
      <c r="AM372" s="17">
        <v>151.5</v>
      </c>
      <c r="AN372" s="4">
        <f>AVERAGE(AM372:AM379)</f>
        <v>150.1875</v>
      </c>
      <c r="AO372" s="4">
        <f>STDEV(AM372:AM379)</f>
        <v>5.5222763163649926</v>
      </c>
    </row>
    <row r="373" spans="2:41" x14ac:dyDescent="0.25">
      <c r="B373" s="19"/>
      <c r="I373" s="19"/>
      <c r="L373" s="24"/>
      <c r="M373" s="24"/>
      <c r="O373" t="s">
        <v>38</v>
      </c>
      <c r="P373" s="19">
        <v>3</v>
      </c>
      <c r="Q373" s="17">
        <v>120</v>
      </c>
      <c r="V373" t="s">
        <v>38</v>
      </c>
      <c r="W373" s="19">
        <v>4</v>
      </c>
      <c r="X373" s="17">
        <v>139.5</v>
      </c>
      <c r="AC373" t="s">
        <v>38</v>
      </c>
      <c r="AD373" s="19">
        <v>2</v>
      </c>
      <c r="AE373" s="19">
        <v>5</v>
      </c>
      <c r="AF373" s="17">
        <v>154.5</v>
      </c>
      <c r="AK373" t="s">
        <v>38</v>
      </c>
      <c r="AL373" s="19">
        <v>6</v>
      </c>
      <c r="AM373" s="17">
        <v>144</v>
      </c>
    </row>
    <row r="374" spans="2:41" x14ac:dyDescent="0.25">
      <c r="B374" s="19"/>
      <c r="I374" s="19"/>
      <c r="L374" s="24"/>
      <c r="M374" s="24"/>
      <c r="O374" t="s">
        <v>38</v>
      </c>
      <c r="P374" s="19">
        <v>3</v>
      </c>
      <c r="Q374">
        <v>133.5</v>
      </c>
      <c r="V374" t="s">
        <v>38</v>
      </c>
      <c r="W374" s="19">
        <v>4</v>
      </c>
      <c r="X374" s="17">
        <v>144</v>
      </c>
      <c r="AC374" t="s">
        <v>38</v>
      </c>
      <c r="AD374" s="19">
        <v>3</v>
      </c>
      <c r="AE374" s="19">
        <v>5</v>
      </c>
      <c r="AF374" s="17">
        <v>136.5</v>
      </c>
      <c r="AK374" t="s">
        <v>38</v>
      </c>
      <c r="AL374" s="19">
        <v>6</v>
      </c>
      <c r="AM374" s="17">
        <v>156</v>
      </c>
    </row>
    <row r="375" spans="2:41" x14ac:dyDescent="0.25">
      <c r="B375" s="19"/>
      <c r="I375" s="19"/>
      <c r="L375" s="24"/>
      <c r="M375" s="24"/>
      <c r="O375" t="s">
        <v>38</v>
      </c>
      <c r="P375" s="19">
        <v>3</v>
      </c>
      <c r="Q375">
        <v>136.5</v>
      </c>
      <c r="V375" t="s">
        <v>38</v>
      </c>
      <c r="W375" s="19">
        <v>4</v>
      </c>
      <c r="X375" s="17">
        <v>141</v>
      </c>
      <c r="AC375" t="s">
        <v>38</v>
      </c>
      <c r="AD375" s="19">
        <v>4</v>
      </c>
      <c r="AE375" s="19">
        <v>5</v>
      </c>
      <c r="AF375" s="17">
        <v>147</v>
      </c>
      <c r="AK375" t="s">
        <v>38</v>
      </c>
      <c r="AL375" s="19">
        <v>6</v>
      </c>
      <c r="AM375" s="17">
        <v>147</v>
      </c>
    </row>
    <row r="376" spans="2:41" x14ac:dyDescent="0.25">
      <c r="B376" s="19"/>
      <c r="I376" s="19"/>
      <c r="L376" s="24"/>
      <c r="M376" s="24"/>
      <c r="O376" t="s">
        <v>38</v>
      </c>
      <c r="P376" s="19">
        <v>3</v>
      </c>
      <c r="Q376">
        <v>142.5</v>
      </c>
      <c r="V376" t="s">
        <v>38</v>
      </c>
      <c r="W376" s="19">
        <v>4</v>
      </c>
      <c r="X376" s="17">
        <v>154.5</v>
      </c>
      <c r="AC376" t="s">
        <v>38</v>
      </c>
      <c r="AD376" s="19">
        <v>5</v>
      </c>
      <c r="AE376" s="19">
        <v>5</v>
      </c>
      <c r="AF376" s="17">
        <v>148.5</v>
      </c>
      <c r="AK376" t="s">
        <v>38</v>
      </c>
      <c r="AL376" s="19">
        <v>6</v>
      </c>
      <c r="AM376" s="17">
        <v>154.5</v>
      </c>
    </row>
    <row r="377" spans="2:41" x14ac:dyDescent="0.25">
      <c r="B377" s="19"/>
      <c r="I377" s="19"/>
      <c r="L377" s="24"/>
      <c r="M377" s="24"/>
      <c r="O377" t="s">
        <v>38</v>
      </c>
      <c r="P377" s="19">
        <v>3</v>
      </c>
      <c r="Q377">
        <v>142.5</v>
      </c>
      <c r="V377" t="s">
        <v>38</v>
      </c>
      <c r="W377" s="19">
        <v>4</v>
      </c>
      <c r="X377" s="17">
        <v>139.5</v>
      </c>
      <c r="AC377" t="s">
        <v>38</v>
      </c>
      <c r="AD377" s="19">
        <v>6</v>
      </c>
      <c r="AE377" s="19">
        <v>5</v>
      </c>
      <c r="AF377" s="17">
        <v>142.5</v>
      </c>
      <c r="AK377" t="s">
        <v>38</v>
      </c>
      <c r="AL377" s="19">
        <v>6</v>
      </c>
      <c r="AM377" s="17">
        <v>141</v>
      </c>
    </row>
    <row r="378" spans="2:41" x14ac:dyDescent="0.25">
      <c r="B378" s="19"/>
      <c r="I378" s="19"/>
      <c r="L378" s="24"/>
      <c r="M378" s="24"/>
      <c r="O378" t="s">
        <v>38</v>
      </c>
      <c r="P378" s="19">
        <v>3</v>
      </c>
      <c r="Q378">
        <v>151.5</v>
      </c>
      <c r="V378" t="s">
        <v>38</v>
      </c>
      <c r="W378" s="19">
        <v>4</v>
      </c>
      <c r="X378" s="17">
        <v>141</v>
      </c>
      <c r="AC378" t="s">
        <v>38</v>
      </c>
      <c r="AD378" s="19">
        <v>7</v>
      </c>
      <c r="AE378" s="19">
        <v>5</v>
      </c>
      <c r="AF378" s="17">
        <v>150</v>
      </c>
      <c r="AK378" t="s">
        <v>38</v>
      </c>
      <c r="AL378" s="19">
        <v>6</v>
      </c>
      <c r="AM378" s="17">
        <v>153</v>
      </c>
    </row>
    <row r="379" spans="2:41" x14ac:dyDescent="0.25">
      <c r="B379" s="19"/>
      <c r="I379" s="19"/>
      <c r="L379" s="24"/>
      <c r="M379" s="24"/>
      <c r="O379" t="s">
        <v>38</v>
      </c>
      <c r="P379" s="19">
        <v>3</v>
      </c>
      <c r="Q379" s="17">
        <v>135</v>
      </c>
      <c r="V379" t="s">
        <v>38</v>
      </c>
      <c r="W379" s="19">
        <v>4</v>
      </c>
      <c r="X379" s="17">
        <v>144</v>
      </c>
      <c r="AC379" t="s">
        <v>38</v>
      </c>
      <c r="AD379" s="19">
        <v>8</v>
      </c>
      <c r="AE379" s="19">
        <v>5</v>
      </c>
      <c r="AF379" s="17">
        <v>147</v>
      </c>
      <c r="AK379" t="s">
        <v>38</v>
      </c>
      <c r="AL379" s="19">
        <v>6</v>
      </c>
      <c r="AM379" s="17">
        <v>154.5</v>
      </c>
    </row>
    <row r="380" spans="2:41" x14ac:dyDescent="0.25">
      <c r="B380" s="19"/>
      <c r="I380" s="19"/>
      <c r="K380" s="4"/>
      <c r="L380" s="27"/>
      <c r="M380" s="24"/>
      <c r="O380" t="s">
        <v>52</v>
      </c>
      <c r="P380" s="19">
        <v>1</v>
      </c>
      <c r="Q380" s="17">
        <v>108</v>
      </c>
      <c r="R380" s="4">
        <f>AVERAGE(Q380:Q387)</f>
        <v>114</v>
      </c>
      <c r="S380" s="4">
        <f>STDEV(Q380:Q387)</f>
        <v>8.4852813742385695</v>
      </c>
      <c r="T380" s="4"/>
      <c r="V380" t="s">
        <v>52</v>
      </c>
      <c r="W380" s="19">
        <v>2</v>
      </c>
      <c r="X380" s="19" t="s">
        <v>4</v>
      </c>
      <c r="Y380" s="34">
        <f>AVERAGE(X380:X387)</f>
        <v>102</v>
      </c>
      <c r="Z380" s="34" t="e">
        <f>STDEV(X380:X387)</f>
        <v>#DIV/0!</v>
      </c>
      <c r="AA380" s="34"/>
      <c r="AC380" t="s">
        <v>52</v>
      </c>
      <c r="AD380" s="19">
        <v>1</v>
      </c>
      <c r="AE380" s="19">
        <v>3</v>
      </c>
      <c r="AF380" s="19" t="s">
        <v>4</v>
      </c>
      <c r="AG380" s="4">
        <f>AVERAGE(AF380:AF387)</f>
        <v>132</v>
      </c>
      <c r="AH380" s="4" t="e">
        <f>STDEV(AF380:AF387)</f>
        <v>#DIV/0!</v>
      </c>
      <c r="AI380" s="4"/>
      <c r="AK380" t="s">
        <v>52</v>
      </c>
      <c r="AL380" s="19">
        <v>4</v>
      </c>
      <c r="AM380" s="19" t="s">
        <v>4</v>
      </c>
      <c r="AN380" s="4" t="e">
        <f>AVERAGE(AM380:AM387)</f>
        <v>#DIV/0!</v>
      </c>
      <c r="AO380" s="4" t="e">
        <f>STDEV(AM380:AM387)</f>
        <v>#DIV/0!</v>
      </c>
    </row>
    <row r="381" spans="2:41" x14ac:dyDescent="0.25">
      <c r="B381" s="19"/>
      <c r="I381" s="19"/>
      <c r="L381" s="24"/>
      <c r="M381" s="24"/>
      <c r="O381" t="s">
        <v>52</v>
      </c>
      <c r="P381" s="19">
        <v>1</v>
      </c>
      <c r="Q381" s="19" t="s">
        <v>4</v>
      </c>
      <c r="V381" t="s">
        <v>52</v>
      </c>
      <c r="W381" s="19">
        <v>2</v>
      </c>
      <c r="X381" s="19" t="s">
        <v>4</v>
      </c>
      <c r="AC381" t="s">
        <v>52</v>
      </c>
      <c r="AD381" s="19">
        <v>2</v>
      </c>
      <c r="AE381" s="19">
        <v>3</v>
      </c>
      <c r="AF381" s="19" t="s">
        <v>4</v>
      </c>
      <c r="AK381" t="s">
        <v>52</v>
      </c>
      <c r="AL381" s="19">
        <v>4</v>
      </c>
      <c r="AM381" s="19" t="s">
        <v>4</v>
      </c>
    </row>
    <row r="382" spans="2:41" x14ac:dyDescent="0.25">
      <c r="B382" s="19"/>
      <c r="I382" s="19"/>
      <c r="L382" s="24"/>
      <c r="M382" s="24"/>
      <c r="O382" t="s">
        <v>52</v>
      </c>
      <c r="P382" s="19">
        <v>1</v>
      </c>
      <c r="Q382" s="19" t="s">
        <v>4</v>
      </c>
      <c r="V382" t="s">
        <v>52</v>
      </c>
      <c r="W382" s="19">
        <v>2</v>
      </c>
      <c r="X382" s="19" t="s">
        <v>4</v>
      </c>
      <c r="AC382" t="s">
        <v>52</v>
      </c>
      <c r="AD382" s="19">
        <v>3</v>
      </c>
      <c r="AE382" s="19">
        <v>3</v>
      </c>
      <c r="AF382" s="19" t="s">
        <v>4</v>
      </c>
      <c r="AK382" t="s">
        <v>52</v>
      </c>
      <c r="AL382" s="19">
        <v>4</v>
      </c>
      <c r="AM382" s="19" t="s">
        <v>4</v>
      </c>
    </row>
    <row r="383" spans="2:41" x14ac:dyDescent="0.25">
      <c r="B383" s="19"/>
      <c r="I383" s="19"/>
      <c r="L383" s="24"/>
      <c r="M383" s="24"/>
      <c r="O383" t="s">
        <v>52</v>
      </c>
      <c r="P383" s="19">
        <v>1</v>
      </c>
      <c r="Q383" s="19" t="s">
        <v>4</v>
      </c>
      <c r="V383" t="s">
        <v>52</v>
      </c>
      <c r="W383" s="19">
        <v>2</v>
      </c>
      <c r="X383" s="19" t="s">
        <v>4</v>
      </c>
      <c r="AC383" t="s">
        <v>52</v>
      </c>
      <c r="AD383" s="19">
        <v>4</v>
      </c>
      <c r="AE383" s="19">
        <v>3</v>
      </c>
      <c r="AF383" s="19" t="s">
        <v>4</v>
      </c>
      <c r="AK383" t="s">
        <v>52</v>
      </c>
      <c r="AL383" s="19">
        <v>4</v>
      </c>
      <c r="AM383" s="19" t="s">
        <v>4</v>
      </c>
    </row>
    <row r="384" spans="2:41" x14ac:dyDescent="0.25">
      <c r="B384" s="19"/>
      <c r="I384" s="19"/>
      <c r="L384" s="24"/>
      <c r="M384" s="24"/>
      <c r="O384" t="s">
        <v>52</v>
      </c>
      <c r="P384" s="19">
        <v>1</v>
      </c>
      <c r="Q384" s="19" t="s">
        <v>4</v>
      </c>
      <c r="V384" t="s">
        <v>52</v>
      </c>
      <c r="W384" s="19">
        <v>2</v>
      </c>
      <c r="X384" s="19" t="s">
        <v>4</v>
      </c>
      <c r="AC384" t="s">
        <v>52</v>
      </c>
      <c r="AD384" s="19">
        <v>5</v>
      </c>
      <c r="AE384" s="19">
        <v>3</v>
      </c>
      <c r="AF384" s="19" t="s">
        <v>4</v>
      </c>
      <c r="AK384" t="s">
        <v>52</v>
      </c>
      <c r="AL384" s="19">
        <v>4</v>
      </c>
      <c r="AM384" s="19" t="s">
        <v>4</v>
      </c>
    </row>
    <row r="385" spans="2:39" x14ac:dyDescent="0.25">
      <c r="B385" s="19"/>
      <c r="I385" s="19"/>
      <c r="L385" s="24"/>
      <c r="M385" s="24"/>
      <c r="O385" t="s">
        <v>52</v>
      </c>
      <c r="P385" s="19">
        <v>1</v>
      </c>
      <c r="Q385" s="19" t="s">
        <v>4</v>
      </c>
      <c r="V385" t="s">
        <v>52</v>
      </c>
      <c r="W385" s="19">
        <v>2</v>
      </c>
      <c r="X385" s="19" t="s">
        <v>4</v>
      </c>
      <c r="AC385" t="s">
        <v>52</v>
      </c>
      <c r="AD385" s="19">
        <v>6</v>
      </c>
      <c r="AE385" s="19">
        <v>3</v>
      </c>
      <c r="AF385" s="19" t="s">
        <v>4</v>
      </c>
      <c r="AK385" t="s">
        <v>52</v>
      </c>
      <c r="AL385" s="19">
        <v>4</v>
      </c>
      <c r="AM385" s="19" t="s">
        <v>4</v>
      </c>
    </row>
    <row r="386" spans="2:39" x14ac:dyDescent="0.25">
      <c r="B386" s="19"/>
      <c r="I386" s="19"/>
      <c r="L386" s="24"/>
      <c r="M386" s="24"/>
      <c r="O386" t="s">
        <v>52</v>
      </c>
      <c r="P386" s="19">
        <v>1</v>
      </c>
      <c r="Q386" s="19" t="s">
        <v>4</v>
      </c>
      <c r="V386" t="s">
        <v>52</v>
      </c>
      <c r="W386" s="19">
        <v>2</v>
      </c>
      <c r="X386" s="19" t="s">
        <v>4</v>
      </c>
      <c r="AC386" t="s">
        <v>52</v>
      </c>
      <c r="AD386" s="19">
        <v>7</v>
      </c>
      <c r="AE386" s="19">
        <v>3</v>
      </c>
      <c r="AF386" s="19" t="s">
        <v>4</v>
      </c>
      <c r="AK386" t="s">
        <v>52</v>
      </c>
      <c r="AL386" s="19">
        <v>4</v>
      </c>
      <c r="AM386" s="19" t="s">
        <v>4</v>
      </c>
    </row>
    <row r="387" spans="2:39" x14ac:dyDescent="0.25">
      <c r="B387" s="19"/>
      <c r="I387" s="19"/>
      <c r="L387" s="24"/>
      <c r="M387" s="24"/>
      <c r="O387" t="s">
        <v>52</v>
      </c>
      <c r="P387" s="19">
        <v>1</v>
      </c>
      <c r="Q387" s="17">
        <v>120</v>
      </c>
      <c r="V387" t="s">
        <v>52</v>
      </c>
      <c r="W387" s="19">
        <v>2</v>
      </c>
      <c r="X387" s="17">
        <v>102</v>
      </c>
      <c r="AC387" t="s">
        <v>52</v>
      </c>
      <c r="AD387" s="19">
        <v>8</v>
      </c>
      <c r="AE387" s="19">
        <v>3</v>
      </c>
      <c r="AF387" s="17">
        <v>132</v>
      </c>
      <c r="AK387" t="s">
        <v>52</v>
      </c>
      <c r="AL387" s="19">
        <v>4</v>
      </c>
      <c r="AM387" s="19" t="s">
        <v>4</v>
      </c>
    </row>
    <row r="388" spans="2:39" x14ac:dyDescent="0.25">
      <c r="B388" s="19"/>
      <c r="L388" s="24"/>
      <c r="M388" s="24"/>
      <c r="N388" s="24"/>
      <c r="O388" s="24"/>
      <c r="P388" s="24"/>
      <c r="Q388" s="24"/>
    </row>
    <row r="389" spans="2:39" x14ac:dyDescent="0.25">
      <c r="B389" s="19"/>
      <c r="L389" s="24"/>
      <c r="M389" s="24"/>
      <c r="N389" s="24"/>
      <c r="O389" s="24"/>
      <c r="P389" s="24"/>
      <c r="Q389" s="24"/>
    </row>
    <row r="390" spans="2:39" x14ac:dyDescent="0.25">
      <c r="B390" s="19"/>
      <c r="L390" s="24"/>
      <c r="M390" s="24"/>
      <c r="N390" s="24"/>
      <c r="O390" s="24"/>
      <c r="P390" s="24"/>
      <c r="Q390" s="24"/>
    </row>
    <row r="391" spans="2:39" x14ac:dyDescent="0.25">
      <c r="B391" s="19"/>
      <c r="L391" s="24"/>
      <c r="M391" s="24"/>
      <c r="N391" s="24"/>
      <c r="O391" s="24"/>
      <c r="P391" s="24"/>
      <c r="Q391" s="24"/>
    </row>
    <row r="392" spans="2:39" x14ac:dyDescent="0.25">
      <c r="B392" s="19"/>
      <c r="L392" s="24"/>
      <c r="M392" s="24"/>
      <c r="N392" s="24"/>
      <c r="O392" s="24"/>
      <c r="P392" s="24"/>
      <c r="Q392" s="24"/>
    </row>
    <row r="393" spans="2:39" x14ac:dyDescent="0.25">
      <c r="B393" s="19"/>
      <c r="L393" s="24"/>
      <c r="M393" s="24"/>
      <c r="N393" s="24"/>
      <c r="O393" s="24"/>
      <c r="P393" s="24"/>
      <c r="Q393" s="24"/>
    </row>
    <row r="394" spans="2:39" x14ac:dyDescent="0.25">
      <c r="B394" s="19"/>
      <c r="L394" s="24"/>
      <c r="M394" s="24"/>
      <c r="N394" s="24"/>
      <c r="O394" s="24"/>
      <c r="P394" s="24"/>
      <c r="Q394" s="24"/>
    </row>
    <row r="395" spans="2:39" x14ac:dyDescent="0.25">
      <c r="B395" s="19"/>
      <c r="L395" s="24"/>
      <c r="M395" s="24"/>
      <c r="N395" s="24"/>
      <c r="O395" s="24"/>
      <c r="P395" s="24"/>
      <c r="Q395" s="24"/>
    </row>
    <row r="396" spans="2:39" x14ac:dyDescent="0.25">
      <c r="B396" s="19"/>
      <c r="L396" s="24"/>
      <c r="M396" s="24"/>
      <c r="N396" s="24"/>
      <c r="O396" s="24"/>
      <c r="P396" s="24"/>
      <c r="Q396" s="24"/>
    </row>
    <row r="397" spans="2:39" x14ac:dyDescent="0.25">
      <c r="B397" s="19"/>
      <c r="L397" s="24"/>
      <c r="M397" s="24"/>
      <c r="N397" s="24"/>
      <c r="O397" s="24"/>
      <c r="P397" s="24"/>
      <c r="Q397" s="24"/>
    </row>
    <row r="398" spans="2:39" x14ac:dyDescent="0.25">
      <c r="B398" s="19"/>
      <c r="L398" s="24"/>
      <c r="M398" s="24"/>
      <c r="N398" s="24"/>
      <c r="O398" s="24"/>
      <c r="P398" s="24"/>
      <c r="Q398" s="24"/>
    </row>
    <row r="399" spans="2:39" x14ac:dyDescent="0.25">
      <c r="B399" s="19"/>
      <c r="L399" s="24"/>
      <c r="M399" s="24"/>
      <c r="N399" s="24"/>
      <c r="O399" s="24"/>
      <c r="P399" s="24"/>
      <c r="Q399" s="24"/>
    </row>
    <row r="400" spans="2:39" x14ac:dyDescent="0.25">
      <c r="B400" s="19"/>
      <c r="L400" s="24"/>
      <c r="M400" s="24"/>
      <c r="N400" s="24"/>
      <c r="O400" s="24"/>
      <c r="P400" s="24"/>
      <c r="Q400" s="24"/>
    </row>
    <row r="401" spans="2:17" x14ac:dyDescent="0.25">
      <c r="B401" s="19"/>
      <c r="L401" s="24"/>
      <c r="M401" s="24"/>
      <c r="N401" s="24"/>
      <c r="O401" s="24"/>
      <c r="P401" s="24"/>
      <c r="Q401" s="24"/>
    </row>
    <row r="402" spans="2:17" x14ac:dyDescent="0.25">
      <c r="B402" s="19"/>
      <c r="L402" s="24"/>
      <c r="M402" s="24"/>
      <c r="N402" s="24"/>
      <c r="O402" s="24"/>
      <c r="P402" s="24"/>
      <c r="Q402" s="24"/>
    </row>
    <row r="403" spans="2:17" x14ac:dyDescent="0.25">
      <c r="B403" s="19"/>
      <c r="L403" s="24"/>
      <c r="M403" s="24"/>
      <c r="N403" s="24"/>
      <c r="O403" s="24"/>
      <c r="P403" s="24"/>
      <c r="Q403" s="24"/>
    </row>
    <row r="404" spans="2:17" x14ac:dyDescent="0.25">
      <c r="B404" s="19"/>
      <c r="L404" s="24"/>
      <c r="M404" s="24"/>
      <c r="N404" s="24"/>
      <c r="O404" s="24"/>
      <c r="P404" s="24"/>
      <c r="Q404" s="24"/>
    </row>
    <row r="405" spans="2:17" x14ac:dyDescent="0.25">
      <c r="B405" s="19"/>
      <c r="L405" s="24"/>
      <c r="M405" s="24"/>
    </row>
    <row r="406" spans="2:17" x14ac:dyDescent="0.25">
      <c r="B406" s="19"/>
      <c r="L406" s="24"/>
      <c r="M406" s="24"/>
    </row>
    <row r="407" spans="2:17" x14ac:dyDescent="0.25">
      <c r="B407" s="19"/>
      <c r="L407" s="24"/>
      <c r="M407" s="24"/>
    </row>
    <row r="408" spans="2:17" x14ac:dyDescent="0.25">
      <c r="B408" s="19"/>
      <c r="L408" s="24"/>
      <c r="M408" s="24"/>
    </row>
    <row r="409" spans="2:17" x14ac:dyDescent="0.25">
      <c r="B409" s="19"/>
      <c r="L409" s="24"/>
      <c r="M409" s="24"/>
    </row>
    <row r="410" spans="2:17" x14ac:dyDescent="0.25">
      <c r="B410" s="19"/>
      <c r="L410" s="24"/>
      <c r="M410" s="24"/>
    </row>
    <row r="411" spans="2:17" x14ac:dyDescent="0.25">
      <c r="B411" s="19"/>
      <c r="L411" s="24"/>
      <c r="M411" s="24"/>
    </row>
    <row r="412" spans="2:17" x14ac:dyDescent="0.25">
      <c r="B412" s="19"/>
      <c r="L412" s="24"/>
      <c r="M412" s="24"/>
    </row>
    <row r="413" spans="2:17" x14ac:dyDescent="0.25">
      <c r="B413" s="19"/>
      <c r="L413" s="24"/>
      <c r="M413" s="24"/>
    </row>
    <row r="414" spans="2:17" x14ac:dyDescent="0.25">
      <c r="B414" s="19"/>
      <c r="L414" s="24"/>
      <c r="M414" s="24"/>
    </row>
    <row r="415" spans="2:17" x14ac:dyDescent="0.25">
      <c r="B415" s="19"/>
      <c r="L415" s="24"/>
      <c r="M415" s="24"/>
    </row>
    <row r="416" spans="2:17" x14ac:dyDescent="0.25">
      <c r="B416" s="19"/>
      <c r="L416" s="24"/>
      <c r="M416" s="24"/>
    </row>
    <row r="417" spans="2:13" x14ac:dyDescent="0.25">
      <c r="B417" s="19"/>
      <c r="L417" s="24"/>
      <c r="M417" s="24"/>
    </row>
    <row r="418" spans="2:13" x14ac:dyDescent="0.25">
      <c r="B418" s="19"/>
      <c r="L418" s="24"/>
      <c r="M418" s="24"/>
    </row>
    <row r="419" spans="2:13" x14ac:dyDescent="0.25">
      <c r="B419" s="19"/>
      <c r="L419" s="24"/>
      <c r="M419" s="24"/>
    </row>
    <row r="420" spans="2:13" x14ac:dyDescent="0.25">
      <c r="B420" s="19"/>
      <c r="L420" s="24"/>
      <c r="M420" s="24"/>
    </row>
    <row r="421" spans="2:13" x14ac:dyDescent="0.25">
      <c r="B421" s="19"/>
      <c r="L421" s="24"/>
      <c r="M421" s="24"/>
    </row>
    <row r="422" spans="2:13" x14ac:dyDescent="0.25">
      <c r="B422" s="19"/>
      <c r="L422" s="24"/>
      <c r="M422" s="24"/>
    </row>
    <row r="423" spans="2:13" x14ac:dyDescent="0.25">
      <c r="B423" s="19"/>
      <c r="L423" s="24"/>
      <c r="M423" s="24"/>
    </row>
    <row r="424" spans="2:13" x14ac:dyDescent="0.25">
      <c r="B424" s="19"/>
      <c r="L424" s="24"/>
      <c r="M424" s="24"/>
    </row>
    <row r="425" spans="2:13" x14ac:dyDescent="0.25">
      <c r="B425" s="19"/>
      <c r="L425" s="24"/>
      <c r="M425" s="24"/>
    </row>
    <row r="426" spans="2:13" x14ac:dyDescent="0.25">
      <c r="B426" s="19"/>
      <c r="L426" s="24"/>
      <c r="M426" s="24"/>
    </row>
    <row r="427" spans="2:13" x14ac:dyDescent="0.25">
      <c r="B427" s="19"/>
      <c r="L427" s="24"/>
      <c r="M427" s="24"/>
    </row>
    <row r="428" spans="2:13" x14ac:dyDescent="0.25">
      <c r="L428" s="24"/>
      <c r="M428" s="24"/>
    </row>
    <row r="429" spans="2:13" x14ac:dyDescent="0.25">
      <c r="L429" s="24"/>
      <c r="M429" s="24"/>
    </row>
    <row r="430" spans="2:13" x14ac:dyDescent="0.25">
      <c r="L430" s="24"/>
      <c r="M430" s="24"/>
    </row>
    <row r="431" spans="2:13" x14ac:dyDescent="0.25">
      <c r="L431" s="24"/>
      <c r="M431" s="24"/>
    </row>
    <row r="432" spans="2:13" x14ac:dyDescent="0.25">
      <c r="L432" s="24"/>
      <c r="M432" s="24"/>
    </row>
    <row r="433" spans="12:13" x14ac:dyDescent="0.25">
      <c r="L433" s="24"/>
      <c r="M433" s="24"/>
    </row>
    <row r="434" spans="12:13" x14ac:dyDescent="0.25">
      <c r="L434" s="24"/>
      <c r="M434" s="24"/>
    </row>
    <row r="435" spans="12:13" x14ac:dyDescent="0.25">
      <c r="L435" s="24"/>
      <c r="M435" s="24"/>
    </row>
    <row r="436" spans="12:13" x14ac:dyDescent="0.25">
      <c r="L436" s="24"/>
      <c r="M436" s="24"/>
    </row>
    <row r="437" spans="12:13" x14ac:dyDescent="0.25">
      <c r="L437" s="24"/>
      <c r="M437" s="24"/>
    </row>
    <row r="438" spans="12:13" x14ac:dyDescent="0.25">
      <c r="L438" s="24"/>
      <c r="M438" s="24"/>
    </row>
    <row r="439" spans="12:13" x14ac:dyDescent="0.25">
      <c r="L439" s="24"/>
      <c r="M439" s="24"/>
    </row>
    <row r="440" spans="12:13" x14ac:dyDescent="0.25">
      <c r="L440" s="24"/>
      <c r="M440" s="24"/>
    </row>
    <row r="441" spans="12:13" x14ac:dyDescent="0.25">
      <c r="L441" s="24"/>
      <c r="M441" s="24"/>
    </row>
    <row r="442" spans="12:13" x14ac:dyDescent="0.25">
      <c r="L442" s="24"/>
      <c r="M442" s="24"/>
    </row>
    <row r="443" spans="12:13" x14ac:dyDescent="0.25">
      <c r="L443" s="24"/>
      <c r="M443" s="24"/>
    </row>
    <row r="444" spans="12:13" x14ac:dyDescent="0.25">
      <c r="L444" s="24"/>
      <c r="M444" s="24"/>
    </row>
    <row r="445" spans="12:13" x14ac:dyDescent="0.25">
      <c r="L445" s="24"/>
      <c r="M445" s="24"/>
    </row>
    <row r="446" spans="12:13" x14ac:dyDescent="0.25">
      <c r="L446" s="24"/>
      <c r="M446" s="24"/>
    </row>
    <row r="447" spans="12:13" x14ac:dyDescent="0.25">
      <c r="L447" s="24"/>
      <c r="M447" s="24"/>
    </row>
    <row r="448" spans="12:13" x14ac:dyDescent="0.25">
      <c r="L448" s="24"/>
      <c r="M448" s="24"/>
    </row>
    <row r="449" spans="12:13" x14ac:dyDescent="0.25">
      <c r="L449" s="24"/>
      <c r="M449" s="24"/>
    </row>
    <row r="450" spans="12:13" x14ac:dyDescent="0.25">
      <c r="L450" s="24"/>
      <c r="M450" s="24"/>
    </row>
    <row r="451" spans="12:13" x14ac:dyDescent="0.25">
      <c r="L451" s="24"/>
      <c r="M451" s="24"/>
    </row>
    <row r="452" spans="12:13" x14ac:dyDescent="0.25">
      <c r="L452" s="24"/>
      <c r="M452" s="24"/>
    </row>
    <row r="453" spans="12:13" x14ac:dyDescent="0.25">
      <c r="L453" s="24"/>
      <c r="M453" s="24"/>
    </row>
    <row r="454" spans="12:13" x14ac:dyDescent="0.25">
      <c r="L454" s="24"/>
      <c r="M454" s="24"/>
    </row>
    <row r="455" spans="12:13" x14ac:dyDescent="0.25">
      <c r="L455" s="24"/>
      <c r="M455" s="24"/>
    </row>
    <row r="456" spans="12:13" x14ac:dyDescent="0.25">
      <c r="L456" s="24"/>
      <c r="M456" s="24"/>
    </row>
    <row r="457" spans="12:13" x14ac:dyDescent="0.25">
      <c r="L457" s="24"/>
      <c r="M457" s="24"/>
    </row>
    <row r="458" spans="12:13" x14ac:dyDescent="0.25">
      <c r="L458" s="24"/>
      <c r="M458" s="24"/>
    </row>
    <row r="459" spans="12:13" x14ac:dyDescent="0.25">
      <c r="L459" s="24"/>
      <c r="M459" s="24"/>
    </row>
    <row r="460" spans="12:13" x14ac:dyDescent="0.25">
      <c r="L460" s="24"/>
      <c r="M460" s="24"/>
    </row>
    <row r="461" spans="12:13" x14ac:dyDescent="0.25">
      <c r="L461" s="24"/>
      <c r="M461" s="24"/>
    </row>
    <row r="462" spans="12:13" x14ac:dyDescent="0.25">
      <c r="L462" s="24"/>
      <c r="M462" s="24"/>
    </row>
    <row r="463" spans="12:13" x14ac:dyDescent="0.25">
      <c r="L463" s="24"/>
      <c r="M463" s="24"/>
    </row>
    <row r="464" spans="12:13" x14ac:dyDescent="0.25">
      <c r="L464" s="24"/>
      <c r="M464" s="24"/>
    </row>
    <row r="465" spans="12:13" x14ac:dyDescent="0.25">
      <c r="L465" s="24"/>
      <c r="M465" s="24"/>
    </row>
    <row r="466" spans="12:13" x14ac:dyDescent="0.25">
      <c r="L466" s="24"/>
      <c r="M466" s="24"/>
    </row>
    <row r="467" spans="12:13" x14ac:dyDescent="0.25">
      <c r="L467" s="24"/>
      <c r="M467" s="24"/>
    </row>
    <row r="468" spans="12:13" x14ac:dyDescent="0.25">
      <c r="L468" s="24"/>
      <c r="M468" s="24"/>
    </row>
    <row r="469" spans="12:13" x14ac:dyDescent="0.25">
      <c r="L469" s="24"/>
      <c r="M469" s="24"/>
    </row>
    <row r="470" spans="12:13" x14ac:dyDescent="0.25">
      <c r="L470" s="24"/>
      <c r="M470" s="24"/>
    </row>
    <row r="471" spans="12:13" x14ac:dyDescent="0.25">
      <c r="L471" s="24"/>
      <c r="M471" s="24"/>
    </row>
    <row r="472" spans="12:13" x14ac:dyDescent="0.25">
      <c r="L472" s="24"/>
      <c r="M472" s="24"/>
    </row>
    <row r="473" spans="12:13" x14ac:dyDescent="0.25">
      <c r="L473" s="24"/>
      <c r="M473" s="24"/>
    </row>
    <row r="474" spans="12:13" x14ac:dyDescent="0.25">
      <c r="L474" s="24"/>
      <c r="M474" s="24"/>
    </row>
    <row r="475" spans="12:13" x14ac:dyDescent="0.25">
      <c r="L475" s="24"/>
      <c r="M475" s="24"/>
    </row>
    <row r="476" spans="12:13" x14ac:dyDescent="0.25">
      <c r="L476" s="24"/>
      <c r="M476" s="24"/>
    </row>
    <row r="477" spans="12:13" x14ac:dyDescent="0.25">
      <c r="L477" s="24"/>
      <c r="M477" s="24"/>
    </row>
    <row r="478" spans="12:13" x14ac:dyDescent="0.25">
      <c r="L478" s="24"/>
      <c r="M478" s="24"/>
    </row>
    <row r="479" spans="12:13" x14ac:dyDescent="0.25">
      <c r="L479" s="24"/>
      <c r="M479" s="24"/>
    </row>
    <row r="480" spans="12:13" x14ac:dyDescent="0.25">
      <c r="L480" s="24"/>
      <c r="M480" s="24"/>
    </row>
    <row r="481" spans="12:13" x14ac:dyDescent="0.25">
      <c r="L481" s="24"/>
      <c r="M481" s="24"/>
    </row>
    <row r="482" spans="12:13" x14ac:dyDescent="0.25">
      <c r="L482" s="24"/>
      <c r="M482" s="24"/>
    </row>
    <row r="483" spans="12:13" x14ac:dyDescent="0.25">
      <c r="L483" s="24"/>
      <c r="M483" s="24"/>
    </row>
    <row r="484" spans="12:13" x14ac:dyDescent="0.25">
      <c r="L484" s="24"/>
      <c r="M484" s="24"/>
    </row>
    <row r="485" spans="12:13" x14ac:dyDescent="0.25">
      <c r="L485" s="24"/>
      <c r="M485" s="24"/>
    </row>
    <row r="486" spans="12:13" x14ac:dyDescent="0.25">
      <c r="L486" s="24"/>
      <c r="M486" s="24"/>
    </row>
    <row r="487" spans="12:13" x14ac:dyDescent="0.25">
      <c r="L487" s="24"/>
      <c r="M487" s="24"/>
    </row>
    <row r="488" spans="12:13" x14ac:dyDescent="0.25">
      <c r="L488" s="24"/>
      <c r="M488" s="24"/>
    </row>
    <row r="489" spans="12:13" x14ac:dyDescent="0.25">
      <c r="L489" s="24"/>
      <c r="M489" s="24"/>
    </row>
    <row r="490" spans="12:13" x14ac:dyDescent="0.25">
      <c r="L490" s="24"/>
      <c r="M490" s="24"/>
    </row>
    <row r="491" spans="12:13" x14ac:dyDescent="0.25">
      <c r="L491" s="24"/>
      <c r="M491" s="24"/>
    </row>
    <row r="492" spans="12:13" x14ac:dyDescent="0.25">
      <c r="L492" s="24"/>
      <c r="M492" s="24"/>
    </row>
    <row r="493" spans="12:13" x14ac:dyDescent="0.25">
      <c r="L493" s="24"/>
      <c r="M493" s="24"/>
    </row>
    <row r="494" spans="12:13" x14ac:dyDescent="0.25">
      <c r="L494" s="24"/>
      <c r="M494" s="24"/>
    </row>
    <row r="495" spans="12:13" x14ac:dyDescent="0.25">
      <c r="L495" s="24"/>
      <c r="M495" s="24"/>
    </row>
    <row r="496" spans="12:13" x14ac:dyDescent="0.25">
      <c r="L496" s="24"/>
      <c r="M496" s="24"/>
    </row>
    <row r="497" spans="12:13" x14ac:dyDescent="0.25">
      <c r="L497" s="24"/>
      <c r="M497" s="24"/>
    </row>
    <row r="498" spans="12:13" x14ac:dyDescent="0.25">
      <c r="L498" s="24"/>
      <c r="M498" s="24"/>
    </row>
    <row r="499" spans="12:13" x14ac:dyDescent="0.25">
      <c r="L499" s="24"/>
      <c r="M499" s="24"/>
    </row>
    <row r="500" spans="12:13" x14ac:dyDescent="0.25">
      <c r="L500" s="24"/>
      <c r="M500" s="24"/>
    </row>
    <row r="501" spans="12:13" x14ac:dyDescent="0.25">
      <c r="L501" s="24"/>
      <c r="M501" s="24"/>
    </row>
    <row r="502" spans="12:13" x14ac:dyDescent="0.25">
      <c r="L502" s="24"/>
      <c r="M502" s="24"/>
    </row>
    <row r="503" spans="12:13" x14ac:dyDescent="0.25">
      <c r="L503" s="24"/>
      <c r="M503" s="24"/>
    </row>
    <row r="504" spans="12:13" x14ac:dyDescent="0.25">
      <c r="L504" s="24"/>
      <c r="M504" s="24"/>
    </row>
    <row r="505" spans="12:13" x14ac:dyDescent="0.25">
      <c r="L505" s="24"/>
      <c r="M505" s="24"/>
    </row>
    <row r="506" spans="12:13" x14ac:dyDescent="0.25">
      <c r="L506" s="24"/>
      <c r="M506" s="24"/>
    </row>
    <row r="507" spans="12:13" x14ac:dyDescent="0.25">
      <c r="L507" s="24"/>
      <c r="M507" s="24"/>
    </row>
    <row r="508" spans="12:13" x14ac:dyDescent="0.25">
      <c r="L508" s="24"/>
      <c r="M508" s="24"/>
    </row>
    <row r="509" spans="12:13" x14ac:dyDescent="0.25">
      <c r="L509" s="24"/>
      <c r="M509" s="24"/>
    </row>
    <row r="510" spans="12:13" x14ac:dyDescent="0.25">
      <c r="L510" s="24"/>
      <c r="M510" s="24"/>
    </row>
    <row r="511" spans="12:13" x14ac:dyDescent="0.25">
      <c r="L511" s="24"/>
      <c r="M511" s="24"/>
    </row>
    <row r="512" spans="12:13" x14ac:dyDescent="0.25">
      <c r="L512" s="24"/>
      <c r="M512" s="24"/>
    </row>
    <row r="513" spans="12:13" x14ac:dyDescent="0.25">
      <c r="L513" s="24"/>
      <c r="M513" s="24"/>
    </row>
    <row r="514" spans="12:13" x14ac:dyDescent="0.25">
      <c r="L514" s="24"/>
      <c r="M514" s="24"/>
    </row>
    <row r="515" spans="12:13" x14ac:dyDescent="0.25">
      <c r="L515" s="24"/>
      <c r="M515" s="24"/>
    </row>
    <row r="516" spans="12:13" x14ac:dyDescent="0.25">
      <c r="L516" s="24"/>
      <c r="M516" s="24"/>
    </row>
    <row r="517" spans="12:13" x14ac:dyDescent="0.25">
      <c r="L517" s="24"/>
      <c r="M517" s="24"/>
    </row>
    <row r="518" spans="12:13" x14ac:dyDescent="0.25">
      <c r="L518" s="24"/>
      <c r="M518" s="24"/>
    </row>
    <row r="519" spans="12:13" x14ac:dyDescent="0.25">
      <c r="L519" s="24"/>
      <c r="M519" s="24"/>
    </row>
    <row r="520" spans="12:13" x14ac:dyDescent="0.25">
      <c r="L520" s="24"/>
      <c r="M520" s="24"/>
    </row>
    <row r="521" spans="12:13" x14ac:dyDescent="0.25">
      <c r="L521" s="24"/>
      <c r="M521" s="24"/>
    </row>
    <row r="522" spans="12:13" x14ac:dyDescent="0.25">
      <c r="L522" s="24"/>
      <c r="M522" s="24"/>
    </row>
    <row r="523" spans="12:13" x14ac:dyDescent="0.25">
      <c r="L523" s="24"/>
      <c r="M523" s="24"/>
    </row>
    <row r="524" spans="12:13" x14ac:dyDescent="0.25">
      <c r="L524" s="24"/>
      <c r="M524" s="24"/>
    </row>
    <row r="525" spans="12:13" x14ac:dyDescent="0.25">
      <c r="L525" s="24"/>
      <c r="M525" s="24"/>
    </row>
  </sheetData>
  <mergeCells count="65">
    <mergeCell ref="AO274:AO275"/>
    <mergeCell ref="AF274:AF275"/>
    <mergeCell ref="AG274:AG275"/>
    <mergeCell ref="AK274:AK275"/>
    <mergeCell ref="AL274:AL275"/>
    <mergeCell ref="AM274:AM275"/>
    <mergeCell ref="AN274:AN275"/>
    <mergeCell ref="AC274:AC275"/>
    <mergeCell ref="V274:V275"/>
    <mergeCell ref="W274:W275"/>
    <mergeCell ref="AD274:AD275"/>
    <mergeCell ref="AE274:AE275"/>
    <mergeCell ref="Q274:Q275"/>
    <mergeCell ref="R274:R275"/>
    <mergeCell ref="S274:S275"/>
    <mergeCell ref="X274:X275"/>
    <mergeCell ref="Y274:Y275"/>
    <mergeCell ref="Z274:Z275"/>
    <mergeCell ref="I274:I275"/>
    <mergeCell ref="J274:J275"/>
    <mergeCell ref="K274:K275"/>
    <mergeCell ref="L274:L275"/>
    <mergeCell ref="O274:O275"/>
    <mergeCell ref="P274:P275"/>
    <mergeCell ref="A274:A275"/>
    <mergeCell ref="B274:B275"/>
    <mergeCell ref="C274:C275"/>
    <mergeCell ref="D274:D275"/>
    <mergeCell ref="E274:E275"/>
    <mergeCell ref="H274:H275"/>
    <mergeCell ref="Q94:Q95"/>
    <mergeCell ref="R94:R95"/>
    <mergeCell ref="S94:S95"/>
    <mergeCell ref="A181:A182"/>
    <mergeCell ref="B181:B182"/>
    <mergeCell ref="C181:C182"/>
    <mergeCell ref="D181:D182"/>
    <mergeCell ref="E181:E182"/>
    <mergeCell ref="I94:I95"/>
    <mergeCell ref="J94:J95"/>
    <mergeCell ref="K94:K95"/>
    <mergeCell ref="L94:L95"/>
    <mergeCell ref="O94:O95"/>
    <mergeCell ref="P94:P95"/>
    <mergeCell ref="R7:R8"/>
    <mergeCell ref="S7:S8"/>
    <mergeCell ref="O7:O8"/>
    <mergeCell ref="A94:A95"/>
    <mergeCell ref="B94:B95"/>
    <mergeCell ref="C94:C95"/>
    <mergeCell ref="D94:D95"/>
    <mergeCell ref="E94:E95"/>
    <mergeCell ref="H94:H95"/>
    <mergeCell ref="I7:I8"/>
    <mergeCell ref="J7:J8"/>
    <mergeCell ref="K7:K8"/>
    <mergeCell ref="L7:L8"/>
    <mergeCell ref="P7:P8"/>
    <mergeCell ref="Q7:Q8"/>
    <mergeCell ref="A7:A8"/>
    <mergeCell ref="B7:B8"/>
    <mergeCell ref="C7:C8"/>
    <mergeCell ref="D7:D8"/>
    <mergeCell ref="E7:E8"/>
    <mergeCell ref="H7:H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70" zoomScaleNormal="70" workbookViewId="0"/>
  </sheetViews>
  <sheetFormatPr baseColWidth="10" defaultRowHeight="15" x14ac:dyDescent="0.25"/>
  <cols>
    <col min="1" max="1" width="16.28515625" customWidth="1"/>
    <col min="4" max="4" width="14.28515625" customWidth="1"/>
    <col min="5" max="6" width="14.140625" customWidth="1"/>
  </cols>
  <sheetData>
    <row r="1" spans="1:8" ht="18.75" x14ac:dyDescent="0.3">
      <c r="A1" s="1" t="s">
        <v>7</v>
      </c>
      <c r="B1" s="7"/>
      <c r="C1" s="7"/>
      <c r="E1" s="5"/>
    </row>
    <row r="2" spans="1:8" ht="18.75" x14ac:dyDescent="0.3">
      <c r="A2" s="1"/>
      <c r="B2" s="7"/>
      <c r="C2" s="7"/>
    </row>
    <row r="3" spans="1:8" ht="15.75" x14ac:dyDescent="0.25">
      <c r="A3" s="2" t="s">
        <v>58</v>
      </c>
      <c r="B3" s="7"/>
      <c r="C3" s="7"/>
    </row>
    <row r="4" spans="1:8" ht="15.75" x14ac:dyDescent="0.25">
      <c r="A4" s="2"/>
      <c r="B4" s="19"/>
      <c r="C4" s="19"/>
    </row>
    <row r="5" spans="1:8" ht="15.75" x14ac:dyDescent="0.25">
      <c r="A5" s="68" t="s">
        <v>55</v>
      </c>
      <c r="B5" s="19"/>
      <c r="C5" s="19"/>
    </row>
    <row r="6" spans="1:8" x14ac:dyDescent="0.25">
      <c r="B6" s="7"/>
      <c r="C6" s="7"/>
    </row>
    <row r="7" spans="1:8" ht="15" customHeight="1" x14ac:dyDescent="0.25">
      <c r="A7" s="62" t="s">
        <v>53</v>
      </c>
      <c r="B7" s="62" t="s">
        <v>8</v>
      </c>
      <c r="C7" s="62" t="s">
        <v>56</v>
      </c>
      <c r="D7" s="63" t="s">
        <v>59</v>
      </c>
      <c r="E7" s="63" t="s">
        <v>60</v>
      </c>
      <c r="F7" s="63" t="s">
        <v>61</v>
      </c>
      <c r="G7" s="16"/>
      <c r="H7" s="16"/>
    </row>
    <row r="8" spans="1:8" x14ac:dyDescent="0.25">
      <c r="A8" s="62"/>
      <c r="B8" s="62"/>
      <c r="C8" s="62"/>
      <c r="D8" s="63"/>
      <c r="E8" s="63"/>
      <c r="F8" s="63"/>
    </row>
    <row r="9" spans="1:8" x14ac:dyDescent="0.25">
      <c r="A9" s="62"/>
      <c r="B9" s="62"/>
      <c r="C9" s="62"/>
      <c r="D9" s="63"/>
      <c r="E9" s="63"/>
      <c r="F9" s="63"/>
    </row>
    <row r="10" spans="1:8" x14ac:dyDescent="0.25">
      <c r="A10" t="s">
        <v>0</v>
      </c>
      <c r="B10" s="7">
        <v>1</v>
      </c>
      <c r="C10" s="7">
        <v>32</v>
      </c>
      <c r="D10">
        <f t="shared" ref="D10:D30" si="0">C10*3</f>
        <v>96</v>
      </c>
      <c r="E10">
        <v>0</v>
      </c>
      <c r="F10">
        <v>0</v>
      </c>
    </row>
    <row r="11" spans="1:8" x14ac:dyDescent="0.25">
      <c r="A11" t="s">
        <v>5</v>
      </c>
      <c r="B11" s="19">
        <v>1</v>
      </c>
      <c r="C11" s="19">
        <v>32</v>
      </c>
      <c r="D11">
        <f t="shared" si="0"/>
        <v>96</v>
      </c>
      <c r="E11">
        <v>0</v>
      </c>
      <c r="F11" s="6">
        <f t="shared" ref="F11:F12" si="1">E11/D11*100</f>
        <v>0</v>
      </c>
    </row>
    <row r="12" spans="1:8" x14ac:dyDescent="0.25">
      <c r="A12" t="s">
        <v>12</v>
      </c>
      <c r="B12" s="19">
        <v>1</v>
      </c>
      <c r="C12" s="19">
        <v>32</v>
      </c>
      <c r="D12">
        <f t="shared" si="0"/>
        <v>96</v>
      </c>
      <c r="E12">
        <v>0</v>
      </c>
      <c r="F12" s="6">
        <f t="shared" si="1"/>
        <v>0</v>
      </c>
    </row>
    <row r="13" spans="1:8" x14ac:dyDescent="0.25">
      <c r="A13" t="s">
        <v>13</v>
      </c>
      <c r="B13" s="19">
        <v>1</v>
      </c>
      <c r="C13" s="19">
        <v>32</v>
      </c>
      <c r="D13">
        <f t="shared" si="0"/>
        <v>96</v>
      </c>
      <c r="E13">
        <v>0</v>
      </c>
      <c r="F13" s="6">
        <f>E13/D13*100</f>
        <v>0</v>
      </c>
    </row>
    <row r="14" spans="1:8" x14ac:dyDescent="0.25">
      <c r="A14" t="s">
        <v>14</v>
      </c>
      <c r="B14" s="19">
        <v>1</v>
      </c>
      <c r="C14" s="19">
        <v>32</v>
      </c>
      <c r="D14">
        <f t="shared" si="0"/>
        <v>96</v>
      </c>
      <c r="E14" s="6">
        <v>21</v>
      </c>
      <c r="F14" s="4">
        <f t="shared" ref="F14:F27" si="2">E14/D14*100</f>
        <v>21.875</v>
      </c>
    </row>
    <row r="15" spans="1:8" x14ac:dyDescent="0.25">
      <c r="A15" t="s">
        <v>15</v>
      </c>
      <c r="B15" s="19">
        <v>1</v>
      </c>
      <c r="C15" s="7">
        <v>29</v>
      </c>
      <c r="D15">
        <f t="shared" si="0"/>
        <v>87</v>
      </c>
      <c r="E15">
        <v>13</v>
      </c>
      <c r="F15" s="4">
        <f t="shared" si="2"/>
        <v>14.942528735632186</v>
      </c>
    </row>
    <row r="16" spans="1:8" x14ac:dyDescent="0.25">
      <c r="A16" t="s">
        <v>16</v>
      </c>
      <c r="B16" s="19">
        <v>1</v>
      </c>
      <c r="C16" s="7">
        <v>19</v>
      </c>
      <c r="D16">
        <f t="shared" si="0"/>
        <v>57</v>
      </c>
      <c r="E16">
        <v>10</v>
      </c>
      <c r="F16" s="4">
        <f t="shared" si="2"/>
        <v>17.543859649122805</v>
      </c>
    </row>
    <row r="17" spans="1:6" x14ac:dyDescent="0.25">
      <c r="A17" s="35" t="s">
        <v>6</v>
      </c>
      <c r="B17" s="32">
        <v>1</v>
      </c>
      <c r="C17" s="32">
        <v>0</v>
      </c>
      <c r="D17" s="32" t="s">
        <v>4</v>
      </c>
      <c r="E17" s="32" t="s">
        <v>4</v>
      </c>
      <c r="F17" s="32" t="s">
        <v>4</v>
      </c>
    </row>
    <row r="18" spans="1:6" x14ac:dyDescent="0.25">
      <c r="A18" s="35" t="s">
        <v>17</v>
      </c>
      <c r="B18" s="32">
        <v>1</v>
      </c>
      <c r="C18" s="32">
        <v>0</v>
      </c>
      <c r="D18" s="32" t="s">
        <v>4</v>
      </c>
      <c r="E18" s="32" t="s">
        <v>4</v>
      </c>
      <c r="F18" s="32" t="s">
        <v>4</v>
      </c>
    </row>
    <row r="19" spans="1:6" x14ac:dyDescent="0.25">
      <c r="A19" s="36" t="s">
        <v>21</v>
      </c>
      <c r="B19" s="19">
        <v>1</v>
      </c>
      <c r="C19" s="37">
        <v>32</v>
      </c>
      <c r="D19">
        <f t="shared" si="0"/>
        <v>96</v>
      </c>
      <c r="E19" s="52">
        <v>0</v>
      </c>
      <c r="F19" s="6">
        <f t="shared" ref="F19" si="3">E19/D19*100</f>
        <v>0</v>
      </c>
    </row>
    <row r="20" spans="1:6" x14ac:dyDescent="0.25">
      <c r="A20" s="15"/>
      <c r="B20" s="19"/>
      <c r="C20" s="19"/>
      <c r="F20" s="6"/>
    </row>
    <row r="21" spans="1:6" x14ac:dyDescent="0.25">
      <c r="A21" t="s">
        <v>0</v>
      </c>
      <c r="B21" s="7">
        <v>2</v>
      </c>
      <c r="C21" s="7">
        <v>32</v>
      </c>
      <c r="D21">
        <f t="shared" si="0"/>
        <v>96</v>
      </c>
      <c r="E21">
        <v>0</v>
      </c>
      <c r="F21" s="6">
        <f t="shared" si="2"/>
        <v>0</v>
      </c>
    </row>
    <row r="22" spans="1:6" x14ac:dyDescent="0.25">
      <c r="A22" t="s">
        <v>5</v>
      </c>
      <c r="B22" s="19">
        <v>2</v>
      </c>
      <c r="C22" s="7">
        <v>32</v>
      </c>
      <c r="D22">
        <f t="shared" si="0"/>
        <v>96</v>
      </c>
      <c r="E22">
        <v>0</v>
      </c>
      <c r="F22" s="6">
        <f t="shared" si="2"/>
        <v>0</v>
      </c>
    </row>
    <row r="23" spans="1:6" x14ac:dyDescent="0.25">
      <c r="A23" t="s">
        <v>12</v>
      </c>
      <c r="B23" s="19">
        <v>2</v>
      </c>
      <c r="C23" s="7">
        <v>32</v>
      </c>
      <c r="D23">
        <f>C23*3</f>
        <v>96</v>
      </c>
      <c r="E23">
        <v>0</v>
      </c>
      <c r="F23" s="6">
        <f t="shared" si="2"/>
        <v>0</v>
      </c>
    </row>
    <row r="24" spans="1:6" x14ac:dyDescent="0.25">
      <c r="A24" t="s">
        <v>13</v>
      </c>
      <c r="B24" s="19">
        <v>2</v>
      </c>
      <c r="C24" s="7">
        <v>32</v>
      </c>
      <c r="D24">
        <f t="shared" si="0"/>
        <v>96</v>
      </c>
      <c r="E24">
        <v>0</v>
      </c>
      <c r="F24" s="6">
        <f t="shared" si="2"/>
        <v>0</v>
      </c>
    </row>
    <row r="25" spans="1:6" x14ac:dyDescent="0.25">
      <c r="A25" t="s">
        <v>14</v>
      </c>
      <c r="B25" s="19">
        <v>2</v>
      </c>
      <c r="C25" s="7">
        <v>30</v>
      </c>
      <c r="D25">
        <f t="shared" si="0"/>
        <v>90</v>
      </c>
      <c r="E25">
        <v>20</v>
      </c>
      <c r="F25" s="4">
        <f t="shared" si="2"/>
        <v>22.222222222222221</v>
      </c>
    </row>
    <row r="26" spans="1:6" x14ac:dyDescent="0.25">
      <c r="A26" t="s">
        <v>15</v>
      </c>
      <c r="B26" s="19">
        <v>2</v>
      </c>
      <c r="C26" s="7">
        <v>23</v>
      </c>
      <c r="D26">
        <f t="shared" si="0"/>
        <v>69</v>
      </c>
      <c r="E26">
        <v>17</v>
      </c>
      <c r="F26" s="4">
        <f t="shared" si="2"/>
        <v>24.637681159420293</v>
      </c>
    </row>
    <row r="27" spans="1:6" x14ac:dyDescent="0.25">
      <c r="A27" t="s">
        <v>16</v>
      </c>
      <c r="B27" s="19">
        <v>2</v>
      </c>
      <c r="C27" s="7">
        <v>16</v>
      </c>
      <c r="D27">
        <f t="shared" si="0"/>
        <v>48</v>
      </c>
      <c r="E27">
        <v>7</v>
      </c>
      <c r="F27" s="4">
        <f t="shared" si="2"/>
        <v>14.583333333333334</v>
      </c>
    </row>
    <row r="28" spans="1:6" x14ac:dyDescent="0.25">
      <c r="A28" s="36" t="s">
        <v>6</v>
      </c>
      <c r="B28" s="37">
        <v>2</v>
      </c>
      <c r="C28" s="37">
        <v>1</v>
      </c>
      <c r="D28" s="38">
        <f t="shared" si="0"/>
        <v>3</v>
      </c>
      <c r="E28" s="38">
        <v>0</v>
      </c>
      <c r="F28" s="39">
        <f>E28/D28*100</f>
        <v>0</v>
      </c>
    </row>
    <row r="29" spans="1:6" x14ac:dyDescent="0.25">
      <c r="A29" s="35" t="s">
        <v>17</v>
      </c>
      <c r="B29" s="32">
        <v>2</v>
      </c>
      <c r="C29" s="32">
        <v>0</v>
      </c>
      <c r="D29" s="32" t="s">
        <v>4</v>
      </c>
      <c r="E29" s="32" t="s">
        <v>4</v>
      </c>
      <c r="F29" s="40" t="s">
        <v>4</v>
      </c>
    </row>
    <row r="30" spans="1:6" x14ac:dyDescent="0.25">
      <c r="A30" s="36" t="s">
        <v>21</v>
      </c>
      <c r="B30" s="19">
        <v>2</v>
      </c>
      <c r="C30" s="37">
        <v>32</v>
      </c>
      <c r="D30">
        <f t="shared" si="0"/>
        <v>96</v>
      </c>
      <c r="E30" s="52">
        <v>1</v>
      </c>
      <c r="F30" s="4">
        <f t="shared" ref="F30" si="4">E30/D30*100</f>
        <v>1.0416666666666665</v>
      </c>
    </row>
    <row r="31" spans="1:6" x14ac:dyDescent="0.25">
      <c r="B31" s="19"/>
      <c r="C31" s="19"/>
      <c r="F31" s="6"/>
    </row>
    <row r="32" spans="1:6" x14ac:dyDescent="0.25">
      <c r="A32" t="s">
        <v>0</v>
      </c>
      <c r="B32" s="19">
        <v>3</v>
      </c>
      <c r="C32" s="19">
        <v>32</v>
      </c>
      <c r="D32">
        <f t="shared" ref="D32:D33" si="5">C32*3</f>
        <v>96</v>
      </c>
      <c r="E32">
        <v>0</v>
      </c>
      <c r="F32" s="6">
        <f t="shared" ref="F32:F38" si="6">E32/D32*100</f>
        <v>0</v>
      </c>
    </row>
    <row r="33" spans="1:7" x14ac:dyDescent="0.25">
      <c r="A33" t="s">
        <v>5</v>
      </c>
      <c r="B33" s="19">
        <v>3</v>
      </c>
      <c r="C33" s="19">
        <v>31</v>
      </c>
      <c r="D33">
        <f t="shared" si="5"/>
        <v>93</v>
      </c>
      <c r="E33">
        <v>0</v>
      </c>
      <c r="F33" s="6">
        <f t="shared" si="6"/>
        <v>0</v>
      </c>
    </row>
    <row r="34" spans="1:7" x14ac:dyDescent="0.25">
      <c r="A34" t="s">
        <v>12</v>
      </c>
      <c r="B34" s="19">
        <v>3</v>
      </c>
      <c r="C34" s="19">
        <v>32</v>
      </c>
      <c r="D34">
        <f>C34*3</f>
        <v>96</v>
      </c>
      <c r="E34">
        <v>0</v>
      </c>
      <c r="F34" s="6">
        <f t="shared" si="6"/>
        <v>0</v>
      </c>
    </row>
    <row r="35" spans="1:7" x14ac:dyDescent="0.25">
      <c r="A35" t="s">
        <v>13</v>
      </c>
      <c r="B35" s="19">
        <v>3</v>
      </c>
      <c r="C35" s="19">
        <v>32</v>
      </c>
      <c r="D35">
        <f t="shared" ref="D35:D39" si="7">C35*3</f>
        <v>96</v>
      </c>
      <c r="E35">
        <v>0</v>
      </c>
      <c r="F35" s="6">
        <f t="shared" si="6"/>
        <v>0</v>
      </c>
    </row>
    <row r="36" spans="1:7" x14ac:dyDescent="0.25">
      <c r="A36" t="s">
        <v>14</v>
      </c>
      <c r="B36" s="19">
        <v>3</v>
      </c>
      <c r="C36" s="19">
        <v>31</v>
      </c>
      <c r="D36">
        <f t="shared" si="7"/>
        <v>93</v>
      </c>
      <c r="E36">
        <v>21</v>
      </c>
      <c r="F36" s="4">
        <f t="shared" si="6"/>
        <v>22.58064516129032</v>
      </c>
    </row>
    <row r="37" spans="1:7" x14ac:dyDescent="0.25">
      <c r="A37" t="s">
        <v>15</v>
      </c>
      <c r="B37" s="19">
        <v>3</v>
      </c>
      <c r="C37" s="19">
        <v>31</v>
      </c>
      <c r="D37">
        <f t="shared" si="7"/>
        <v>93</v>
      </c>
      <c r="E37">
        <v>20</v>
      </c>
      <c r="F37" s="4">
        <f t="shared" si="6"/>
        <v>21.50537634408602</v>
      </c>
    </row>
    <row r="38" spans="1:7" x14ac:dyDescent="0.25">
      <c r="A38" t="s">
        <v>16</v>
      </c>
      <c r="B38" s="19">
        <v>3</v>
      </c>
      <c r="C38" s="19">
        <v>12</v>
      </c>
      <c r="D38">
        <f t="shared" si="7"/>
        <v>36</v>
      </c>
      <c r="E38">
        <v>9</v>
      </c>
      <c r="F38" s="17">
        <f t="shared" si="6"/>
        <v>25</v>
      </c>
    </row>
    <row r="39" spans="1:7" x14ac:dyDescent="0.25">
      <c r="A39" s="15" t="s">
        <v>6</v>
      </c>
      <c r="B39" s="19">
        <v>3</v>
      </c>
      <c r="C39" s="19">
        <v>5</v>
      </c>
      <c r="D39">
        <f t="shared" si="7"/>
        <v>15</v>
      </c>
      <c r="E39">
        <v>5</v>
      </c>
      <c r="F39" s="4">
        <f>E39/D39*100</f>
        <v>33.333333333333329</v>
      </c>
    </row>
    <row r="40" spans="1:7" x14ac:dyDescent="0.25">
      <c r="A40" s="45" t="s">
        <v>17</v>
      </c>
      <c r="B40" s="46">
        <v>3</v>
      </c>
      <c r="C40" s="46">
        <v>0</v>
      </c>
      <c r="D40" s="46" t="s">
        <v>4</v>
      </c>
      <c r="E40" s="46" t="s">
        <v>4</v>
      </c>
      <c r="F40" s="47" t="s">
        <v>4</v>
      </c>
    </row>
    <row r="41" spans="1:7" x14ac:dyDescent="0.25">
      <c r="A41" s="36" t="s">
        <v>21</v>
      </c>
      <c r="B41" s="19">
        <v>3</v>
      </c>
      <c r="C41" s="37">
        <v>31</v>
      </c>
      <c r="D41">
        <f t="shared" ref="D41" si="8">C41*3</f>
        <v>93</v>
      </c>
      <c r="E41" s="52">
        <v>0</v>
      </c>
      <c r="F41" s="6">
        <f t="shared" ref="F41" si="9">E41/D41*100</f>
        <v>0</v>
      </c>
    </row>
    <row r="42" spans="1:7" x14ac:dyDescent="0.25">
      <c r="A42" s="22"/>
      <c r="B42" s="23"/>
      <c r="C42" s="23"/>
      <c r="D42" s="22"/>
      <c r="E42" s="22"/>
      <c r="F42" s="26"/>
      <c r="G42" s="22"/>
    </row>
    <row r="43" spans="1:7" x14ac:dyDescent="0.25">
      <c r="A43" s="24"/>
      <c r="B43" s="49"/>
      <c r="C43" s="49"/>
      <c r="D43" s="24"/>
      <c r="E43" s="24"/>
      <c r="F43" s="27"/>
      <c r="G43" s="24"/>
    </row>
    <row r="44" spans="1:7" x14ac:dyDescent="0.25">
      <c r="A44" s="67" t="s">
        <v>34</v>
      </c>
      <c r="B44" s="49"/>
      <c r="C44" s="49"/>
      <c r="D44" s="24"/>
      <c r="E44" s="24"/>
      <c r="F44" s="27"/>
      <c r="G44" s="24"/>
    </row>
    <row r="45" spans="1:7" x14ac:dyDescent="0.25">
      <c r="B45" s="7"/>
      <c r="C45" s="7"/>
      <c r="F45" s="17"/>
    </row>
    <row r="46" spans="1:7" x14ac:dyDescent="0.25">
      <c r="A46" t="s">
        <v>0</v>
      </c>
      <c r="B46" s="19">
        <v>4</v>
      </c>
      <c r="C46" s="7">
        <v>32</v>
      </c>
      <c r="D46">
        <f t="shared" ref="D46:D47" si="10">C46*3</f>
        <v>96</v>
      </c>
      <c r="E46">
        <v>0</v>
      </c>
      <c r="F46" s="6">
        <f t="shared" ref="F46:F55" si="11">E46/D46*100</f>
        <v>0</v>
      </c>
    </row>
    <row r="47" spans="1:7" x14ac:dyDescent="0.25">
      <c r="A47" t="s">
        <v>5</v>
      </c>
      <c r="B47" s="19">
        <v>4</v>
      </c>
      <c r="C47" s="19">
        <v>31</v>
      </c>
      <c r="D47">
        <f t="shared" si="10"/>
        <v>93</v>
      </c>
      <c r="E47">
        <v>0</v>
      </c>
      <c r="F47" s="6">
        <f t="shared" si="11"/>
        <v>0</v>
      </c>
    </row>
    <row r="48" spans="1:7" x14ac:dyDescent="0.25">
      <c r="A48" t="s">
        <v>12</v>
      </c>
      <c r="B48" s="19">
        <v>4</v>
      </c>
      <c r="C48" s="19">
        <v>32</v>
      </c>
      <c r="D48">
        <f>C48*3</f>
        <v>96</v>
      </c>
      <c r="E48">
        <v>0</v>
      </c>
      <c r="F48" s="6">
        <f t="shared" si="11"/>
        <v>0</v>
      </c>
    </row>
    <row r="49" spans="1:6" x14ac:dyDescent="0.25">
      <c r="A49" t="s">
        <v>13</v>
      </c>
      <c r="B49" s="19">
        <v>4</v>
      </c>
      <c r="C49" s="19">
        <v>32</v>
      </c>
      <c r="D49">
        <f t="shared" ref="D49:D55" si="12">C49*3</f>
        <v>96</v>
      </c>
      <c r="E49">
        <v>0</v>
      </c>
      <c r="F49" s="6">
        <f t="shared" si="11"/>
        <v>0</v>
      </c>
    </row>
    <row r="50" spans="1:6" x14ac:dyDescent="0.25">
      <c r="A50" t="s">
        <v>14</v>
      </c>
      <c r="B50" s="19">
        <v>4</v>
      </c>
      <c r="C50" s="19">
        <v>32</v>
      </c>
      <c r="D50">
        <f t="shared" si="12"/>
        <v>96</v>
      </c>
      <c r="E50">
        <v>0</v>
      </c>
      <c r="F50" s="6">
        <f t="shared" si="11"/>
        <v>0</v>
      </c>
    </row>
    <row r="51" spans="1:6" x14ac:dyDescent="0.25">
      <c r="A51" t="s">
        <v>15</v>
      </c>
      <c r="B51" s="19">
        <v>4</v>
      </c>
      <c r="C51" s="19">
        <v>32</v>
      </c>
      <c r="D51">
        <f t="shared" si="12"/>
        <v>96</v>
      </c>
      <c r="E51">
        <v>0</v>
      </c>
      <c r="F51" s="6">
        <f t="shared" si="11"/>
        <v>0</v>
      </c>
    </row>
    <row r="52" spans="1:6" x14ac:dyDescent="0.25">
      <c r="A52" t="s">
        <v>16</v>
      </c>
      <c r="B52" s="19">
        <v>4</v>
      </c>
      <c r="C52" s="19">
        <v>32</v>
      </c>
      <c r="D52">
        <f t="shared" si="12"/>
        <v>96</v>
      </c>
      <c r="E52">
        <v>0</v>
      </c>
      <c r="F52" s="6">
        <f t="shared" si="11"/>
        <v>0</v>
      </c>
    </row>
    <row r="53" spans="1:6" x14ac:dyDescent="0.25">
      <c r="A53" s="36" t="s">
        <v>6</v>
      </c>
      <c r="B53" s="19">
        <v>4</v>
      </c>
      <c r="C53" s="19">
        <v>32</v>
      </c>
      <c r="D53">
        <f t="shared" si="12"/>
        <v>96</v>
      </c>
      <c r="E53">
        <v>0</v>
      </c>
      <c r="F53" s="6">
        <f t="shared" si="11"/>
        <v>0</v>
      </c>
    </row>
    <row r="54" spans="1:6" x14ac:dyDescent="0.25">
      <c r="A54" s="36" t="s">
        <v>17</v>
      </c>
      <c r="B54" s="19">
        <v>4</v>
      </c>
      <c r="C54" s="19">
        <v>32</v>
      </c>
      <c r="D54">
        <f t="shared" si="12"/>
        <v>96</v>
      </c>
      <c r="E54">
        <v>0</v>
      </c>
      <c r="F54" s="6">
        <f t="shared" si="11"/>
        <v>0</v>
      </c>
    </row>
    <row r="55" spans="1:6" x14ac:dyDescent="0.25">
      <c r="A55" t="s">
        <v>19</v>
      </c>
      <c r="B55" s="19">
        <v>4</v>
      </c>
      <c r="C55" s="19">
        <v>24</v>
      </c>
      <c r="D55">
        <f t="shared" si="12"/>
        <v>72</v>
      </c>
      <c r="E55">
        <v>10</v>
      </c>
      <c r="F55" s="4">
        <f t="shared" si="11"/>
        <v>13.888888888888889</v>
      </c>
    </row>
    <row r="56" spans="1:6" x14ac:dyDescent="0.25">
      <c r="B56" s="7"/>
      <c r="C56" s="7"/>
    </row>
    <row r="57" spans="1:6" x14ac:dyDescent="0.25">
      <c r="A57" t="s">
        <v>0</v>
      </c>
      <c r="B57" s="19">
        <v>5</v>
      </c>
      <c r="C57" s="19">
        <v>32</v>
      </c>
      <c r="D57">
        <f t="shared" ref="D57:D58" si="13">C57*3</f>
        <v>96</v>
      </c>
      <c r="E57">
        <v>0</v>
      </c>
      <c r="F57" s="6">
        <f t="shared" ref="F57:F66" si="14">E57/D57*100</f>
        <v>0</v>
      </c>
    </row>
    <row r="58" spans="1:6" x14ac:dyDescent="0.25">
      <c r="A58" t="s">
        <v>5</v>
      </c>
      <c r="B58" s="19">
        <v>5</v>
      </c>
      <c r="C58" s="19">
        <v>32</v>
      </c>
      <c r="D58">
        <f t="shared" si="13"/>
        <v>96</v>
      </c>
      <c r="E58">
        <v>0</v>
      </c>
      <c r="F58" s="6">
        <f t="shared" si="14"/>
        <v>0</v>
      </c>
    </row>
    <row r="59" spans="1:6" x14ac:dyDescent="0.25">
      <c r="A59" t="s">
        <v>12</v>
      </c>
      <c r="B59" s="19">
        <v>5</v>
      </c>
      <c r="C59" s="19">
        <v>31</v>
      </c>
      <c r="D59">
        <f>C59*3</f>
        <v>93</v>
      </c>
      <c r="E59">
        <v>0</v>
      </c>
      <c r="F59" s="6">
        <f t="shared" si="14"/>
        <v>0</v>
      </c>
    </row>
    <row r="60" spans="1:6" x14ac:dyDescent="0.25">
      <c r="A60" t="s">
        <v>13</v>
      </c>
      <c r="B60" s="19">
        <v>5</v>
      </c>
      <c r="C60" s="19">
        <v>32</v>
      </c>
      <c r="D60">
        <f t="shared" ref="D60:D66" si="15">C60*3</f>
        <v>96</v>
      </c>
      <c r="E60">
        <v>0</v>
      </c>
      <c r="F60" s="6">
        <f t="shared" si="14"/>
        <v>0</v>
      </c>
    </row>
    <row r="61" spans="1:6" x14ac:dyDescent="0.25">
      <c r="A61" t="s">
        <v>14</v>
      </c>
      <c r="B61" s="19">
        <v>5</v>
      </c>
      <c r="C61" s="19">
        <v>32</v>
      </c>
      <c r="D61">
        <f t="shared" si="15"/>
        <v>96</v>
      </c>
      <c r="E61">
        <v>0</v>
      </c>
      <c r="F61" s="6">
        <f t="shared" si="14"/>
        <v>0</v>
      </c>
    </row>
    <row r="62" spans="1:6" x14ac:dyDescent="0.25">
      <c r="A62" t="s">
        <v>15</v>
      </c>
      <c r="B62" s="19">
        <v>5</v>
      </c>
      <c r="C62" s="19">
        <v>32</v>
      </c>
      <c r="D62">
        <f t="shared" si="15"/>
        <v>96</v>
      </c>
      <c r="E62">
        <v>0</v>
      </c>
      <c r="F62" s="6">
        <f t="shared" si="14"/>
        <v>0</v>
      </c>
    </row>
    <row r="63" spans="1:6" x14ac:dyDescent="0.25">
      <c r="A63" t="s">
        <v>16</v>
      </c>
      <c r="B63" s="19">
        <v>5</v>
      </c>
      <c r="C63" s="19">
        <v>32</v>
      </c>
      <c r="D63">
        <f t="shared" si="15"/>
        <v>96</v>
      </c>
      <c r="E63">
        <v>0</v>
      </c>
      <c r="F63" s="6">
        <f t="shared" si="14"/>
        <v>0</v>
      </c>
    </row>
    <row r="64" spans="1:6" x14ac:dyDescent="0.25">
      <c r="A64" s="36" t="s">
        <v>6</v>
      </c>
      <c r="B64" s="19">
        <v>5</v>
      </c>
      <c r="C64" s="19">
        <v>32</v>
      </c>
      <c r="D64">
        <f t="shared" si="15"/>
        <v>96</v>
      </c>
      <c r="E64">
        <v>1</v>
      </c>
      <c r="F64" s="4">
        <f t="shared" si="14"/>
        <v>1.0416666666666665</v>
      </c>
    </row>
    <row r="65" spans="1:7" x14ac:dyDescent="0.25">
      <c r="A65" s="36" t="s">
        <v>17</v>
      </c>
      <c r="B65" s="19">
        <v>5</v>
      </c>
      <c r="C65" s="19">
        <v>32</v>
      </c>
      <c r="D65">
        <f t="shared" si="15"/>
        <v>96</v>
      </c>
      <c r="E65">
        <v>0</v>
      </c>
      <c r="F65" s="6">
        <f t="shared" si="14"/>
        <v>0</v>
      </c>
    </row>
    <row r="66" spans="1:7" x14ac:dyDescent="0.25">
      <c r="A66" t="s">
        <v>19</v>
      </c>
      <c r="B66" s="19">
        <v>5</v>
      </c>
      <c r="C66" s="19">
        <v>31</v>
      </c>
      <c r="D66">
        <f t="shared" si="15"/>
        <v>93</v>
      </c>
      <c r="E66">
        <v>21</v>
      </c>
      <c r="F66" s="4">
        <f t="shared" si="14"/>
        <v>22.58064516129032</v>
      </c>
    </row>
    <row r="68" spans="1:7" x14ac:dyDescent="0.25">
      <c r="A68" t="s">
        <v>0</v>
      </c>
      <c r="B68" s="19">
        <v>6</v>
      </c>
      <c r="C68" s="19">
        <v>32</v>
      </c>
      <c r="D68">
        <f t="shared" ref="D68:D69" si="16">C68*3</f>
        <v>96</v>
      </c>
      <c r="E68">
        <v>0</v>
      </c>
      <c r="F68" s="6">
        <f t="shared" ref="F68:F77" si="17">E68/D68*100</f>
        <v>0</v>
      </c>
    </row>
    <row r="69" spans="1:7" x14ac:dyDescent="0.25">
      <c r="A69" t="s">
        <v>5</v>
      </c>
      <c r="B69" s="19">
        <v>6</v>
      </c>
      <c r="C69" s="19">
        <v>32</v>
      </c>
      <c r="D69">
        <f t="shared" si="16"/>
        <v>96</v>
      </c>
      <c r="E69">
        <v>0</v>
      </c>
      <c r="F69" s="6">
        <f t="shared" si="17"/>
        <v>0</v>
      </c>
    </row>
    <row r="70" spans="1:7" x14ac:dyDescent="0.25">
      <c r="A70" t="s">
        <v>12</v>
      </c>
      <c r="B70" s="19">
        <v>6</v>
      </c>
      <c r="C70" s="19">
        <v>32</v>
      </c>
      <c r="D70">
        <f>C70*3</f>
        <v>96</v>
      </c>
      <c r="E70">
        <v>3</v>
      </c>
      <c r="F70" s="4">
        <f t="shared" si="17"/>
        <v>3.125</v>
      </c>
    </row>
    <row r="71" spans="1:7" x14ac:dyDescent="0.25">
      <c r="A71" t="s">
        <v>13</v>
      </c>
      <c r="B71" s="19">
        <v>6</v>
      </c>
      <c r="C71" s="19">
        <v>32</v>
      </c>
      <c r="D71">
        <f t="shared" ref="D71:D77" si="18">C71*3</f>
        <v>96</v>
      </c>
      <c r="E71">
        <v>0</v>
      </c>
      <c r="F71" s="6">
        <f t="shared" si="17"/>
        <v>0</v>
      </c>
    </row>
    <row r="72" spans="1:7" x14ac:dyDescent="0.25">
      <c r="A72" t="s">
        <v>14</v>
      </c>
      <c r="B72" s="19">
        <v>6</v>
      </c>
      <c r="C72" s="19">
        <v>32</v>
      </c>
      <c r="D72">
        <f t="shared" si="18"/>
        <v>96</v>
      </c>
      <c r="E72">
        <v>0</v>
      </c>
      <c r="F72" s="6">
        <f t="shared" si="17"/>
        <v>0</v>
      </c>
    </row>
    <row r="73" spans="1:7" x14ac:dyDescent="0.25">
      <c r="A73" t="s">
        <v>15</v>
      </c>
      <c r="B73" s="19">
        <v>6</v>
      </c>
      <c r="C73" s="19">
        <v>32</v>
      </c>
      <c r="D73">
        <f t="shared" si="18"/>
        <v>96</v>
      </c>
      <c r="E73">
        <v>0</v>
      </c>
      <c r="F73" s="6">
        <f t="shared" si="17"/>
        <v>0</v>
      </c>
    </row>
    <row r="74" spans="1:7" x14ac:dyDescent="0.25">
      <c r="A74" t="s">
        <v>16</v>
      </c>
      <c r="B74" s="19">
        <v>6</v>
      </c>
      <c r="C74" s="19">
        <v>31</v>
      </c>
      <c r="D74">
        <f t="shared" si="18"/>
        <v>93</v>
      </c>
      <c r="E74">
        <v>0</v>
      </c>
      <c r="F74" s="6">
        <f t="shared" si="17"/>
        <v>0</v>
      </c>
    </row>
    <row r="75" spans="1:7" x14ac:dyDescent="0.25">
      <c r="A75" s="36" t="s">
        <v>6</v>
      </c>
      <c r="B75" s="19">
        <v>6</v>
      </c>
      <c r="C75" s="19">
        <v>32</v>
      </c>
      <c r="D75">
        <f t="shared" si="18"/>
        <v>96</v>
      </c>
      <c r="E75">
        <v>1</v>
      </c>
      <c r="F75" s="4">
        <f t="shared" si="17"/>
        <v>1.0416666666666665</v>
      </c>
    </row>
    <row r="76" spans="1:7" x14ac:dyDescent="0.25">
      <c r="A76" s="36" t="s">
        <v>17</v>
      </c>
      <c r="B76" s="19">
        <v>6</v>
      </c>
      <c r="C76" s="19">
        <v>32</v>
      </c>
      <c r="D76">
        <f t="shared" si="18"/>
        <v>96</v>
      </c>
      <c r="E76">
        <v>0</v>
      </c>
      <c r="F76" s="6">
        <f t="shared" si="17"/>
        <v>0</v>
      </c>
    </row>
    <row r="77" spans="1:7" x14ac:dyDescent="0.25">
      <c r="A77" t="s">
        <v>19</v>
      </c>
      <c r="B77" s="19">
        <v>6</v>
      </c>
      <c r="C77" s="19">
        <v>26</v>
      </c>
      <c r="D77">
        <f t="shared" si="18"/>
        <v>78</v>
      </c>
      <c r="E77">
        <v>11</v>
      </c>
      <c r="F77" s="4">
        <f t="shared" si="17"/>
        <v>14.102564102564102</v>
      </c>
    </row>
    <row r="78" spans="1:7" x14ac:dyDescent="0.25">
      <c r="A78" s="22"/>
      <c r="B78" s="22"/>
      <c r="C78" s="22"/>
      <c r="D78" s="22"/>
      <c r="E78" s="22"/>
      <c r="F78" s="22"/>
      <c r="G78" s="22"/>
    </row>
    <row r="79" spans="1:7" x14ac:dyDescent="0.25">
      <c r="A79" s="24"/>
      <c r="B79" s="24"/>
      <c r="C79" s="24"/>
      <c r="D79" s="24"/>
      <c r="E79" s="24"/>
      <c r="F79" s="24"/>
      <c r="G79" s="24"/>
    </row>
    <row r="80" spans="1:7" x14ac:dyDescent="0.25">
      <c r="A80" s="67" t="s">
        <v>41</v>
      </c>
      <c r="B80" s="24"/>
      <c r="C80" s="24"/>
      <c r="D80" s="24"/>
      <c r="E80" s="24"/>
      <c r="F80" s="24"/>
      <c r="G80" s="24"/>
    </row>
    <row r="82" spans="1:6" ht="15" customHeight="1" x14ac:dyDescent="0.25">
      <c r="A82" s="62" t="s">
        <v>53</v>
      </c>
      <c r="B82" s="62" t="s">
        <v>8</v>
      </c>
      <c r="C82" s="62" t="s">
        <v>56</v>
      </c>
      <c r="D82" s="63" t="s">
        <v>59</v>
      </c>
      <c r="E82" s="63" t="s">
        <v>60</v>
      </c>
      <c r="F82" s="63" t="s">
        <v>61</v>
      </c>
    </row>
    <row r="83" spans="1:6" x14ac:dyDescent="0.25">
      <c r="A83" s="62"/>
      <c r="B83" s="62"/>
      <c r="C83" s="62"/>
      <c r="D83" s="63"/>
      <c r="E83" s="63"/>
      <c r="F83" s="63"/>
    </row>
    <row r="84" spans="1:6" x14ac:dyDescent="0.25">
      <c r="A84" s="62"/>
      <c r="B84" s="62"/>
      <c r="C84" s="62"/>
      <c r="D84" s="63"/>
      <c r="E84" s="63"/>
      <c r="F84" s="63"/>
    </row>
    <row r="85" spans="1:6" x14ac:dyDescent="0.25">
      <c r="A85" t="s">
        <v>27</v>
      </c>
      <c r="B85" s="19">
        <v>1</v>
      </c>
      <c r="C85" s="19">
        <v>32</v>
      </c>
      <c r="D85">
        <f>C85*3</f>
        <v>96</v>
      </c>
      <c r="E85">
        <v>0</v>
      </c>
      <c r="F85" s="6">
        <f t="shared" ref="F85:F95" si="19">E85/D85*100</f>
        <v>0</v>
      </c>
    </row>
    <row r="86" spans="1:6" x14ac:dyDescent="0.25">
      <c r="A86" t="s">
        <v>23</v>
      </c>
      <c r="B86" s="19">
        <v>1</v>
      </c>
      <c r="C86" s="19">
        <v>0</v>
      </c>
      <c r="D86" s="19" t="s">
        <v>4</v>
      </c>
      <c r="E86" s="19" t="s">
        <v>4</v>
      </c>
      <c r="F86" s="43" t="s">
        <v>4</v>
      </c>
    </row>
    <row r="87" spans="1:6" x14ac:dyDescent="0.25">
      <c r="A87" t="s">
        <v>29</v>
      </c>
      <c r="B87" s="19">
        <v>1</v>
      </c>
      <c r="C87" s="19">
        <v>0</v>
      </c>
      <c r="D87" s="19" t="s">
        <v>4</v>
      </c>
      <c r="E87" s="19" t="s">
        <v>4</v>
      </c>
      <c r="F87" s="43" t="s">
        <v>4</v>
      </c>
    </row>
    <row r="88" spans="1:6" x14ac:dyDescent="0.25">
      <c r="A88" t="s">
        <v>24</v>
      </c>
      <c r="B88" s="19">
        <v>1</v>
      </c>
      <c r="C88" s="19">
        <v>32</v>
      </c>
      <c r="D88">
        <f>C88*3</f>
        <v>96</v>
      </c>
      <c r="E88">
        <v>9</v>
      </c>
      <c r="F88" s="4">
        <f t="shared" si="19"/>
        <v>9.375</v>
      </c>
    </row>
    <row r="89" spans="1:6" x14ac:dyDescent="0.25">
      <c r="A89" t="s">
        <v>30</v>
      </c>
      <c r="B89" s="19">
        <v>1</v>
      </c>
      <c r="C89" s="19">
        <v>32</v>
      </c>
      <c r="D89">
        <f t="shared" ref="D89:D95" si="20">C89*3</f>
        <v>96</v>
      </c>
      <c r="E89">
        <v>16</v>
      </c>
      <c r="F89" s="4">
        <f t="shared" si="19"/>
        <v>16.666666666666664</v>
      </c>
    </row>
    <row r="90" spans="1:6" x14ac:dyDescent="0.25">
      <c r="A90" t="s">
        <v>25</v>
      </c>
      <c r="B90" s="19">
        <v>1</v>
      </c>
      <c r="C90" s="19">
        <v>32</v>
      </c>
      <c r="D90">
        <f t="shared" si="20"/>
        <v>96</v>
      </c>
      <c r="E90">
        <v>0</v>
      </c>
      <c r="F90" s="6">
        <f t="shared" si="19"/>
        <v>0</v>
      </c>
    </row>
    <row r="91" spans="1:6" x14ac:dyDescent="0.25">
      <c r="A91" t="s">
        <v>31</v>
      </c>
      <c r="B91" s="37">
        <v>1</v>
      </c>
      <c r="C91" s="19">
        <v>32</v>
      </c>
      <c r="D91">
        <f t="shared" si="20"/>
        <v>96</v>
      </c>
      <c r="E91">
        <v>0</v>
      </c>
      <c r="F91" s="6">
        <f t="shared" si="19"/>
        <v>0</v>
      </c>
    </row>
    <row r="92" spans="1:6" x14ac:dyDescent="0.25">
      <c r="A92" t="s">
        <v>26</v>
      </c>
      <c r="B92" s="37">
        <v>1</v>
      </c>
      <c r="C92" s="19">
        <v>32</v>
      </c>
      <c r="D92">
        <f t="shared" si="20"/>
        <v>96</v>
      </c>
      <c r="E92">
        <v>0</v>
      </c>
      <c r="F92" s="6">
        <f t="shared" si="19"/>
        <v>0</v>
      </c>
    </row>
    <row r="93" spans="1:6" x14ac:dyDescent="0.25">
      <c r="A93" t="s">
        <v>32</v>
      </c>
      <c r="B93" s="37">
        <v>1</v>
      </c>
      <c r="C93" s="19">
        <v>32</v>
      </c>
      <c r="D93">
        <f t="shared" si="20"/>
        <v>96</v>
      </c>
      <c r="E93">
        <v>0</v>
      </c>
      <c r="F93" s="6">
        <f t="shared" si="19"/>
        <v>0</v>
      </c>
    </row>
    <row r="94" spans="1:6" x14ac:dyDescent="0.25">
      <c r="A94" t="s">
        <v>28</v>
      </c>
      <c r="B94" s="37">
        <v>1</v>
      </c>
      <c r="C94" s="19">
        <v>32</v>
      </c>
      <c r="D94">
        <f t="shared" si="20"/>
        <v>96</v>
      </c>
      <c r="E94">
        <v>0</v>
      </c>
      <c r="F94" s="6">
        <f t="shared" si="19"/>
        <v>0</v>
      </c>
    </row>
    <row r="95" spans="1:6" x14ac:dyDescent="0.25">
      <c r="A95" t="s">
        <v>33</v>
      </c>
      <c r="B95" s="37">
        <v>1</v>
      </c>
      <c r="C95" s="19">
        <v>32</v>
      </c>
      <c r="D95">
        <f t="shared" si="20"/>
        <v>96</v>
      </c>
      <c r="E95">
        <v>0</v>
      </c>
      <c r="F95" s="6">
        <f t="shared" si="19"/>
        <v>0</v>
      </c>
    </row>
    <row r="96" spans="1:6" x14ac:dyDescent="0.25">
      <c r="B96" s="19"/>
      <c r="C96" s="19"/>
      <c r="F96" s="6"/>
    </row>
    <row r="98" spans="1:6" x14ac:dyDescent="0.25">
      <c r="A98" t="s">
        <v>0</v>
      </c>
      <c r="B98" s="19">
        <v>1</v>
      </c>
      <c r="C98">
        <v>32</v>
      </c>
      <c r="D98">
        <f>C98*3</f>
        <v>96</v>
      </c>
      <c r="E98">
        <v>0</v>
      </c>
      <c r="F98" s="6">
        <f t="shared" ref="F98:F105" si="21">E98/D98*100</f>
        <v>0</v>
      </c>
    </row>
    <row r="99" spans="1:6" x14ac:dyDescent="0.25">
      <c r="A99" t="s">
        <v>23</v>
      </c>
      <c r="B99" s="19">
        <v>1</v>
      </c>
      <c r="C99">
        <v>0</v>
      </c>
      <c r="D99" s="19" t="s">
        <v>4</v>
      </c>
      <c r="E99" s="19" t="s">
        <v>4</v>
      </c>
      <c r="F99" s="43" t="s">
        <v>4</v>
      </c>
    </row>
    <row r="100" spans="1:6" x14ac:dyDescent="0.25">
      <c r="A100" t="s">
        <v>29</v>
      </c>
      <c r="B100" s="19">
        <v>1</v>
      </c>
      <c r="C100">
        <v>0</v>
      </c>
      <c r="D100" s="19" t="s">
        <v>4</v>
      </c>
      <c r="E100" s="19" t="s">
        <v>4</v>
      </c>
      <c r="F100" s="43" t="s">
        <v>4</v>
      </c>
    </row>
    <row r="101" spans="1:6" x14ac:dyDescent="0.25">
      <c r="A101" t="s">
        <v>35</v>
      </c>
      <c r="B101" s="19">
        <v>1</v>
      </c>
      <c r="C101">
        <v>4</v>
      </c>
      <c r="D101">
        <f t="shared" ref="D101:D105" si="22">C101*3</f>
        <v>12</v>
      </c>
      <c r="E101">
        <v>1</v>
      </c>
      <c r="F101" s="4">
        <f t="shared" si="21"/>
        <v>8.3333333333333321</v>
      </c>
    </row>
    <row r="102" spans="1:6" x14ac:dyDescent="0.25">
      <c r="A102" t="s">
        <v>36</v>
      </c>
      <c r="B102" s="19">
        <v>1</v>
      </c>
      <c r="C102">
        <v>7</v>
      </c>
      <c r="D102">
        <f t="shared" si="22"/>
        <v>21</v>
      </c>
      <c r="E102">
        <v>0</v>
      </c>
      <c r="F102" s="6">
        <f t="shared" si="21"/>
        <v>0</v>
      </c>
    </row>
    <row r="103" spans="1:6" x14ac:dyDescent="0.25">
      <c r="A103" t="s">
        <v>37</v>
      </c>
      <c r="B103" s="19">
        <v>1</v>
      </c>
      <c r="C103">
        <v>23</v>
      </c>
      <c r="D103">
        <f t="shared" si="22"/>
        <v>69</v>
      </c>
      <c r="E103">
        <v>5</v>
      </c>
      <c r="F103" s="4">
        <f t="shared" si="21"/>
        <v>7.2463768115942031</v>
      </c>
    </row>
    <row r="104" spans="1:6" x14ac:dyDescent="0.25">
      <c r="A104" t="s">
        <v>38</v>
      </c>
      <c r="B104" s="19">
        <v>1</v>
      </c>
      <c r="C104">
        <v>30</v>
      </c>
      <c r="D104">
        <f t="shared" si="22"/>
        <v>90</v>
      </c>
      <c r="E104">
        <v>9</v>
      </c>
      <c r="F104" s="4">
        <f t="shared" si="21"/>
        <v>10</v>
      </c>
    </row>
    <row r="105" spans="1:6" x14ac:dyDescent="0.25">
      <c r="A105" t="s">
        <v>39</v>
      </c>
      <c r="B105" s="19">
        <v>1</v>
      </c>
      <c r="C105">
        <v>31</v>
      </c>
      <c r="D105">
        <f t="shared" si="22"/>
        <v>93</v>
      </c>
      <c r="E105">
        <v>13</v>
      </c>
      <c r="F105" s="4">
        <f t="shared" si="21"/>
        <v>13.978494623655912</v>
      </c>
    </row>
    <row r="106" spans="1:6" x14ac:dyDescent="0.25">
      <c r="A106" t="s">
        <v>40</v>
      </c>
      <c r="B106" s="19">
        <v>1</v>
      </c>
      <c r="C106">
        <v>32</v>
      </c>
      <c r="D106">
        <f>C106*3</f>
        <v>96</v>
      </c>
      <c r="E106">
        <v>16</v>
      </c>
      <c r="F106" s="4">
        <f t="shared" ref="F106:F108" si="23">E106/D106*100</f>
        <v>16.666666666666664</v>
      </c>
    </row>
    <row r="107" spans="1:6" x14ac:dyDescent="0.25">
      <c r="A107" t="s">
        <v>24</v>
      </c>
      <c r="B107" s="19">
        <v>1</v>
      </c>
      <c r="C107">
        <v>32</v>
      </c>
      <c r="D107">
        <f t="shared" ref="D107:D108" si="24">C107*3</f>
        <v>96</v>
      </c>
      <c r="E107">
        <v>4</v>
      </c>
      <c r="F107" s="4">
        <f t="shared" si="23"/>
        <v>4.1666666666666661</v>
      </c>
    </row>
    <row r="108" spans="1:6" x14ac:dyDescent="0.25">
      <c r="A108" t="s">
        <v>30</v>
      </c>
      <c r="B108" s="19">
        <v>1</v>
      </c>
      <c r="C108">
        <v>32</v>
      </c>
      <c r="D108">
        <f t="shared" si="24"/>
        <v>96</v>
      </c>
      <c r="E108">
        <v>3</v>
      </c>
      <c r="F108" s="4">
        <f t="shared" si="23"/>
        <v>3.125</v>
      </c>
    </row>
    <row r="110" spans="1:6" x14ac:dyDescent="0.25">
      <c r="A110" t="s">
        <v>0</v>
      </c>
      <c r="B110" s="19">
        <v>2</v>
      </c>
      <c r="C110">
        <v>32</v>
      </c>
      <c r="D110">
        <f>C110*3</f>
        <v>96</v>
      </c>
      <c r="E110">
        <v>0</v>
      </c>
      <c r="F110" s="6">
        <f t="shared" ref="F110:F118" si="25">E110/D110*100</f>
        <v>0</v>
      </c>
    </row>
    <row r="111" spans="1:6" x14ac:dyDescent="0.25">
      <c r="A111" t="s">
        <v>35</v>
      </c>
      <c r="B111" s="19">
        <v>2</v>
      </c>
      <c r="C111">
        <v>30</v>
      </c>
      <c r="D111">
        <f t="shared" ref="D111:D118" si="26">C111*3</f>
        <v>90</v>
      </c>
      <c r="E111">
        <v>14</v>
      </c>
      <c r="F111" s="4">
        <f t="shared" si="25"/>
        <v>15.555555555555555</v>
      </c>
    </row>
    <row r="112" spans="1:6" x14ac:dyDescent="0.25">
      <c r="A112" t="s">
        <v>36</v>
      </c>
      <c r="B112" s="19">
        <v>2</v>
      </c>
      <c r="C112">
        <v>21</v>
      </c>
      <c r="D112">
        <f t="shared" si="26"/>
        <v>63</v>
      </c>
      <c r="E112">
        <v>5</v>
      </c>
      <c r="F112" s="4">
        <f t="shared" si="25"/>
        <v>7.9365079365079358</v>
      </c>
    </row>
    <row r="113" spans="1:6" x14ac:dyDescent="0.25">
      <c r="A113" t="s">
        <v>42</v>
      </c>
      <c r="B113" s="19">
        <v>1</v>
      </c>
      <c r="C113">
        <v>30</v>
      </c>
      <c r="D113">
        <f t="shared" si="26"/>
        <v>90</v>
      </c>
      <c r="E113">
        <v>15</v>
      </c>
      <c r="F113" s="4">
        <f t="shared" si="25"/>
        <v>16.666666666666664</v>
      </c>
    </row>
    <row r="114" spans="1:6" x14ac:dyDescent="0.25">
      <c r="A114" t="s">
        <v>43</v>
      </c>
      <c r="B114" s="19">
        <v>1</v>
      </c>
      <c r="C114">
        <v>25</v>
      </c>
      <c r="D114">
        <f t="shared" si="26"/>
        <v>75</v>
      </c>
      <c r="E114">
        <v>13</v>
      </c>
      <c r="F114" s="4">
        <f t="shared" si="25"/>
        <v>17.333333333333336</v>
      </c>
    </row>
    <row r="115" spans="1:6" x14ac:dyDescent="0.25">
      <c r="A115" t="s">
        <v>37</v>
      </c>
      <c r="B115" s="19">
        <v>2</v>
      </c>
      <c r="C115">
        <v>30</v>
      </c>
      <c r="D115">
        <f t="shared" si="26"/>
        <v>90</v>
      </c>
      <c r="E115">
        <v>19</v>
      </c>
      <c r="F115" s="4">
        <f t="shared" si="25"/>
        <v>21.111111111111111</v>
      </c>
    </row>
    <row r="116" spans="1:6" x14ac:dyDescent="0.25">
      <c r="A116" t="s">
        <v>38</v>
      </c>
      <c r="B116" s="19">
        <v>2</v>
      </c>
      <c r="C116">
        <v>27</v>
      </c>
      <c r="D116">
        <f t="shared" si="26"/>
        <v>81</v>
      </c>
      <c r="E116">
        <v>19</v>
      </c>
      <c r="F116" s="4">
        <f t="shared" si="25"/>
        <v>23.456790123456788</v>
      </c>
    </row>
    <row r="117" spans="1:6" x14ac:dyDescent="0.25">
      <c r="A117" t="s">
        <v>39</v>
      </c>
      <c r="B117" s="19">
        <v>2</v>
      </c>
      <c r="C117">
        <v>32</v>
      </c>
      <c r="D117">
        <f t="shared" si="26"/>
        <v>96</v>
      </c>
      <c r="E117">
        <v>13</v>
      </c>
      <c r="F117" s="4">
        <f t="shared" si="25"/>
        <v>13.541666666666666</v>
      </c>
    </row>
    <row r="118" spans="1:6" x14ac:dyDescent="0.25">
      <c r="A118" t="s">
        <v>40</v>
      </c>
      <c r="B118" s="19">
        <v>2</v>
      </c>
      <c r="C118">
        <v>28</v>
      </c>
      <c r="D118">
        <f t="shared" si="26"/>
        <v>84</v>
      </c>
      <c r="E118">
        <v>11</v>
      </c>
      <c r="F118" s="4">
        <f t="shared" si="25"/>
        <v>13.095238095238097</v>
      </c>
    </row>
    <row r="119" spans="1:6" x14ac:dyDescent="0.25">
      <c r="B119" s="19"/>
      <c r="F119" s="6"/>
    </row>
    <row r="120" spans="1:6" x14ac:dyDescent="0.25">
      <c r="A120" t="s">
        <v>0</v>
      </c>
      <c r="B120" s="19">
        <v>3</v>
      </c>
      <c r="C120">
        <v>32</v>
      </c>
      <c r="D120">
        <f>C120*3</f>
        <v>96</v>
      </c>
      <c r="E120">
        <v>0</v>
      </c>
      <c r="F120" s="6">
        <f t="shared" ref="F120:F133" si="27">E120/D120*100</f>
        <v>0</v>
      </c>
    </row>
    <row r="121" spans="1:6" x14ac:dyDescent="0.25">
      <c r="A121" s="31" t="s">
        <v>23</v>
      </c>
      <c r="B121" s="32">
        <v>1</v>
      </c>
      <c r="C121" s="31">
        <v>0</v>
      </c>
      <c r="D121" s="32" t="s">
        <v>4</v>
      </c>
      <c r="E121" s="32" t="s">
        <v>4</v>
      </c>
      <c r="F121" s="32" t="s">
        <v>4</v>
      </c>
    </row>
    <row r="122" spans="1:6" x14ac:dyDescent="0.25">
      <c r="A122" s="31" t="s">
        <v>29</v>
      </c>
      <c r="B122" s="32">
        <v>1</v>
      </c>
      <c r="C122" s="31">
        <v>0</v>
      </c>
      <c r="D122" s="32" t="s">
        <v>4</v>
      </c>
      <c r="E122" s="32" t="s">
        <v>4</v>
      </c>
      <c r="F122" s="32" t="s">
        <v>4</v>
      </c>
    </row>
    <row r="123" spans="1:6" x14ac:dyDescent="0.25">
      <c r="A123" s="31" t="s">
        <v>44</v>
      </c>
      <c r="B123" s="32">
        <v>1</v>
      </c>
      <c r="C123" s="31">
        <v>1</v>
      </c>
      <c r="D123" s="31">
        <f>C123*3</f>
        <v>3</v>
      </c>
      <c r="E123" s="31">
        <v>1</v>
      </c>
      <c r="F123" s="34">
        <f t="shared" si="27"/>
        <v>33.333333333333329</v>
      </c>
    </row>
    <row r="124" spans="1:6" x14ac:dyDescent="0.25">
      <c r="A124" s="31" t="s">
        <v>45</v>
      </c>
      <c r="B124" s="32">
        <v>1</v>
      </c>
      <c r="C124" s="31">
        <v>0</v>
      </c>
      <c r="D124" s="32" t="s">
        <v>4</v>
      </c>
      <c r="E124" s="32" t="s">
        <v>4</v>
      </c>
      <c r="F124" s="32" t="s">
        <v>4</v>
      </c>
    </row>
    <row r="125" spans="1:6" x14ac:dyDescent="0.25">
      <c r="A125" t="s">
        <v>46</v>
      </c>
      <c r="B125" s="19">
        <v>1</v>
      </c>
      <c r="C125">
        <v>10</v>
      </c>
      <c r="D125">
        <f t="shared" ref="D125:D130" si="28">C125*3</f>
        <v>30</v>
      </c>
      <c r="E125">
        <v>2</v>
      </c>
      <c r="F125" s="4">
        <f t="shared" si="27"/>
        <v>6.666666666666667</v>
      </c>
    </row>
    <row r="126" spans="1:6" x14ac:dyDescent="0.25">
      <c r="A126" t="s">
        <v>47</v>
      </c>
      <c r="B126" s="19">
        <v>1</v>
      </c>
      <c r="C126">
        <v>3</v>
      </c>
      <c r="D126">
        <f t="shared" si="28"/>
        <v>9</v>
      </c>
      <c r="E126">
        <v>0</v>
      </c>
      <c r="F126" s="6">
        <f t="shared" si="27"/>
        <v>0</v>
      </c>
    </row>
    <row r="127" spans="1:6" x14ac:dyDescent="0.25">
      <c r="A127" t="s">
        <v>48</v>
      </c>
      <c r="B127" s="19">
        <v>1</v>
      </c>
      <c r="C127">
        <v>22</v>
      </c>
      <c r="D127">
        <f t="shared" si="28"/>
        <v>66</v>
      </c>
      <c r="E127">
        <v>1</v>
      </c>
      <c r="F127" s="4">
        <f t="shared" si="27"/>
        <v>1.5151515151515151</v>
      </c>
    </row>
    <row r="128" spans="1:6" x14ac:dyDescent="0.25">
      <c r="A128" t="s">
        <v>49</v>
      </c>
      <c r="B128" s="19">
        <v>1</v>
      </c>
      <c r="C128">
        <v>17</v>
      </c>
      <c r="D128">
        <f t="shared" si="28"/>
        <v>51</v>
      </c>
      <c r="E128">
        <v>5</v>
      </c>
      <c r="F128" s="4">
        <f t="shared" si="27"/>
        <v>9.8039215686274517</v>
      </c>
    </row>
    <row r="129" spans="1:6" x14ac:dyDescent="0.25">
      <c r="A129" t="s">
        <v>50</v>
      </c>
      <c r="B129" s="19">
        <v>1</v>
      </c>
      <c r="C129">
        <v>23</v>
      </c>
      <c r="D129">
        <f t="shared" si="28"/>
        <v>69</v>
      </c>
      <c r="E129">
        <v>4</v>
      </c>
      <c r="F129" s="4">
        <f t="shared" si="27"/>
        <v>5.7971014492753623</v>
      </c>
    </row>
    <row r="130" spans="1:6" x14ac:dyDescent="0.25">
      <c r="A130" t="s">
        <v>51</v>
      </c>
      <c r="B130" s="19">
        <v>1</v>
      </c>
      <c r="C130">
        <v>27</v>
      </c>
      <c r="D130">
        <f t="shared" si="28"/>
        <v>81</v>
      </c>
      <c r="E130">
        <v>1</v>
      </c>
      <c r="F130" s="4">
        <f t="shared" si="27"/>
        <v>1.2345679012345678</v>
      </c>
    </row>
    <row r="131" spans="1:6" x14ac:dyDescent="0.25">
      <c r="A131" t="s">
        <v>37</v>
      </c>
      <c r="B131" s="19">
        <v>3</v>
      </c>
      <c r="C131">
        <v>31</v>
      </c>
      <c r="D131">
        <f>C131*3</f>
        <v>93</v>
      </c>
      <c r="E131">
        <v>8</v>
      </c>
      <c r="F131" s="4">
        <f t="shared" si="27"/>
        <v>8.6021505376344098</v>
      </c>
    </row>
    <row r="132" spans="1:6" x14ac:dyDescent="0.25">
      <c r="A132" t="s">
        <v>38</v>
      </c>
      <c r="B132" s="19">
        <v>3</v>
      </c>
      <c r="C132">
        <v>31</v>
      </c>
      <c r="D132">
        <f t="shared" ref="D132:D133" si="29">C132*3</f>
        <v>93</v>
      </c>
      <c r="E132">
        <v>5</v>
      </c>
      <c r="F132" s="4">
        <f t="shared" si="27"/>
        <v>5.376344086021505</v>
      </c>
    </row>
    <row r="133" spans="1:6" x14ac:dyDescent="0.25">
      <c r="A133" t="s">
        <v>52</v>
      </c>
      <c r="B133" s="19">
        <v>1</v>
      </c>
      <c r="C133">
        <v>6</v>
      </c>
      <c r="D133">
        <f t="shared" si="29"/>
        <v>18</v>
      </c>
      <c r="E133">
        <v>0</v>
      </c>
      <c r="F133" s="6">
        <f t="shared" si="27"/>
        <v>0</v>
      </c>
    </row>
    <row r="135" spans="1:6" x14ac:dyDescent="0.25">
      <c r="A135" t="s">
        <v>0</v>
      </c>
      <c r="B135" s="19">
        <v>4</v>
      </c>
      <c r="C135">
        <v>32</v>
      </c>
      <c r="D135">
        <f>C135*3</f>
        <v>96</v>
      </c>
      <c r="E135">
        <v>0</v>
      </c>
      <c r="F135" s="6">
        <f t="shared" ref="F135:F144" si="30">E135/D135*100</f>
        <v>0</v>
      </c>
    </row>
    <row r="136" spans="1:6" x14ac:dyDescent="0.25">
      <c r="A136" s="31" t="s">
        <v>23</v>
      </c>
      <c r="B136" s="32">
        <v>2</v>
      </c>
      <c r="C136" s="31">
        <v>1</v>
      </c>
      <c r="D136" s="31">
        <f t="shared" ref="D136:D148" si="31">C136*3</f>
        <v>3</v>
      </c>
      <c r="E136" s="33">
        <v>0</v>
      </c>
      <c r="F136" s="44">
        <f t="shared" si="30"/>
        <v>0</v>
      </c>
    </row>
    <row r="137" spans="1:6" x14ac:dyDescent="0.25">
      <c r="A137" s="31" t="s">
        <v>29</v>
      </c>
      <c r="B137" s="32">
        <v>2</v>
      </c>
      <c r="C137" s="31">
        <v>0</v>
      </c>
      <c r="D137" s="32" t="s">
        <v>4</v>
      </c>
      <c r="E137" s="32" t="s">
        <v>4</v>
      </c>
      <c r="F137" s="32" t="s">
        <v>4</v>
      </c>
    </row>
    <row r="138" spans="1:6" x14ac:dyDescent="0.25">
      <c r="A138" s="31" t="s">
        <v>44</v>
      </c>
      <c r="B138" s="32">
        <v>2</v>
      </c>
      <c r="C138" s="31">
        <v>5</v>
      </c>
      <c r="D138" s="31">
        <f t="shared" si="31"/>
        <v>15</v>
      </c>
      <c r="E138" s="33">
        <v>1</v>
      </c>
      <c r="F138" s="34">
        <f t="shared" si="30"/>
        <v>6.666666666666667</v>
      </c>
    </row>
    <row r="139" spans="1:6" x14ac:dyDescent="0.25">
      <c r="A139" t="s">
        <v>45</v>
      </c>
      <c r="B139" s="19">
        <v>2</v>
      </c>
      <c r="C139">
        <v>7</v>
      </c>
      <c r="D139">
        <f t="shared" si="31"/>
        <v>21</v>
      </c>
      <c r="E139" s="5">
        <v>1</v>
      </c>
      <c r="F139" s="4">
        <f t="shared" si="30"/>
        <v>4.7619047619047619</v>
      </c>
    </row>
    <row r="140" spans="1:6" x14ac:dyDescent="0.25">
      <c r="A140" t="s">
        <v>46</v>
      </c>
      <c r="B140" s="19">
        <v>2</v>
      </c>
      <c r="C140">
        <v>16</v>
      </c>
      <c r="D140">
        <f t="shared" si="31"/>
        <v>48</v>
      </c>
      <c r="E140">
        <v>3</v>
      </c>
      <c r="F140" s="4">
        <f t="shared" si="30"/>
        <v>6.25</v>
      </c>
    </row>
    <row r="141" spans="1:6" x14ac:dyDescent="0.25">
      <c r="A141" t="s">
        <v>47</v>
      </c>
      <c r="B141" s="19">
        <v>2</v>
      </c>
      <c r="C141">
        <v>13</v>
      </c>
      <c r="D141">
        <f t="shared" si="31"/>
        <v>39</v>
      </c>
      <c r="E141">
        <v>6</v>
      </c>
      <c r="F141" s="4">
        <f t="shared" si="30"/>
        <v>15.384615384615385</v>
      </c>
    </row>
    <row r="142" spans="1:6" x14ac:dyDescent="0.25">
      <c r="A142" t="s">
        <v>48</v>
      </c>
      <c r="B142" s="19">
        <v>2</v>
      </c>
      <c r="C142">
        <v>26</v>
      </c>
      <c r="D142">
        <f t="shared" si="31"/>
        <v>78</v>
      </c>
      <c r="E142">
        <v>5</v>
      </c>
      <c r="F142" s="4">
        <f t="shared" si="30"/>
        <v>6.4102564102564097</v>
      </c>
    </row>
    <row r="143" spans="1:6" x14ac:dyDescent="0.25">
      <c r="A143" t="s">
        <v>49</v>
      </c>
      <c r="B143" s="19">
        <v>2</v>
      </c>
      <c r="C143">
        <v>18</v>
      </c>
      <c r="D143">
        <f t="shared" si="31"/>
        <v>54</v>
      </c>
      <c r="E143">
        <v>7</v>
      </c>
      <c r="F143" s="4">
        <f t="shared" si="30"/>
        <v>12.962962962962962</v>
      </c>
    </row>
    <row r="144" spans="1:6" x14ac:dyDescent="0.25">
      <c r="A144" t="s">
        <v>50</v>
      </c>
      <c r="B144" s="19">
        <v>2</v>
      </c>
      <c r="C144">
        <v>28</v>
      </c>
      <c r="D144">
        <f t="shared" si="31"/>
        <v>84</v>
      </c>
      <c r="E144">
        <v>11</v>
      </c>
      <c r="F144" s="4">
        <f t="shared" si="30"/>
        <v>13.095238095238097</v>
      </c>
    </row>
    <row r="145" spans="1:6" x14ac:dyDescent="0.25">
      <c r="A145" t="s">
        <v>51</v>
      </c>
      <c r="B145" s="19">
        <v>2</v>
      </c>
      <c r="C145">
        <v>29</v>
      </c>
      <c r="D145">
        <f t="shared" si="31"/>
        <v>87</v>
      </c>
      <c r="E145">
        <v>14</v>
      </c>
      <c r="F145" s="4">
        <f t="shared" ref="F145:F148" si="32">E145/D145*100</f>
        <v>16.091954022988507</v>
      </c>
    </row>
    <row r="146" spans="1:6" x14ac:dyDescent="0.25">
      <c r="A146" t="s">
        <v>37</v>
      </c>
      <c r="B146" s="19">
        <v>4</v>
      </c>
      <c r="C146">
        <v>29</v>
      </c>
      <c r="D146">
        <f t="shared" si="31"/>
        <v>87</v>
      </c>
      <c r="E146">
        <v>11</v>
      </c>
      <c r="F146" s="4">
        <f t="shared" si="32"/>
        <v>12.643678160919542</v>
      </c>
    </row>
    <row r="147" spans="1:6" x14ac:dyDescent="0.25">
      <c r="A147" t="s">
        <v>38</v>
      </c>
      <c r="B147" s="19">
        <v>4</v>
      </c>
      <c r="C147">
        <v>31</v>
      </c>
      <c r="D147">
        <f t="shared" si="31"/>
        <v>93</v>
      </c>
      <c r="E147">
        <v>14</v>
      </c>
      <c r="F147" s="4">
        <f t="shared" si="32"/>
        <v>15.053763440860216</v>
      </c>
    </row>
    <row r="148" spans="1:6" x14ac:dyDescent="0.25">
      <c r="A148" s="56" t="s">
        <v>52</v>
      </c>
      <c r="B148" s="57">
        <v>2</v>
      </c>
      <c r="C148" s="56">
        <v>2</v>
      </c>
      <c r="D148" s="56">
        <f t="shared" si="31"/>
        <v>6</v>
      </c>
      <c r="E148" s="56">
        <v>0</v>
      </c>
      <c r="F148" s="58">
        <f t="shared" si="32"/>
        <v>0</v>
      </c>
    </row>
    <row r="150" spans="1:6" x14ac:dyDescent="0.25">
      <c r="A150" t="s">
        <v>0</v>
      </c>
      <c r="B150" s="19">
        <v>5</v>
      </c>
      <c r="C150">
        <v>32</v>
      </c>
      <c r="D150">
        <f>C150*3</f>
        <v>96</v>
      </c>
      <c r="E150">
        <v>0</v>
      </c>
      <c r="F150" s="6">
        <f t="shared" ref="F150:F156" si="33">E150/D150*100</f>
        <v>0</v>
      </c>
    </row>
    <row r="151" spans="1:6" x14ac:dyDescent="0.25">
      <c r="A151" s="31" t="s">
        <v>23</v>
      </c>
      <c r="B151" s="32">
        <v>3</v>
      </c>
      <c r="C151" s="31">
        <v>0</v>
      </c>
      <c r="D151" s="32" t="s">
        <v>4</v>
      </c>
      <c r="E151" s="32" t="s">
        <v>4</v>
      </c>
      <c r="F151" s="32" t="s">
        <v>4</v>
      </c>
    </row>
    <row r="152" spans="1:6" x14ac:dyDescent="0.25">
      <c r="A152" s="31" t="s">
        <v>29</v>
      </c>
      <c r="B152" s="32">
        <v>3</v>
      </c>
      <c r="C152" s="31">
        <v>0</v>
      </c>
      <c r="D152" s="32" t="s">
        <v>4</v>
      </c>
      <c r="E152" s="32" t="s">
        <v>4</v>
      </c>
      <c r="F152" s="32" t="s">
        <v>4</v>
      </c>
    </row>
    <row r="153" spans="1:6" x14ac:dyDescent="0.25">
      <c r="A153" s="31" t="s">
        <v>44</v>
      </c>
      <c r="B153" s="32">
        <v>3</v>
      </c>
      <c r="C153" s="31">
        <v>1</v>
      </c>
      <c r="D153" s="31">
        <f t="shared" ref="D153:D157" si="34">C153*3</f>
        <v>3</v>
      </c>
      <c r="E153" s="31">
        <v>0</v>
      </c>
      <c r="F153" s="44">
        <f t="shared" si="33"/>
        <v>0</v>
      </c>
    </row>
    <row r="154" spans="1:6" x14ac:dyDescent="0.25">
      <c r="A154" s="31" t="s">
        <v>45</v>
      </c>
      <c r="B154" s="32">
        <v>3</v>
      </c>
      <c r="C154" s="31">
        <v>1</v>
      </c>
      <c r="D154" s="31">
        <f t="shared" si="34"/>
        <v>3</v>
      </c>
      <c r="E154" s="33">
        <v>0</v>
      </c>
      <c r="F154" s="44">
        <f t="shared" si="33"/>
        <v>0</v>
      </c>
    </row>
    <row r="155" spans="1:6" x14ac:dyDescent="0.25">
      <c r="A155" s="31" t="s">
        <v>46</v>
      </c>
      <c r="B155" s="32">
        <v>3</v>
      </c>
      <c r="C155" s="31">
        <v>3</v>
      </c>
      <c r="D155" s="31">
        <f t="shared" si="34"/>
        <v>9</v>
      </c>
      <c r="E155" s="31">
        <v>1</v>
      </c>
      <c r="F155" s="34">
        <f t="shared" si="33"/>
        <v>11.111111111111111</v>
      </c>
    </row>
    <row r="156" spans="1:6" x14ac:dyDescent="0.25">
      <c r="A156" t="s">
        <v>47</v>
      </c>
      <c r="B156" s="19">
        <v>3</v>
      </c>
      <c r="C156">
        <v>7</v>
      </c>
      <c r="D156">
        <f t="shared" si="34"/>
        <v>21</v>
      </c>
      <c r="E156">
        <v>2</v>
      </c>
      <c r="F156" s="4">
        <f t="shared" si="33"/>
        <v>9.5238095238095237</v>
      </c>
    </row>
    <row r="157" spans="1:6" x14ac:dyDescent="0.25">
      <c r="A157" t="s">
        <v>48</v>
      </c>
      <c r="B157" s="19">
        <v>3</v>
      </c>
      <c r="C157">
        <v>14</v>
      </c>
      <c r="D157">
        <f t="shared" si="34"/>
        <v>42</v>
      </c>
      <c r="E157">
        <v>6</v>
      </c>
      <c r="F157" s="4">
        <f t="shared" ref="F157:F163" si="35">E157/D157*100</f>
        <v>14.285714285714285</v>
      </c>
    </row>
    <row r="158" spans="1:6" x14ac:dyDescent="0.25">
      <c r="A158" t="s">
        <v>49</v>
      </c>
      <c r="B158" s="19">
        <v>3</v>
      </c>
      <c r="C158">
        <v>20</v>
      </c>
      <c r="D158">
        <f t="shared" ref="D158:D160" si="36">C158*3</f>
        <v>60</v>
      </c>
      <c r="E158">
        <v>4</v>
      </c>
      <c r="F158" s="4">
        <f t="shared" si="35"/>
        <v>6.666666666666667</v>
      </c>
    </row>
    <row r="159" spans="1:6" x14ac:dyDescent="0.25">
      <c r="A159" t="s">
        <v>50</v>
      </c>
      <c r="B159" s="19">
        <v>3</v>
      </c>
      <c r="C159">
        <v>24</v>
      </c>
      <c r="D159">
        <f t="shared" si="36"/>
        <v>72</v>
      </c>
      <c r="E159">
        <v>5</v>
      </c>
      <c r="F159" s="4">
        <f t="shared" si="35"/>
        <v>6.9444444444444446</v>
      </c>
    </row>
    <row r="160" spans="1:6" x14ac:dyDescent="0.25">
      <c r="A160" t="s">
        <v>51</v>
      </c>
      <c r="B160" s="19">
        <v>3</v>
      </c>
      <c r="C160">
        <v>23</v>
      </c>
      <c r="D160">
        <f t="shared" si="36"/>
        <v>69</v>
      </c>
      <c r="E160">
        <v>3</v>
      </c>
      <c r="F160" s="4">
        <f t="shared" si="35"/>
        <v>4.3478260869565215</v>
      </c>
    </row>
    <row r="161" spans="1:6" x14ac:dyDescent="0.25">
      <c r="A161" t="s">
        <v>37</v>
      </c>
      <c r="B161" s="19">
        <v>5</v>
      </c>
      <c r="C161">
        <v>30</v>
      </c>
      <c r="D161">
        <f>C161*3</f>
        <v>90</v>
      </c>
      <c r="E161">
        <v>6</v>
      </c>
      <c r="F161" s="4">
        <f t="shared" si="35"/>
        <v>6.666666666666667</v>
      </c>
    </row>
    <row r="162" spans="1:6" x14ac:dyDescent="0.25">
      <c r="A162" t="s">
        <v>38</v>
      </c>
      <c r="B162" s="19">
        <v>5</v>
      </c>
      <c r="C162">
        <v>24</v>
      </c>
      <c r="D162">
        <f t="shared" ref="D162:D163" si="37">C162*3</f>
        <v>72</v>
      </c>
      <c r="E162">
        <v>8</v>
      </c>
      <c r="F162" s="4">
        <f t="shared" si="35"/>
        <v>11.111111111111111</v>
      </c>
    </row>
    <row r="163" spans="1:6" x14ac:dyDescent="0.25">
      <c r="A163" t="s">
        <v>52</v>
      </c>
      <c r="B163" s="19">
        <v>3</v>
      </c>
      <c r="C163">
        <v>6</v>
      </c>
      <c r="D163">
        <f t="shared" si="37"/>
        <v>18</v>
      </c>
      <c r="E163">
        <v>1</v>
      </c>
      <c r="F163" s="4">
        <f t="shared" si="35"/>
        <v>5.5555555555555554</v>
      </c>
    </row>
    <row r="166" spans="1:6" x14ac:dyDescent="0.25">
      <c r="A166" t="s">
        <v>0</v>
      </c>
      <c r="B166" s="19">
        <v>6</v>
      </c>
      <c r="C166">
        <v>31</v>
      </c>
      <c r="D166">
        <f>C166*3</f>
        <v>93</v>
      </c>
      <c r="E166">
        <v>0</v>
      </c>
      <c r="F166" s="6">
        <f t="shared" ref="F166" si="38">E166/D166*100</f>
        <v>0</v>
      </c>
    </row>
    <row r="167" spans="1:6" x14ac:dyDescent="0.25">
      <c r="A167" s="31" t="s">
        <v>23</v>
      </c>
      <c r="B167" s="32">
        <v>4</v>
      </c>
      <c r="C167" s="31">
        <v>0</v>
      </c>
      <c r="D167" s="32" t="s">
        <v>4</v>
      </c>
      <c r="E167" s="32" t="s">
        <v>4</v>
      </c>
      <c r="F167" s="32" t="s">
        <v>4</v>
      </c>
    </row>
    <row r="168" spans="1:6" x14ac:dyDescent="0.25">
      <c r="A168" s="31" t="s">
        <v>29</v>
      </c>
      <c r="B168" s="32">
        <v>4</v>
      </c>
      <c r="C168" s="31">
        <v>0</v>
      </c>
      <c r="D168" s="32" t="s">
        <v>4</v>
      </c>
      <c r="E168" s="32" t="s">
        <v>4</v>
      </c>
      <c r="F168" s="32" t="s">
        <v>4</v>
      </c>
    </row>
    <row r="169" spans="1:6" x14ac:dyDescent="0.25">
      <c r="A169" s="31" t="s">
        <v>44</v>
      </c>
      <c r="B169" s="19">
        <v>4</v>
      </c>
      <c r="C169" s="31">
        <v>1</v>
      </c>
      <c r="D169" s="31">
        <f t="shared" ref="D169:D176" si="39">C169*3</f>
        <v>3</v>
      </c>
      <c r="E169" s="31">
        <v>0</v>
      </c>
      <c r="F169" s="44">
        <f t="shared" ref="F169:F178" si="40">E169/D169*100</f>
        <v>0</v>
      </c>
    </row>
    <row r="170" spans="1:6" x14ac:dyDescent="0.25">
      <c r="A170" s="31" t="s">
        <v>45</v>
      </c>
      <c r="B170" s="19">
        <v>4</v>
      </c>
      <c r="C170" s="31">
        <v>0</v>
      </c>
      <c r="D170" s="31">
        <f t="shared" si="39"/>
        <v>0</v>
      </c>
      <c r="E170" s="32" t="s">
        <v>4</v>
      </c>
      <c r="F170" s="32" t="s">
        <v>4</v>
      </c>
    </row>
    <row r="171" spans="1:6" x14ac:dyDescent="0.25">
      <c r="A171" s="38" t="s">
        <v>46</v>
      </c>
      <c r="B171" s="37">
        <v>4</v>
      </c>
      <c r="C171" s="38">
        <v>8</v>
      </c>
      <c r="D171" s="38">
        <f t="shared" si="39"/>
        <v>24</v>
      </c>
      <c r="E171" s="38">
        <v>3</v>
      </c>
      <c r="F171" s="51">
        <f t="shared" si="40"/>
        <v>12.5</v>
      </c>
    </row>
    <row r="172" spans="1:6" x14ac:dyDescent="0.25">
      <c r="A172" t="s">
        <v>47</v>
      </c>
      <c r="B172" s="19">
        <v>4</v>
      </c>
      <c r="C172">
        <v>2</v>
      </c>
      <c r="D172">
        <f t="shared" si="39"/>
        <v>6</v>
      </c>
      <c r="E172">
        <v>2</v>
      </c>
      <c r="F172" s="4">
        <f t="shared" si="40"/>
        <v>33.333333333333329</v>
      </c>
    </row>
    <row r="173" spans="1:6" x14ac:dyDescent="0.25">
      <c r="A173" t="s">
        <v>48</v>
      </c>
      <c r="B173" s="19">
        <v>4</v>
      </c>
      <c r="C173">
        <v>19</v>
      </c>
      <c r="D173">
        <f t="shared" si="39"/>
        <v>57</v>
      </c>
      <c r="E173">
        <v>7</v>
      </c>
      <c r="F173" s="4">
        <f t="shared" si="40"/>
        <v>12.280701754385964</v>
      </c>
    </row>
    <row r="174" spans="1:6" x14ac:dyDescent="0.25">
      <c r="A174" t="s">
        <v>49</v>
      </c>
      <c r="B174" s="19">
        <v>4</v>
      </c>
      <c r="C174">
        <v>17</v>
      </c>
      <c r="D174">
        <f t="shared" si="39"/>
        <v>51</v>
      </c>
      <c r="E174">
        <v>12</v>
      </c>
      <c r="F174" s="4">
        <f t="shared" si="40"/>
        <v>23.52941176470588</v>
      </c>
    </row>
    <row r="175" spans="1:6" x14ac:dyDescent="0.25">
      <c r="A175" t="s">
        <v>50</v>
      </c>
      <c r="B175" s="19">
        <v>4</v>
      </c>
      <c r="C175">
        <v>29</v>
      </c>
      <c r="D175">
        <f t="shared" si="39"/>
        <v>87</v>
      </c>
      <c r="E175">
        <v>7</v>
      </c>
      <c r="F175" s="4">
        <f t="shared" si="40"/>
        <v>8.0459770114942533</v>
      </c>
    </row>
    <row r="176" spans="1:6" x14ac:dyDescent="0.25">
      <c r="A176" t="s">
        <v>51</v>
      </c>
      <c r="B176" s="19">
        <v>4</v>
      </c>
      <c r="C176">
        <v>29</v>
      </c>
      <c r="D176">
        <f t="shared" si="39"/>
        <v>87</v>
      </c>
      <c r="E176">
        <v>7</v>
      </c>
      <c r="F176" s="4">
        <f t="shared" si="40"/>
        <v>8.0459770114942533</v>
      </c>
    </row>
    <row r="177" spans="1:6" x14ac:dyDescent="0.25">
      <c r="A177" t="s">
        <v>37</v>
      </c>
      <c r="B177" s="19">
        <v>6</v>
      </c>
      <c r="C177">
        <v>31</v>
      </c>
      <c r="D177">
        <f>C177*3</f>
        <v>93</v>
      </c>
      <c r="E177">
        <v>9</v>
      </c>
      <c r="F177" s="4">
        <f t="shared" si="40"/>
        <v>9.67741935483871</v>
      </c>
    </row>
    <row r="178" spans="1:6" x14ac:dyDescent="0.25">
      <c r="A178" t="s">
        <v>38</v>
      </c>
      <c r="B178" s="19">
        <v>6</v>
      </c>
      <c r="C178">
        <v>30</v>
      </c>
      <c r="D178">
        <f t="shared" ref="D178:D179" si="41">C178*3</f>
        <v>90</v>
      </c>
      <c r="E178">
        <v>13</v>
      </c>
      <c r="F178" s="4">
        <f t="shared" si="40"/>
        <v>14.444444444444443</v>
      </c>
    </row>
    <row r="179" spans="1:6" x14ac:dyDescent="0.25">
      <c r="A179" s="31" t="s">
        <v>52</v>
      </c>
      <c r="B179" s="32">
        <v>4</v>
      </c>
      <c r="C179" s="31">
        <v>0</v>
      </c>
      <c r="D179" s="31">
        <f t="shared" si="41"/>
        <v>0</v>
      </c>
      <c r="E179" s="32" t="s">
        <v>4</v>
      </c>
      <c r="F179" s="32" t="s">
        <v>4</v>
      </c>
    </row>
  </sheetData>
  <mergeCells count="12">
    <mergeCell ref="F82:F84"/>
    <mergeCell ref="A82:A84"/>
    <mergeCell ref="B82:B84"/>
    <mergeCell ref="C82:C84"/>
    <mergeCell ref="D82:D84"/>
    <mergeCell ref="E82:E84"/>
    <mergeCell ref="F7:F9"/>
    <mergeCell ref="B7:B9"/>
    <mergeCell ref="A7:A9"/>
    <mergeCell ref="C7:C9"/>
    <mergeCell ref="D7:D9"/>
    <mergeCell ref="E7:E9"/>
  </mergeCells>
  <pageMargins left="0.7" right="0.7" top="0.78740157499999996" bottom="0.78740157499999996" header="0.3" footer="0.3"/>
  <ignoredErrors>
    <ignoredError sqref="F98 F101:F10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"/>
  <sheetViews>
    <sheetView zoomScale="60" zoomScaleNormal="60" workbookViewId="0"/>
  </sheetViews>
  <sheetFormatPr baseColWidth="10" defaultRowHeight="15" x14ac:dyDescent="0.25"/>
  <cols>
    <col min="1" max="1" width="15.42578125" customWidth="1"/>
    <col min="2" max="3" width="11.42578125" style="7"/>
    <col min="4" max="5" width="13.5703125" customWidth="1"/>
    <col min="6" max="6" width="13.7109375" customWidth="1"/>
    <col min="9" max="9" width="13.140625" customWidth="1"/>
    <col min="11" max="11" width="11.42578125" style="7"/>
    <col min="12" max="12" width="11.42578125" style="13"/>
    <col min="14" max="14" width="15.140625" customWidth="1"/>
    <col min="17" max="17" width="15.28515625" customWidth="1"/>
    <col min="22" max="22" width="14.5703125" customWidth="1"/>
    <col min="25" max="25" width="15.28515625" customWidth="1"/>
    <col min="30" max="30" width="13.5703125" customWidth="1"/>
  </cols>
  <sheetData>
    <row r="1" spans="1:30" ht="18.75" x14ac:dyDescent="0.3">
      <c r="A1" s="1" t="s">
        <v>7</v>
      </c>
      <c r="E1" s="5"/>
      <c r="I1" s="1"/>
      <c r="M1" s="5"/>
      <c r="Q1" s="1"/>
      <c r="Y1" s="1"/>
    </row>
    <row r="2" spans="1:30" ht="18.75" x14ac:dyDescent="0.3">
      <c r="A2" s="1"/>
    </row>
    <row r="3" spans="1:30" ht="15.75" x14ac:dyDescent="0.25">
      <c r="A3" s="2" t="s">
        <v>57</v>
      </c>
      <c r="I3" s="2"/>
      <c r="J3" s="7"/>
      <c r="Q3" s="2"/>
      <c r="R3" s="7"/>
      <c r="S3" s="7"/>
      <c r="Y3" s="2"/>
      <c r="Z3" s="7"/>
      <c r="AA3" s="7"/>
    </row>
    <row r="4" spans="1:30" ht="15.75" x14ac:dyDescent="0.25">
      <c r="A4" s="2"/>
      <c r="B4" s="19"/>
      <c r="C4" s="19"/>
      <c r="I4" s="2"/>
      <c r="J4" s="19"/>
      <c r="K4" s="19"/>
      <c r="Q4" s="2"/>
      <c r="R4" s="19"/>
      <c r="S4" s="19"/>
      <c r="Y4" s="2"/>
      <c r="Z4" s="19"/>
      <c r="AA4" s="19"/>
    </row>
    <row r="5" spans="1:30" ht="15.75" x14ac:dyDescent="0.25">
      <c r="A5" s="68" t="s">
        <v>55</v>
      </c>
      <c r="B5" s="19"/>
      <c r="C5" s="19"/>
      <c r="I5" s="2"/>
      <c r="J5" s="19"/>
      <c r="K5" s="19"/>
      <c r="Q5" s="2"/>
      <c r="R5" s="19"/>
      <c r="S5" s="19"/>
      <c r="Y5" s="2"/>
      <c r="Z5" s="19"/>
      <c r="AA5" s="19"/>
    </row>
    <row r="6" spans="1:30" x14ac:dyDescent="0.25">
      <c r="J6" s="7"/>
      <c r="R6" s="7"/>
      <c r="S6" s="7"/>
      <c r="Z6" s="7"/>
      <c r="AA6" s="7"/>
    </row>
    <row r="7" spans="1:30" s="8" customFormat="1" x14ac:dyDescent="0.25">
      <c r="A7" s="62" t="s">
        <v>53</v>
      </c>
      <c r="B7" s="62" t="s">
        <v>8</v>
      </c>
      <c r="C7" s="62" t="s">
        <v>56</v>
      </c>
      <c r="D7" s="63" t="s">
        <v>64</v>
      </c>
      <c r="E7" s="63" t="s">
        <v>62</v>
      </c>
      <c r="F7" s="63" t="s">
        <v>63</v>
      </c>
      <c r="I7" s="62"/>
      <c r="J7" s="62"/>
      <c r="K7" s="62"/>
      <c r="L7" s="66"/>
      <c r="M7" s="63"/>
      <c r="N7" s="65"/>
      <c r="Q7" s="62"/>
      <c r="R7" s="62"/>
      <c r="S7" s="62"/>
      <c r="T7" s="63"/>
      <c r="U7" s="63"/>
      <c r="V7" s="65"/>
      <c r="Y7" s="62"/>
      <c r="Z7" s="62"/>
      <c r="AA7" s="64"/>
      <c r="AB7" s="63"/>
      <c r="AC7" s="63"/>
      <c r="AD7" s="65"/>
    </row>
    <row r="8" spans="1:30" x14ac:dyDescent="0.25">
      <c r="A8" s="62"/>
      <c r="B8" s="62"/>
      <c r="C8" s="62"/>
      <c r="D8" s="63"/>
      <c r="E8" s="63"/>
      <c r="F8" s="63"/>
      <c r="I8" s="62"/>
      <c r="J8" s="62"/>
      <c r="K8" s="62"/>
      <c r="L8" s="66"/>
      <c r="M8" s="63"/>
      <c r="N8" s="65"/>
      <c r="Q8" s="62"/>
      <c r="R8" s="62"/>
      <c r="S8" s="62"/>
      <c r="T8" s="63"/>
      <c r="U8" s="63"/>
      <c r="V8" s="65"/>
      <c r="Y8" s="62"/>
      <c r="Z8" s="62"/>
      <c r="AA8" s="64"/>
      <c r="AB8" s="63"/>
      <c r="AC8" s="63"/>
      <c r="AD8" s="65"/>
    </row>
    <row r="9" spans="1:30" x14ac:dyDescent="0.25">
      <c r="A9" t="s">
        <v>0</v>
      </c>
      <c r="B9" s="19">
        <v>1</v>
      </c>
      <c r="C9" s="19">
        <v>32</v>
      </c>
      <c r="D9">
        <f>C9*4</f>
        <v>128</v>
      </c>
      <c r="E9">
        <v>1</v>
      </c>
      <c r="F9" s="4">
        <f t="shared" ref="F9:F37" si="0">E9/D9*100</f>
        <v>0.78125</v>
      </c>
      <c r="J9" s="5"/>
      <c r="N9" s="6"/>
      <c r="R9" s="7"/>
      <c r="S9" s="7"/>
      <c r="V9" s="18"/>
      <c r="Z9" s="7"/>
      <c r="AA9" s="7"/>
      <c r="AD9" s="4"/>
    </row>
    <row r="10" spans="1:30" x14ac:dyDescent="0.25">
      <c r="A10" t="s">
        <v>5</v>
      </c>
      <c r="B10" s="19">
        <v>1</v>
      </c>
      <c r="C10" s="19">
        <v>32</v>
      </c>
      <c r="D10">
        <f t="shared" ref="D10:D37" si="1">C10*4</f>
        <v>128</v>
      </c>
      <c r="E10">
        <v>0</v>
      </c>
      <c r="F10" s="6">
        <f t="shared" si="0"/>
        <v>0</v>
      </c>
      <c r="J10" s="5"/>
      <c r="N10" s="6"/>
      <c r="R10" s="7"/>
      <c r="S10" s="7"/>
      <c r="V10" s="4"/>
      <c r="Z10" s="7"/>
      <c r="AA10" s="7"/>
    </row>
    <row r="11" spans="1:30" x14ac:dyDescent="0.25">
      <c r="A11" t="s">
        <v>12</v>
      </c>
      <c r="B11" s="19">
        <v>1</v>
      </c>
      <c r="C11" s="19">
        <v>32</v>
      </c>
      <c r="D11">
        <f t="shared" si="1"/>
        <v>128</v>
      </c>
      <c r="E11">
        <v>4</v>
      </c>
      <c r="F11" s="4">
        <f t="shared" si="0"/>
        <v>3.125</v>
      </c>
      <c r="I11" s="4"/>
      <c r="J11" s="53"/>
      <c r="N11" s="6"/>
      <c r="R11" s="7"/>
      <c r="S11" s="7"/>
      <c r="V11" s="6"/>
      <c r="Z11" s="7"/>
      <c r="AA11" s="7"/>
      <c r="AD11" s="4"/>
    </row>
    <row r="12" spans="1:30" x14ac:dyDescent="0.25">
      <c r="A12" t="s">
        <v>13</v>
      </c>
      <c r="B12" s="19">
        <v>1</v>
      </c>
      <c r="C12" s="19">
        <v>32</v>
      </c>
      <c r="D12">
        <f t="shared" si="1"/>
        <v>128</v>
      </c>
      <c r="E12">
        <v>4</v>
      </c>
      <c r="F12" s="4">
        <f t="shared" si="0"/>
        <v>3.125</v>
      </c>
      <c r="I12" s="4"/>
      <c r="J12" s="53"/>
      <c r="N12" s="6"/>
      <c r="R12" s="7"/>
      <c r="S12" s="7"/>
      <c r="V12" s="4"/>
      <c r="Z12" s="7"/>
      <c r="AA12" s="7"/>
      <c r="AD12" s="4"/>
    </row>
    <row r="13" spans="1:30" x14ac:dyDescent="0.25">
      <c r="A13" t="s">
        <v>14</v>
      </c>
      <c r="B13" s="19">
        <v>1</v>
      </c>
      <c r="C13" s="19">
        <v>32</v>
      </c>
      <c r="D13">
        <f t="shared" si="1"/>
        <v>128</v>
      </c>
      <c r="E13" s="6">
        <v>29</v>
      </c>
      <c r="F13" s="4">
        <f t="shared" si="0"/>
        <v>22.65625</v>
      </c>
      <c r="J13" s="5"/>
      <c r="M13" s="4"/>
      <c r="N13" s="6"/>
      <c r="R13" s="7"/>
      <c r="S13" s="7"/>
      <c r="V13" s="6"/>
      <c r="Z13" s="7"/>
      <c r="AA13" s="7"/>
      <c r="AC13" s="6"/>
    </row>
    <row r="14" spans="1:30" x14ac:dyDescent="0.25">
      <c r="A14" t="s">
        <v>15</v>
      </c>
      <c r="B14" s="19">
        <v>1</v>
      </c>
      <c r="C14" s="19">
        <v>18</v>
      </c>
      <c r="D14">
        <f t="shared" si="1"/>
        <v>72</v>
      </c>
      <c r="E14">
        <v>17</v>
      </c>
      <c r="F14" s="4">
        <f t="shared" si="0"/>
        <v>23.611111111111111</v>
      </c>
      <c r="I14" s="4"/>
      <c r="J14" s="50"/>
      <c r="M14" s="4"/>
      <c r="N14" s="4"/>
      <c r="R14" s="7"/>
      <c r="S14" s="7"/>
      <c r="V14" s="4"/>
      <c r="Z14" s="7"/>
      <c r="AA14" s="7"/>
      <c r="AD14" s="4"/>
    </row>
    <row r="15" spans="1:30" x14ac:dyDescent="0.25">
      <c r="A15" s="38" t="s">
        <v>16</v>
      </c>
      <c r="B15" s="37">
        <v>1</v>
      </c>
      <c r="C15" s="37">
        <v>1</v>
      </c>
      <c r="D15" s="38">
        <f t="shared" si="1"/>
        <v>4</v>
      </c>
      <c r="E15" s="38">
        <v>1</v>
      </c>
      <c r="F15" s="41">
        <f t="shared" si="0"/>
        <v>25</v>
      </c>
      <c r="J15" s="5"/>
      <c r="M15" s="17"/>
      <c r="N15" s="6"/>
      <c r="R15" s="7"/>
      <c r="S15" s="7"/>
      <c r="U15" s="6"/>
      <c r="V15" s="6"/>
      <c r="Z15" s="7"/>
      <c r="AA15" s="7"/>
      <c r="AD15" s="4"/>
    </row>
    <row r="16" spans="1:30" x14ac:dyDescent="0.25">
      <c r="A16" s="36" t="s">
        <v>6</v>
      </c>
      <c r="B16" s="37">
        <v>1</v>
      </c>
      <c r="C16" s="37" t="s">
        <v>4</v>
      </c>
      <c r="D16" s="37" t="s">
        <v>4</v>
      </c>
      <c r="E16" s="37" t="s">
        <v>4</v>
      </c>
      <c r="F16" s="42" t="s">
        <v>4</v>
      </c>
      <c r="J16" s="5"/>
      <c r="N16" s="4"/>
      <c r="R16" s="7"/>
      <c r="S16" s="7"/>
      <c r="V16" s="4"/>
      <c r="Z16" s="7"/>
      <c r="AA16" s="7"/>
    </row>
    <row r="17" spans="1:30" x14ac:dyDescent="0.25">
      <c r="A17" s="36" t="s">
        <v>17</v>
      </c>
      <c r="B17" s="37">
        <v>1</v>
      </c>
      <c r="C17" s="37" t="s">
        <v>4</v>
      </c>
      <c r="D17" s="37" t="s">
        <v>4</v>
      </c>
      <c r="E17" s="37" t="s">
        <v>4</v>
      </c>
      <c r="F17" s="42" t="s">
        <v>4</v>
      </c>
      <c r="J17" s="5"/>
      <c r="K17" s="19"/>
      <c r="N17" s="4"/>
      <c r="R17" s="19"/>
      <c r="S17" s="19"/>
      <c r="V17" s="4"/>
      <c r="Z17" s="19"/>
      <c r="AA17" s="19"/>
    </row>
    <row r="18" spans="1:30" x14ac:dyDescent="0.25">
      <c r="A18" s="36" t="s">
        <v>20</v>
      </c>
      <c r="B18" s="37">
        <v>1</v>
      </c>
      <c r="C18" s="37">
        <v>32</v>
      </c>
      <c r="D18" s="38">
        <f t="shared" si="1"/>
        <v>128</v>
      </c>
      <c r="E18" s="52">
        <v>0</v>
      </c>
      <c r="F18" s="6">
        <f t="shared" si="0"/>
        <v>0</v>
      </c>
      <c r="J18" s="5"/>
      <c r="K18" s="19"/>
      <c r="N18" s="4"/>
      <c r="R18" s="19"/>
      <c r="S18" s="19"/>
      <c r="V18" s="4"/>
      <c r="Z18" s="19"/>
      <c r="AA18" s="19"/>
    </row>
    <row r="19" spans="1:30" x14ac:dyDescent="0.25">
      <c r="A19" s="15"/>
      <c r="B19" s="19"/>
      <c r="C19" s="19"/>
      <c r="F19" s="4"/>
      <c r="J19" s="5"/>
      <c r="N19" s="4"/>
      <c r="R19" s="7"/>
      <c r="S19" s="7"/>
      <c r="V19" s="4"/>
      <c r="Z19" s="7"/>
      <c r="AA19" s="7"/>
      <c r="AD19" s="4"/>
    </row>
    <row r="20" spans="1:30" x14ac:dyDescent="0.25">
      <c r="A20" t="s">
        <v>0</v>
      </c>
      <c r="B20" s="19">
        <v>2</v>
      </c>
      <c r="C20" s="19">
        <v>32</v>
      </c>
      <c r="D20">
        <f t="shared" si="1"/>
        <v>128</v>
      </c>
      <c r="E20">
        <v>0</v>
      </c>
      <c r="F20" s="6">
        <f t="shared" si="0"/>
        <v>0</v>
      </c>
      <c r="J20" s="5"/>
      <c r="N20" s="6"/>
      <c r="R20" s="7"/>
      <c r="S20" s="7"/>
      <c r="V20" s="6"/>
      <c r="Z20" s="7"/>
      <c r="AA20" s="7"/>
    </row>
    <row r="21" spans="1:30" x14ac:dyDescent="0.25">
      <c r="A21" t="s">
        <v>5</v>
      </c>
      <c r="B21" s="19">
        <v>2</v>
      </c>
      <c r="C21" s="19">
        <v>32</v>
      </c>
      <c r="D21">
        <f t="shared" si="1"/>
        <v>128</v>
      </c>
      <c r="E21">
        <v>7</v>
      </c>
      <c r="F21" s="4">
        <f t="shared" si="0"/>
        <v>5.46875</v>
      </c>
      <c r="I21" s="4"/>
      <c r="J21" s="50"/>
      <c r="M21" s="4"/>
      <c r="N21" s="4"/>
      <c r="R21" s="7"/>
      <c r="S21" s="7"/>
      <c r="V21" s="6"/>
      <c r="Z21" s="7"/>
      <c r="AA21" s="7"/>
    </row>
    <row r="22" spans="1:30" x14ac:dyDescent="0.25">
      <c r="A22" t="s">
        <v>12</v>
      </c>
      <c r="B22" s="19">
        <v>2</v>
      </c>
      <c r="C22" s="19">
        <v>32</v>
      </c>
      <c r="D22">
        <f t="shared" si="1"/>
        <v>128</v>
      </c>
      <c r="E22">
        <v>10</v>
      </c>
      <c r="F22" s="4">
        <f t="shared" si="0"/>
        <v>7.8125</v>
      </c>
      <c r="I22" s="4"/>
      <c r="J22" s="53"/>
      <c r="M22" s="4"/>
      <c r="N22" s="17"/>
      <c r="R22" s="7"/>
      <c r="S22" s="7"/>
      <c r="V22" s="6"/>
      <c r="Z22" s="7"/>
      <c r="AA22" s="7"/>
      <c r="AD22" s="4"/>
    </row>
    <row r="23" spans="1:30" x14ac:dyDescent="0.25">
      <c r="A23" t="s">
        <v>13</v>
      </c>
      <c r="B23" s="19">
        <v>2</v>
      </c>
      <c r="C23" s="19">
        <v>32</v>
      </c>
      <c r="D23">
        <f t="shared" si="1"/>
        <v>128</v>
      </c>
      <c r="E23">
        <v>13</v>
      </c>
      <c r="F23" s="4">
        <f t="shared" si="0"/>
        <v>10.15625</v>
      </c>
      <c r="I23" s="4"/>
      <c r="J23" s="50"/>
      <c r="M23" s="4"/>
      <c r="N23" s="4"/>
      <c r="R23" s="7"/>
      <c r="S23" s="7"/>
      <c r="V23" s="4"/>
      <c r="Z23" s="7"/>
      <c r="AA23" s="7"/>
    </row>
    <row r="24" spans="1:30" x14ac:dyDescent="0.25">
      <c r="A24" t="s">
        <v>14</v>
      </c>
      <c r="B24" s="19">
        <v>2</v>
      </c>
      <c r="C24" s="19">
        <v>30</v>
      </c>
      <c r="D24">
        <f t="shared" si="1"/>
        <v>120</v>
      </c>
      <c r="E24">
        <v>12</v>
      </c>
      <c r="F24" s="17">
        <f t="shared" si="0"/>
        <v>10</v>
      </c>
      <c r="J24" s="53"/>
      <c r="M24" s="4"/>
      <c r="N24" s="4"/>
      <c r="R24" s="7"/>
      <c r="S24" s="7"/>
      <c r="V24" s="4"/>
      <c r="Z24" s="7"/>
      <c r="AA24" s="7"/>
    </row>
    <row r="25" spans="1:30" x14ac:dyDescent="0.25">
      <c r="A25" t="s">
        <v>15</v>
      </c>
      <c r="B25" s="19">
        <v>2</v>
      </c>
      <c r="C25" s="19">
        <v>21</v>
      </c>
      <c r="D25">
        <f t="shared" si="1"/>
        <v>84</v>
      </c>
      <c r="E25">
        <v>8</v>
      </c>
      <c r="F25" s="4">
        <f t="shared" si="0"/>
        <v>9.5238095238095237</v>
      </c>
      <c r="J25" s="5"/>
      <c r="M25" s="4"/>
      <c r="N25" s="17"/>
      <c r="R25" s="7"/>
      <c r="S25" s="7"/>
      <c r="V25" s="4"/>
      <c r="Z25" s="7"/>
      <c r="AA25" s="7"/>
    </row>
    <row r="26" spans="1:30" x14ac:dyDescent="0.25">
      <c r="A26" t="s">
        <v>16</v>
      </c>
      <c r="B26" s="19">
        <v>2</v>
      </c>
      <c r="C26" s="19">
        <v>3</v>
      </c>
      <c r="D26">
        <f t="shared" si="1"/>
        <v>12</v>
      </c>
      <c r="E26">
        <v>2</v>
      </c>
      <c r="F26" s="4">
        <f t="shared" si="0"/>
        <v>16.666666666666664</v>
      </c>
      <c r="J26" s="5"/>
      <c r="M26" s="4"/>
      <c r="N26" s="17"/>
      <c r="R26" s="7"/>
      <c r="S26" s="7"/>
      <c r="V26" s="6"/>
    </row>
    <row r="27" spans="1:30" x14ac:dyDescent="0.25">
      <c r="A27" s="36" t="s">
        <v>6</v>
      </c>
      <c r="B27" s="19">
        <v>2</v>
      </c>
      <c r="C27" s="37" t="s">
        <v>4</v>
      </c>
      <c r="D27" s="37" t="s">
        <v>4</v>
      </c>
      <c r="E27" s="37" t="s">
        <v>4</v>
      </c>
      <c r="F27" s="42" t="s">
        <v>4</v>
      </c>
      <c r="J27" s="5"/>
      <c r="N27" s="4"/>
    </row>
    <row r="28" spans="1:30" x14ac:dyDescent="0.25">
      <c r="A28" s="36" t="s">
        <v>17</v>
      </c>
      <c r="B28" s="19">
        <v>2</v>
      </c>
      <c r="C28" s="37" t="s">
        <v>4</v>
      </c>
      <c r="D28" s="37" t="s">
        <v>4</v>
      </c>
      <c r="E28" s="37" t="s">
        <v>4</v>
      </c>
      <c r="F28" s="42" t="s">
        <v>4</v>
      </c>
      <c r="J28" s="5"/>
      <c r="N28" s="4"/>
    </row>
    <row r="29" spans="1:30" x14ac:dyDescent="0.25">
      <c r="A29" s="36" t="s">
        <v>20</v>
      </c>
      <c r="B29" s="19">
        <v>2</v>
      </c>
      <c r="C29" s="37">
        <v>32</v>
      </c>
      <c r="D29" s="38">
        <f t="shared" si="1"/>
        <v>128</v>
      </c>
      <c r="E29" s="52">
        <v>0</v>
      </c>
      <c r="F29" s="6">
        <f t="shared" si="0"/>
        <v>0</v>
      </c>
      <c r="J29" s="5"/>
      <c r="K29" s="19"/>
      <c r="N29" s="4"/>
    </row>
    <row r="30" spans="1:30" x14ac:dyDescent="0.25">
      <c r="B30" s="19"/>
      <c r="C30" s="19"/>
      <c r="F30" s="4"/>
      <c r="J30" s="5"/>
      <c r="N30" s="4"/>
    </row>
    <row r="31" spans="1:30" x14ac:dyDescent="0.25">
      <c r="A31" t="s">
        <v>0</v>
      </c>
      <c r="B31" s="19">
        <v>3</v>
      </c>
      <c r="C31" s="19">
        <v>32</v>
      </c>
      <c r="D31">
        <f t="shared" si="1"/>
        <v>128</v>
      </c>
      <c r="E31">
        <v>0</v>
      </c>
      <c r="F31" s="6">
        <f t="shared" si="0"/>
        <v>0</v>
      </c>
      <c r="J31" s="5"/>
      <c r="N31" s="6"/>
    </row>
    <row r="32" spans="1:30" x14ac:dyDescent="0.25">
      <c r="A32" t="s">
        <v>5</v>
      </c>
      <c r="B32" s="19">
        <v>3</v>
      </c>
      <c r="C32" s="19">
        <v>31</v>
      </c>
      <c r="D32">
        <f t="shared" si="1"/>
        <v>124</v>
      </c>
      <c r="E32">
        <v>2</v>
      </c>
      <c r="F32" s="4">
        <f t="shared" si="0"/>
        <v>1.6129032258064515</v>
      </c>
      <c r="I32" s="4"/>
      <c r="J32" s="53"/>
      <c r="M32" s="4"/>
      <c r="N32" s="17"/>
    </row>
    <row r="33" spans="1:14" x14ac:dyDescent="0.25">
      <c r="A33" t="s">
        <v>12</v>
      </c>
      <c r="B33" s="19">
        <v>3</v>
      </c>
      <c r="C33" s="19">
        <v>32</v>
      </c>
      <c r="D33">
        <f t="shared" si="1"/>
        <v>128</v>
      </c>
      <c r="E33">
        <v>7</v>
      </c>
      <c r="F33" s="4">
        <f t="shared" si="0"/>
        <v>5.46875</v>
      </c>
      <c r="J33" s="5"/>
      <c r="M33" s="4"/>
      <c r="N33" s="6"/>
    </row>
    <row r="34" spans="1:14" x14ac:dyDescent="0.25">
      <c r="A34" t="s">
        <v>13</v>
      </c>
      <c r="B34" s="19">
        <v>3</v>
      </c>
      <c r="C34" s="19">
        <v>32</v>
      </c>
      <c r="D34">
        <f t="shared" si="1"/>
        <v>128</v>
      </c>
      <c r="E34">
        <v>1</v>
      </c>
      <c r="F34" s="4">
        <f t="shared" si="0"/>
        <v>0.78125</v>
      </c>
      <c r="J34" s="5"/>
      <c r="N34" s="6"/>
    </row>
    <row r="35" spans="1:14" x14ac:dyDescent="0.25">
      <c r="A35" t="s">
        <v>14</v>
      </c>
      <c r="B35" s="19">
        <v>3</v>
      </c>
      <c r="C35" s="19">
        <v>31</v>
      </c>
      <c r="D35">
        <f t="shared" si="1"/>
        <v>124</v>
      </c>
      <c r="E35">
        <v>10</v>
      </c>
      <c r="F35" s="4">
        <f t="shared" si="0"/>
        <v>8.064516129032258</v>
      </c>
      <c r="I35" s="4"/>
      <c r="J35" s="53"/>
      <c r="M35" s="4"/>
      <c r="N35" s="17"/>
    </row>
    <row r="36" spans="1:14" x14ac:dyDescent="0.25">
      <c r="A36" t="s">
        <v>15</v>
      </c>
      <c r="B36" s="19">
        <v>3</v>
      </c>
      <c r="C36" s="19">
        <v>30</v>
      </c>
      <c r="D36">
        <f t="shared" si="1"/>
        <v>120</v>
      </c>
      <c r="E36">
        <v>18</v>
      </c>
      <c r="F36" s="4">
        <f t="shared" si="0"/>
        <v>15</v>
      </c>
      <c r="J36" s="5"/>
      <c r="M36" s="17"/>
      <c r="N36" s="6"/>
    </row>
    <row r="37" spans="1:14" x14ac:dyDescent="0.25">
      <c r="A37" t="s">
        <v>16</v>
      </c>
      <c r="B37" s="19">
        <v>3</v>
      </c>
      <c r="C37" s="19">
        <v>2</v>
      </c>
      <c r="D37">
        <f t="shared" si="1"/>
        <v>8</v>
      </c>
      <c r="E37">
        <v>1</v>
      </c>
      <c r="F37" s="4">
        <f t="shared" si="0"/>
        <v>12.5</v>
      </c>
      <c r="J37" s="5"/>
      <c r="M37" s="17"/>
      <c r="N37" s="6"/>
    </row>
    <row r="38" spans="1:14" x14ac:dyDescent="0.25">
      <c r="A38" s="15" t="s">
        <v>6</v>
      </c>
      <c r="B38" s="19">
        <v>3</v>
      </c>
      <c r="C38" s="19" t="s">
        <v>4</v>
      </c>
      <c r="D38" s="37" t="s">
        <v>4</v>
      </c>
      <c r="E38" s="37" t="s">
        <v>4</v>
      </c>
      <c r="F38" s="42" t="s">
        <v>4</v>
      </c>
    </row>
    <row r="39" spans="1:14" x14ac:dyDescent="0.25">
      <c r="A39" s="15" t="s">
        <v>17</v>
      </c>
      <c r="B39" s="19">
        <v>3</v>
      </c>
      <c r="C39" s="19" t="s">
        <v>4</v>
      </c>
      <c r="D39" s="37" t="s">
        <v>4</v>
      </c>
      <c r="E39" s="37" t="s">
        <v>4</v>
      </c>
      <c r="F39" s="42" t="s">
        <v>4</v>
      </c>
    </row>
    <row r="40" spans="1:14" x14ac:dyDescent="0.25">
      <c r="A40" s="36" t="s">
        <v>20</v>
      </c>
      <c r="B40" s="19">
        <v>3</v>
      </c>
      <c r="C40" s="19">
        <v>31</v>
      </c>
      <c r="D40" s="38">
        <f t="shared" ref="D40" si="2">C40*4</f>
        <v>124</v>
      </c>
      <c r="E40" s="52">
        <v>1</v>
      </c>
      <c r="F40" s="4">
        <f t="shared" ref="F40" si="3">E40/D40*100</f>
        <v>0.80645161290322576</v>
      </c>
      <c r="K40" s="19"/>
    </row>
    <row r="41" spans="1:14" x14ac:dyDescent="0.25">
      <c r="A41" s="22"/>
      <c r="B41" s="23"/>
      <c r="C41" s="23"/>
      <c r="D41" s="22"/>
      <c r="E41" s="22"/>
      <c r="F41" s="22"/>
      <c r="G41" s="22"/>
      <c r="H41" s="22"/>
      <c r="I41" s="22"/>
      <c r="J41" s="22"/>
      <c r="K41" s="23"/>
      <c r="L41" s="55"/>
      <c r="M41" s="22"/>
      <c r="N41" s="22"/>
    </row>
    <row r="43" spans="1:14" x14ac:dyDescent="0.25">
      <c r="A43" s="69" t="s">
        <v>34</v>
      </c>
      <c r="B43" s="19"/>
      <c r="C43" s="19"/>
      <c r="K43" s="19"/>
    </row>
    <row r="44" spans="1:14" x14ac:dyDescent="0.25">
      <c r="B44" s="19"/>
      <c r="C44" s="19"/>
      <c r="K44" s="19"/>
    </row>
    <row r="45" spans="1:14" x14ac:dyDescent="0.25">
      <c r="A45" t="s">
        <v>0</v>
      </c>
      <c r="B45" s="7">
        <v>4</v>
      </c>
      <c r="C45" s="7">
        <v>32</v>
      </c>
      <c r="D45">
        <f t="shared" ref="D45:D54" si="4">C45*4</f>
        <v>128</v>
      </c>
      <c r="E45">
        <v>1</v>
      </c>
      <c r="F45" s="4">
        <f t="shared" ref="F45:F54" si="5">E45/D45*100</f>
        <v>0.78125</v>
      </c>
      <c r="I45" s="6"/>
      <c r="J45" s="48"/>
      <c r="M45" s="13"/>
      <c r="N45" s="13"/>
    </row>
    <row r="46" spans="1:14" x14ac:dyDescent="0.25">
      <c r="A46" t="s">
        <v>5</v>
      </c>
      <c r="B46" s="19">
        <v>4</v>
      </c>
      <c r="C46" s="7">
        <v>31</v>
      </c>
      <c r="D46">
        <f t="shared" si="4"/>
        <v>124</v>
      </c>
      <c r="E46">
        <v>0</v>
      </c>
      <c r="F46" s="6">
        <f t="shared" si="5"/>
        <v>0</v>
      </c>
      <c r="I46" s="6"/>
      <c r="J46" s="48"/>
      <c r="M46" s="13"/>
      <c r="N46" s="13"/>
    </row>
    <row r="47" spans="1:14" x14ac:dyDescent="0.25">
      <c r="A47" t="s">
        <v>12</v>
      </c>
      <c r="B47" s="19">
        <v>4</v>
      </c>
      <c r="C47" s="7">
        <v>32</v>
      </c>
      <c r="D47">
        <f t="shared" si="4"/>
        <v>128</v>
      </c>
      <c r="E47">
        <v>2</v>
      </c>
      <c r="F47" s="4">
        <f t="shared" si="5"/>
        <v>1.5625</v>
      </c>
      <c r="I47" s="4"/>
      <c r="J47" s="48"/>
      <c r="M47" s="13"/>
      <c r="N47" s="13"/>
    </row>
    <row r="48" spans="1:14" x14ac:dyDescent="0.25">
      <c r="A48" t="s">
        <v>13</v>
      </c>
      <c r="B48" s="19">
        <v>4</v>
      </c>
      <c r="C48" s="7">
        <v>32</v>
      </c>
      <c r="D48">
        <f t="shared" si="4"/>
        <v>128</v>
      </c>
      <c r="E48">
        <v>0</v>
      </c>
      <c r="F48" s="6">
        <f t="shared" si="5"/>
        <v>0</v>
      </c>
      <c r="I48" s="6"/>
      <c r="J48" s="48"/>
      <c r="M48" s="13"/>
      <c r="N48" s="13"/>
    </row>
    <row r="49" spans="1:16" x14ac:dyDescent="0.25">
      <c r="A49" t="s">
        <v>14</v>
      </c>
      <c r="B49" s="19">
        <v>4</v>
      </c>
      <c r="C49" s="7">
        <v>31</v>
      </c>
      <c r="D49">
        <f t="shared" si="4"/>
        <v>124</v>
      </c>
      <c r="E49">
        <v>0</v>
      </c>
      <c r="F49" s="6">
        <f t="shared" si="5"/>
        <v>0</v>
      </c>
      <c r="I49" s="6"/>
      <c r="J49" s="48"/>
      <c r="M49" s="13"/>
      <c r="N49" s="13"/>
    </row>
    <row r="50" spans="1:16" x14ac:dyDescent="0.25">
      <c r="A50" t="s">
        <v>15</v>
      </c>
      <c r="B50" s="19">
        <v>4</v>
      </c>
      <c r="C50" s="7">
        <v>31</v>
      </c>
      <c r="D50">
        <f t="shared" si="4"/>
        <v>124</v>
      </c>
      <c r="E50">
        <v>0</v>
      </c>
      <c r="F50" s="6">
        <f t="shared" si="5"/>
        <v>0</v>
      </c>
      <c r="I50" s="6"/>
      <c r="J50" s="48"/>
      <c r="M50" s="13"/>
      <c r="N50" s="13"/>
    </row>
    <row r="51" spans="1:16" x14ac:dyDescent="0.25">
      <c r="A51" t="s">
        <v>16</v>
      </c>
      <c r="B51" s="19">
        <v>4</v>
      </c>
      <c r="C51" s="7">
        <v>32</v>
      </c>
      <c r="D51">
        <f t="shared" si="4"/>
        <v>128</v>
      </c>
      <c r="E51">
        <v>1</v>
      </c>
      <c r="F51" s="4">
        <f t="shared" si="5"/>
        <v>0.78125</v>
      </c>
      <c r="I51" s="4"/>
      <c r="J51" s="48"/>
      <c r="M51" s="13"/>
      <c r="N51" s="13"/>
    </row>
    <row r="52" spans="1:16" x14ac:dyDescent="0.25">
      <c r="A52" s="15" t="s">
        <v>6</v>
      </c>
      <c r="B52" s="19">
        <v>4</v>
      </c>
      <c r="C52" s="7">
        <v>31</v>
      </c>
      <c r="D52">
        <f t="shared" si="4"/>
        <v>124</v>
      </c>
      <c r="E52">
        <v>6</v>
      </c>
      <c r="F52" s="4">
        <f t="shared" si="5"/>
        <v>4.838709677419355</v>
      </c>
      <c r="I52" s="6"/>
      <c r="J52" s="48"/>
      <c r="M52" s="13"/>
      <c r="N52" s="13"/>
    </row>
    <row r="53" spans="1:16" x14ac:dyDescent="0.25">
      <c r="A53" s="15" t="s">
        <v>17</v>
      </c>
      <c r="B53" s="19">
        <v>4</v>
      </c>
      <c r="C53" s="7">
        <v>32</v>
      </c>
      <c r="D53">
        <f t="shared" si="4"/>
        <v>128</v>
      </c>
      <c r="E53">
        <v>11</v>
      </c>
      <c r="F53" s="4">
        <f t="shared" si="5"/>
        <v>8.59375</v>
      </c>
      <c r="I53" s="6"/>
      <c r="J53" s="48"/>
      <c r="M53" s="13"/>
      <c r="N53" s="13"/>
    </row>
    <row r="54" spans="1:16" x14ac:dyDescent="0.25">
      <c r="A54" t="s">
        <v>19</v>
      </c>
      <c r="B54" s="19">
        <v>4</v>
      </c>
      <c r="C54" s="7">
        <v>21</v>
      </c>
      <c r="D54">
        <f t="shared" si="4"/>
        <v>84</v>
      </c>
      <c r="E54">
        <v>14</v>
      </c>
      <c r="F54" s="4">
        <f t="shared" si="5"/>
        <v>16.666666666666664</v>
      </c>
      <c r="I54" s="4"/>
      <c r="J54" s="50"/>
      <c r="M54" s="4"/>
      <c r="N54" s="4"/>
    </row>
    <row r="55" spans="1:16" x14ac:dyDescent="0.25">
      <c r="P55" t="s">
        <v>22</v>
      </c>
    </row>
    <row r="56" spans="1:16" x14ac:dyDescent="0.25">
      <c r="A56" t="s">
        <v>0</v>
      </c>
      <c r="B56" s="19">
        <v>5</v>
      </c>
      <c r="C56" s="19">
        <v>32</v>
      </c>
      <c r="D56">
        <f t="shared" ref="D56:D65" si="6">C56*4</f>
        <v>128</v>
      </c>
      <c r="E56">
        <v>0</v>
      </c>
      <c r="F56" s="6">
        <f t="shared" ref="F56:F65" si="7">E56/D56*100</f>
        <v>0</v>
      </c>
      <c r="J56" s="48"/>
      <c r="M56" s="13"/>
      <c r="N56" s="13"/>
    </row>
    <row r="57" spans="1:16" x14ac:dyDescent="0.25">
      <c r="A57" t="s">
        <v>5</v>
      </c>
      <c r="B57" s="19">
        <v>5</v>
      </c>
      <c r="C57" s="19">
        <v>32</v>
      </c>
      <c r="D57">
        <f t="shared" si="6"/>
        <v>128</v>
      </c>
      <c r="E57">
        <v>2</v>
      </c>
      <c r="F57" s="4">
        <f t="shared" si="7"/>
        <v>1.5625</v>
      </c>
      <c r="J57" s="48"/>
      <c r="M57" s="4"/>
      <c r="N57" s="6"/>
    </row>
    <row r="58" spans="1:16" x14ac:dyDescent="0.25">
      <c r="A58" t="s">
        <v>12</v>
      </c>
      <c r="B58" s="19">
        <v>5</v>
      </c>
      <c r="C58" s="19">
        <v>31</v>
      </c>
      <c r="D58">
        <f t="shared" si="6"/>
        <v>124</v>
      </c>
      <c r="E58">
        <v>3</v>
      </c>
      <c r="F58" s="4">
        <f t="shared" si="7"/>
        <v>2.4193548387096775</v>
      </c>
      <c r="I58" s="4"/>
      <c r="J58" s="50"/>
      <c r="M58" s="4"/>
      <c r="N58" s="17"/>
    </row>
    <row r="59" spans="1:16" x14ac:dyDescent="0.25">
      <c r="A59" t="s">
        <v>13</v>
      </c>
      <c r="B59" s="19">
        <v>5</v>
      </c>
      <c r="C59" s="19">
        <v>32</v>
      </c>
      <c r="D59">
        <f t="shared" si="6"/>
        <v>128</v>
      </c>
      <c r="E59">
        <v>5</v>
      </c>
      <c r="F59" s="4">
        <f t="shared" si="7"/>
        <v>3.90625</v>
      </c>
      <c r="I59" s="4"/>
      <c r="J59" s="53"/>
      <c r="M59" s="4"/>
      <c r="N59" s="17"/>
    </row>
    <row r="60" spans="1:16" x14ac:dyDescent="0.25">
      <c r="A60" t="s">
        <v>14</v>
      </c>
      <c r="B60" s="19">
        <v>5</v>
      </c>
      <c r="C60" s="19">
        <v>32</v>
      </c>
      <c r="D60">
        <f t="shared" si="6"/>
        <v>128</v>
      </c>
      <c r="E60">
        <v>1</v>
      </c>
      <c r="F60" s="4">
        <f t="shared" si="7"/>
        <v>0.78125</v>
      </c>
      <c r="J60" s="48"/>
      <c r="M60" s="4"/>
      <c r="N60" s="6"/>
    </row>
    <row r="61" spans="1:16" x14ac:dyDescent="0.25">
      <c r="A61" t="s">
        <v>15</v>
      </c>
      <c r="B61" s="19">
        <v>5</v>
      </c>
      <c r="C61" s="19">
        <v>32</v>
      </c>
      <c r="D61">
        <f t="shared" si="6"/>
        <v>128</v>
      </c>
      <c r="E61">
        <v>5</v>
      </c>
      <c r="F61" s="4">
        <f t="shared" si="7"/>
        <v>3.90625</v>
      </c>
      <c r="J61" s="48"/>
      <c r="M61" s="4"/>
      <c r="N61" s="6"/>
    </row>
    <row r="62" spans="1:16" x14ac:dyDescent="0.25">
      <c r="A62" t="s">
        <v>16</v>
      </c>
      <c r="B62" s="19">
        <v>5</v>
      </c>
      <c r="C62" s="19">
        <v>32</v>
      </c>
      <c r="D62">
        <f t="shared" si="6"/>
        <v>128</v>
      </c>
      <c r="E62">
        <v>7</v>
      </c>
      <c r="F62" s="4">
        <f t="shared" si="7"/>
        <v>5.46875</v>
      </c>
      <c r="I62" s="4"/>
      <c r="J62" s="50"/>
      <c r="M62" s="4"/>
      <c r="N62" s="17"/>
    </row>
    <row r="63" spans="1:16" x14ac:dyDescent="0.25">
      <c r="A63" s="15" t="s">
        <v>6</v>
      </c>
      <c r="B63" s="19">
        <v>5</v>
      </c>
      <c r="C63" s="19">
        <v>32</v>
      </c>
      <c r="D63">
        <f t="shared" si="6"/>
        <v>128</v>
      </c>
      <c r="E63">
        <v>13</v>
      </c>
      <c r="F63" s="4">
        <f t="shared" si="7"/>
        <v>10.15625</v>
      </c>
      <c r="I63" s="4"/>
      <c r="J63" s="50"/>
      <c r="M63" s="4"/>
      <c r="N63" s="17"/>
    </row>
    <row r="64" spans="1:16" x14ac:dyDescent="0.25">
      <c r="A64" s="15" t="s">
        <v>17</v>
      </c>
      <c r="B64" s="19">
        <v>5</v>
      </c>
      <c r="C64" s="19">
        <v>32</v>
      </c>
      <c r="D64">
        <f t="shared" si="6"/>
        <v>128</v>
      </c>
      <c r="E64">
        <v>9</v>
      </c>
      <c r="F64" s="4">
        <f t="shared" si="7"/>
        <v>7.03125</v>
      </c>
      <c r="I64" s="4"/>
      <c r="J64" s="50"/>
      <c r="M64" s="4"/>
      <c r="N64" s="17"/>
    </row>
    <row r="65" spans="1:19" x14ac:dyDescent="0.25">
      <c r="A65" t="s">
        <v>19</v>
      </c>
      <c r="B65" s="19">
        <v>5</v>
      </c>
      <c r="C65" s="19">
        <v>31</v>
      </c>
      <c r="D65">
        <f t="shared" si="6"/>
        <v>124</v>
      </c>
      <c r="E65">
        <v>9</v>
      </c>
      <c r="F65" s="4">
        <f t="shared" si="7"/>
        <v>7.2580645161290329</v>
      </c>
      <c r="J65" s="48"/>
      <c r="M65" s="4"/>
      <c r="N65" s="17"/>
    </row>
    <row r="67" spans="1:19" x14ac:dyDescent="0.25">
      <c r="A67" t="s">
        <v>0</v>
      </c>
      <c r="B67" s="19">
        <v>6</v>
      </c>
      <c r="C67" s="19">
        <v>32</v>
      </c>
      <c r="D67">
        <f t="shared" ref="D67:D76" si="8">C67*4</f>
        <v>128</v>
      </c>
      <c r="E67">
        <v>1</v>
      </c>
      <c r="F67" s="4">
        <f t="shared" ref="F67:F76" si="9">E67/D67*100</f>
        <v>0.78125</v>
      </c>
      <c r="I67" s="4"/>
      <c r="J67" s="48"/>
      <c r="M67" s="6"/>
      <c r="N67" s="6"/>
    </row>
    <row r="68" spans="1:19" x14ac:dyDescent="0.25">
      <c r="A68" t="s">
        <v>5</v>
      </c>
      <c r="B68" s="19">
        <v>6</v>
      </c>
      <c r="C68" s="19">
        <v>32</v>
      </c>
      <c r="D68">
        <f t="shared" si="8"/>
        <v>128</v>
      </c>
      <c r="E68">
        <v>2</v>
      </c>
      <c r="F68" s="4">
        <f t="shared" si="9"/>
        <v>1.5625</v>
      </c>
      <c r="J68" s="48"/>
      <c r="M68" s="4"/>
      <c r="N68" s="6"/>
    </row>
    <row r="69" spans="1:19" x14ac:dyDescent="0.25">
      <c r="A69" t="s">
        <v>12</v>
      </c>
      <c r="B69" s="19">
        <v>6</v>
      </c>
      <c r="C69" s="19">
        <v>31</v>
      </c>
      <c r="D69">
        <f t="shared" si="8"/>
        <v>124</v>
      </c>
      <c r="E69">
        <v>2</v>
      </c>
      <c r="F69" s="4">
        <f t="shared" si="9"/>
        <v>1.6129032258064515</v>
      </c>
      <c r="J69" s="48"/>
      <c r="M69" s="4"/>
      <c r="N69" s="6"/>
    </row>
    <row r="70" spans="1:19" x14ac:dyDescent="0.25">
      <c r="A70" t="s">
        <v>13</v>
      </c>
      <c r="B70" s="19">
        <v>6</v>
      </c>
      <c r="C70" s="19">
        <v>32</v>
      </c>
      <c r="D70">
        <f t="shared" si="8"/>
        <v>128</v>
      </c>
      <c r="E70">
        <v>5</v>
      </c>
      <c r="F70" s="4">
        <f t="shared" si="9"/>
        <v>3.90625</v>
      </c>
      <c r="J70" s="48"/>
      <c r="M70" s="4"/>
      <c r="N70" s="17"/>
    </row>
    <row r="71" spans="1:19" x14ac:dyDescent="0.25">
      <c r="A71" t="s">
        <v>14</v>
      </c>
      <c r="B71" s="19">
        <v>6</v>
      </c>
      <c r="C71" s="19">
        <v>32</v>
      </c>
      <c r="D71">
        <f t="shared" si="8"/>
        <v>128</v>
      </c>
      <c r="E71">
        <v>0</v>
      </c>
      <c r="F71" s="6">
        <f t="shared" si="9"/>
        <v>0</v>
      </c>
      <c r="J71" s="48"/>
      <c r="M71" s="6"/>
      <c r="N71" s="6"/>
    </row>
    <row r="72" spans="1:19" x14ac:dyDescent="0.25">
      <c r="A72" t="s">
        <v>15</v>
      </c>
      <c r="B72" s="19">
        <v>6</v>
      </c>
      <c r="C72" s="19">
        <v>32</v>
      </c>
      <c r="D72">
        <f t="shared" si="8"/>
        <v>128</v>
      </c>
      <c r="E72">
        <v>1</v>
      </c>
      <c r="F72" s="4">
        <f t="shared" si="9"/>
        <v>0.78125</v>
      </c>
      <c r="I72" s="4"/>
      <c r="J72" s="48"/>
      <c r="M72" s="6"/>
      <c r="N72" s="6"/>
    </row>
    <row r="73" spans="1:19" x14ac:dyDescent="0.25">
      <c r="A73" t="s">
        <v>16</v>
      </c>
      <c r="B73" s="19">
        <v>6</v>
      </c>
      <c r="C73" s="19">
        <v>31</v>
      </c>
      <c r="D73">
        <f t="shared" si="8"/>
        <v>124</v>
      </c>
      <c r="E73">
        <v>1</v>
      </c>
      <c r="F73" s="4">
        <f t="shared" si="9"/>
        <v>0.80645161290322576</v>
      </c>
      <c r="J73" s="48"/>
      <c r="M73" s="6"/>
      <c r="N73" s="6"/>
    </row>
    <row r="74" spans="1:19" x14ac:dyDescent="0.25">
      <c r="A74" s="15" t="s">
        <v>6</v>
      </c>
      <c r="B74" s="19">
        <v>6</v>
      </c>
      <c r="C74" s="19">
        <v>32</v>
      </c>
      <c r="D74">
        <f t="shared" si="8"/>
        <v>128</v>
      </c>
      <c r="E74">
        <v>6</v>
      </c>
      <c r="F74" s="4">
        <f t="shared" si="9"/>
        <v>4.6875</v>
      </c>
      <c r="I74" s="4"/>
      <c r="J74" s="50"/>
      <c r="M74" s="6"/>
      <c r="N74" s="6"/>
    </row>
    <row r="75" spans="1:19" x14ac:dyDescent="0.25">
      <c r="A75" s="15" t="s">
        <v>17</v>
      </c>
      <c r="B75" s="19">
        <v>6</v>
      </c>
      <c r="C75" s="19">
        <v>32</v>
      </c>
      <c r="D75">
        <f t="shared" si="8"/>
        <v>128</v>
      </c>
      <c r="E75">
        <v>8</v>
      </c>
      <c r="F75" s="4">
        <f t="shared" si="9"/>
        <v>6.25</v>
      </c>
      <c r="I75" s="4"/>
      <c r="J75" s="53"/>
      <c r="M75" s="4"/>
      <c r="N75" s="18"/>
    </row>
    <row r="76" spans="1:19" x14ac:dyDescent="0.25">
      <c r="A76" t="s">
        <v>19</v>
      </c>
      <c r="B76" s="19">
        <v>6</v>
      </c>
      <c r="C76" s="19">
        <v>16</v>
      </c>
      <c r="D76">
        <f t="shared" si="8"/>
        <v>64</v>
      </c>
      <c r="E76">
        <v>6</v>
      </c>
      <c r="F76" s="4">
        <f t="shared" si="9"/>
        <v>9.375</v>
      </c>
      <c r="I76" s="4"/>
      <c r="J76" s="50"/>
      <c r="M76" s="4"/>
      <c r="N76" s="4"/>
    </row>
    <row r="77" spans="1:19" x14ac:dyDescent="0.25">
      <c r="A77" s="22"/>
      <c r="B77" s="23"/>
      <c r="C77" s="23"/>
      <c r="D77" s="22"/>
      <c r="E77" s="22"/>
      <c r="F77" s="22"/>
      <c r="G77" s="22"/>
      <c r="H77" s="22"/>
      <c r="I77" s="22"/>
      <c r="J77" s="22"/>
      <c r="K77" s="23"/>
      <c r="L77" s="55"/>
      <c r="M77" s="22"/>
      <c r="N77" s="22"/>
      <c r="O77" s="22"/>
      <c r="P77" s="22"/>
      <c r="Q77" s="22"/>
      <c r="R77" s="22"/>
      <c r="S77" s="22"/>
    </row>
    <row r="79" spans="1:19" x14ac:dyDescent="0.25">
      <c r="A79" s="69" t="s">
        <v>41</v>
      </c>
      <c r="B79" s="19"/>
      <c r="C79" s="19"/>
      <c r="K79" s="19"/>
    </row>
    <row r="80" spans="1:19" x14ac:dyDescent="0.25">
      <c r="B80" s="19"/>
      <c r="C80" s="19"/>
      <c r="K80" s="19"/>
    </row>
    <row r="81" spans="1:12" ht="15" customHeight="1" x14ac:dyDescent="0.25">
      <c r="A81" s="62" t="s">
        <v>53</v>
      </c>
      <c r="B81" s="62" t="s">
        <v>8</v>
      </c>
      <c r="C81" s="62" t="s">
        <v>56</v>
      </c>
      <c r="D81" s="63" t="s">
        <v>64</v>
      </c>
      <c r="E81" s="63" t="s">
        <v>62</v>
      </c>
      <c r="F81" s="63" t="s">
        <v>63</v>
      </c>
      <c r="K81" s="19"/>
    </row>
    <row r="82" spans="1:12" x14ac:dyDescent="0.25">
      <c r="A82" s="62"/>
      <c r="B82" s="62"/>
      <c r="C82" s="62"/>
      <c r="D82" s="63"/>
      <c r="E82" s="63"/>
      <c r="F82" s="63"/>
      <c r="K82" s="19"/>
    </row>
    <row r="83" spans="1:12" x14ac:dyDescent="0.25">
      <c r="A83" t="s">
        <v>27</v>
      </c>
      <c r="B83" s="19">
        <v>1</v>
      </c>
      <c r="C83" s="7">
        <v>32</v>
      </c>
      <c r="D83">
        <f t="shared" ref="D83:D93" si="10">C83*4</f>
        <v>128</v>
      </c>
      <c r="E83" s="31">
        <v>14</v>
      </c>
      <c r="F83" s="34">
        <f t="shared" ref="F83:F93" si="11">E83/D83*100</f>
        <v>10.9375</v>
      </c>
    </row>
    <row r="84" spans="1:12" x14ac:dyDescent="0.25">
      <c r="A84" t="s">
        <v>23</v>
      </c>
      <c r="B84" s="19">
        <v>1</v>
      </c>
      <c r="C84" s="7">
        <v>0</v>
      </c>
      <c r="D84" s="19" t="s">
        <v>4</v>
      </c>
      <c r="E84" s="37" t="s">
        <v>4</v>
      </c>
      <c r="F84" s="37" t="s">
        <v>4</v>
      </c>
      <c r="H84" s="19"/>
    </row>
    <row r="85" spans="1:12" x14ac:dyDescent="0.25">
      <c r="A85" t="s">
        <v>29</v>
      </c>
      <c r="B85" s="19">
        <v>1</v>
      </c>
      <c r="C85" s="7">
        <v>0</v>
      </c>
      <c r="D85" s="19" t="s">
        <v>4</v>
      </c>
      <c r="E85" s="37" t="s">
        <v>4</v>
      </c>
      <c r="F85" s="37" t="s">
        <v>4</v>
      </c>
      <c r="H85" s="19"/>
    </row>
    <row r="86" spans="1:12" x14ac:dyDescent="0.25">
      <c r="A86" t="s">
        <v>24</v>
      </c>
      <c r="B86" s="19">
        <v>1</v>
      </c>
      <c r="C86" s="7">
        <v>32</v>
      </c>
      <c r="D86">
        <f t="shared" si="10"/>
        <v>128</v>
      </c>
      <c r="E86" s="31">
        <v>6</v>
      </c>
      <c r="F86" s="34">
        <f t="shared" si="11"/>
        <v>4.6875</v>
      </c>
    </row>
    <row r="87" spans="1:12" x14ac:dyDescent="0.25">
      <c r="A87" t="s">
        <v>30</v>
      </c>
      <c r="B87" s="19">
        <v>1</v>
      </c>
      <c r="C87" s="19">
        <v>32</v>
      </c>
      <c r="D87">
        <f t="shared" si="10"/>
        <v>128</v>
      </c>
      <c r="E87" s="31">
        <v>21</v>
      </c>
      <c r="F87" s="34">
        <f t="shared" si="11"/>
        <v>16.40625</v>
      </c>
    </row>
    <row r="88" spans="1:12" x14ac:dyDescent="0.25">
      <c r="A88" t="s">
        <v>25</v>
      </c>
      <c r="B88" s="19">
        <v>1</v>
      </c>
      <c r="C88" s="19">
        <v>32</v>
      </c>
      <c r="D88">
        <f t="shared" si="10"/>
        <v>128</v>
      </c>
      <c r="E88" s="31">
        <v>17</v>
      </c>
      <c r="F88" s="34">
        <f t="shared" si="11"/>
        <v>13.28125</v>
      </c>
    </row>
    <row r="89" spans="1:12" x14ac:dyDescent="0.25">
      <c r="A89" t="s">
        <v>31</v>
      </c>
      <c r="B89" s="37">
        <v>1</v>
      </c>
      <c r="C89" s="19">
        <v>32</v>
      </c>
      <c r="D89">
        <f t="shared" si="10"/>
        <v>128</v>
      </c>
      <c r="E89" s="31">
        <v>0</v>
      </c>
      <c r="F89" s="44">
        <f t="shared" si="11"/>
        <v>0</v>
      </c>
    </row>
    <row r="90" spans="1:12" x14ac:dyDescent="0.25">
      <c r="A90" t="s">
        <v>26</v>
      </c>
      <c r="B90" s="37">
        <v>1</v>
      </c>
      <c r="C90" s="19">
        <v>32</v>
      </c>
      <c r="D90">
        <f t="shared" si="10"/>
        <v>128</v>
      </c>
      <c r="E90" s="31">
        <v>17</v>
      </c>
      <c r="F90" s="34">
        <f t="shared" si="11"/>
        <v>13.28125</v>
      </c>
    </row>
    <row r="91" spans="1:12" x14ac:dyDescent="0.25">
      <c r="A91" t="s">
        <v>32</v>
      </c>
      <c r="B91" s="37">
        <v>1</v>
      </c>
      <c r="C91" s="19">
        <v>32</v>
      </c>
      <c r="D91">
        <f t="shared" si="10"/>
        <v>128</v>
      </c>
      <c r="E91" s="31">
        <v>2</v>
      </c>
      <c r="F91" s="34">
        <f t="shared" si="11"/>
        <v>1.5625</v>
      </c>
    </row>
    <row r="92" spans="1:12" x14ac:dyDescent="0.25">
      <c r="A92" t="s">
        <v>28</v>
      </c>
      <c r="B92" s="37">
        <v>1</v>
      </c>
      <c r="C92" s="19">
        <v>32</v>
      </c>
      <c r="D92">
        <f t="shared" si="10"/>
        <v>128</v>
      </c>
      <c r="E92" s="31">
        <v>14</v>
      </c>
      <c r="F92" s="34">
        <f t="shared" si="11"/>
        <v>10.9375</v>
      </c>
    </row>
    <row r="93" spans="1:12" x14ac:dyDescent="0.25">
      <c r="A93" t="s">
        <v>33</v>
      </c>
      <c r="B93" s="37">
        <v>1</v>
      </c>
      <c r="C93" s="19">
        <v>32</v>
      </c>
      <c r="D93">
        <f t="shared" si="10"/>
        <v>128</v>
      </c>
      <c r="E93" s="31">
        <v>0</v>
      </c>
      <c r="F93" s="44">
        <f t="shared" si="11"/>
        <v>0</v>
      </c>
      <c r="K93" s="19"/>
    </row>
    <row r="94" spans="1:12" x14ac:dyDescent="0.25">
      <c r="B94" s="19"/>
      <c r="F94" s="6"/>
    </row>
    <row r="95" spans="1:12" s="24" customFormat="1" x14ac:dyDescent="0.25">
      <c r="B95" s="49"/>
      <c r="C95" s="49"/>
      <c r="K95" s="49"/>
      <c r="L95" s="21"/>
    </row>
    <row r="96" spans="1:12" x14ac:dyDescent="0.25">
      <c r="A96" t="s">
        <v>0</v>
      </c>
      <c r="B96" s="19">
        <v>1</v>
      </c>
      <c r="C96">
        <v>32</v>
      </c>
      <c r="D96">
        <f>C96*4</f>
        <v>128</v>
      </c>
      <c r="E96">
        <v>2</v>
      </c>
      <c r="F96" s="4">
        <f t="shared" ref="F96:F106" si="12">E96/D96*100</f>
        <v>1.5625</v>
      </c>
      <c r="G96" s="4"/>
    </row>
    <row r="97" spans="1:6" x14ac:dyDescent="0.25">
      <c r="A97" t="s">
        <v>23</v>
      </c>
      <c r="B97" s="19">
        <v>1</v>
      </c>
      <c r="C97">
        <v>0</v>
      </c>
      <c r="D97">
        <f t="shared" ref="D97:D106" si="13">C97*4</f>
        <v>0</v>
      </c>
      <c r="E97" s="19" t="s">
        <v>4</v>
      </c>
      <c r="F97" s="19" t="s">
        <v>4</v>
      </c>
    </row>
    <row r="98" spans="1:6" x14ac:dyDescent="0.25">
      <c r="A98" t="s">
        <v>29</v>
      </c>
      <c r="B98" s="19">
        <v>1</v>
      </c>
      <c r="C98">
        <v>0</v>
      </c>
      <c r="D98">
        <f t="shared" si="13"/>
        <v>0</v>
      </c>
      <c r="E98" s="19" t="s">
        <v>4</v>
      </c>
      <c r="F98" s="19" t="s">
        <v>4</v>
      </c>
    </row>
    <row r="99" spans="1:6" x14ac:dyDescent="0.25">
      <c r="A99" t="s">
        <v>35</v>
      </c>
      <c r="B99" s="19">
        <v>1</v>
      </c>
      <c r="C99">
        <v>0</v>
      </c>
      <c r="D99">
        <f t="shared" si="13"/>
        <v>0</v>
      </c>
      <c r="E99" s="19" t="s">
        <v>4</v>
      </c>
      <c r="F99" s="19" t="s">
        <v>4</v>
      </c>
    </row>
    <row r="100" spans="1:6" x14ac:dyDescent="0.25">
      <c r="A100" t="s">
        <v>36</v>
      </c>
      <c r="B100" s="19">
        <v>1</v>
      </c>
      <c r="C100">
        <v>0</v>
      </c>
      <c r="D100">
        <f t="shared" si="13"/>
        <v>0</v>
      </c>
      <c r="E100" s="19" t="s">
        <v>4</v>
      </c>
      <c r="F100" s="19" t="s">
        <v>4</v>
      </c>
    </row>
    <row r="101" spans="1:6" x14ac:dyDescent="0.25">
      <c r="A101" t="s">
        <v>37</v>
      </c>
      <c r="B101" s="19">
        <v>1</v>
      </c>
      <c r="C101">
        <v>22</v>
      </c>
      <c r="D101">
        <f t="shared" si="13"/>
        <v>88</v>
      </c>
      <c r="E101">
        <v>7</v>
      </c>
      <c r="F101" s="4">
        <f t="shared" si="12"/>
        <v>7.9545454545454541</v>
      </c>
    </row>
    <row r="102" spans="1:6" x14ac:dyDescent="0.25">
      <c r="A102" t="s">
        <v>38</v>
      </c>
      <c r="B102" s="19">
        <v>1</v>
      </c>
      <c r="C102">
        <v>30</v>
      </c>
      <c r="D102">
        <f t="shared" si="13"/>
        <v>120</v>
      </c>
      <c r="E102">
        <v>3</v>
      </c>
      <c r="F102" s="4">
        <f t="shared" si="12"/>
        <v>2.5</v>
      </c>
    </row>
    <row r="103" spans="1:6" x14ac:dyDescent="0.25">
      <c r="A103" t="s">
        <v>39</v>
      </c>
      <c r="B103" s="19">
        <v>1</v>
      </c>
      <c r="C103">
        <v>31</v>
      </c>
      <c r="D103">
        <f t="shared" si="13"/>
        <v>124</v>
      </c>
      <c r="E103">
        <v>11</v>
      </c>
      <c r="F103" s="4">
        <f t="shared" si="12"/>
        <v>8.870967741935484</v>
      </c>
    </row>
    <row r="104" spans="1:6" x14ac:dyDescent="0.25">
      <c r="A104" t="s">
        <v>40</v>
      </c>
      <c r="B104" s="19">
        <v>1</v>
      </c>
      <c r="C104">
        <v>32</v>
      </c>
      <c r="D104">
        <f t="shared" si="13"/>
        <v>128</v>
      </c>
      <c r="E104">
        <v>10</v>
      </c>
      <c r="F104" s="4">
        <f t="shared" si="12"/>
        <v>7.8125</v>
      </c>
    </row>
    <row r="105" spans="1:6" x14ac:dyDescent="0.25">
      <c r="A105" t="s">
        <v>24</v>
      </c>
      <c r="B105" s="19">
        <v>1</v>
      </c>
      <c r="C105">
        <v>32</v>
      </c>
      <c r="D105">
        <f t="shared" si="13"/>
        <v>128</v>
      </c>
      <c r="E105">
        <v>5</v>
      </c>
      <c r="F105" s="4">
        <f t="shared" si="12"/>
        <v>3.90625</v>
      </c>
    </row>
    <row r="106" spans="1:6" x14ac:dyDescent="0.25">
      <c r="A106" t="s">
        <v>30</v>
      </c>
      <c r="B106" s="19">
        <v>1</v>
      </c>
      <c r="C106">
        <v>31</v>
      </c>
      <c r="D106">
        <f t="shared" si="13"/>
        <v>124</v>
      </c>
      <c r="E106">
        <v>0</v>
      </c>
      <c r="F106" s="6">
        <f t="shared" si="12"/>
        <v>0</v>
      </c>
    </row>
    <row r="107" spans="1:6" x14ac:dyDescent="0.25">
      <c r="B107"/>
      <c r="C107"/>
    </row>
    <row r="108" spans="1:6" x14ac:dyDescent="0.25">
      <c r="A108" t="s">
        <v>0</v>
      </c>
      <c r="B108" s="19">
        <v>2</v>
      </c>
      <c r="C108">
        <v>32</v>
      </c>
      <c r="D108">
        <f>C108*4</f>
        <v>128</v>
      </c>
      <c r="E108">
        <v>0</v>
      </c>
      <c r="F108" s="6">
        <f t="shared" ref="F108:F116" si="14">E108/D108*100</f>
        <v>0</v>
      </c>
    </row>
    <row r="109" spans="1:6" x14ac:dyDescent="0.25">
      <c r="A109" t="s">
        <v>35</v>
      </c>
      <c r="B109" s="19">
        <v>2</v>
      </c>
      <c r="C109">
        <v>25</v>
      </c>
      <c r="D109">
        <f t="shared" ref="D109:D116" si="15">C109*4</f>
        <v>100</v>
      </c>
      <c r="E109">
        <v>4</v>
      </c>
      <c r="F109" s="17">
        <f t="shared" si="14"/>
        <v>4</v>
      </c>
    </row>
    <row r="110" spans="1:6" x14ac:dyDescent="0.25">
      <c r="A110" t="s">
        <v>36</v>
      </c>
      <c r="B110" s="19">
        <v>2</v>
      </c>
      <c r="C110">
        <v>16</v>
      </c>
      <c r="D110">
        <f t="shared" si="15"/>
        <v>64</v>
      </c>
      <c r="E110">
        <v>2</v>
      </c>
      <c r="F110" s="4">
        <f t="shared" si="14"/>
        <v>3.125</v>
      </c>
    </row>
    <row r="111" spans="1:6" x14ac:dyDescent="0.25">
      <c r="A111" t="s">
        <v>42</v>
      </c>
      <c r="B111" s="19">
        <v>2</v>
      </c>
      <c r="C111">
        <v>22</v>
      </c>
      <c r="D111">
        <f t="shared" si="15"/>
        <v>88</v>
      </c>
      <c r="E111">
        <v>3</v>
      </c>
      <c r="F111" s="4">
        <f t="shared" si="14"/>
        <v>3.4090909090909087</v>
      </c>
    </row>
    <row r="112" spans="1:6" x14ac:dyDescent="0.25">
      <c r="A112" t="s">
        <v>43</v>
      </c>
      <c r="B112" s="19">
        <v>2</v>
      </c>
      <c r="C112">
        <v>24</v>
      </c>
      <c r="D112">
        <f t="shared" si="15"/>
        <v>96</v>
      </c>
      <c r="E112">
        <v>7</v>
      </c>
      <c r="F112" s="4">
        <f t="shared" si="14"/>
        <v>7.291666666666667</v>
      </c>
    </row>
    <row r="113" spans="1:6" x14ac:dyDescent="0.25">
      <c r="A113" t="s">
        <v>37</v>
      </c>
      <c r="B113" s="19">
        <v>2</v>
      </c>
      <c r="C113">
        <v>30</v>
      </c>
      <c r="D113">
        <f t="shared" si="15"/>
        <v>120</v>
      </c>
      <c r="E113">
        <v>10</v>
      </c>
      <c r="F113" s="4">
        <f t="shared" si="14"/>
        <v>8.3333333333333321</v>
      </c>
    </row>
    <row r="114" spans="1:6" x14ac:dyDescent="0.25">
      <c r="A114" t="s">
        <v>38</v>
      </c>
      <c r="B114" s="19">
        <v>2</v>
      </c>
      <c r="C114">
        <v>27</v>
      </c>
      <c r="D114">
        <f t="shared" si="15"/>
        <v>108</v>
      </c>
      <c r="E114">
        <v>5</v>
      </c>
      <c r="F114" s="4">
        <f t="shared" si="14"/>
        <v>4.6296296296296298</v>
      </c>
    </row>
    <row r="115" spans="1:6" x14ac:dyDescent="0.25">
      <c r="A115" t="s">
        <v>39</v>
      </c>
      <c r="B115" s="19">
        <v>2</v>
      </c>
      <c r="C115">
        <v>32</v>
      </c>
      <c r="D115">
        <f t="shared" si="15"/>
        <v>128</v>
      </c>
      <c r="E115">
        <v>3</v>
      </c>
      <c r="F115" s="4">
        <f t="shared" si="14"/>
        <v>2.34375</v>
      </c>
    </row>
    <row r="116" spans="1:6" x14ac:dyDescent="0.25">
      <c r="A116" t="s">
        <v>40</v>
      </c>
      <c r="B116" s="19">
        <v>2</v>
      </c>
      <c r="C116">
        <v>27</v>
      </c>
      <c r="D116">
        <f t="shared" si="15"/>
        <v>108</v>
      </c>
      <c r="E116">
        <v>0</v>
      </c>
      <c r="F116" s="6">
        <f t="shared" si="14"/>
        <v>0</v>
      </c>
    </row>
    <row r="117" spans="1:6" x14ac:dyDescent="0.25">
      <c r="B117" s="19"/>
      <c r="C117"/>
      <c r="F117" s="6"/>
    </row>
    <row r="118" spans="1:6" x14ac:dyDescent="0.25">
      <c r="A118" t="s">
        <v>0</v>
      </c>
      <c r="B118" s="19">
        <v>3</v>
      </c>
      <c r="C118">
        <v>32</v>
      </c>
      <c r="D118">
        <f>C118*4</f>
        <v>128</v>
      </c>
      <c r="E118">
        <v>2</v>
      </c>
      <c r="F118" s="4">
        <f t="shared" ref="F118:F130" si="16">E118/D118*100</f>
        <v>1.5625</v>
      </c>
    </row>
    <row r="119" spans="1:6" x14ac:dyDescent="0.25">
      <c r="A119" t="s">
        <v>23</v>
      </c>
      <c r="B119" s="19">
        <v>1</v>
      </c>
      <c r="C119">
        <v>0</v>
      </c>
      <c r="D119">
        <f t="shared" ref="D119:D131" si="17">C119*4</f>
        <v>0</v>
      </c>
      <c r="E119" s="19" t="s">
        <v>4</v>
      </c>
      <c r="F119" s="19" t="s">
        <v>4</v>
      </c>
    </row>
    <row r="120" spans="1:6" x14ac:dyDescent="0.25">
      <c r="A120" t="s">
        <v>29</v>
      </c>
      <c r="B120" s="19">
        <v>1</v>
      </c>
      <c r="C120">
        <v>0</v>
      </c>
      <c r="D120">
        <f t="shared" si="17"/>
        <v>0</v>
      </c>
      <c r="E120" s="19" t="s">
        <v>4</v>
      </c>
      <c r="F120" s="19" t="s">
        <v>4</v>
      </c>
    </row>
    <row r="121" spans="1:6" x14ac:dyDescent="0.25">
      <c r="A121" t="s">
        <v>44</v>
      </c>
      <c r="B121" s="19">
        <v>1</v>
      </c>
      <c r="C121">
        <v>0</v>
      </c>
      <c r="D121">
        <f t="shared" si="17"/>
        <v>0</v>
      </c>
      <c r="E121" s="19" t="s">
        <v>4</v>
      </c>
      <c r="F121" s="19" t="s">
        <v>4</v>
      </c>
    </row>
    <row r="122" spans="1:6" x14ac:dyDescent="0.25">
      <c r="A122" t="s">
        <v>45</v>
      </c>
      <c r="B122" s="19">
        <v>1</v>
      </c>
      <c r="C122">
        <v>0</v>
      </c>
      <c r="D122">
        <f t="shared" si="17"/>
        <v>0</v>
      </c>
      <c r="E122" s="19" t="s">
        <v>4</v>
      </c>
      <c r="F122" s="19" t="s">
        <v>4</v>
      </c>
    </row>
    <row r="123" spans="1:6" x14ac:dyDescent="0.25">
      <c r="A123" t="s">
        <v>46</v>
      </c>
      <c r="B123" s="19">
        <v>1</v>
      </c>
      <c r="C123">
        <v>0</v>
      </c>
      <c r="D123">
        <f t="shared" si="17"/>
        <v>0</v>
      </c>
      <c r="E123" s="19" t="s">
        <v>4</v>
      </c>
      <c r="F123" s="19" t="s">
        <v>4</v>
      </c>
    </row>
    <row r="124" spans="1:6" x14ac:dyDescent="0.25">
      <c r="A124" t="s">
        <v>47</v>
      </c>
      <c r="B124" s="19">
        <v>1</v>
      </c>
      <c r="C124">
        <v>0</v>
      </c>
      <c r="D124">
        <f t="shared" si="17"/>
        <v>0</v>
      </c>
      <c r="E124" s="19" t="s">
        <v>4</v>
      </c>
      <c r="F124" s="19" t="s">
        <v>4</v>
      </c>
    </row>
    <row r="125" spans="1:6" x14ac:dyDescent="0.25">
      <c r="A125" t="s">
        <v>48</v>
      </c>
      <c r="B125" s="19">
        <v>1</v>
      </c>
      <c r="C125">
        <v>6</v>
      </c>
      <c r="D125">
        <f t="shared" si="17"/>
        <v>24</v>
      </c>
      <c r="E125">
        <v>0</v>
      </c>
      <c r="F125" s="6">
        <f t="shared" si="16"/>
        <v>0</v>
      </c>
    </row>
    <row r="126" spans="1:6" x14ac:dyDescent="0.25">
      <c r="A126" t="s">
        <v>49</v>
      </c>
      <c r="B126" s="19">
        <v>1</v>
      </c>
      <c r="C126">
        <v>8</v>
      </c>
      <c r="D126">
        <f t="shared" si="17"/>
        <v>32</v>
      </c>
      <c r="E126">
        <v>0</v>
      </c>
      <c r="F126" s="6">
        <f t="shared" si="16"/>
        <v>0</v>
      </c>
    </row>
    <row r="127" spans="1:6" x14ac:dyDescent="0.25">
      <c r="A127" t="s">
        <v>50</v>
      </c>
      <c r="B127" s="19">
        <v>1</v>
      </c>
      <c r="C127">
        <v>12</v>
      </c>
      <c r="D127">
        <f t="shared" si="17"/>
        <v>48</v>
      </c>
      <c r="E127">
        <v>2</v>
      </c>
      <c r="F127" s="4">
        <f t="shared" si="16"/>
        <v>4.1666666666666661</v>
      </c>
    </row>
    <row r="128" spans="1:6" x14ac:dyDescent="0.25">
      <c r="A128" t="s">
        <v>51</v>
      </c>
      <c r="B128" s="19">
        <v>1</v>
      </c>
      <c r="C128">
        <v>27</v>
      </c>
      <c r="D128">
        <f t="shared" si="17"/>
        <v>108</v>
      </c>
      <c r="E128">
        <v>7</v>
      </c>
      <c r="F128" s="4">
        <f t="shared" si="16"/>
        <v>6.481481481481481</v>
      </c>
    </row>
    <row r="129" spans="1:6" x14ac:dyDescent="0.25">
      <c r="A129" t="s">
        <v>37</v>
      </c>
      <c r="B129" s="19">
        <v>3</v>
      </c>
      <c r="C129">
        <v>30</v>
      </c>
      <c r="D129">
        <f t="shared" si="17"/>
        <v>120</v>
      </c>
      <c r="E129">
        <v>6</v>
      </c>
      <c r="F129" s="17">
        <f t="shared" si="16"/>
        <v>5</v>
      </c>
    </row>
    <row r="130" spans="1:6" x14ac:dyDescent="0.25">
      <c r="A130" t="s">
        <v>38</v>
      </c>
      <c r="B130" s="19">
        <v>3</v>
      </c>
      <c r="C130">
        <v>30</v>
      </c>
      <c r="D130">
        <f t="shared" si="17"/>
        <v>120</v>
      </c>
      <c r="E130">
        <v>0</v>
      </c>
      <c r="F130" s="6">
        <f t="shared" si="16"/>
        <v>0</v>
      </c>
    </row>
    <row r="131" spans="1:6" x14ac:dyDescent="0.25">
      <c r="A131" t="s">
        <v>52</v>
      </c>
      <c r="B131" s="19">
        <v>1</v>
      </c>
      <c r="C131">
        <v>0</v>
      </c>
      <c r="D131">
        <f t="shared" si="17"/>
        <v>0</v>
      </c>
      <c r="E131" s="19" t="s">
        <v>4</v>
      </c>
      <c r="F131" s="19" t="s">
        <v>4</v>
      </c>
    </row>
    <row r="133" spans="1:6" x14ac:dyDescent="0.25">
      <c r="A133" t="s">
        <v>0</v>
      </c>
      <c r="B133" s="19">
        <v>4</v>
      </c>
      <c r="C133">
        <v>32</v>
      </c>
      <c r="D133">
        <f>C133*4</f>
        <v>128</v>
      </c>
      <c r="E133">
        <v>0</v>
      </c>
      <c r="F133" s="6">
        <f t="shared" ref="F133:F145" si="18">E133/D133*100</f>
        <v>0</v>
      </c>
    </row>
    <row r="134" spans="1:6" x14ac:dyDescent="0.25">
      <c r="A134" t="s">
        <v>23</v>
      </c>
      <c r="B134" s="19">
        <v>2</v>
      </c>
      <c r="C134">
        <v>0</v>
      </c>
      <c r="D134">
        <f t="shared" ref="D134:D146" si="19">C134*4</f>
        <v>0</v>
      </c>
      <c r="E134" s="19" t="s">
        <v>4</v>
      </c>
      <c r="F134" s="19" t="s">
        <v>4</v>
      </c>
    </row>
    <row r="135" spans="1:6" x14ac:dyDescent="0.25">
      <c r="A135" t="s">
        <v>29</v>
      </c>
      <c r="B135" s="19">
        <v>2</v>
      </c>
      <c r="C135">
        <v>0</v>
      </c>
      <c r="D135">
        <f t="shared" si="19"/>
        <v>0</v>
      </c>
      <c r="E135" s="19" t="s">
        <v>4</v>
      </c>
      <c r="F135" s="19" t="s">
        <v>4</v>
      </c>
    </row>
    <row r="136" spans="1:6" x14ac:dyDescent="0.25">
      <c r="A136" t="s">
        <v>44</v>
      </c>
      <c r="B136" s="19">
        <v>2</v>
      </c>
      <c r="C136">
        <v>0</v>
      </c>
      <c r="D136">
        <f t="shared" si="19"/>
        <v>0</v>
      </c>
      <c r="E136" s="19" t="s">
        <v>4</v>
      </c>
      <c r="F136" s="19" t="s">
        <v>4</v>
      </c>
    </row>
    <row r="137" spans="1:6" x14ac:dyDescent="0.25">
      <c r="A137" t="s">
        <v>45</v>
      </c>
      <c r="B137" s="19">
        <v>2</v>
      </c>
      <c r="C137">
        <v>0</v>
      </c>
      <c r="D137">
        <f t="shared" si="19"/>
        <v>0</v>
      </c>
      <c r="E137" s="19" t="s">
        <v>4</v>
      </c>
      <c r="F137" s="19" t="s">
        <v>4</v>
      </c>
    </row>
    <row r="138" spans="1:6" x14ac:dyDescent="0.25">
      <c r="A138" t="s">
        <v>46</v>
      </c>
      <c r="B138" s="19">
        <v>2</v>
      </c>
      <c r="C138">
        <v>4</v>
      </c>
      <c r="D138">
        <f t="shared" si="19"/>
        <v>16</v>
      </c>
      <c r="E138" s="5">
        <v>0</v>
      </c>
      <c r="F138" s="6">
        <f t="shared" si="18"/>
        <v>0</v>
      </c>
    </row>
    <row r="139" spans="1:6" x14ac:dyDescent="0.25">
      <c r="A139" t="s">
        <v>47</v>
      </c>
      <c r="B139" s="19">
        <v>2</v>
      </c>
      <c r="C139">
        <v>0</v>
      </c>
      <c r="D139">
        <f t="shared" si="19"/>
        <v>0</v>
      </c>
      <c r="E139" s="19" t="s">
        <v>4</v>
      </c>
      <c r="F139" s="19" t="s">
        <v>4</v>
      </c>
    </row>
    <row r="140" spans="1:6" x14ac:dyDescent="0.25">
      <c r="A140" t="s">
        <v>48</v>
      </c>
      <c r="B140" s="19">
        <v>2</v>
      </c>
      <c r="C140">
        <v>13</v>
      </c>
      <c r="D140">
        <f t="shared" si="19"/>
        <v>52</v>
      </c>
      <c r="E140">
        <v>0</v>
      </c>
      <c r="F140" s="6">
        <f t="shared" si="18"/>
        <v>0</v>
      </c>
    </row>
    <row r="141" spans="1:6" x14ac:dyDescent="0.25">
      <c r="A141" t="s">
        <v>49</v>
      </c>
      <c r="B141" s="19">
        <v>2</v>
      </c>
      <c r="C141">
        <v>8</v>
      </c>
      <c r="D141">
        <f t="shared" si="19"/>
        <v>32</v>
      </c>
      <c r="E141">
        <v>2</v>
      </c>
      <c r="F141" s="4">
        <f t="shared" si="18"/>
        <v>6.25</v>
      </c>
    </row>
    <row r="142" spans="1:6" x14ac:dyDescent="0.25">
      <c r="A142" t="s">
        <v>50</v>
      </c>
      <c r="B142" s="19">
        <v>2</v>
      </c>
      <c r="C142">
        <v>25</v>
      </c>
      <c r="D142">
        <f t="shared" si="19"/>
        <v>100</v>
      </c>
      <c r="E142">
        <v>2</v>
      </c>
      <c r="F142" s="17">
        <f t="shared" si="18"/>
        <v>2</v>
      </c>
    </row>
    <row r="143" spans="1:6" x14ac:dyDescent="0.25">
      <c r="A143" t="s">
        <v>51</v>
      </c>
      <c r="B143" s="19">
        <v>2</v>
      </c>
      <c r="C143">
        <v>26</v>
      </c>
      <c r="D143">
        <f t="shared" si="19"/>
        <v>104</v>
      </c>
      <c r="E143">
        <v>5</v>
      </c>
      <c r="F143" s="4">
        <f t="shared" si="18"/>
        <v>4.8076923076923084</v>
      </c>
    </row>
    <row r="144" spans="1:6" x14ac:dyDescent="0.25">
      <c r="A144" t="s">
        <v>37</v>
      </c>
      <c r="B144" s="19">
        <v>3</v>
      </c>
      <c r="C144">
        <v>25</v>
      </c>
      <c r="D144">
        <f t="shared" si="19"/>
        <v>100</v>
      </c>
      <c r="E144">
        <v>3</v>
      </c>
      <c r="F144" s="17">
        <f t="shared" si="18"/>
        <v>3</v>
      </c>
    </row>
    <row r="145" spans="1:6" x14ac:dyDescent="0.25">
      <c r="A145" t="s">
        <v>38</v>
      </c>
      <c r="B145" s="19">
        <v>3</v>
      </c>
      <c r="C145">
        <v>29</v>
      </c>
      <c r="D145">
        <f t="shared" si="19"/>
        <v>116</v>
      </c>
      <c r="E145">
        <v>10</v>
      </c>
      <c r="F145" s="4">
        <f t="shared" si="18"/>
        <v>8.6206896551724146</v>
      </c>
    </row>
    <row r="146" spans="1:6" x14ac:dyDescent="0.25">
      <c r="A146" t="s">
        <v>52</v>
      </c>
      <c r="B146" s="19">
        <v>2</v>
      </c>
      <c r="C146">
        <v>0</v>
      </c>
      <c r="D146">
        <f t="shared" si="19"/>
        <v>0</v>
      </c>
      <c r="E146" s="19" t="s">
        <v>4</v>
      </c>
      <c r="F146" s="19" t="s">
        <v>4</v>
      </c>
    </row>
    <row r="148" spans="1:6" x14ac:dyDescent="0.25">
      <c r="A148" t="s">
        <v>0</v>
      </c>
      <c r="B148" s="19">
        <v>5</v>
      </c>
      <c r="C148">
        <v>32</v>
      </c>
      <c r="D148">
        <f>C148*4</f>
        <v>128</v>
      </c>
      <c r="E148">
        <v>0</v>
      </c>
      <c r="F148" s="6">
        <f t="shared" ref="F148:F160" si="20">E148/D148*100</f>
        <v>0</v>
      </c>
    </row>
    <row r="149" spans="1:6" x14ac:dyDescent="0.25">
      <c r="A149" t="s">
        <v>23</v>
      </c>
      <c r="B149" s="19">
        <v>3</v>
      </c>
      <c r="C149">
        <v>0</v>
      </c>
      <c r="D149">
        <f t="shared" ref="D149:D161" si="21">C149*4</f>
        <v>0</v>
      </c>
      <c r="E149" s="19" t="s">
        <v>4</v>
      </c>
      <c r="F149" s="19" t="s">
        <v>4</v>
      </c>
    </row>
    <row r="150" spans="1:6" x14ac:dyDescent="0.25">
      <c r="A150" t="s">
        <v>29</v>
      </c>
      <c r="B150" s="19">
        <v>3</v>
      </c>
      <c r="C150">
        <v>0</v>
      </c>
      <c r="D150">
        <f t="shared" si="21"/>
        <v>0</v>
      </c>
      <c r="E150" s="19" t="s">
        <v>4</v>
      </c>
      <c r="F150" s="19" t="s">
        <v>4</v>
      </c>
    </row>
    <row r="151" spans="1:6" x14ac:dyDescent="0.25">
      <c r="A151" t="s">
        <v>44</v>
      </c>
      <c r="B151" s="19">
        <v>3</v>
      </c>
      <c r="C151">
        <v>0</v>
      </c>
      <c r="D151">
        <f t="shared" si="21"/>
        <v>0</v>
      </c>
      <c r="E151" s="19" t="s">
        <v>4</v>
      </c>
      <c r="F151" s="19" t="s">
        <v>4</v>
      </c>
    </row>
    <row r="152" spans="1:6" x14ac:dyDescent="0.25">
      <c r="A152" t="s">
        <v>45</v>
      </c>
      <c r="B152" s="19">
        <v>3</v>
      </c>
      <c r="C152">
        <v>0</v>
      </c>
      <c r="D152">
        <f t="shared" si="21"/>
        <v>0</v>
      </c>
      <c r="E152" s="19" t="s">
        <v>4</v>
      </c>
      <c r="F152" s="19" t="s">
        <v>4</v>
      </c>
    </row>
    <row r="153" spans="1:6" x14ac:dyDescent="0.25">
      <c r="A153" t="s">
        <v>46</v>
      </c>
      <c r="B153" s="19">
        <v>3</v>
      </c>
      <c r="C153">
        <v>0</v>
      </c>
      <c r="D153">
        <f t="shared" si="21"/>
        <v>0</v>
      </c>
      <c r="E153" s="19" t="s">
        <v>4</v>
      </c>
      <c r="F153" s="19" t="s">
        <v>4</v>
      </c>
    </row>
    <row r="154" spans="1:6" x14ac:dyDescent="0.25">
      <c r="A154" s="31" t="s">
        <v>47</v>
      </c>
      <c r="B154" s="32">
        <v>3</v>
      </c>
      <c r="C154" s="31">
        <v>1</v>
      </c>
      <c r="D154" s="31">
        <f t="shared" si="21"/>
        <v>4</v>
      </c>
      <c r="E154" s="33">
        <v>0</v>
      </c>
      <c r="F154" s="44">
        <f t="shared" si="20"/>
        <v>0</v>
      </c>
    </row>
    <row r="155" spans="1:6" x14ac:dyDescent="0.25">
      <c r="A155" s="31" t="s">
        <v>48</v>
      </c>
      <c r="B155" s="32">
        <v>3</v>
      </c>
      <c r="C155" s="31">
        <v>4</v>
      </c>
      <c r="D155" s="31">
        <f t="shared" si="21"/>
        <v>16</v>
      </c>
      <c r="E155" s="31">
        <v>0</v>
      </c>
      <c r="F155" s="44">
        <f t="shared" si="20"/>
        <v>0</v>
      </c>
    </row>
    <row r="156" spans="1:6" x14ac:dyDescent="0.25">
      <c r="A156" t="s">
        <v>49</v>
      </c>
      <c r="B156" s="19">
        <v>3</v>
      </c>
      <c r="C156">
        <v>10</v>
      </c>
      <c r="D156">
        <f t="shared" si="21"/>
        <v>40</v>
      </c>
      <c r="E156">
        <v>0</v>
      </c>
      <c r="F156" s="6">
        <f t="shared" si="20"/>
        <v>0</v>
      </c>
    </row>
    <row r="157" spans="1:6" x14ac:dyDescent="0.25">
      <c r="A157" t="s">
        <v>50</v>
      </c>
      <c r="B157" s="19">
        <v>3</v>
      </c>
      <c r="C157">
        <v>18</v>
      </c>
      <c r="D157">
        <f t="shared" si="21"/>
        <v>72</v>
      </c>
      <c r="E157">
        <v>2</v>
      </c>
      <c r="F157" s="4">
        <f t="shared" si="20"/>
        <v>2.7777777777777777</v>
      </c>
    </row>
    <row r="158" spans="1:6" x14ac:dyDescent="0.25">
      <c r="A158" t="s">
        <v>51</v>
      </c>
      <c r="B158" s="19">
        <v>3</v>
      </c>
      <c r="C158">
        <v>19</v>
      </c>
      <c r="D158">
        <f t="shared" si="21"/>
        <v>76</v>
      </c>
      <c r="E158">
        <v>2</v>
      </c>
      <c r="F158" s="4">
        <f t="shared" si="20"/>
        <v>2.6315789473684208</v>
      </c>
    </row>
    <row r="159" spans="1:6" x14ac:dyDescent="0.25">
      <c r="A159" t="s">
        <v>37</v>
      </c>
      <c r="B159" s="19">
        <v>5</v>
      </c>
      <c r="C159">
        <v>30</v>
      </c>
      <c r="D159">
        <f t="shared" si="21"/>
        <v>120</v>
      </c>
      <c r="E159">
        <v>0</v>
      </c>
      <c r="F159" s="6">
        <f t="shared" si="20"/>
        <v>0</v>
      </c>
    </row>
    <row r="160" spans="1:6" x14ac:dyDescent="0.25">
      <c r="A160" t="s">
        <v>38</v>
      </c>
      <c r="B160" s="19">
        <v>5</v>
      </c>
      <c r="C160">
        <v>22</v>
      </c>
      <c r="D160">
        <f t="shared" si="21"/>
        <v>88</v>
      </c>
      <c r="E160">
        <v>2</v>
      </c>
      <c r="F160" s="4">
        <f t="shared" si="20"/>
        <v>2.2727272727272729</v>
      </c>
    </row>
    <row r="161" spans="1:6" x14ac:dyDescent="0.25">
      <c r="A161" t="s">
        <v>52</v>
      </c>
      <c r="B161" s="19">
        <v>3</v>
      </c>
      <c r="C161">
        <v>0</v>
      </c>
      <c r="D161">
        <f t="shared" si="21"/>
        <v>0</v>
      </c>
      <c r="E161" s="19" t="s">
        <v>4</v>
      </c>
      <c r="F161" s="19" t="s">
        <v>4</v>
      </c>
    </row>
    <row r="164" spans="1:6" x14ac:dyDescent="0.25">
      <c r="A164" t="s">
        <v>0</v>
      </c>
      <c r="B164" s="19">
        <v>6</v>
      </c>
      <c r="C164">
        <v>31</v>
      </c>
      <c r="D164">
        <f>C164*4</f>
        <v>124</v>
      </c>
      <c r="E164">
        <v>0</v>
      </c>
      <c r="F164" s="6">
        <f t="shared" ref="F164:F176" si="22">E164/D164*100</f>
        <v>0</v>
      </c>
    </row>
    <row r="165" spans="1:6" x14ac:dyDescent="0.25">
      <c r="A165" s="31" t="s">
        <v>23</v>
      </c>
      <c r="B165" s="32">
        <v>4</v>
      </c>
      <c r="C165">
        <v>0</v>
      </c>
      <c r="D165">
        <f t="shared" ref="D165:D177" si="23">C165*4</f>
        <v>0</v>
      </c>
      <c r="E165" s="19" t="s">
        <v>4</v>
      </c>
      <c r="F165" s="19" t="s">
        <v>4</v>
      </c>
    </row>
    <row r="166" spans="1:6" x14ac:dyDescent="0.25">
      <c r="A166" s="31" t="s">
        <v>29</v>
      </c>
      <c r="B166" s="32">
        <v>4</v>
      </c>
      <c r="C166">
        <v>0</v>
      </c>
      <c r="D166">
        <f t="shared" si="23"/>
        <v>0</v>
      </c>
      <c r="E166" s="19" t="s">
        <v>4</v>
      </c>
      <c r="F166" s="19" t="s">
        <v>4</v>
      </c>
    </row>
    <row r="167" spans="1:6" x14ac:dyDescent="0.25">
      <c r="A167" s="31" t="s">
        <v>44</v>
      </c>
      <c r="B167" s="19">
        <v>4</v>
      </c>
      <c r="C167">
        <v>0</v>
      </c>
      <c r="D167">
        <f t="shared" si="23"/>
        <v>0</v>
      </c>
      <c r="E167" s="19" t="s">
        <v>4</v>
      </c>
      <c r="F167" s="19" t="s">
        <v>4</v>
      </c>
    </row>
    <row r="168" spans="1:6" x14ac:dyDescent="0.25">
      <c r="A168" s="31" t="s">
        <v>45</v>
      </c>
      <c r="B168" s="19">
        <v>4</v>
      </c>
      <c r="C168">
        <v>0</v>
      </c>
      <c r="D168">
        <f t="shared" si="23"/>
        <v>0</v>
      </c>
      <c r="E168" s="19" t="s">
        <v>4</v>
      </c>
      <c r="F168" s="19" t="s">
        <v>4</v>
      </c>
    </row>
    <row r="169" spans="1:6" x14ac:dyDescent="0.25">
      <c r="A169" s="31" t="s">
        <v>46</v>
      </c>
      <c r="B169" s="19">
        <v>4</v>
      </c>
      <c r="C169">
        <v>0</v>
      </c>
      <c r="D169">
        <f t="shared" si="23"/>
        <v>0</v>
      </c>
      <c r="E169" s="19" t="s">
        <v>4</v>
      </c>
      <c r="F169" s="19" t="s">
        <v>4</v>
      </c>
    </row>
    <row r="170" spans="1:6" x14ac:dyDescent="0.25">
      <c r="A170" t="s">
        <v>47</v>
      </c>
      <c r="B170" s="19">
        <v>4</v>
      </c>
      <c r="C170">
        <v>0</v>
      </c>
      <c r="D170">
        <f t="shared" si="23"/>
        <v>0</v>
      </c>
      <c r="E170" s="19" t="s">
        <v>4</v>
      </c>
      <c r="F170" s="19" t="s">
        <v>4</v>
      </c>
    </row>
    <row r="171" spans="1:6" x14ac:dyDescent="0.25">
      <c r="A171" t="s">
        <v>48</v>
      </c>
      <c r="B171" s="19">
        <v>4</v>
      </c>
      <c r="C171">
        <v>6</v>
      </c>
      <c r="D171">
        <f t="shared" si="23"/>
        <v>24</v>
      </c>
      <c r="E171">
        <v>3</v>
      </c>
      <c r="F171" s="4">
        <f t="shared" si="22"/>
        <v>12.5</v>
      </c>
    </row>
    <row r="172" spans="1:6" x14ac:dyDescent="0.25">
      <c r="A172" t="s">
        <v>49</v>
      </c>
      <c r="B172" s="19">
        <v>4</v>
      </c>
      <c r="C172">
        <v>7</v>
      </c>
      <c r="D172">
        <f t="shared" si="23"/>
        <v>28</v>
      </c>
      <c r="E172">
        <v>0</v>
      </c>
      <c r="F172" s="6">
        <f t="shared" si="22"/>
        <v>0</v>
      </c>
    </row>
    <row r="173" spans="1:6" x14ac:dyDescent="0.25">
      <c r="A173" t="s">
        <v>50</v>
      </c>
      <c r="B173" s="19">
        <v>4</v>
      </c>
      <c r="C173">
        <v>21</v>
      </c>
      <c r="D173">
        <f t="shared" si="23"/>
        <v>84</v>
      </c>
      <c r="E173">
        <v>3</v>
      </c>
      <c r="F173" s="4">
        <f t="shared" si="22"/>
        <v>3.5714285714285712</v>
      </c>
    </row>
    <row r="174" spans="1:6" x14ac:dyDescent="0.25">
      <c r="A174" t="s">
        <v>51</v>
      </c>
      <c r="B174" s="19">
        <v>4</v>
      </c>
      <c r="C174">
        <v>22</v>
      </c>
      <c r="D174">
        <f t="shared" si="23"/>
        <v>88</v>
      </c>
      <c r="E174">
        <v>2</v>
      </c>
      <c r="F174" s="4">
        <f t="shared" si="22"/>
        <v>2.2727272727272729</v>
      </c>
    </row>
    <row r="175" spans="1:6" x14ac:dyDescent="0.25">
      <c r="A175" t="s">
        <v>37</v>
      </c>
      <c r="B175" s="19">
        <v>6</v>
      </c>
      <c r="C175">
        <v>25</v>
      </c>
      <c r="D175">
        <f t="shared" si="23"/>
        <v>100</v>
      </c>
      <c r="E175">
        <v>1</v>
      </c>
      <c r="F175" s="4">
        <f t="shared" si="22"/>
        <v>1</v>
      </c>
    </row>
    <row r="176" spans="1:6" x14ac:dyDescent="0.25">
      <c r="A176" t="s">
        <v>38</v>
      </c>
      <c r="B176" s="19">
        <v>6</v>
      </c>
      <c r="C176">
        <v>26</v>
      </c>
      <c r="D176">
        <f t="shared" si="23"/>
        <v>104</v>
      </c>
      <c r="E176">
        <v>4</v>
      </c>
      <c r="F176" s="4">
        <f t="shared" si="22"/>
        <v>3.8461538461538463</v>
      </c>
    </row>
    <row r="177" spans="1:6" x14ac:dyDescent="0.25">
      <c r="A177" t="s">
        <v>52</v>
      </c>
      <c r="B177" s="19">
        <v>4</v>
      </c>
      <c r="C177">
        <v>0</v>
      </c>
      <c r="D177">
        <f t="shared" si="23"/>
        <v>0</v>
      </c>
      <c r="E177" s="19" t="s">
        <v>4</v>
      </c>
      <c r="F177" s="20" t="s">
        <v>4</v>
      </c>
    </row>
  </sheetData>
  <mergeCells count="30">
    <mergeCell ref="F81:F82"/>
    <mergeCell ref="A81:A82"/>
    <mergeCell ref="B81:B82"/>
    <mergeCell ref="C81:C82"/>
    <mergeCell ref="D81:D82"/>
    <mergeCell ref="E81:E82"/>
    <mergeCell ref="AD7:AD8"/>
    <mergeCell ref="Q7:Q8"/>
    <mergeCell ref="R7:R8"/>
    <mergeCell ref="S7:S8"/>
    <mergeCell ref="T7:T8"/>
    <mergeCell ref="U7:U8"/>
    <mergeCell ref="V7:V8"/>
    <mergeCell ref="Y7:Y8"/>
    <mergeCell ref="Z7:Z8"/>
    <mergeCell ref="AA7:AA8"/>
    <mergeCell ref="AB7:AB8"/>
    <mergeCell ref="AC7:AC8"/>
    <mergeCell ref="N7:N8"/>
    <mergeCell ref="A7:A8"/>
    <mergeCell ref="B7:B8"/>
    <mergeCell ref="C7:C8"/>
    <mergeCell ref="E7:E8"/>
    <mergeCell ref="D7:D8"/>
    <mergeCell ref="F7:F8"/>
    <mergeCell ref="I7:I8"/>
    <mergeCell ref="J7:J8"/>
    <mergeCell ref="K7:K8"/>
    <mergeCell ref="L7:L8"/>
    <mergeCell ref="M7:M8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Mortality</vt:lpstr>
      <vt:lpstr>Hatching rate</vt:lpstr>
      <vt:lpstr>Heart rate</vt:lpstr>
      <vt:lpstr>Developmental delays</vt:lpstr>
      <vt:lpstr>Malformations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Schweizer, Mona</dc:creator>
  <cp:lastModifiedBy>Mona</cp:lastModifiedBy>
  <cp:lastPrinted>2018-07-04T08:20:46Z</cp:lastPrinted>
  <dcterms:created xsi:type="dcterms:W3CDTF">2016-03-21T14:11:43Z</dcterms:created>
  <dcterms:modified xsi:type="dcterms:W3CDTF">2019-02-08T13:59:29Z</dcterms:modified>
</cp:coreProperties>
</file>