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innocontly/Desktop/writting/VDR/"/>
    </mc:Choice>
  </mc:AlternateContent>
  <bookViews>
    <workbookView xWindow="0" yWindow="460" windowWidth="19440" windowHeight="116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21" i="1"/>
  <c r="Q17" i="1"/>
  <c r="I8" i="1"/>
  <c r="I9" i="1"/>
  <c r="I10" i="1"/>
  <c r="I13" i="1"/>
  <c r="I17" i="1"/>
  <c r="I20" i="1"/>
  <c r="I21" i="1"/>
  <c r="I22" i="1"/>
  <c r="I25" i="1"/>
  <c r="I29" i="1"/>
  <c r="I33" i="1"/>
  <c r="I35" i="1"/>
  <c r="I37" i="1"/>
  <c r="I40" i="1"/>
  <c r="I41" i="1"/>
  <c r="I45" i="1"/>
  <c r="I48" i="1"/>
  <c r="I49" i="1"/>
  <c r="I53" i="1"/>
  <c r="I57" i="1"/>
  <c r="I58" i="1"/>
  <c r="I61" i="1"/>
  <c r="J61" i="1"/>
  <c r="I62" i="1"/>
  <c r="I63" i="1"/>
  <c r="I66" i="1"/>
  <c r="I70" i="1"/>
  <c r="I74" i="1"/>
  <c r="I78" i="1"/>
  <c r="I81" i="1"/>
  <c r="I82" i="1"/>
  <c r="I84" i="1"/>
  <c r="I86" i="1"/>
  <c r="I87" i="1"/>
  <c r="I90" i="1"/>
  <c r="I93" i="1"/>
  <c r="I94" i="1"/>
  <c r="I95" i="1"/>
  <c r="I98" i="1"/>
  <c r="I99" i="1"/>
  <c r="I102" i="1"/>
  <c r="I104" i="1"/>
  <c r="J113" i="1"/>
  <c r="J115" i="1"/>
  <c r="J119" i="1"/>
  <c r="J123" i="1"/>
  <c r="J127" i="1"/>
  <c r="J128" i="1"/>
  <c r="J130" i="1"/>
  <c r="J132" i="1"/>
  <c r="J136" i="1"/>
  <c r="J137" i="1"/>
  <c r="J138" i="1"/>
  <c r="J139" i="1"/>
  <c r="J140" i="1"/>
  <c r="J144" i="1"/>
  <c r="J145" i="1"/>
  <c r="J146" i="1"/>
  <c r="J147" i="1"/>
  <c r="J148" i="1"/>
  <c r="J152" i="1"/>
  <c r="J157" i="1"/>
  <c r="J158" i="1"/>
  <c r="J159" i="1"/>
  <c r="J160" i="1"/>
  <c r="J161" i="1"/>
  <c r="J169" i="1"/>
  <c r="J170" i="1"/>
  <c r="J171" i="1"/>
  <c r="J172" i="1"/>
  <c r="J173" i="1"/>
  <c r="J177" i="1"/>
  <c r="J181" i="1"/>
  <c r="J185" i="1"/>
  <c r="J189" i="1"/>
  <c r="J193" i="1"/>
  <c r="J197" i="1"/>
  <c r="J201" i="1"/>
  <c r="J205" i="1"/>
  <c r="J209" i="1"/>
  <c r="H117" i="1"/>
  <c r="J117" i="1"/>
  <c r="K117" i="1"/>
  <c r="H112" i="1"/>
  <c r="J112" i="1"/>
  <c r="F119" i="1"/>
  <c r="C213" i="1"/>
  <c r="H212" i="1"/>
  <c r="J212" i="1"/>
  <c r="H211" i="1"/>
  <c r="J211" i="1"/>
  <c r="K211" i="1"/>
  <c r="H210" i="1"/>
  <c r="C209" i="1"/>
  <c r="H208" i="1"/>
  <c r="H207" i="1"/>
  <c r="J207" i="1"/>
  <c r="H206" i="1"/>
  <c r="J206" i="1"/>
  <c r="K206" i="1"/>
  <c r="C205" i="1"/>
  <c r="H204" i="1"/>
  <c r="J204" i="1"/>
  <c r="H203" i="1"/>
  <c r="J203" i="1"/>
  <c r="K203" i="1"/>
  <c r="H202" i="1"/>
  <c r="C201" i="1"/>
  <c r="H200" i="1"/>
  <c r="J200" i="1"/>
  <c r="K200" i="1"/>
  <c r="H199" i="1"/>
  <c r="H198" i="1"/>
  <c r="J198" i="1"/>
  <c r="C197" i="1"/>
  <c r="H196" i="1"/>
  <c r="J196" i="1"/>
  <c r="H195" i="1"/>
  <c r="J195" i="1"/>
  <c r="H194" i="1"/>
  <c r="J194" i="1"/>
  <c r="C193" i="1"/>
  <c r="H192" i="1"/>
  <c r="J192" i="1"/>
  <c r="H191" i="1"/>
  <c r="H190" i="1"/>
  <c r="J190" i="1"/>
  <c r="C189" i="1"/>
  <c r="H188" i="1"/>
  <c r="J188" i="1"/>
  <c r="H187" i="1"/>
  <c r="H186" i="1"/>
  <c r="J186" i="1"/>
  <c r="K186" i="1"/>
  <c r="C185" i="1"/>
  <c r="H184" i="1"/>
  <c r="J184" i="1"/>
  <c r="H183" i="1"/>
  <c r="J183" i="1"/>
  <c r="K183" i="1"/>
  <c r="H182" i="1"/>
  <c r="J182" i="1"/>
  <c r="C181" i="1"/>
  <c r="H180" i="1"/>
  <c r="J180" i="1"/>
  <c r="K180" i="1"/>
  <c r="H179" i="1"/>
  <c r="J179" i="1"/>
  <c r="H178" i="1"/>
  <c r="C177" i="1"/>
  <c r="H176" i="1"/>
  <c r="H175" i="1"/>
  <c r="J175" i="1"/>
  <c r="H174" i="1"/>
  <c r="C173" i="1"/>
  <c r="C169" i="1"/>
  <c r="H168" i="1"/>
  <c r="J168" i="1"/>
  <c r="K168" i="1"/>
  <c r="H167" i="1"/>
  <c r="H166" i="1"/>
  <c r="C165" i="1"/>
  <c r="H164" i="1"/>
  <c r="J164" i="1"/>
  <c r="K164" i="1"/>
  <c r="H163" i="1"/>
  <c r="J163" i="1"/>
  <c r="H162" i="1"/>
  <c r="F156" i="1"/>
  <c r="H155" i="1"/>
  <c r="H154" i="1"/>
  <c r="J154" i="1"/>
  <c r="K154" i="1"/>
  <c r="H153" i="1"/>
  <c r="J153" i="1"/>
  <c r="F152" i="1"/>
  <c r="H151" i="1"/>
  <c r="J151" i="1"/>
  <c r="H150" i="1"/>
  <c r="H149" i="1"/>
  <c r="J149" i="1"/>
  <c r="K149" i="1"/>
  <c r="F144" i="1"/>
  <c r="H143" i="1"/>
  <c r="J143" i="1"/>
  <c r="K143" i="1"/>
  <c r="H142" i="1"/>
  <c r="H141" i="1"/>
  <c r="J141" i="1"/>
  <c r="F136" i="1"/>
  <c r="H135" i="1"/>
  <c r="J135" i="1"/>
  <c r="H134" i="1"/>
  <c r="H133" i="1"/>
  <c r="J133" i="1"/>
  <c r="K133" i="1"/>
  <c r="F132" i="1"/>
  <c r="H131" i="1"/>
  <c r="J131" i="1"/>
  <c r="H129" i="1"/>
  <c r="J129" i="1"/>
  <c r="F127" i="1"/>
  <c r="H126" i="1"/>
  <c r="J126" i="1"/>
  <c r="H125" i="1"/>
  <c r="J125" i="1"/>
  <c r="H124" i="1"/>
  <c r="J124" i="1"/>
  <c r="F123" i="1"/>
  <c r="H122" i="1"/>
  <c r="J122" i="1"/>
  <c r="H121" i="1"/>
  <c r="J121" i="1"/>
  <c r="K121" i="1"/>
  <c r="H120" i="1"/>
  <c r="H116" i="1"/>
  <c r="H114" i="1"/>
  <c r="J114" i="1"/>
  <c r="K112" i="1"/>
  <c r="F106" i="1"/>
  <c r="G103" i="1"/>
  <c r="G105" i="1"/>
  <c r="F102" i="1"/>
  <c r="G101" i="1"/>
  <c r="G100" i="1"/>
  <c r="I100" i="1"/>
  <c r="J100" i="1"/>
  <c r="F98" i="1"/>
  <c r="G97" i="1"/>
  <c r="I97" i="1"/>
  <c r="J97" i="1"/>
  <c r="G96" i="1"/>
  <c r="F94" i="1"/>
  <c r="G92" i="1"/>
  <c r="G91" i="1"/>
  <c r="I91" i="1"/>
  <c r="J91" i="1"/>
  <c r="F90" i="1"/>
  <c r="G89" i="1"/>
  <c r="I89" i="1"/>
  <c r="J89" i="1"/>
  <c r="G88" i="1"/>
  <c r="I88" i="1"/>
  <c r="F86" i="1"/>
  <c r="G85" i="1"/>
  <c r="I85" i="1"/>
  <c r="G83" i="1"/>
  <c r="I83" i="1"/>
  <c r="J83" i="1"/>
  <c r="F82" i="1"/>
  <c r="G80" i="1"/>
  <c r="G79" i="1"/>
  <c r="I79" i="1"/>
  <c r="J79" i="1"/>
  <c r="F78" i="1"/>
  <c r="G77" i="1"/>
  <c r="I77" i="1"/>
  <c r="J77" i="1"/>
  <c r="G76" i="1"/>
  <c r="G75" i="1"/>
  <c r="I75" i="1"/>
  <c r="J75" i="1"/>
  <c r="F74" i="1"/>
  <c r="G73" i="1"/>
  <c r="I73" i="1"/>
  <c r="J73" i="1"/>
  <c r="G72" i="1"/>
  <c r="I72" i="1"/>
  <c r="J72" i="1"/>
  <c r="G71" i="1"/>
  <c r="I71" i="1"/>
  <c r="F70" i="1"/>
  <c r="G69" i="1"/>
  <c r="G68" i="1"/>
  <c r="I68" i="1"/>
  <c r="J68" i="1"/>
  <c r="G67" i="1"/>
  <c r="I67" i="1"/>
  <c r="F66" i="1"/>
  <c r="G65" i="1"/>
  <c r="I65" i="1"/>
  <c r="G64" i="1"/>
  <c r="I64" i="1"/>
  <c r="J64" i="1"/>
  <c r="F62" i="1"/>
  <c r="G61" i="1"/>
  <c r="G60" i="1"/>
  <c r="G59" i="1"/>
  <c r="I59" i="1"/>
  <c r="J59" i="1"/>
  <c r="G56" i="1"/>
  <c r="I56" i="1"/>
  <c r="J56" i="1"/>
  <c r="G55" i="1"/>
  <c r="I55" i="1"/>
  <c r="G54" i="1"/>
  <c r="I54" i="1"/>
  <c r="J54" i="1"/>
  <c r="G52" i="1"/>
  <c r="F52" i="1"/>
  <c r="G51" i="1"/>
  <c r="I51" i="1"/>
  <c r="G50" i="1"/>
  <c r="I50" i="1"/>
  <c r="J50" i="1"/>
  <c r="F49" i="1"/>
  <c r="G47" i="1"/>
  <c r="I47" i="1"/>
  <c r="G46" i="1"/>
  <c r="I46" i="1"/>
  <c r="J46" i="1"/>
  <c r="F45" i="1"/>
  <c r="G44" i="1"/>
  <c r="I44" i="1"/>
  <c r="J44" i="1"/>
  <c r="G43" i="1"/>
  <c r="I43" i="1"/>
  <c r="G42" i="1"/>
  <c r="I42" i="1"/>
  <c r="J42" i="1"/>
  <c r="F41" i="1"/>
  <c r="G39" i="1"/>
  <c r="I39" i="1"/>
  <c r="J39" i="1"/>
  <c r="G38" i="1"/>
  <c r="G36" i="1"/>
  <c r="I36" i="1"/>
  <c r="F36" i="1"/>
  <c r="G34" i="1"/>
  <c r="I34" i="1"/>
  <c r="F33" i="1"/>
  <c r="G32" i="1"/>
  <c r="G31" i="1"/>
  <c r="I31" i="1"/>
  <c r="J31" i="1"/>
  <c r="G30" i="1"/>
  <c r="F29" i="1"/>
  <c r="G28" i="1"/>
  <c r="G27" i="1"/>
  <c r="I27" i="1"/>
  <c r="J27" i="1"/>
  <c r="G26" i="1"/>
  <c r="G24" i="1"/>
  <c r="F24" i="1"/>
  <c r="G23" i="1"/>
  <c r="I23" i="1"/>
  <c r="F20" i="1"/>
  <c r="G19" i="1"/>
  <c r="I19" i="1"/>
  <c r="G18" i="1"/>
  <c r="I18" i="1"/>
  <c r="J18" i="1"/>
  <c r="F17" i="1"/>
  <c r="G16" i="1"/>
  <c r="I16" i="1"/>
  <c r="J16" i="1"/>
  <c r="G15" i="1"/>
  <c r="I15" i="1"/>
  <c r="G14" i="1"/>
  <c r="I14" i="1"/>
  <c r="J14" i="1"/>
  <c r="F13" i="1"/>
  <c r="G12" i="1"/>
  <c r="G11" i="1"/>
  <c r="I11" i="1"/>
  <c r="J11" i="1"/>
  <c r="F9" i="1"/>
  <c r="G7" i="1"/>
  <c r="I7" i="1"/>
  <c r="O21" i="1"/>
  <c r="G6" i="1"/>
  <c r="F5" i="1"/>
  <c r="G4" i="1"/>
  <c r="I4" i="1"/>
  <c r="O19" i="1"/>
  <c r="G3" i="1"/>
  <c r="I3" i="1"/>
  <c r="H118" i="1"/>
  <c r="J118" i="1"/>
  <c r="J71" i="1"/>
  <c r="I32" i="1"/>
  <c r="J32" i="1"/>
  <c r="I101" i="1"/>
  <c r="J101" i="1"/>
  <c r="J142" i="1"/>
  <c r="K142" i="1"/>
  <c r="I12" i="1"/>
  <c r="J12" i="1"/>
  <c r="I52" i="1"/>
  <c r="J52" i="1"/>
  <c r="I96" i="1"/>
  <c r="J96" i="1"/>
  <c r="J120" i="1"/>
  <c r="K120" i="1"/>
  <c r="K176" i="1"/>
  <c r="J176" i="1"/>
  <c r="J187" i="1"/>
  <c r="K187" i="1"/>
  <c r="J191" i="1"/>
  <c r="K191" i="1"/>
  <c r="I103" i="1"/>
  <c r="J134" i="1"/>
  <c r="K134" i="1"/>
  <c r="K125" i="1"/>
  <c r="J150" i="1"/>
  <c r="K150" i="1"/>
  <c r="J167" i="1"/>
  <c r="K167" i="1"/>
  <c r="J174" i="1"/>
  <c r="K174" i="1"/>
  <c r="K177" i="1"/>
  <c r="J178" i="1"/>
  <c r="K178" i="1"/>
  <c r="J210" i="1"/>
  <c r="K210" i="1"/>
  <c r="I28" i="1"/>
  <c r="J28" i="1"/>
  <c r="H165" i="1"/>
  <c r="J165" i="1"/>
  <c r="J162" i="1"/>
  <c r="K162" i="1"/>
  <c r="K165" i="1"/>
  <c r="I24" i="1"/>
  <c r="J24" i="1"/>
  <c r="I60" i="1"/>
  <c r="J60" i="1"/>
  <c r="I80" i="1"/>
  <c r="J80" i="1"/>
  <c r="J30" i="1"/>
  <c r="I30" i="1"/>
  <c r="I69" i="1"/>
  <c r="J69" i="1"/>
  <c r="I92" i="1"/>
  <c r="J92" i="1"/>
  <c r="J116" i="1"/>
  <c r="K116" i="1"/>
  <c r="J155" i="1"/>
  <c r="K155" i="1"/>
  <c r="J199" i="1"/>
  <c r="K199" i="1"/>
  <c r="J85" i="1"/>
  <c r="K141" i="1"/>
  <c r="K151" i="1"/>
  <c r="K163" i="1"/>
  <c r="K166" i="1"/>
  <c r="K184" i="1"/>
  <c r="J202" i="1"/>
  <c r="K202" i="1"/>
  <c r="J166" i="1"/>
  <c r="I76" i="1"/>
  <c r="J76" i="1"/>
  <c r="J55" i="1"/>
  <c r="J88" i="1"/>
  <c r="K135" i="1"/>
  <c r="H156" i="1"/>
  <c r="J156" i="1"/>
  <c r="K175" i="1"/>
  <c r="K179" i="1"/>
  <c r="K207" i="1"/>
  <c r="J208" i="1"/>
  <c r="K208" i="1"/>
  <c r="I38" i="1"/>
  <c r="J38" i="1"/>
  <c r="I26" i="1"/>
  <c r="J26" i="1"/>
  <c r="I6" i="1"/>
  <c r="O20" i="1"/>
  <c r="J19" i="1"/>
  <c r="J43" i="1"/>
  <c r="J67" i="1"/>
  <c r="J15" i="1"/>
  <c r="J23" i="1"/>
  <c r="J47" i="1"/>
  <c r="J51" i="1"/>
  <c r="J57" i="1"/>
  <c r="J65" i="1"/>
  <c r="O18" i="1"/>
  <c r="K114" i="1"/>
  <c r="K124" i="1"/>
  <c r="K182" i="1"/>
  <c r="K188" i="1"/>
  <c r="K192" i="1"/>
  <c r="K212" i="1"/>
  <c r="K122" i="1"/>
  <c r="K126" i="1"/>
  <c r="K190" i="1"/>
  <c r="K198" i="1"/>
  <c r="K204" i="1"/>
  <c r="K185" i="1"/>
  <c r="K153" i="1"/>
  <c r="G5" i="1"/>
  <c r="I5" i="1"/>
  <c r="J103" i="1"/>
  <c r="K209" i="1"/>
  <c r="K205" i="1"/>
  <c r="J70" i="1"/>
  <c r="K213" i="1"/>
  <c r="K169" i="1"/>
  <c r="K181" i="1"/>
  <c r="J93" i="1"/>
  <c r="K189" i="1"/>
  <c r="K201" i="1"/>
  <c r="J37" i="1"/>
  <c r="J81" i="1"/>
  <c r="J48" i="1"/>
  <c r="K193" i="1"/>
  <c r="J13" i="1"/>
  <c r="J25" i="1"/>
</calcChain>
</file>

<file path=xl/sharedStrings.xml><?xml version="1.0" encoding="utf-8"?>
<sst xmlns="http://schemas.openxmlformats.org/spreadsheetml/2006/main" count="387" uniqueCount="157">
  <si>
    <t>A01</t>
  </si>
  <si>
    <t>E01</t>
  </si>
  <si>
    <t>A02</t>
  </si>
  <si>
    <t>E02</t>
  </si>
  <si>
    <t>A03</t>
  </si>
  <si>
    <t>E03</t>
  </si>
  <si>
    <t>A04</t>
  </si>
  <si>
    <t>E04</t>
  </si>
  <si>
    <t>A05</t>
  </si>
  <si>
    <t>E05</t>
  </si>
  <si>
    <t>A06</t>
  </si>
  <si>
    <t>E06</t>
  </si>
  <si>
    <t>A07</t>
  </si>
  <si>
    <t>E07</t>
  </si>
  <si>
    <t>A08</t>
  </si>
  <si>
    <t>E08</t>
  </si>
  <si>
    <t>A09</t>
  </si>
  <si>
    <t>E09</t>
  </si>
  <si>
    <t>B01</t>
  </si>
  <si>
    <t>F01</t>
  </si>
  <si>
    <t>B02</t>
  </si>
  <si>
    <t>F02</t>
  </si>
  <si>
    <t>B03</t>
  </si>
  <si>
    <t>F03</t>
  </si>
  <si>
    <t>B04</t>
  </si>
  <si>
    <t>F04</t>
  </si>
  <si>
    <t>B05</t>
  </si>
  <si>
    <t>F05</t>
  </si>
  <si>
    <t>B06</t>
  </si>
  <si>
    <t>F06</t>
  </si>
  <si>
    <t>B07</t>
  </si>
  <si>
    <t>F07</t>
  </si>
  <si>
    <t>B08</t>
  </si>
  <si>
    <t>F08</t>
  </si>
  <si>
    <t>F09</t>
  </si>
  <si>
    <t>C01</t>
  </si>
  <si>
    <t>G01</t>
  </si>
  <si>
    <t>C02</t>
  </si>
  <si>
    <t>G02</t>
  </si>
  <si>
    <t>C03</t>
  </si>
  <si>
    <t>G03</t>
  </si>
  <si>
    <t>C04</t>
  </si>
  <si>
    <t>G04</t>
  </si>
  <si>
    <t>C05</t>
  </si>
  <si>
    <t>G05</t>
  </si>
  <si>
    <t>C06</t>
  </si>
  <si>
    <t>G06</t>
  </si>
  <si>
    <t>C07</t>
  </si>
  <si>
    <t>G07</t>
  </si>
  <si>
    <t>C08</t>
  </si>
  <si>
    <t>G08</t>
  </si>
  <si>
    <t>C09</t>
  </si>
  <si>
    <t>G09</t>
  </si>
  <si>
    <t>D01</t>
  </si>
  <si>
    <t>H01</t>
  </si>
  <si>
    <t>D02</t>
  </si>
  <si>
    <t>H02</t>
  </si>
  <si>
    <t>D03</t>
  </si>
  <si>
    <t>H03</t>
  </si>
  <si>
    <t>D04</t>
  </si>
  <si>
    <t>H04</t>
  </si>
  <si>
    <t>D05</t>
  </si>
  <si>
    <t>H05</t>
  </si>
  <si>
    <t>D06</t>
  </si>
  <si>
    <t>H06</t>
  </si>
  <si>
    <t>D07</t>
  </si>
  <si>
    <t>H07</t>
  </si>
  <si>
    <t>D08</t>
  </si>
  <si>
    <t>H08</t>
  </si>
  <si>
    <t>D09</t>
  </si>
  <si>
    <t>H09</t>
  </si>
  <si>
    <t>A10</t>
  </si>
  <si>
    <t>A11</t>
  </si>
  <si>
    <t>B10</t>
  </si>
  <si>
    <t>B11</t>
  </si>
  <si>
    <t>C10</t>
  </si>
  <si>
    <t>C11</t>
  </si>
  <si>
    <t>D10</t>
  </si>
  <si>
    <t>D11</t>
  </si>
  <si>
    <t>E10</t>
  </si>
  <si>
    <t>E11</t>
  </si>
  <si>
    <t>F10</t>
  </si>
  <si>
    <t>F11</t>
  </si>
  <si>
    <t>G10</t>
  </si>
  <si>
    <t>G11</t>
  </si>
  <si>
    <t>H10</t>
  </si>
  <si>
    <t>H11</t>
  </si>
  <si>
    <t>B09</t>
  </si>
  <si>
    <t>E12</t>
  </si>
  <si>
    <t>E120-G2</t>
    <phoneticPr fontId="1" type="noConversion"/>
  </si>
  <si>
    <t>A12</t>
  </si>
  <si>
    <t>B12</t>
  </si>
  <si>
    <t>F12</t>
  </si>
  <si>
    <t>D12</t>
  </si>
  <si>
    <t>H12</t>
  </si>
  <si>
    <t>E120</t>
    <phoneticPr fontId="1" type="noConversion"/>
  </si>
  <si>
    <t xml:space="preserve">E60 </t>
    <phoneticPr fontId="1" type="noConversion"/>
  </si>
  <si>
    <t>brain</t>
  </si>
  <si>
    <t>spleen</t>
  </si>
  <si>
    <t>muscle</t>
  </si>
  <si>
    <t>kidney</t>
  </si>
  <si>
    <t>liver</t>
  </si>
  <si>
    <t>small intestine</t>
  </si>
  <si>
    <t>heart</t>
  </si>
  <si>
    <t>skin</t>
  </si>
  <si>
    <t>skin</t>
    <phoneticPr fontId="1" type="noConversion"/>
  </si>
  <si>
    <t>VAR00005</t>
  </si>
  <si>
    <t>N</t>
  </si>
  <si>
    <t>Mean</t>
  </si>
  <si>
    <t>Std. Deviation</t>
  </si>
  <si>
    <t>Std. Error</t>
  </si>
  <si>
    <t>95% Confidence Interval for Mean</t>
  </si>
  <si>
    <t>Minimum</t>
  </si>
  <si>
    <t>Maximum</t>
  </si>
  <si>
    <t>Lower Bound</t>
  </si>
  <si>
    <t>Upper Bound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</si>
  <si>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</si>
  <si>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</si>
  <si>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</si>
  <si>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</si>
  <si>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</si>
  <si>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</si>
  <si>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</si>
  <si>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</si>
  <si>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</si>
  <si>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</t>
  </si>
  <si>
    <t>E120 Descriptives</t>
    <phoneticPr fontId="1" type="noConversion"/>
  </si>
  <si>
    <t>VAR00006</t>
  </si>
  <si>
    <t>E60Descriptives</t>
    <phoneticPr fontId="1" type="noConversion"/>
  </si>
  <si>
    <t>forestomach</t>
  </si>
  <si>
    <t>E120-skin</t>
    <phoneticPr fontId="1" type="noConversion"/>
  </si>
  <si>
    <t>E120-heart</t>
    <phoneticPr fontId="1" type="noConversion"/>
  </si>
  <si>
    <t>E120-small intestine</t>
    <phoneticPr fontId="1" type="noConversion"/>
  </si>
  <si>
    <t>E120-liver</t>
    <phoneticPr fontId="1" type="noConversion"/>
  </si>
  <si>
    <t>E120-muscle</t>
    <phoneticPr fontId="1" type="noConversion"/>
  </si>
  <si>
    <t>E120-spllen</t>
    <phoneticPr fontId="1" type="noConversion"/>
  </si>
  <si>
    <t>E60-heart</t>
    <phoneticPr fontId="1" type="noConversion"/>
  </si>
  <si>
    <t>E60-spleen</t>
    <phoneticPr fontId="1" type="noConversion"/>
  </si>
  <si>
    <t>E60-muscle</t>
    <phoneticPr fontId="1" type="noConversion"/>
  </si>
  <si>
    <t>E60-spllen</t>
  </si>
  <si>
    <t>E60-brain</t>
    <phoneticPr fontId="1" type="noConversion"/>
  </si>
  <si>
    <t>E60-skin</t>
    <phoneticPr fontId="1" type="noConversion"/>
  </si>
  <si>
    <t>E60-forestomach</t>
    <phoneticPr fontId="1" type="noConversion"/>
  </si>
  <si>
    <t>E60-liver</t>
    <phoneticPr fontId="1" type="noConversion"/>
  </si>
  <si>
    <t>brain</t>
    <phoneticPr fontId="1" type="noConversion"/>
  </si>
  <si>
    <t>heart</t>
    <phoneticPr fontId="1" type="noConversion"/>
  </si>
  <si>
    <t>skin</t>
    <phoneticPr fontId="1" type="noConversion"/>
  </si>
  <si>
    <t>muscle</t>
    <phoneticPr fontId="1" type="noConversion"/>
  </si>
  <si>
    <t>muscle</t>
    <phoneticPr fontId="1" type="noConversion"/>
  </si>
  <si>
    <t>E120-kidney</t>
    <phoneticPr fontId="1" type="noConversion"/>
  </si>
  <si>
    <t>E60-small intestine</t>
    <phoneticPr fontId="1" type="noConversion"/>
  </si>
  <si>
    <t>E120-forestomach</t>
    <phoneticPr fontId="1" type="noConversion"/>
  </si>
  <si>
    <t>liver</t>
    <phoneticPr fontId="1" type="noConversion"/>
  </si>
  <si>
    <t>liver</t>
    <phoneticPr fontId="1" type="noConversion"/>
  </si>
  <si>
    <t>spleen</t>
    <phoneticPr fontId="1" type="noConversion"/>
  </si>
  <si>
    <t>spleen</t>
    <phoneticPr fontId="1" type="noConversion"/>
  </si>
  <si>
    <t>lung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</si>
</sst>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.25"/>
      <color rgb="FFFF0000"/>
      <name val="Tahoma"/>
      <family val="2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left"/>
    </xf>
    <xf numFmtId="0" fontId="3" fillId="0" borderId="0" xfId="1"/>
    <xf numFmtId="49" fontId="3" fillId="0" borderId="0" xfId="1" applyNumberFormat="1" applyAlignment="1">
      <alignment horizontal="left" vertical="top"/>
    </xf>
    <xf numFmtId="49" fontId="3" fillId="0" borderId="0" xfId="1" applyNumberFormat="1" applyAlignment="1">
      <alignment horizontal="center" vertical="top" wrapText="1"/>
    </xf>
    <xf numFmtId="49" fontId="3" fillId="0" borderId="0" xfId="1" applyNumberFormat="1" applyAlignment="1">
      <alignment horizontal="left"/>
    </xf>
    <xf numFmtId="0" fontId="3" fillId="0" borderId="0" xfId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1" applyNumberFormat="1" applyAlignment="1">
      <alignment horizontal="center" vertical="center" wrapText="1"/>
    </xf>
    <xf numFmtId="0" fontId="3" fillId="0" borderId="0" xfId="1"/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3"/>
  <sheetViews>
    <sheetView tabSelected="1" topLeftCell="A32" workbookViewId="0">
      <selection activeCell="N43" sqref="N43"/>
    </sheetView>
  </sheetViews>
  <sheetFormatPr baseColWidth="10" defaultColWidth="8.83203125" defaultRowHeight="14" x14ac:dyDescent="0.15"/>
  <sheetData>
    <row r="1" spans="1:28" x14ac:dyDescent="0.15">
      <c r="N1" s="9" t="s">
        <v>95</v>
      </c>
      <c r="O1" s="9"/>
      <c r="P1" s="9" t="s">
        <v>96</v>
      </c>
      <c r="Q1" s="9"/>
    </row>
    <row r="2" spans="1:28" x14ac:dyDescent="0.15">
      <c r="A2" t="s">
        <v>143</v>
      </c>
      <c r="B2" t="s">
        <v>0</v>
      </c>
      <c r="E2" t="s">
        <v>1</v>
      </c>
      <c r="F2">
        <v>21.28</v>
      </c>
      <c r="N2" t="s">
        <v>144</v>
      </c>
      <c r="O2">
        <v>1.4077000889746114</v>
      </c>
      <c r="P2" t="s">
        <v>144</v>
      </c>
      <c r="Q2">
        <v>0.80478203187508301</v>
      </c>
      <c r="T2" s="10" t="s">
        <v>126</v>
      </c>
      <c r="U2" s="11"/>
      <c r="V2" s="11"/>
      <c r="W2" s="11"/>
      <c r="X2" s="11"/>
      <c r="Y2" s="11"/>
      <c r="Z2" s="11"/>
      <c r="AA2" s="11"/>
      <c r="AB2" s="11"/>
    </row>
    <row r="3" spans="1:28" x14ac:dyDescent="0.15">
      <c r="B3" t="s">
        <v>2</v>
      </c>
      <c r="C3">
        <v>29.3</v>
      </c>
      <c r="E3" t="s">
        <v>3</v>
      </c>
      <c r="F3">
        <v>21.28</v>
      </c>
      <c r="G3">
        <f>C3-21.22</f>
        <v>8.0800000000000018</v>
      </c>
      <c r="I3">
        <f>13.39667-G3</f>
        <v>5.3166699999999985</v>
      </c>
      <c r="O3">
        <v>1.4983140005415143</v>
      </c>
      <c r="Q3">
        <v>0.79370235982382609</v>
      </c>
      <c r="T3" s="4" t="s">
        <v>106</v>
      </c>
      <c r="U3" s="3"/>
      <c r="V3" s="3"/>
      <c r="W3" s="3"/>
      <c r="X3" s="3"/>
      <c r="Y3" s="3"/>
      <c r="Z3" s="3"/>
      <c r="AA3" s="3"/>
      <c r="AB3" s="3"/>
    </row>
    <row r="4" spans="1:28" ht="52" x14ac:dyDescent="0.15">
      <c r="B4" t="s">
        <v>4</v>
      </c>
      <c r="C4">
        <v>29.29</v>
      </c>
      <c r="E4" t="s">
        <v>5</v>
      </c>
      <c r="F4">
        <v>21.1</v>
      </c>
      <c r="G4">
        <f t="shared" ref="G4" si="0">C4-21.22</f>
        <v>8.07</v>
      </c>
      <c r="I4">
        <f t="shared" ref="I4:I67" si="1">13.39667-G4</f>
        <v>5.32667</v>
      </c>
      <c r="O4">
        <v>1.2570133745218268</v>
      </c>
      <c r="Q4">
        <v>1.2254741054088527</v>
      </c>
      <c r="T4" s="3"/>
      <c r="U4" s="5" t="s">
        <v>107</v>
      </c>
      <c r="V4" s="5" t="s">
        <v>108</v>
      </c>
      <c r="W4" s="5" t="s">
        <v>109</v>
      </c>
      <c r="X4" s="5" t="s">
        <v>110</v>
      </c>
      <c r="Y4" s="5" t="s">
        <v>111</v>
      </c>
      <c r="Z4" s="3"/>
      <c r="AA4" s="5" t="s">
        <v>112</v>
      </c>
      <c r="AB4" s="5" t="s">
        <v>113</v>
      </c>
    </row>
    <row r="5" spans="1:28" ht="26" x14ac:dyDescent="0.15">
      <c r="F5">
        <f>AVERAGE(F2:F4)</f>
        <v>21.220000000000002</v>
      </c>
      <c r="G5">
        <f>AVERAGE(G3:G4)</f>
        <v>8.0750000000000011</v>
      </c>
      <c r="I5">
        <f t="shared" si="1"/>
        <v>5.3216699999999992</v>
      </c>
      <c r="O5">
        <v>1.4640856959456225</v>
      </c>
      <c r="Q5">
        <v>1.2775147956861341</v>
      </c>
      <c r="T5" s="3"/>
      <c r="U5" s="3"/>
      <c r="V5" s="3"/>
      <c r="W5" s="3"/>
      <c r="X5" s="3"/>
      <c r="Y5" s="5" t="s">
        <v>114</v>
      </c>
      <c r="Z5" s="5" t="s">
        <v>115</v>
      </c>
      <c r="AA5" s="3"/>
      <c r="AB5" s="3"/>
    </row>
    <row r="6" spans="1:28" x14ac:dyDescent="0.15">
      <c r="B6" t="s">
        <v>6</v>
      </c>
      <c r="C6">
        <v>31.44</v>
      </c>
      <c r="E6" t="s">
        <v>7</v>
      </c>
      <c r="G6">
        <f>C6-23.28</f>
        <v>8.16</v>
      </c>
      <c r="I6">
        <f t="shared" si="1"/>
        <v>5.2366700000000002</v>
      </c>
      <c r="N6" t="s">
        <v>154</v>
      </c>
      <c r="O6">
        <v>12.296194425471194</v>
      </c>
      <c r="P6" t="s">
        <v>155</v>
      </c>
      <c r="Q6">
        <v>24.933266549136</v>
      </c>
      <c r="S6" s="2" t="s">
        <v>97</v>
      </c>
      <c r="T6" s="6" t="s">
        <v>116</v>
      </c>
      <c r="U6" s="7">
        <v>4</v>
      </c>
      <c r="V6" s="7">
        <v>1.4067782902500001</v>
      </c>
      <c r="W6" s="7">
        <v>0.1066041034999403</v>
      </c>
      <c r="X6" s="7">
        <v>5.3302051749970152E-2</v>
      </c>
      <c r="Y6" s="7">
        <v>1.2371473725942748</v>
      </c>
      <c r="Z6" s="7">
        <v>1.5764092079057255</v>
      </c>
      <c r="AA6" s="7">
        <v>1.2570133750000001</v>
      </c>
      <c r="AB6" s="7">
        <v>1.498314001</v>
      </c>
    </row>
    <row r="7" spans="1:28" x14ac:dyDescent="0.15">
      <c r="B7" t="s">
        <v>8</v>
      </c>
      <c r="C7">
        <v>31.19</v>
      </c>
      <c r="E7" t="s">
        <v>9</v>
      </c>
      <c r="F7">
        <v>23.29</v>
      </c>
      <c r="G7">
        <f>C7-23.28</f>
        <v>7.91</v>
      </c>
      <c r="I7">
        <f t="shared" si="1"/>
        <v>5.4866700000000002</v>
      </c>
      <c r="O7">
        <v>11.877340903085789</v>
      </c>
      <c r="Q7">
        <v>23.425371135130018</v>
      </c>
      <c r="S7" s="2" t="s">
        <v>98</v>
      </c>
      <c r="T7" s="6" t="s">
        <v>117</v>
      </c>
      <c r="U7" s="7">
        <v>4</v>
      </c>
      <c r="V7" s="8">
        <v>10.726057281499999</v>
      </c>
      <c r="W7" s="8">
        <v>2.589342121274794</v>
      </c>
      <c r="X7" s="7">
        <v>1.294671060637397</v>
      </c>
      <c r="Y7" s="7">
        <v>6.6058361480169712</v>
      </c>
      <c r="Z7" s="7">
        <v>14.846278414983027</v>
      </c>
      <c r="AA7" s="7">
        <v>6.8533528959999996</v>
      </c>
      <c r="AB7" s="7">
        <v>12.29619443</v>
      </c>
    </row>
    <row r="8" spans="1:28" x14ac:dyDescent="0.15">
      <c r="B8" t="s">
        <v>10</v>
      </c>
      <c r="E8" t="s">
        <v>11</v>
      </c>
      <c r="F8">
        <v>23.27</v>
      </c>
      <c r="I8">
        <f t="shared" si="1"/>
        <v>13.39667</v>
      </c>
      <c r="J8" s="1"/>
      <c r="O8">
        <v>11.877340903085789</v>
      </c>
      <c r="Q8">
        <v>24.420147343368996</v>
      </c>
      <c r="S8" s="2" t="s">
        <v>99</v>
      </c>
      <c r="T8" s="6" t="s">
        <v>118</v>
      </c>
      <c r="U8" s="7">
        <v>4</v>
      </c>
      <c r="V8" s="7">
        <v>2.6336823564999996</v>
      </c>
      <c r="W8" s="7">
        <v>0.94835281358586065</v>
      </c>
      <c r="X8" s="7">
        <v>0.47417640679293033</v>
      </c>
      <c r="Y8" s="7">
        <v>1.1246414026492058</v>
      </c>
      <c r="Z8" s="7">
        <v>4.1427233103507932</v>
      </c>
      <c r="AA8" s="7">
        <v>1.234117686</v>
      </c>
      <c r="AB8" s="7">
        <v>3.2418334569999998</v>
      </c>
    </row>
    <row r="9" spans="1:28" x14ac:dyDescent="0.15">
      <c r="F9">
        <f>AVERAGE(F7:F8)</f>
        <v>23.28</v>
      </c>
      <c r="I9">
        <f t="shared" si="1"/>
        <v>13.39667</v>
      </c>
      <c r="J9" s="1"/>
      <c r="O9">
        <v>6.8533528962138064</v>
      </c>
      <c r="Q9">
        <v>24.761039896678213</v>
      </c>
      <c r="S9" s="2" t="s">
        <v>100</v>
      </c>
      <c r="T9" s="6" t="s">
        <v>119</v>
      </c>
      <c r="U9" s="7">
        <v>4</v>
      </c>
      <c r="V9" s="7">
        <v>43.326003237500004</v>
      </c>
      <c r="W9" s="7">
        <v>11.585729608556646</v>
      </c>
      <c r="X9" s="7">
        <v>5.7928648042783228</v>
      </c>
      <c r="Y9" s="7">
        <v>24.890522044117301</v>
      </c>
      <c r="Z9" s="3">
        <v>61.761484430882703</v>
      </c>
      <c r="AA9" s="3">
        <v>26.38799766</v>
      </c>
      <c r="AB9" s="3">
        <v>50.97825117</v>
      </c>
    </row>
    <row r="10" spans="1:28" x14ac:dyDescent="0.15">
      <c r="B10" t="s">
        <v>12</v>
      </c>
      <c r="E10" t="s">
        <v>13</v>
      </c>
      <c r="F10">
        <v>19.36</v>
      </c>
      <c r="I10">
        <f t="shared" si="1"/>
        <v>13.39667</v>
      </c>
      <c r="J10" s="1"/>
      <c r="N10" t="s">
        <v>147</v>
      </c>
      <c r="O10">
        <v>3.1972021774059027</v>
      </c>
      <c r="P10" t="s">
        <v>148</v>
      </c>
      <c r="Q10">
        <v>1.1381336642319162</v>
      </c>
      <c r="S10" s="2" t="s">
        <v>101</v>
      </c>
      <c r="T10" s="3" t="s">
        <v>120</v>
      </c>
      <c r="U10" s="3">
        <v>4</v>
      </c>
      <c r="V10" s="3">
        <v>40.632356567499997</v>
      </c>
      <c r="W10" s="3">
        <v>3.0066575517603376</v>
      </c>
      <c r="X10" s="3">
        <v>1.5033287758801688</v>
      </c>
      <c r="Y10" s="3">
        <v>35.848093459073702</v>
      </c>
      <c r="Z10" s="3">
        <v>45.416619675926292</v>
      </c>
      <c r="AA10" s="3">
        <v>37.70463556</v>
      </c>
      <c r="AB10" s="3">
        <v>44.838620880000001</v>
      </c>
    </row>
    <row r="11" spans="1:28" x14ac:dyDescent="0.15">
      <c r="B11" t="s">
        <v>14</v>
      </c>
      <c r="C11">
        <v>29.71</v>
      </c>
      <c r="E11" t="s">
        <v>15</v>
      </c>
      <c r="G11">
        <f>C11-19.34</f>
        <v>10.370000000000001</v>
      </c>
      <c r="I11">
        <f t="shared" si="1"/>
        <v>3.0266699999999993</v>
      </c>
      <c r="J11" s="1">
        <f t="shared" ref="J11:J56" si="2">POWER(2,I11)</f>
        <v>8.1492653084374904</v>
      </c>
      <c r="O11">
        <v>3.2418334565860447</v>
      </c>
      <c r="Q11">
        <v>1.344127505183796</v>
      </c>
      <c r="S11" s="2" t="s">
        <v>129</v>
      </c>
      <c r="T11" s="3" t="s">
        <v>121</v>
      </c>
      <c r="U11" s="3">
        <v>4</v>
      </c>
      <c r="V11" s="3">
        <v>3.9942025087499999</v>
      </c>
      <c r="W11" s="3">
        <v>1.1662364643868297</v>
      </c>
      <c r="X11" s="3">
        <v>0.58311823219341485</v>
      </c>
      <c r="Y11" s="3">
        <v>2.1384600451625877</v>
      </c>
      <c r="Z11" s="3">
        <v>5.8499449723374122</v>
      </c>
      <c r="AA11" s="3">
        <v>2.3160557810000002</v>
      </c>
      <c r="AB11" s="3">
        <v>5.0164612289999999</v>
      </c>
    </row>
    <row r="12" spans="1:28" x14ac:dyDescent="0.15">
      <c r="B12" t="s">
        <v>16</v>
      </c>
      <c r="C12">
        <v>28.98</v>
      </c>
      <c r="E12" t="s">
        <v>17</v>
      </c>
      <c r="F12">
        <v>19.32</v>
      </c>
      <c r="G12">
        <f>C12-19.34</f>
        <v>9.64</v>
      </c>
      <c r="I12">
        <f t="shared" si="1"/>
        <v>3.7566699999999997</v>
      </c>
      <c r="J12" s="1">
        <f t="shared" si="2"/>
        <v>13.516690008629531</v>
      </c>
      <c r="O12">
        <v>2.8615761056037856</v>
      </c>
      <c r="Q12">
        <v>0.90542685328616102</v>
      </c>
      <c r="S12" s="2" t="s">
        <v>102</v>
      </c>
      <c r="T12" s="3" t="s">
        <v>122</v>
      </c>
      <c r="U12" s="3">
        <v>4</v>
      </c>
      <c r="V12" s="3">
        <v>47.585764317499994</v>
      </c>
      <c r="W12" s="3">
        <v>1.8355962612178449</v>
      </c>
      <c r="X12" s="3">
        <v>0.91779813060892246</v>
      </c>
      <c r="Y12" s="3">
        <v>44.66492104774747</v>
      </c>
      <c r="Z12" s="3">
        <v>50.506607587252518</v>
      </c>
      <c r="AA12" s="3">
        <v>46.259250940000001</v>
      </c>
      <c r="AB12" s="3">
        <v>50.271540709999996</v>
      </c>
    </row>
    <row r="13" spans="1:28" x14ac:dyDescent="0.15">
      <c r="F13">
        <f>AVERAGE(F10:F12)</f>
        <v>19.34</v>
      </c>
      <c r="I13">
        <f t="shared" si="1"/>
        <v>13.39667</v>
      </c>
      <c r="J13" s="1">
        <f>AVERAGE(J3:J12)</f>
        <v>10.832977658533512</v>
      </c>
      <c r="O13">
        <v>1.2341176858279141</v>
      </c>
      <c r="Q13">
        <f>AVERAGE(Q10:Q12)</f>
        <v>1.1292293409006244</v>
      </c>
      <c r="S13" s="2" t="s">
        <v>103</v>
      </c>
      <c r="T13" s="3" t="s">
        <v>123</v>
      </c>
      <c r="U13" s="3">
        <v>4</v>
      </c>
      <c r="V13" s="3">
        <v>1.7586830500000001E-2</v>
      </c>
      <c r="W13" s="3">
        <v>3.3816085788116183E-3</v>
      </c>
      <c r="X13" s="3">
        <v>1.6908042894058092E-3</v>
      </c>
      <c r="Y13" s="3">
        <v>1.2205936636222894E-2</v>
      </c>
      <c r="Z13" s="3">
        <v>2.2967724363777108E-2</v>
      </c>
      <c r="AA13" s="3">
        <v>1.2764892E-2</v>
      </c>
      <c r="AB13" s="3">
        <v>2.0479517999999999E-2</v>
      </c>
    </row>
    <row r="14" spans="1:28" x14ac:dyDescent="0.15">
      <c r="A14" t="s">
        <v>142</v>
      </c>
      <c r="B14" t="s">
        <v>18</v>
      </c>
      <c r="C14">
        <v>29.52</v>
      </c>
      <c r="E14" t="s">
        <v>19</v>
      </c>
      <c r="F14">
        <v>18.2</v>
      </c>
      <c r="G14">
        <f>C14-18.25</f>
        <v>11.27</v>
      </c>
      <c r="I14">
        <f t="shared" si="1"/>
        <v>2.1266700000000007</v>
      </c>
      <c r="J14" s="1">
        <f t="shared" si="2"/>
        <v>4.3670831483754746</v>
      </c>
      <c r="N14" t="s">
        <v>100</v>
      </c>
      <c r="O14">
        <v>45.311645451991836</v>
      </c>
      <c r="P14" t="s">
        <v>100</v>
      </c>
      <c r="Q14">
        <v>15.383799927808496</v>
      </c>
      <c r="S14" s="2" t="s">
        <v>105</v>
      </c>
      <c r="T14" s="3" t="s">
        <v>124</v>
      </c>
      <c r="U14" s="3">
        <v>4</v>
      </c>
      <c r="V14" s="3">
        <v>112.78398014999999</v>
      </c>
      <c r="W14" s="3">
        <v>6.1093815085984629</v>
      </c>
      <c r="X14" s="3">
        <v>3.0546907542992314</v>
      </c>
      <c r="Y14" s="3">
        <v>103.06259084519657</v>
      </c>
      <c r="Z14" s="3">
        <v>122.50536945480341</v>
      </c>
      <c r="AA14" s="3">
        <v>105.9081644</v>
      </c>
      <c r="AB14" s="3">
        <v>120.2589119</v>
      </c>
    </row>
    <row r="15" spans="1:28" x14ac:dyDescent="0.15">
      <c r="B15" t="s">
        <v>20</v>
      </c>
      <c r="C15">
        <v>29.32</v>
      </c>
      <c r="E15" t="s">
        <v>21</v>
      </c>
      <c r="F15">
        <v>18.28</v>
      </c>
      <c r="G15">
        <f t="shared" ref="G15:G16" si="3">C15-18.25</f>
        <v>11.07</v>
      </c>
      <c r="I15">
        <f t="shared" si="1"/>
        <v>2.32667</v>
      </c>
      <c r="J15" s="1">
        <f t="shared" si="2"/>
        <v>5.0164612286741788</v>
      </c>
      <c r="O15">
        <v>50.978251170974588</v>
      </c>
      <c r="Q15">
        <v>16.834395362456295</v>
      </c>
      <c r="T15" s="3" t="s">
        <v>125</v>
      </c>
      <c r="U15" s="3">
        <v>36</v>
      </c>
      <c r="V15" s="3">
        <v>29.234045726666668</v>
      </c>
      <c r="W15" s="3">
        <v>35.626184238392781</v>
      </c>
      <c r="X15" s="3">
        <v>5.9376973730654639</v>
      </c>
      <c r="Y15" s="3">
        <v>17.179879214056783</v>
      </c>
      <c r="Z15" s="3">
        <v>41.288212239276554</v>
      </c>
      <c r="AA15" s="3">
        <v>1.2764892E-2</v>
      </c>
      <c r="AB15" s="3">
        <v>120.2589119</v>
      </c>
    </row>
    <row r="16" spans="1:28" x14ac:dyDescent="0.15">
      <c r="B16" t="s">
        <v>22</v>
      </c>
      <c r="C16">
        <v>29.55</v>
      </c>
      <c r="E16" t="s">
        <v>23</v>
      </c>
      <c r="F16">
        <v>18.27</v>
      </c>
      <c r="G16">
        <f t="shared" si="3"/>
        <v>11.3</v>
      </c>
      <c r="I16">
        <f t="shared" si="1"/>
        <v>2.0966699999999996</v>
      </c>
      <c r="J16" s="1">
        <f t="shared" si="2"/>
        <v>4.2772098767687581</v>
      </c>
      <c r="O16">
        <v>50.626118668399108</v>
      </c>
      <c r="Q16">
        <v>13.579326290612528</v>
      </c>
    </row>
    <row r="17" spans="1:27" x14ac:dyDescent="0.15">
      <c r="F17">
        <f>AVERAGE(F14:F16)</f>
        <v>18.25</v>
      </c>
      <c r="I17">
        <f t="shared" si="1"/>
        <v>13.39667</v>
      </c>
      <c r="J17" s="1"/>
      <c r="O17">
        <v>26.387997658042821</v>
      </c>
      <c r="Q17">
        <f>AVERAGE(Q14:Q16)</f>
        <v>15.265840526959105</v>
      </c>
    </row>
    <row r="18" spans="1:27" x14ac:dyDescent="0.15">
      <c r="B18" t="s">
        <v>24</v>
      </c>
      <c r="C18">
        <v>29.38</v>
      </c>
      <c r="E18" t="s">
        <v>25</v>
      </c>
      <c r="F18">
        <v>17.04</v>
      </c>
      <c r="G18">
        <f>C18-17.025</f>
        <v>12.355</v>
      </c>
      <c r="I18">
        <f t="shared" si="1"/>
        <v>1.0416699999999999</v>
      </c>
      <c r="J18" s="1">
        <f t="shared" si="2"/>
        <v>2.0586092296787672</v>
      </c>
      <c r="N18" t="s">
        <v>153</v>
      </c>
      <c r="O18" s="1">
        <f>POWER(2,I3)</f>
        <v>39.854479998777379</v>
      </c>
      <c r="P18" t="s">
        <v>152</v>
      </c>
      <c r="Q18">
        <v>2.2140226786632935</v>
      </c>
      <c r="T18" t="s">
        <v>97</v>
      </c>
      <c r="U18">
        <v>1.4067782902500001</v>
      </c>
      <c r="V18">
        <v>5.3302051749970152E-2</v>
      </c>
    </row>
    <row r="19" spans="1:27" x14ac:dyDescent="0.15">
      <c r="B19" t="s">
        <v>26</v>
      </c>
      <c r="C19">
        <v>29.21</v>
      </c>
      <c r="E19" t="s">
        <v>27</v>
      </c>
      <c r="F19">
        <v>17.010000000000002</v>
      </c>
      <c r="G19">
        <f>C19-17.025</f>
        <v>12.185000000000002</v>
      </c>
      <c r="I19">
        <f t="shared" si="1"/>
        <v>1.211669999999998</v>
      </c>
      <c r="J19" s="1">
        <f t="shared" si="2"/>
        <v>2.3160557805087878</v>
      </c>
      <c r="O19" s="1">
        <f>POWER(2,I4)</f>
        <v>40.131689829393423</v>
      </c>
      <c r="Q19">
        <v>2.138604938384379</v>
      </c>
      <c r="T19" t="s">
        <v>98</v>
      </c>
      <c r="U19">
        <v>10.726057281499999</v>
      </c>
      <c r="V19">
        <v>1.294671060637397</v>
      </c>
    </row>
    <row r="20" spans="1:27" x14ac:dyDescent="0.15">
      <c r="B20" t="s">
        <v>28</v>
      </c>
      <c r="C20">
        <v>29.27</v>
      </c>
      <c r="E20" t="s">
        <v>29</v>
      </c>
      <c r="F20">
        <f>AVERAGE(F18:F19)</f>
        <v>17.024999999999999</v>
      </c>
      <c r="I20">
        <f t="shared" si="1"/>
        <v>13.39667</v>
      </c>
      <c r="J20" s="1"/>
      <c r="O20" s="1">
        <f>POWER(2,I6)</f>
        <v>37.704635559115708</v>
      </c>
      <c r="Q20">
        <v>2.688255010367592</v>
      </c>
      <c r="T20" t="s">
        <v>99</v>
      </c>
      <c r="U20">
        <v>2.6336823564999996</v>
      </c>
      <c r="V20">
        <v>0.47417640679293033</v>
      </c>
    </row>
    <row r="21" spans="1:27" x14ac:dyDescent="0.15">
      <c r="I21">
        <f t="shared" si="1"/>
        <v>13.39667</v>
      </c>
      <c r="J21" s="1"/>
      <c r="O21" s="1">
        <f>POWER(2,I7)</f>
        <v>44.838620875485006</v>
      </c>
      <c r="Q21">
        <f>AVERAGE(Q18:Q20)</f>
        <v>2.3469608758050882</v>
      </c>
      <c r="T21" t="s">
        <v>100</v>
      </c>
      <c r="U21">
        <v>43.326003237500004</v>
      </c>
      <c r="V21">
        <v>5.7928648042783228</v>
      </c>
    </row>
    <row r="22" spans="1:27" x14ac:dyDescent="0.15">
      <c r="B22" t="s">
        <v>30</v>
      </c>
      <c r="E22" t="s">
        <v>31</v>
      </c>
      <c r="F22">
        <v>22.24</v>
      </c>
      <c r="I22">
        <f t="shared" si="1"/>
        <v>13.39667</v>
      </c>
      <c r="J22" s="1"/>
      <c r="N22" t="s">
        <v>129</v>
      </c>
      <c r="O22">
        <v>4.3670831483754746</v>
      </c>
      <c r="P22" t="s">
        <v>129</v>
      </c>
      <c r="Q22">
        <v>9.7360730994715627</v>
      </c>
      <c r="T22" t="s">
        <v>101</v>
      </c>
      <c r="U22">
        <v>40.632356567499997</v>
      </c>
      <c r="V22">
        <v>1.5033287758801688</v>
      </c>
    </row>
    <row r="23" spans="1:27" x14ac:dyDescent="0.15">
      <c r="B23" t="s">
        <v>32</v>
      </c>
      <c r="C23">
        <v>31.79</v>
      </c>
      <c r="E23" t="s">
        <v>33</v>
      </c>
      <c r="F23">
        <v>22.26</v>
      </c>
      <c r="G23">
        <f t="shared" ref="G23:G24" si="4">C23-22.25</f>
        <v>9.5399999999999991</v>
      </c>
      <c r="I23">
        <f t="shared" si="1"/>
        <v>3.8566700000000012</v>
      </c>
      <c r="J23" s="1">
        <f t="shared" si="2"/>
        <v>14.486829652578612</v>
      </c>
      <c r="O23">
        <v>5.0164612286741788</v>
      </c>
      <c r="Q23">
        <v>9.7360730994715627</v>
      </c>
      <c r="T23" t="s">
        <v>129</v>
      </c>
      <c r="U23">
        <v>3.9942025087499999</v>
      </c>
      <c r="V23">
        <v>0.58311823219341485</v>
      </c>
    </row>
    <row r="24" spans="1:27" x14ac:dyDescent="0.15">
      <c r="B24" t="s">
        <v>87</v>
      </c>
      <c r="C24">
        <v>31.64</v>
      </c>
      <c r="E24" t="s">
        <v>34</v>
      </c>
      <c r="F24">
        <f>AVERAGE(F22:F23)</f>
        <v>22.25</v>
      </c>
      <c r="G24">
        <f t="shared" si="4"/>
        <v>9.39</v>
      </c>
      <c r="I24">
        <f t="shared" si="1"/>
        <v>4.0066699999999997</v>
      </c>
      <c r="J24" s="1">
        <f t="shared" si="2"/>
        <v>16.074143929548431</v>
      </c>
      <c r="O24">
        <v>4.2772098767687581</v>
      </c>
      <c r="Q24">
        <v>10.116711816104546</v>
      </c>
      <c r="T24" t="s">
        <v>102</v>
      </c>
      <c r="U24">
        <v>47.585764317499994</v>
      </c>
      <c r="V24">
        <v>0.91779813060892246</v>
      </c>
    </row>
    <row r="25" spans="1:27" x14ac:dyDescent="0.15">
      <c r="I25">
        <f t="shared" si="1"/>
        <v>13.39667</v>
      </c>
      <c r="J25" s="1">
        <f>AVERAGE(J14:J24)</f>
        <v>6.9423418351618595</v>
      </c>
      <c r="O25">
        <v>2.3160557805087878</v>
      </c>
      <c r="Q25">
        <v>7.7812395792982887</v>
      </c>
      <c r="T25" t="s">
        <v>103</v>
      </c>
      <c r="U25">
        <v>1.7586830500000001E-2</v>
      </c>
      <c r="V25">
        <v>1.6908042894058092E-3</v>
      </c>
    </row>
    <row r="26" spans="1:27" x14ac:dyDescent="0.15">
      <c r="A26" t="s">
        <v>141</v>
      </c>
      <c r="B26" t="s">
        <v>35</v>
      </c>
      <c r="C26">
        <v>28.15</v>
      </c>
      <c r="E26" t="s">
        <v>36</v>
      </c>
      <c r="F26">
        <v>21.58</v>
      </c>
      <c r="G26">
        <f>C26-21.59333</f>
        <v>6.5566699999999969</v>
      </c>
      <c r="I26">
        <f t="shared" si="1"/>
        <v>6.8400000000000034</v>
      </c>
      <c r="J26" s="1">
        <f t="shared" si="2"/>
        <v>114.56320907878076</v>
      </c>
      <c r="N26" t="s">
        <v>102</v>
      </c>
      <c r="O26">
        <v>46.259250940308704</v>
      </c>
      <c r="P26" t="s">
        <v>102</v>
      </c>
      <c r="Q26">
        <v>9.4477448290628594</v>
      </c>
      <c r="T26" t="s">
        <v>104</v>
      </c>
      <c r="U26">
        <v>112.78398014999999</v>
      </c>
      <c r="V26">
        <v>3.0546907542992314</v>
      </c>
    </row>
    <row r="27" spans="1:27" x14ac:dyDescent="0.15">
      <c r="B27" t="s">
        <v>37</v>
      </c>
      <c r="C27">
        <v>28.02</v>
      </c>
      <c r="E27" t="s">
        <v>38</v>
      </c>
      <c r="F27">
        <v>21.62</v>
      </c>
      <c r="G27">
        <f t="shared" ref="G27:G28" si="5">C27-21.59333</f>
        <v>6.4266699999999979</v>
      </c>
      <c r="I27">
        <f t="shared" si="1"/>
        <v>6.9700000000000024</v>
      </c>
      <c r="J27" s="1">
        <f t="shared" si="2"/>
        <v>125.36579809112683</v>
      </c>
      <c r="O27">
        <v>46.581009475810269</v>
      </c>
      <c r="Q27">
        <v>9.4477448290628594</v>
      </c>
    </row>
    <row r="28" spans="1:27" x14ac:dyDescent="0.15">
      <c r="B28" t="s">
        <v>39</v>
      </c>
      <c r="C28">
        <v>28.08</v>
      </c>
      <c r="E28" t="s">
        <v>40</v>
      </c>
      <c r="F28">
        <v>21.58</v>
      </c>
      <c r="G28">
        <f t="shared" si="5"/>
        <v>6.4866699999999966</v>
      </c>
      <c r="I28">
        <f t="shared" si="1"/>
        <v>6.9100000000000037</v>
      </c>
      <c r="J28" s="1">
        <f t="shared" si="2"/>
        <v>120.25891189939382</v>
      </c>
      <c r="O28">
        <v>47.231256136186985</v>
      </c>
      <c r="Q28">
        <v>9.8910447186347188</v>
      </c>
    </row>
    <row r="29" spans="1:27" x14ac:dyDescent="0.15">
      <c r="F29">
        <f>AVERAGE(F26:F28)</f>
        <v>21.593333333333334</v>
      </c>
      <c r="I29">
        <f t="shared" si="1"/>
        <v>13.39667</v>
      </c>
      <c r="J29" s="1"/>
      <c r="O29">
        <v>50.271540711174723</v>
      </c>
      <c r="Q29">
        <v>13.454342644059432</v>
      </c>
      <c r="S29" s="10" t="s">
        <v>128</v>
      </c>
      <c r="T29" s="11"/>
      <c r="U29" s="11"/>
      <c r="V29" s="11"/>
      <c r="W29" s="11"/>
      <c r="X29" s="11"/>
      <c r="Y29" s="11"/>
      <c r="Z29" s="11"/>
      <c r="AA29" s="11"/>
    </row>
    <row r="30" spans="1:27" x14ac:dyDescent="0.15">
      <c r="B30" t="s">
        <v>41</v>
      </c>
      <c r="C30">
        <v>24.85</v>
      </c>
      <c r="E30" t="s">
        <v>42</v>
      </c>
      <c r="G30">
        <f>C30-18.07</f>
        <v>6.7800000000000011</v>
      </c>
      <c r="I30">
        <f t="shared" si="1"/>
        <v>6.6166699999999992</v>
      </c>
      <c r="J30" s="1">
        <f t="shared" si="2"/>
        <v>98.133240794523005</v>
      </c>
      <c r="N30" t="s">
        <v>145</v>
      </c>
      <c r="O30">
        <v>1.7908768911167335E-2</v>
      </c>
      <c r="P30" t="s">
        <v>145</v>
      </c>
      <c r="Q30">
        <v>18.336800158475551</v>
      </c>
      <c r="S30" s="4" t="s">
        <v>127</v>
      </c>
      <c r="T30" s="3"/>
      <c r="U30" s="3"/>
      <c r="V30" s="3"/>
      <c r="W30" s="3"/>
      <c r="X30" s="3"/>
      <c r="Y30" s="3"/>
      <c r="Z30" s="3"/>
      <c r="AA30" s="3"/>
    </row>
    <row r="31" spans="1:27" ht="52" x14ac:dyDescent="0.15">
      <c r="B31" t="s">
        <v>43</v>
      </c>
      <c r="C31">
        <v>24.74</v>
      </c>
      <c r="E31" t="s">
        <v>44</v>
      </c>
      <c r="F31">
        <v>18.059999999999999</v>
      </c>
      <c r="G31">
        <f t="shared" ref="G31:G32" si="6">C31-18.07</f>
        <v>6.6699999999999982</v>
      </c>
      <c r="I31">
        <f t="shared" si="1"/>
        <v>6.7266700000000021</v>
      </c>
      <c r="J31" s="1">
        <f t="shared" si="2"/>
        <v>105.9081644051376</v>
      </c>
      <c r="O31">
        <v>1.9194143265684048E-2</v>
      </c>
      <c r="Q31">
        <v>16.411895862431631</v>
      </c>
      <c r="S31" s="3"/>
      <c r="T31" s="5" t="s">
        <v>107</v>
      </c>
      <c r="U31" s="5" t="s">
        <v>108</v>
      </c>
      <c r="V31" s="5" t="s">
        <v>109</v>
      </c>
      <c r="W31" s="5" t="s">
        <v>110</v>
      </c>
      <c r="X31" s="5" t="s">
        <v>111</v>
      </c>
      <c r="Y31" s="3"/>
      <c r="Z31" s="5" t="s">
        <v>112</v>
      </c>
      <c r="AA31" s="5" t="s">
        <v>113</v>
      </c>
    </row>
    <row r="32" spans="1:27" ht="26" x14ac:dyDescent="0.15">
      <c r="B32" t="s">
        <v>45</v>
      </c>
      <c r="C32">
        <v>24.68</v>
      </c>
      <c r="E32" t="s">
        <v>46</v>
      </c>
      <c r="F32">
        <v>18.079999999999998</v>
      </c>
      <c r="G32">
        <f t="shared" si="6"/>
        <v>6.6099999999999994</v>
      </c>
      <c r="I32">
        <f t="shared" si="1"/>
        <v>6.7866700000000009</v>
      </c>
      <c r="J32" s="1">
        <f t="shared" si="2"/>
        <v>110.40563518588822</v>
      </c>
      <c r="O32">
        <v>2.04795176202008E-2</v>
      </c>
      <c r="Q32">
        <v>17.712181429306394</v>
      </c>
      <c r="S32" s="3"/>
      <c r="T32" s="3"/>
      <c r="U32" s="3"/>
      <c r="V32" s="3"/>
      <c r="W32" s="3"/>
      <c r="X32" s="5" t="s">
        <v>114</v>
      </c>
      <c r="Y32" s="5" t="s">
        <v>115</v>
      </c>
      <c r="Z32" s="3"/>
      <c r="AA32" s="3"/>
    </row>
    <row r="33" spans="1:27" x14ac:dyDescent="0.15">
      <c r="F33">
        <f>AVERAGE(F31:F32)</f>
        <v>18.07</v>
      </c>
      <c r="I33">
        <f t="shared" si="1"/>
        <v>13.39667</v>
      </c>
      <c r="J33" s="1"/>
      <c r="O33">
        <v>1.27648919747175E-2</v>
      </c>
      <c r="Q33">
        <v>17.48695915007119</v>
      </c>
      <c r="S33" s="6" t="s">
        <v>116</v>
      </c>
      <c r="T33" s="7">
        <v>4</v>
      </c>
      <c r="U33" s="7">
        <v>1.0253683232499999</v>
      </c>
      <c r="V33" s="7">
        <v>0.26200992222053043</v>
      </c>
      <c r="W33" s="7">
        <v>0.13100496111026522</v>
      </c>
      <c r="X33" s="7">
        <v>0.60845206879082037</v>
      </c>
      <c r="Y33" s="7">
        <v>1.4422845777091795</v>
      </c>
      <c r="Z33" s="7">
        <v>0.79370236000000005</v>
      </c>
      <c r="AA33" s="7">
        <v>1.277514796</v>
      </c>
    </row>
    <row r="34" spans="1:27" x14ac:dyDescent="0.15">
      <c r="B34" t="s">
        <v>47</v>
      </c>
      <c r="C34">
        <v>27.27</v>
      </c>
      <c r="E34" t="s">
        <v>48</v>
      </c>
      <c r="F34">
        <v>18.579999999999998</v>
      </c>
      <c r="G34">
        <f>C34-18.585</f>
        <v>8.6849999999999987</v>
      </c>
      <c r="I34">
        <f t="shared" si="1"/>
        <v>4.7116700000000016</v>
      </c>
      <c r="J34" s="1"/>
      <c r="L34" t="s">
        <v>156</v>
      </c>
      <c r="M34">
        <v>6.7278240546352528</v>
      </c>
      <c r="N34" t="s">
        <v>105</v>
      </c>
      <c r="O34">
        <v>114.56320907878076</v>
      </c>
      <c r="P34" t="s">
        <v>146</v>
      </c>
      <c r="Q34">
        <v>13.961093116053002</v>
      </c>
      <c r="S34" s="6" t="s">
        <v>117</v>
      </c>
      <c r="T34" s="7">
        <v>4</v>
      </c>
      <c r="U34" s="8">
        <v>24.384956232499999</v>
      </c>
      <c r="V34" s="8">
        <v>0.67432066878019625</v>
      </c>
      <c r="W34" s="7">
        <v>0.33716033439009813</v>
      </c>
      <c r="X34" s="7">
        <v>23.311961572032061</v>
      </c>
      <c r="Y34" s="7">
        <v>25.457950892967936</v>
      </c>
      <c r="Z34" s="7">
        <v>23.425371139999999</v>
      </c>
      <c r="AA34" s="7">
        <v>24.933266549999999</v>
      </c>
    </row>
    <row r="35" spans="1:27" x14ac:dyDescent="0.15">
      <c r="B35" t="s">
        <v>49</v>
      </c>
      <c r="E35" t="s">
        <v>50</v>
      </c>
      <c r="F35">
        <v>18.59</v>
      </c>
      <c r="I35">
        <f t="shared" si="1"/>
        <v>13.39667</v>
      </c>
      <c r="J35" s="1"/>
      <c r="M35">
        <v>5.9386704515428823</v>
      </c>
      <c r="O35">
        <v>120.25891189939382</v>
      </c>
      <c r="Q35">
        <v>10.877989249370513</v>
      </c>
      <c r="S35" s="6" t="s">
        <v>118</v>
      </c>
      <c r="T35" s="7">
        <v>4</v>
      </c>
      <c r="U35" s="7">
        <v>1.12922934075</v>
      </c>
      <c r="V35" s="7">
        <v>0.17920943194453556</v>
      </c>
      <c r="W35" s="7">
        <v>8.9604715972267782E-2</v>
      </c>
      <c r="X35" s="7">
        <v>0.84406714346807388</v>
      </c>
      <c r="Y35" s="7">
        <v>1.4143915380319261</v>
      </c>
      <c r="Z35" s="7">
        <v>0.90542685300000003</v>
      </c>
      <c r="AA35" s="7">
        <v>1.3441275049999999</v>
      </c>
    </row>
    <row r="36" spans="1:27" x14ac:dyDescent="0.15">
      <c r="B36" t="s">
        <v>51</v>
      </c>
      <c r="C36">
        <v>27.21</v>
      </c>
      <c r="E36" t="s">
        <v>52</v>
      </c>
      <c r="F36">
        <f>AVERAGE(F34:F35)</f>
        <v>18.585000000000001</v>
      </c>
      <c r="G36">
        <f t="shared" ref="G36" si="7">C36-18.585</f>
        <v>8.625</v>
      </c>
      <c r="I36">
        <f t="shared" si="1"/>
        <v>4.7716700000000003</v>
      </c>
      <c r="J36" s="1"/>
      <c r="M36">
        <v>3.5475179320784287</v>
      </c>
      <c r="O36">
        <v>105.9081644051376</v>
      </c>
      <c r="Q36">
        <v>12.238374101357961</v>
      </c>
      <c r="S36" s="6" t="s">
        <v>119</v>
      </c>
      <c r="T36" s="7">
        <v>4</v>
      </c>
      <c r="U36" s="7">
        <v>15.265840527499998</v>
      </c>
      <c r="V36" s="7">
        <v>1.3314915141158381</v>
      </c>
      <c r="W36" s="7">
        <v>0.66574575705791905</v>
      </c>
      <c r="X36" s="7">
        <v>13.14714040269282</v>
      </c>
      <c r="Y36" s="3">
        <v>17.384540652307177</v>
      </c>
      <c r="Z36" s="3">
        <v>13.579326289999999</v>
      </c>
      <c r="AA36" s="3">
        <v>16.834395359999998</v>
      </c>
    </row>
    <row r="37" spans="1:27" x14ac:dyDescent="0.15">
      <c r="I37">
        <f t="shared" si="1"/>
        <v>13.39667</v>
      </c>
      <c r="J37" s="1">
        <f>AVERAGE(J26:J36)</f>
        <v>112.43915990914171</v>
      </c>
      <c r="M37">
        <v>3.5970394369560421</v>
      </c>
      <c r="O37">
        <v>110.40563518588822</v>
      </c>
      <c r="Q37">
        <v>12.359152155593826</v>
      </c>
      <c r="S37" s="3" t="s">
        <v>120</v>
      </c>
      <c r="T37" s="3">
        <v>4</v>
      </c>
      <c r="U37" s="3">
        <v>2.3469608757499998</v>
      </c>
      <c r="V37" s="3">
        <v>0.24328751647949429</v>
      </c>
      <c r="W37" s="3">
        <v>0.12164375823974714</v>
      </c>
      <c r="X37" s="3">
        <v>1.9598361467791103</v>
      </c>
      <c r="Y37" s="3">
        <v>2.7340856047208892</v>
      </c>
      <c r="Z37" s="3">
        <v>2.1386049379999998</v>
      </c>
      <c r="AA37" s="3">
        <v>2.6882550099999998</v>
      </c>
    </row>
    <row r="38" spans="1:27" x14ac:dyDescent="0.15">
      <c r="A38" t="s">
        <v>140</v>
      </c>
      <c r="B38" t="s">
        <v>53</v>
      </c>
      <c r="C38">
        <v>33.47</v>
      </c>
      <c r="E38" t="s">
        <v>54</v>
      </c>
      <c r="F38">
        <v>20.6</v>
      </c>
      <c r="G38">
        <f>C38-20.56667</f>
        <v>12.90333</v>
      </c>
      <c r="I38">
        <f t="shared" si="1"/>
        <v>0.49333999999999989</v>
      </c>
      <c r="J38" s="1">
        <f t="shared" si="2"/>
        <v>1.4077000889746114</v>
      </c>
      <c r="S38" s="3" t="s">
        <v>121</v>
      </c>
      <c r="T38" s="3">
        <v>4</v>
      </c>
      <c r="U38" s="3">
        <v>9.3425243992500011</v>
      </c>
      <c r="V38" s="3">
        <v>1.0562098293016791</v>
      </c>
      <c r="W38" s="3">
        <v>0.52810491465083953</v>
      </c>
      <c r="X38" s="3">
        <v>7.6618588648173489</v>
      </c>
      <c r="Y38" s="3">
        <v>11.023189933682653</v>
      </c>
      <c r="Z38" s="3">
        <v>7.7812395790000002</v>
      </c>
      <c r="AA38" s="3">
        <v>10.116711820000001</v>
      </c>
    </row>
    <row r="39" spans="1:27" x14ac:dyDescent="0.15">
      <c r="B39" t="s">
        <v>55</v>
      </c>
      <c r="C39">
        <v>33.380000000000003</v>
      </c>
      <c r="E39" t="s">
        <v>56</v>
      </c>
      <c r="F39">
        <v>20.52</v>
      </c>
      <c r="G39">
        <f>C39-20.56667</f>
        <v>12.813330000000004</v>
      </c>
      <c r="I39">
        <f t="shared" si="1"/>
        <v>0.58333999999999619</v>
      </c>
      <c r="J39" s="1">
        <f t="shared" si="2"/>
        <v>1.4983140005415143</v>
      </c>
      <c r="S39" s="3" t="s">
        <v>122</v>
      </c>
      <c r="T39" s="3">
        <v>4</v>
      </c>
      <c r="U39" s="3">
        <v>10.560219254250001</v>
      </c>
      <c r="V39" s="3">
        <v>1.9406994807923197</v>
      </c>
      <c r="W39" s="3">
        <v>0.97034974039615984</v>
      </c>
      <c r="X39" s="3">
        <v>7.4721333080933832</v>
      </c>
      <c r="Y39" s="3">
        <v>13.648305200406618</v>
      </c>
      <c r="Z39" s="3">
        <v>9.4477448289999995</v>
      </c>
      <c r="AA39" s="3">
        <v>13.45434264</v>
      </c>
    </row>
    <row r="40" spans="1:27" x14ac:dyDescent="0.15">
      <c r="B40" t="s">
        <v>57</v>
      </c>
      <c r="E40" t="s">
        <v>58</v>
      </c>
      <c r="F40">
        <v>20.58</v>
      </c>
      <c r="I40">
        <f t="shared" si="1"/>
        <v>13.39667</v>
      </c>
      <c r="J40" s="1"/>
      <c r="S40" s="3" t="s">
        <v>123</v>
      </c>
      <c r="T40" s="3">
        <v>4</v>
      </c>
      <c r="U40" s="3">
        <v>17.486959150000001</v>
      </c>
      <c r="V40" s="3">
        <v>0.80181375543032429</v>
      </c>
      <c r="W40" s="3">
        <v>0.40090687771516215</v>
      </c>
      <c r="X40" s="3">
        <v>16.211094538252617</v>
      </c>
      <c r="Y40" s="3">
        <v>18.762823761747384</v>
      </c>
      <c r="Z40" s="3">
        <v>16.411895860000001</v>
      </c>
      <c r="AA40" s="3">
        <v>18.336800159999999</v>
      </c>
    </row>
    <row r="41" spans="1:27" x14ac:dyDescent="0.15">
      <c r="F41">
        <f>AVERAGE(F38:F40)</f>
        <v>20.566666666666666</v>
      </c>
      <c r="I41">
        <f t="shared" si="1"/>
        <v>13.39667</v>
      </c>
      <c r="J41" s="1"/>
      <c r="S41" s="3" t="s">
        <v>124</v>
      </c>
      <c r="T41" s="3">
        <v>4</v>
      </c>
      <c r="U41" s="3">
        <v>12.359152157500001</v>
      </c>
      <c r="V41" s="3">
        <v>1.2615659244318478</v>
      </c>
      <c r="W41" s="3">
        <v>0.63078296221592389</v>
      </c>
      <c r="X41" s="3">
        <v>10.351719249960116</v>
      </c>
      <c r="Y41" s="3">
        <v>14.366585065039885</v>
      </c>
      <c r="Z41" s="3">
        <v>10.877989250000001</v>
      </c>
      <c r="AA41" s="3">
        <v>13.961093119999999</v>
      </c>
    </row>
    <row r="42" spans="1:27" x14ac:dyDescent="0.15">
      <c r="B42" t="s">
        <v>59</v>
      </c>
      <c r="C42">
        <v>30.73</v>
      </c>
      <c r="E42" t="s">
        <v>60</v>
      </c>
      <c r="F42">
        <v>17.670000000000002</v>
      </c>
      <c r="G42">
        <f>C42-17.66333</f>
        <v>13.066670000000002</v>
      </c>
      <c r="I42">
        <f t="shared" si="1"/>
        <v>0.32999999999999829</v>
      </c>
      <c r="J42" s="1">
        <f t="shared" si="2"/>
        <v>1.2570133745218268</v>
      </c>
      <c r="S42" s="3" t="s">
        <v>125</v>
      </c>
      <c r="T42" s="3">
        <v>36</v>
      </c>
      <c r="U42" s="3">
        <v>10.43346780675</v>
      </c>
      <c r="V42" s="3">
        <v>7.7109404472082801</v>
      </c>
      <c r="W42" s="3">
        <v>1.28515674120138</v>
      </c>
      <c r="X42" s="3">
        <v>7.8244609173930391</v>
      </c>
      <c r="Y42" s="3">
        <v>13.042474696106961</v>
      </c>
      <c r="Z42" s="3">
        <v>0.79370236000000005</v>
      </c>
      <c r="AA42" s="3">
        <v>24.933266549999999</v>
      </c>
    </row>
    <row r="43" spans="1:27" x14ac:dyDescent="0.15">
      <c r="B43" t="s">
        <v>61</v>
      </c>
      <c r="C43">
        <v>30.51</v>
      </c>
      <c r="E43" t="s">
        <v>62</v>
      </c>
      <c r="F43">
        <v>17.7</v>
      </c>
      <c r="G43">
        <f t="shared" ref="G43:G44" si="8">C43-17.66333</f>
        <v>12.846670000000003</v>
      </c>
      <c r="I43">
        <f t="shared" si="1"/>
        <v>0.54999999999999716</v>
      </c>
      <c r="J43" s="1">
        <f t="shared" si="2"/>
        <v>1.4640856959456225</v>
      </c>
    </row>
    <row r="44" spans="1:27" x14ac:dyDescent="0.15">
      <c r="B44" t="s">
        <v>63</v>
      </c>
      <c r="C44">
        <v>30.76</v>
      </c>
      <c r="E44" t="s">
        <v>64</v>
      </c>
      <c r="F44">
        <v>17.62</v>
      </c>
      <c r="G44">
        <f t="shared" si="8"/>
        <v>13.096670000000003</v>
      </c>
      <c r="I44">
        <f t="shared" si="1"/>
        <v>0.29999999999999716</v>
      </c>
      <c r="J44" s="1">
        <f t="shared" si="2"/>
        <v>1.2311444133449139</v>
      </c>
    </row>
    <row r="45" spans="1:27" x14ac:dyDescent="0.15">
      <c r="F45">
        <f>AVERAGE(F42:F44)</f>
        <v>17.663333333333338</v>
      </c>
      <c r="I45">
        <f t="shared" si="1"/>
        <v>13.39667</v>
      </c>
      <c r="J45" s="1"/>
      <c r="S45" t="s">
        <v>97</v>
      </c>
      <c r="T45">
        <v>1.0253683232499999</v>
      </c>
      <c r="U45">
        <v>0.13100496111026522</v>
      </c>
    </row>
    <row r="46" spans="1:27" x14ac:dyDescent="0.15">
      <c r="B46" t="s">
        <v>65</v>
      </c>
      <c r="C46">
        <v>33.119999999999997</v>
      </c>
      <c r="E46" t="s">
        <v>66</v>
      </c>
      <c r="F46">
        <v>19.2</v>
      </c>
      <c r="G46">
        <f>C46-19.21667</f>
        <v>13.903329999999997</v>
      </c>
      <c r="I46">
        <f t="shared" si="1"/>
        <v>-0.50665999999999656</v>
      </c>
      <c r="J46" s="1">
        <f t="shared" si="2"/>
        <v>0.70385004448730748</v>
      </c>
      <c r="S46" t="s">
        <v>98</v>
      </c>
      <c r="T46">
        <v>24.384956232499999</v>
      </c>
      <c r="U46">
        <v>0.33716033439009813</v>
      </c>
    </row>
    <row r="47" spans="1:27" x14ac:dyDescent="0.15">
      <c r="B47" t="s">
        <v>67</v>
      </c>
      <c r="C47">
        <v>32.24</v>
      </c>
      <c r="E47" t="s">
        <v>68</v>
      </c>
      <c r="F47">
        <v>19.2</v>
      </c>
      <c r="G47">
        <f>C47-19.21667</f>
        <v>13.023330000000001</v>
      </c>
      <c r="I47">
        <f t="shared" si="1"/>
        <v>0.37333999999999889</v>
      </c>
      <c r="J47" s="1">
        <f t="shared" si="2"/>
        <v>1.2953482376579744</v>
      </c>
      <c r="S47" t="s">
        <v>99</v>
      </c>
      <c r="T47">
        <v>1.12922934075</v>
      </c>
      <c r="U47">
        <v>8.9604715972267782E-2</v>
      </c>
    </row>
    <row r="48" spans="1:27" x14ac:dyDescent="0.15">
      <c r="B48" t="s">
        <v>69</v>
      </c>
      <c r="E48" t="s">
        <v>70</v>
      </c>
      <c r="F48">
        <v>19.25</v>
      </c>
      <c r="I48">
        <f t="shared" si="1"/>
        <v>13.39667</v>
      </c>
      <c r="J48" s="1">
        <f>AVERAGE(J38:J47)</f>
        <v>1.2653508364962529</v>
      </c>
      <c r="S48" t="s">
        <v>100</v>
      </c>
      <c r="T48">
        <v>15.265840527499998</v>
      </c>
      <c r="U48">
        <v>0.66574575705791905</v>
      </c>
    </row>
    <row r="49" spans="1:21" x14ac:dyDescent="0.15">
      <c r="F49">
        <f>AVERAGE(F46:F48)</f>
        <v>19.216666666666665</v>
      </c>
      <c r="I49">
        <f t="shared" si="1"/>
        <v>13.39667</v>
      </c>
      <c r="J49" s="1"/>
      <c r="S49" t="s">
        <v>101</v>
      </c>
      <c r="T49">
        <v>2.3469608757499998</v>
      </c>
      <c r="U49">
        <v>0.12164375823974714</v>
      </c>
    </row>
    <row r="50" spans="1:21" x14ac:dyDescent="0.15">
      <c r="A50" t="s">
        <v>150</v>
      </c>
      <c r="B50" t="s">
        <v>71</v>
      </c>
      <c r="C50">
        <v>24.38</v>
      </c>
      <c r="E50" t="s">
        <v>77</v>
      </c>
      <c r="F50">
        <v>16.55</v>
      </c>
      <c r="G50">
        <f>C50-16.515</f>
        <v>7.8649999999999984</v>
      </c>
      <c r="I50">
        <f t="shared" si="1"/>
        <v>5.5316700000000019</v>
      </c>
      <c r="J50" s="1">
        <f t="shared" si="2"/>
        <v>46.259250940308704</v>
      </c>
      <c r="S50" t="s">
        <v>129</v>
      </c>
      <c r="T50">
        <v>9.3425243992500011</v>
      </c>
      <c r="U50">
        <v>0.52810491465083953</v>
      </c>
    </row>
    <row r="51" spans="1:21" x14ac:dyDescent="0.15">
      <c r="B51" t="s">
        <v>73</v>
      </c>
      <c r="C51">
        <v>24.37</v>
      </c>
      <c r="E51" t="s">
        <v>81</v>
      </c>
      <c r="F51">
        <v>16.48</v>
      </c>
      <c r="G51">
        <f t="shared" ref="G51:G52" si="9">C51-16.515</f>
        <v>7.8550000000000004</v>
      </c>
      <c r="I51">
        <f t="shared" si="1"/>
        <v>5.5416699999999999</v>
      </c>
      <c r="J51" s="1">
        <f t="shared" si="2"/>
        <v>46.581009475810269</v>
      </c>
      <c r="S51" t="s">
        <v>102</v>
      </c>
      <c r="T51">
        <v>10.560219254250001</v>
      </c>
      <c r="U51">
        <v>0.97034974039615984</v>
      </c>
    </row>
    <row r="52" spans="1:21" x14ac:dyDescent="0.15">
      <c r="B52" t="s">
        <v>75</v>
      </c>
      <c r="C52">
        <v>24.35</v>
      </c>
      <c r="F52">
        <f>AVERAGE(F50:F51)</f>
        <v>16.515000000000001</v>
      </c>
      <c r="G52">
        <f t="shared" si="9"/>
        <v>7.8350000000000009</v>
      </c>
      <c r="I52">
        <f t="shared" si="1"/>
        <v>5.5616699999999994</v>
      </c>
      <c r="J52" s="1">
        <f t="shared" si="2"/>
        <v>47.231256136186985</v>
      </c>
      <c r="S52" t="s">
        <v>103</v>
      </c>
      <c r="T52">
        <v>17.486959150000001</v>
      </c>
      <c r="U52">
        <v>0.40090687771516215</v>
      </c>
    </row>
    <row r="53" spans="1:21" x14ac:dyDescent="0.15">
      <c r="I53">
        <f t="shared" si="1"/>
        <v>13.39667</v>
      </c>
      <c r="J53" s="1"/>
      <c r="S53" t="s">
        <v>104</v>
      </c>
      <c r="T53">
        <v>12.359152157500001</v>
      </c>
      <c r="U53">
        <v>0.63078296221592389</v>
      </c>
    </row>
    <row r="54" spans="1:21" x14ac:dyDescent="0.15">
      <c r="B54" t="s">
        <v>83</v>
      </c>
      <c r="C54">
        <v>31.62</v>
      </c>
      <c r="G54">
        <f>C54-23.875</f>
        <v>7.745000000000001</v>
      </c>
      <c r="I54">
        <f t="shared" si="1"/>
        <v>5.6516699999999993</v>
      </c>
      <c r="J54" s="1">
        <f t="shared" si="2"/>
        <v>50.271540711174723</v>
      </c>
    </row>
    <row r="55" spans="1:21" x14ac:dyDescent="0.15">
      <c r="B55" t="s">
        <v>85</v>
      </c>
      <c r="C55">
        <v>31.51</v>
      </c>
      <c r="G55">
        <f t="shared" ref="G55:G56" si="10">C55-23.875</f>
        <v>7.6350000000000016</v>
      </c>
      <c r="I55">
        <f t="shared" si="1"/>
        <v>5.7616699999999987</v>
      </c>
      <c r="J55" s="1">
        <f t="shared" si="2"/>
        <v>54.254466228081583</v>
      </c>
    </row>
    <row r="56" spans="1:21" x14ac:dyDescent="0.15">
      <c r="B56" t="s">
        <v>88</v>
      </c>
      <c r="C56">
        <v>31.62</v>
      </c>
      <c r="G56">
        <f t="shared" si="10"/>
        <v>7.745000000000001</v>
      </c>
      <c r="I56">
        <f t="shared" si="1"/>
        <v>5.6516699999999993</v>
      </c>
      <c r="J56" s="1">
        <f t="shared" si="2"/>
        <v>50.271540711174723</v>
      </c>
    </row>
    <row r="57" spans="1:21" x14ac:dyDescent="0.15">
      <c r="I57">
        <f t="shared" si="1"/>
        <v>13.39667</v>
      </c>
      <c r="J57" s="1">
        <f>AVERAGE(J50:J56)</f>
        <v>49.144844033789504</v>
      </c>
    </row>
    <row r="58" spans="1:21" x14ac:dyDescent="0.15">
      <c r="I58">
        <f t="shared" si="1"/>
        <v>13.39667</v>
      </c>
    </row>
    <row r="59" spans="1:21" x14ac:dyDescent="0.15">
      <c r="A59" t="s">
        <v>139</v>
      </c>
      <c r="B59" t="s">
        <v>0</v>
      </c>
      <c r="C59">
        <v>26.49</v>
      </c>
      <c r="E59" t="s">
        <v>1</v>
      </c>
      <c r="F59">
        <v>16.82</v>
      </c>
      <c r="G59">
        <f>C59-16.72333</f>
        <v>9.7666699999999977</v>
      </c>
      <c r="I59">
        <f t="shared" si="1"/>
        <v>3.6300000000000026</v>
      </c>
      <c r="J59" s="1">
        <f>POWER(2,I59)*8.02/8.075</f>
        <v>12.296194425471194</v>
      </c>
    </row>
    <row r="60" spans="1:21" x14ac:dyDescent="0.15">
      <c r="B60" t="s">
        <v>2</v>
      </c>
      <c r="C60">
        <v>26.54</v>
      </c>
      <c r="E60" t="s">
        <v>3</v>
      </c>
      <c r="F60">
        <v>16.64</v>
      </c>
      <c r="G60">
        <f t="shared" ref="G60:G61" si="11">C60-16.72333</f>
        <v>9.8166699999999985</v>
      </c>
      <c r="I60">
        <f t="shared" si="1"/>
        <v>3.5800000000000018</v>
      </c>
      <c r="J60" s="1">
        <f t="shared" ref="J60:J101" si="12">POWER(2,I60)*8.02/8.075</f>
        <v>11.877340903085789</v>
      </c>
    </row>
    <row r="61" spans="1:21" x14ac:dyDescent="0.15">
      <c r="B61" t="s">
        <v>4</v>
      </c>
      <c r="C61">
        <v>26.54</v>
      </c>
      <c r="E61" t="s">
        <v>5</v>
      </c>
      <c r="F61">
        <v>16.71</v>
      </c>
      <c r="G61">
        <f t="shared" si="11"/>
        <v>9.8166699999999985</v>
      </c>
      <c r="I61">
        <f t="shared" si="1"/>
        <v>3.5800000000000018</v>
      </c>
      <c r="J61" s="1">
        <f t="shared" si="12"/>
        <v>11.877340903085789</v>
      </c>
    </row>
    <row r="62" spans="1:21" x14ac:dyDescent="0.15">
      <c r="F62">
        <f>AVERAGE(F59:F61)</f>
        <v>16.723333333333333</v>
      </c>
      <c r="I62">
        <f t="shared" si="1"/>
        <v>13.39667</v>
      </c>
      <c r="J62" s="1"/>
    </row>
    <row r="63" spans="1:21" x14ac:dyDescent="0.15">
      <c r="B63" t="s">
        <v>6</v>
      </c>
      <c r="E63" t="s">
        <v>7</v>
      </c>
      <c r="I63">
        <f t="shared" si="1"/>
        <v>13.39667</v>
      </c>
      <c r="J63" s="1"/>
    </row>
    <row r="64" spans="1:21" x14ac:dyDescent="0.15">
      <c r="B64" t="s">
        <v>8</v>
      </c>
      <c r="C64">
        <v>29.69</v>
      </c>
      <c r="E64" t="s">
        <v>9</v>
      </c>
      <c r="F64">
        <v>18.850000000000001</v>
      </c>
      <c r="G64">
        <f t="shared" ref="G64:G65" si="13">C64-18.84</f>
        <v>10.850000000000001</v>
      </c>
      <c r="I64">
        <f t="shared" si="1"/>
        <v>2.5466699999999989</v>
      </c>
      <c r="J64" s="1">
        <f t="shared" si="12"/>
        <v>5.8030444388351823</v>
      </c>
    </row>
    <row r="65" spans="1:10" x14ac:dyDescent="0.15">
      <c r="B65" t="s">
        <v>10</v>
      </c>
      <c r="C65">
        <v>29.45</v>
      </c>
      <c r="E65" t="s">
        <v>11</v>
      </c>
      <c r="F65">
        <v>18.829999999999998</v>
      </c>
      <c r="G65">
        <f t="shared" si="13"/>
        <v>10.61</v>
      </c>
      <c r="I65">
        <f t="shared" si="1"/>
        <v>2.7866700000000009</v>
      </c>
      <c r="J65" s="1">
        <f t="shared" si="12"/>
        <v>6.8533528962138064</v>
      </c>
    </row>
    <row r="66" spans="1:10" x14ac:dyDescent="0.15">
      <c r="F66">
        <f>AVERAGE(F63:F65)</f>
        <v>18.84</v>
      </c>
      <c r="I66">
        <f t="shared" si="1"/>
        <v>13.39667</v>
      </c>
      <c r="J66" s="1"/>
    </row>
    <row r="67" spans="1:10" x14ac:dyDescent="0.15">
      <c r="B67" t="s">
        <v>12</v>
      </c>
      <c r="C67">
        <v>26.73</v>
      </c>
      <c r="E67" t="s">
        <v>13</v>
      </c>
      <c r="F67">
        <v>17.260000000000002</v>
      </c>
      <c r="G67">
        <f>C67-17.28</f>
        <v>9.4499999999999993</v>
      </c>
      <c r="I67">
        <f t="shared" si="1"/>
        <v>3.946670000000001</v>
      </c>
      <c r="J67" s="1">
        <f t="shared" si="12"/>
        <v>15.314326087219371</v>
      </c>
    </row>
    <row r="68" spans="1:10" x14ac:dyDescent="0.15">
      <c r="B68" t="s">
        <v>14</v>
      </c>
      <c r="C68">
        <v>26.64</v>
      </c>
      <c r="E68" t="s">
        <v>15</v>
      </c>
      <c r="F68">
        <v>17.29</v>
      </c>
      <c r="G68">
        <f t="shared" ref="G68:G69" si="14">C68-17.28</f>
        <v>9.36</v>
      </c>
      <c r="I68">
        <f t="shared" ref="I68:I104" si="15">13.39667-G68</f>
        <v>4.0366700000000009</v>
      </c>
      <c r="J68" s="1">
        <f t="shared" si="12"/>
        <v>16.300112051603925</v>
      </c>
    </row>
    <row r="69" spans="1:10" x14ac:dyDescent="0.15">
      <c r="B69" t="s">
        <v>16</v>
      </c>
      <c r="C69">
        <v>26.71</v>
      </c>
      <c r="E69" t="s">
        <v>17</v>
      </c>
      <c r="F69">
        <v>17.29</v>
      </c>
      <c r="G69">
        <f t="shared" si="14"/>
        <v>9.43</v>
      </c>
      <c r="I69">
        <f t="shared" si="15"/>
        <v>3.9666700000000006</v>
      </c>
      <c r="J69" s="1">
        <f>POWER(2,I69)*8.02/8.075</f>
        <v>15.52810611273182</v>
      </c>
    </row>
    <row r="70" spans="1:10" x14ac:dyDescent="0.15">
      <c r="F70">
        <f>AVERAGE(F67:F69)</f>
        <v>17.279999999999998</v>
      </c>
      <c r="I70">
        <f t="shared" si="15"/>
        <v>13.39667</v>
      </c>
      <c r="J70" s="1">
        <f>AVERAGE(J59:J69)</f>
        <v>11.981227227280858</v>
      </c>
    </row>
    <row r="71" spans="1:10" x14ac:dyDescent="0.15">
      <c r="A71" t="s">
        <v>138</v>
      </c>
      <c r="B71" t="s">
        <v>18</v>
      </c>
      <c r="C71">
        <v>27.51</v>
      </c>
      <c r="E71" t="s">
        <v>19</v>
      </c>
      <c r="F71">
        <v>15.79</v>
      </c>
      <c r="G71">
        <f>C71-15.8</f>
        <v>11.71</v>
      </c>
      <c r="I71">
        <f t="shared" si="15"/>
        <v>1.6866699999999994</v>
      </c>
      <c r="J71" s="1">
        <f t="shared" si="12"/>
        <v>3.1972021774059027</v>
      </c>
    </row>
    <row r="72" spans="1:10" x14ac:dyDescent="0.15">
      <c r="B72" t="s">
        <v>20</v>
      </c>
      <c r="C72">
        <v>27.49</v>
      </c>
      <c r="E72" t="s">
        <v>21</v>
      </c>
      <c r="G72">
        <f t="shared" ref="G72:G73" si="16">C72-15.8</f>
        <v>11.689999999999998</v>
      </c>
      <c r="I72">
        <f t="shared" si="15"/>
        <v>1.7066700000000026</v>
      </c>
      <c r="J72" s="1">
        <f t="shared" si="12"/>
        <v>3.2418334565860447</v>
      </c>
    </row>
    <row r="73" spans="1:10" x14ac:dyDescent="0.15">
      <c r="B73" t="s">
        <v>22</v>
      </c>
      <c r="C73">
        <v>27.67</v>
      </c>
      <c r="E73" t="s">
        <v>23</v>
      </c>
      <c r="F73">
        <v>15.81</v>
      </c>
      <c r="G73">
        <f t="shared" si="16"/>
        <v>11.870000000000001</v>
      </c>
      <c r="I73">
        <f t="shared" si="15"/>
        <v>1.5266699999999993</v>
      </c>
      <c r="J73" s="1">
        <f t="shared" si="12"/>
        <v>2.8615761056037856</v>
      </c>
    </row>
    <row r="74" spans="1:10" x14ac:dyDescent="0.15">
      <c r="F74">
        <f>AVERAGE(F71:F73)</f>
        <v>15.8</v>
      </c>
      <c r="I74">
        <f t="shared" si="15"/>
        <v>13.39667</v>
      </c>
      <c r="J74" s="1"/>
    </row>
    <row r="75" spans="1:10" x14ac:dyDescent="0.15">
      <c r="B75" t="s">
        <v>24</v>
      </c>
      <c r="C75">
        <v>28.76</v>
      </c>
      <c r="E75" t="s">
        <v>25</v>
      </c>
      <c r="F75">
        <v>15.7</v>
      </c>
      <c r="G75">
        <f>C75-15.67667</f>
        <v>13.083330000000002</v>
      </c>
      <c r="I75">
        <f t="shared" si="15"/>
        <v>0.3133399999999984</v>
      </c>
      <c r="J75" s="1">
        <f t="shared" si="12"/>
        <v>1.2341176858279141</v>
      </c>
    </row>
    <row r="76" spans="1:10" x14ac:dyDescent="0.15">
      <c r="B76" t="s">
        <v>26</v>
      </c>
      <c r="C76">
        <v>28.42</v>
      </c>
      <c r="E76" t="s">
        <v>27</v>
      </c>
      <c r="F76">
        <v>15.66</v>
      </c>
      <c r="G76">
        <f t="shared" ref="G76:G77" si="17">C76-15.67667</f>
        <v>12.743330000000002</v>
      </c>
      <c r="I76">
        <f t="shared" si="15"/>
        <v>0.65333999999999826</v>
      </c>
      <c r="J76" s="1">
        <f t="shared" si="12"/>
        <v>1.5620925985720246</v>
      </c>
    </row>
    <row r="77" spans="1:10" x14ac:dyDescent="0.15">
      <c r="B77" t="s">
        <v>28</v>
      </c>
      <c r="C77">
        <v>28.55</v>
      </c>
      <c r="E77" t="s">
        <v>29</v>
      </c>
      <c r="F77">
        <v>15.67</v>
      </c>
      <c r="G77">
        <f t="shared" si="17"/>
        <v>12.873330000000001</v>
      </c>
      <c r="I77">
        <f t="shared" si="15"/>
        <v>0.52333999999999925</v>
      </c>
      <c r="J77" s="1">
        <f t="shared" si="12"/>
        <v>1.4274893447456871</v>
      </c>
    </row>
    <row r="78" spans="1:10" x14ac:dyDescent="0.15">
      <c r="F78">
        <f>AVERAGE(F75:F77)</f>
        <v>15.676666666666668</v>
      </c>
      <c r="I78">
        <f t="shared" si="15"/>
        <v>13.39667</v>
      </c>
      <c r="J78" s="1"/>
    </row>
    <row r="79" spans="1:10" x14ac:dyDescent="0.15">
      <c r="B79" t="s">
        <v>30</v>
      </c>
      <c r="C79">
        <v>37</v>
      </c>
      <c r="E79" t="s">
        <v>31</v>
      </c>
      <c r="G79">
        <f>C79-28.35</f>
        <v>8.6499999999999986</v>
      </c>
      <c r="I79">
        <f t="shared" si="15"/>
        <v>4.7466700000000017</v>
      </c>
      <c r="J79" s="1">
        <f t="shared" si="12"/>
        <v>26.663790403458719</v>
      </c>
    </row>
    <row r="80" spans="1:10" x14ac:dyDescent="0.15">
      <c r="B80" t="s">
        <v>32</v>
      </c>
      <c r="C80">
        <v>35.700000000000003</v>
      </c>
      <c r="E80" t="s">
        <v>33</v>
      </c>
      <c r="F80">
        <v>28.34</v>
      </c>
      <c r="G80">
        <f>C80-28.35</f>
        <v>7.3500000000000014</v>
      </c>
      <c r="I80">
        <f t="shared" si="15"/>
        <v>6.0466699999999989</v>
      </c>
      <c r="J80" s="1">
        <f t="shared" si="12"/>
        <v>65.653953187635835</v>
      </c>
    </row>
    <row r="81" spans="1:10" x14ac:dyDescent="0.15">
      <c r="E81" t="s">
        <v>34</v>
      </c>
      <c r="F81">
        <v>28.36</v>
      </c>
      <c r="I81">
        <f t="shared" si="15"/>
        <v>13.39667</v>
      </c>
      <c r="J81" s="1">
        <f>AVERAGE(J71:J80)</f>
        <v>13.23025686997949</v>
      </c>
    </row>
    <row r="82" spans="1:10" x14ac:dyDescent="0.15">
      <c r="F82">
        <f>AVERAGE(F79:F81)</f>
        <v>28.35</v>
      </c>
      <c r="I82">
        <f t="shared" si="15"/>
        <v>13.39667</v>
      </c>
      <c r="J82" s="1"/>
    </row>
    <row r="83" spans="1:10" x14ac:dyDescent="0.15">
      <c r="A83" t="s">
        <v>137</v>
      </c>
      <c r="B83" t="s">
        <v>35</v>
      </c>
      <c r="C83">
        <v>29.16</v>
      </c>
      <c r="E83" t="s">
        <v>36</v>
      </c>
      <c r="G83">
        <f>C83-21.275</f>
        <v>7.8850000000000016</v>
      </c>
      <c r="I83">
        <f t="shared" si="15"/>
        <v>5.5116699999999987</v>
      </c>
      <c r="J83" s="1">
        <f t="shared" si="12"/>
        <v>45.311645451991836</v>
      </c>
    </row>
    <row r="84" spans="1:10" x14ac:dyDescent="0.15">
      <c r="B84" t="s">
        <v>37</v>
      </c>
      <c r="E84" t="s">
        <v>38</v>
      </c>
      <c r="F84">
        <v>21.27</v>
      </c>
      <c r="I84">
        <f t="shared" si="15"/>
        <v>13.39667</v>
      </c>
      <c r="J84" s="1"/>
    </row>
    <row r="85" spans="1:10" x14ac:dyDescent="0.15">
      <c r="B85" t="s">
        <v>39</v>
      </c>
      <c r="C85">
        <v>29</v>
      </c>
      <c r="E85" t="s">
        <v>40</v>
      </c>
      <c r="F85">
        <v>21.28</v>
      </c>
      <c r="G85">
        <f t="shared" ref="G85" si="18">C85-21.275</f>
        <v>7.7250000000000014</v>
      </c>
      <c r="I85">
        <f t="shared" si="15"/>
        <v>5.6716699999999989</v>
      </c>
      <c r="J85" s="1">
        <f t="shared" si="12"/>
        <v>50.626118668399108</v>
      </c>
    </row>
    <row r="86" spans="1:10" x14ac:dyDescent="0.15">
      <c r="F86">
        <f>AVERAGE(F83:F85)</f>
        <v>21.274999999999999</v>
      </c>
      <c r="I86">
        <f t="shared" si="15"/>
        <v>13.39667</v>
      </c>
      <c r="J86" s="1"/>
    </row>
    <row r="87" spans="1:10" x14ac:dyDescent="0.15">
      <c r="B87" t="s">
        <v>41</v>
      </c>
      <c r="E87" t="s">
        <v>42</v>
      </c>
      <c r="I87">
        <f t="shared" si="15"/>
        <v>13.39667</v>
      </c>
      <c r="J87" s="1"/>
    </row>
    <row r="88" spans="1:10" x14ac:dyDescent="0.15">
      <c r="B88" t="s">
        <v>43</v>
      </c>
      <c r="C88">
        <v>26.72</v>
      </c>
      <c r="E88" t="s">
        <v>44</v>
      </c>
      <c r="F88">
        <v>18.07</v>
      </c>
      <c r="G88">
        <f>C88-18.055</f>
        <v>8.6649999999999991</v>
      </c>
      <c r="I88">
        <f t="shared" si="15"/>
        <v>4.7316700000000012</v>
      </c>
      <c r="J88" s="1">
        <f t="shared" si="12"/>
        <v>26.387997658042821</v>
      </c>
    </row>
    <row r="89" spans="1:10" x14ac:dyDescent="0.15">
      <c r="B89" t="s">
        <v>45</v>
      </c>
      <c r="C89">
        <v>26.84</v>
      </c>
      <c r="E89" t="s">
        <v>46</v>
      </c>
      <c r="F89">
        <v>18.04</v>
      </c>
      <c r="G89">
        <f>C89-18.055</f>
        <v>8.7850000000000001</v>
      </c>
      <c r="I89">
        <f t="shared" si="15"/>
        <v>4.6116700000000002</v>
      </c>
      <c r="J89" s="1">
        <f t="shared" si="12"/>
        <v>24.28190956964912</v>
      </c>
    </row>
    <row r="90" spans="1:10" x14ac:dyDescent="0.15">
      <c r="F90">
        <f>AVERAGE(F87:F89)</f>
        <v>18.055</v>
      </c>
      <c r="I90">
        <f t="shared" si="15"/>
        <v>13.39667</v>
      </c>
      <c r="J90" s="1"/>
    </row>
    <row r="91" spans="1:10" x14ac:dyDescent="0.15">
      <c r="B91" t="s">
        <v>47</v>
      </c>
      <c r="C91">
        <v>27.77</v>
      </c>
      <c r="E91" t="s">
        <v>48</v>
      </c>
      <c r="G91">
        <f>C91-20.055</f>
        <v>7.7149999999999999</v>
      </c>
      <c r="I91">
        <f t="shared" si="15"/>
        <v>5.6816700000000004</v>
      </c>
      <c r="J91" s="1">
        <f t="shared" si="12"/>
        <v>50.978251170974588</v>
      </c>
    </row>
    <row r="92" spans="1:10" x14ac:dyDescent="0.15">
      <c r="B92" t="s">
        <v>49</v>
      </c>
      <c r="C92">
        <v>27.72</v>
      </c>
      <c r="E92" t="s">
        <v>50</v>
      </c>
      <c r="F92">
        <v>20.03</v>
      </c>
      <c r="G92">
        <f>C92-20.055</f>
        <v>7.6649999999999991</v>
      </c>
      <c r="I92">
        <f t="shared" si="15"/>
        <v>5.7316700000000012</v>
      </c>
      <c r="J92" s="1">
        <f t="shared" si="12"/>
        <v>52.775995316085648</v>
      </c>
    </row>
    <row r="93" spans="1:10" x14ac:dyDescent="0.15">
      <c r="B93" t="s">
        <v>51</v>
      </c>
      <c r="E93" t="s">
        <v>52</v>
      </c>
      <c r="F93">
        <v>20.079999999999998</v>
      </c>
      <c r="I93">
        <f t="shared" si="15"/>
        <v>13.39667</v>
      </c>
      <c r="J93" s="1">
        <f>AVERAGE(J83:J92)</f>
        <v>41.726986305857189</v>
      </c>
    </row>
    <row r="94" spans="1:10" x14ac:dyDescent="0.15">
      <c r="F94">
        <f>AVERAGE(F91:F93)</f>
        <v>20.055</v>
      </c>
      <c r="I94">
        <f t="shared" si="15"/>
        <v>13.39667</v>
      </c>
      <c r="J94" s="1"/>
    </row>
    <row r="95" spans="1:10" x14ac:dyDescent="0.15">
      <c r="A95" t="s">
        <v>136</v>
      </c>
      <c r="B95" t="s">
        <v>71</v>
      </c>
      <c r="E95" t="s">
        <v>72</v>
      </c>
      <c r="F95">
        <v>31.38</v>
      </c>
      <c r="I95">
        <f t="shared" si="15"/>
        <v>13.39667</v>
      </c>
      <c r="J95" s="1"/>
    </row>
    <row r="96" spans="1:10" x14ac:dyDescent="0.15">
      <c r="B96" t="s">
        <v>73</v>
      </c>
      <c r="C96">
        <v>34.19</v>
      </c>
      <c r="E96" t="s">
        <v>74</v>
      </c>
      <c r="G96">
        <f>C96-15</f>
        <v>19.189999999999998</v>
      </c>
      <c r="I96">
        <f t="shared" si="15"/>
        <v>-5.7933299999999974</v>
      </c>
      <c r="J96" s="1">
        <f t="shared" si="12"/>
        <v>1.7908768911167335E-2</v>
      </c>
    </row>
    <row r="97" spans="1:11" x14ac:dyDescent="0.15">
      <c r="B97" t="s">
        <v>75</v>
      </c>
      <c r="C97">
        <v>34.090000000000003</v>
      </c>
      <c r="E97" t="s">
        <v>76</v>
      </c>
      <c r="F97">
        <v>31.38</v>
      </c>
      <c r="G97">
        <f>C97-15</f>
        <v>19.090000000000003</v>
      </c>
      <c r="I97">
        <f t="shared" si="15"/>
        <v>-5.6933300000000031</v>
      </c>
      <c r="J97" s="1">
        <f t="shared" si="12"/>
        <v>1.9194143265684048E-2</v>
      </c>
    </row>
    <row r="98" spans="1:11" x14ac:dyDescent="0.15">
      <c r="F98">
        <f>AVERAGE(F95:F97)</f>
        <v>31.38</v>
      </c>
      <c r="I98">
        <f t="shared" si="15"/>
        <v>13.39667</v>
      </c>
      <c r="J98" s="1"/>
    </row>
    <row r="99" spans="1:11" x14ac:dyDescent="0.15">
      <c r="B99" t="s">
        <v>77</v>
      </c>
      <c r="E99" t="s">
        <v>78</v>
      </c>
      <c r="F99">
        <v>27.97</v>
      </c>
      <c r="I99">
        <f t="shared" si="15"/>
        <v>13.39667</v>
      </c>
      <c r="J99" s="1"/>
    </row>
    <row r="100" spans="1:11" x14ac:dyDescent="0.15">
      <c r="B100" t="s">
        <v>79</v>
      </c>
      <c r="C100">
        <v>31.7</v>
      </c>
      <c r="E100" t="s">
        <v>80</v>
      </c>
      <c r="G100">
        <f>C100-27.91</f>
        <v>3.7899999999999991</v>
      </c>
      <c r="I100">
        <f t="shared" si="15"/>
        <v>9.6066700000000012</v>
      </c>
      <c r="J100" s="1">
        <f t="shared" si="12"/>
        <v>774.33281742402141</v>
      </c>
    </row>
    <row r="101" spans="1:11" x14ac:dyDescent="0.15">
      <c r="B101" t="s">
        <v>81</v>
      </c>
      <c r="C101">
        <v>31.5</v>
      </c>
      <c r="E101" t="s">
        <v>82</v>
      </c>
      <c r="F101">
        <v>27.85</v>
      </c>
      <c r="G101">
        <f>C101-27.91</f>
        <v>3.59</v>
      </c>
      <c r="I101">
        <f t="shared" si="15"/>
        <v>9.8066700000000004</v>
      </c>
      <c r="J101" s="1">
        <f t="shared" si="12"/>
        <v>889.47483359519208</v>
      </c>
    </row>
    <row r="102" spans="1:11" x14ac:dyDescent="0.15">
      <c r="F102">
        <f>AVERAGE(F99:F101)</f>
        <v>27.91</v>
      </c>
      <c r="I102">
        <f t="shared" si="15"/>
        <v>13.39667</v>
      </c>
      <c r="J102" s="1"/>
    </row>
    <row r="103" spans="1:11" x14ac:dyDescent="0.15">
      <c r="A103" t="s">
        <v>89</v>
      </c>
      <c r="B103" t="s">
        <v>83</v>
      </c>
      <c r="C103">
        <v>32.06</v>
      </c>
      <c r="E103" t="s">
        <v>84</v>
      </c>
      <c r="F103">
        <v>24.06</v>
      </c>
      <c r="G103">
        <f>C103-24.04</f>
        <v>8.0200000000000031</v>
      </c>
      <c r="I103">
        <f t="shared" si="15"/>
        <v>5.3766699999999972</v>
      </c>
      <c r="J103" s="1">
        <f>POWER(2,I103)*8.02/8.075</f>
        <v>41.263948623544103</v>
      </c>
    </row>
    <row r="104" spans="1:11" x14ac:dyDescent="0.15">
      <c r="B104" t="s">
        <v>85</v>
      </c>
      <c r="E104" t="s">
        <v>86</v>
      </c>
      <c r="F104">
        <v>24.02</v>
      </c>
      <c r="I104">
        <f t="shared" si="15"/>
        <v>13.39667</v>
      </c>
      <c r="J104" s="1"/>
    </row>
    <row r="105" spans="1:11" x14ac:dyDescent="0.15">
      <c r="G105">
        <f>AVERAGE(G103:G104)</f>
        <v>8.0200000000000031</v>
      </c>
    </row>
    <row r="106" spans="1:11" x14ac:dyDescent="0.15">
      <c r="F106">
        <f>AVERAGE(F103:F104)</f>
        <v>24.04</v>
      </c>
    </row>
    <row r="108" spans="1:11" x14ac:dyDescent="0.15">
      <c r="A108" t="s">
        <v>135</v>
      </c>
      <c r="E108" t="s">
        <v>1</v>
      </c>
      <c r="F108">
        <v>16.72</v>
      </c>
    </row>
    <row r="109" spans="1:11" x14ac:dyDescent="0.15">
      <c r="E109" t="s">
        <v>3</v>
      </c>
      <c r="F109">
        <v>16.53</v>
      </c>
      <c r="K109" s="1"/>
    </row>
    <row r="110" spans="1:11" x14ac:dyDescent="0.15">
      <c r="E110" t="s">
        <v>5</v>
      </c>
      <c r="F110">
        <v>16.47</v>
      </c>
      <c r="K110" s="1"/>
    </row>
    <row r="111" spans="1:11" x14ac:dyDescent="0.15">
      <c r="K111" s="1"/>
    </row>
    <row r="112" spans="1:11" x14ac:dyDescent="0.15">
      <c r="B112" t="s">
        <v>6</v>
      </c>
      <c r="C112">
        <v>33.17</v>
      </c>
      <c r="E112" t="s">
        <v>7</v>
      </c>
      <c r="F112">
        <v>19.48</v>
      </c>
      <c r="H112">
        <f>C112-19.46</f>
        <v>13.71</v>
      </c>
      <c r="J112">
        <f>13.39667-H112</f>
        <v>-0.31333000000000055</v>
      </c>
      <c r="K112" s="1">
        <f t="shared" ref="K112:K155" si="19">POWER(2,J112)</f>
        <v>0.80478203187508301</v>
      </c>
    </row>
    <row r="113" spans="1:11" x14ac:dyDescent="0.15">
      <c r="B113" t="s">
        <v>8</v>
      </c>
      <c r="E113" t="s">
        <v>9</v>
      </c>
      <c r="F113">
        <v>19.47</v>
      </c>
      <c r="J113">
        <f t="shared" ref="J113:J164" si="20">13.39667-H113</f>
        <v>13.39667</v>
      </c>
      <c r="K113" s="1"/>
    </row>
    <row r="114" spans="1:11" x14ac:dyDescent="0.15">
      <c r="B114" t="s">
        <v>10</v>
      </c>
      <c r="C114">
        <v>33.19</v>
      </c>
      <c r="E114" t="s">
        <v>11</v>
      </c>
      <c r="F114">
        <v>19.43</v>
      </c>
      <c r="H114">
        <f t="shared" ref="H114" si="21">C114-19.46</f>
        <v>13.729999999999997</v>
      </c>
      <c r="J114">
        <f t="shared" si="20"/>
        <v>-0.33332999999999657</v>
      </c>
      <c r="K114" s="1">
        <f t="shared" si="19"/>
        <v>0.79370235982382609</v>
      </c>
    </row>
    <row r="115" spans="1:11" x14ac:dyDescent="0.15">
      <c r="J115">
        <f t="shared" si="20"/>
        <v>13.39667</v>
      </c>
      <c r="K115" s="1"/>
    </row>
    <row r="116" spans="1:11" x14ac:dyDescent="0.15">
      <c r="B116" t="s">
        <v>12</v>
      </c>
      <c r="C116">
        <v>33.43</v>
      </c>
      <c r="E116" t="s">
        <v>13</v>
      </c>
      <c r="F116">
        <v>20.350000000000001</v>
      </c>
      <c r="H116">
        <f>C116-20.32667</f>
        <v>13.10333</v>
      </c>
      <c r="J116">
        <f t="shared" si="20"/>
        <v>0.2933400000000006</v>
      </c>
      <c r="K116" s="1">
        <f t="shared" si="19"/>
        <v>1.2254741054088527</v>
      </c>
    </row>
    <row r="117" spans="1:11" x14ac:dyDescent="0.15">
      <c r="B117" t="s">
        <v>14</v>
      </c>
      <c r="C117">
        <v>33.369999999999997</v>
      </c>
      <c r="E117" t="s">
        <v>15</v>
      </c>
      <c r="F117">
        <v>20.27</v>
      </c>
      <c r="H117">
        <f>C117-20.32667</f>
        <v>13.043329999999997</v>
      </c>
      <c r="J117">
        <f t="shared" si="20"/>
        <v>0.35334000000000287</v>
      </c>
      <c r="K117" s="1">
        <f t="shared" si="19"/>
        <v>1.2775147956861341</v>
      </c>
    </row>
    <row r="118" spans="1:11" x14ac:dyDescent="0.15">
      <c r="B118" t="s">
        <v>16</v>
      </c>
      <c r="E118" t="s">
        <v>17</v>
      </c>
      <c r="F118">
        <v>20.36</v>
      </c>
      <c r="H118">
        <f>AVERAGE(H112:H117)</f>
        <v>13.396664999999999</v>
      </c>
      <c r="J118">
        <f t="shared" si="20"/>
        <v>5.0000000015870683E-6</v>
      </c>
      <c r="K118" s="1"/>
    </row>
    <row r="119" spans="1:11" x14ac:dyDescent="0.15">
      <c r="F119">
        <f>AVERAGE(F116:F118)</f>
        <v>20.326666666666668</v>
      </c>
      <c r="J119">
        <f t="shared" si="20"/>
        <v>13.39667</v>
      </c>
      <c r="K119" s="1"/>
    </row>
    <row r="120" spans="1:11" x14ac:dyDescent="0.15">
      <c r="A120" t="s">
        <v>135</v>
      </c>
      <c r="B120" t="s">
        <v>18</v>
      </c>
      <c r="C120">
        <v>29.6</v>
      </c>
      <c r="E120" t="s">
        <v>19</v>
      </c>
      <c r="F120">
        <v>20.89</v>
      </c>
      <c r="H120">
        <f>C120-20.84333</f>
        <v>8.7566699999999997</v>
      </c>
      <c r="J120">
        <f t="shared" si="20"/>
        <v>4.6400000000000006</v>
      </c>
      <c r="K120" s="1">
        <f t="shared" si="19"/>
        <v>24.933266549136</v>
      </c>
    </row>
    <row r="121" spans="1:11" x14ac:dyDescent="0.15">
      <c r="B121" t="s">
        <v>20</v>
      </c>
      <c r="C121">
        <v>29.69</v>
      </c>
      <c r="E121" t="s">
        <v>21</v>
      </c>
      <c r="F121">
        <v>20.76</v>
      </c>
      <c r="H121">
        <f t="shared" ref="H121:H122" si="22">C121-20.84333</f>
        <v>8.8466699999999996</v>
      </c>
      <c r="J121">
        <f t="shared" si="20"/>
        <v>4.5500000000000007</v>
      </c>
      <c r="K121" s="1">
        <f t="shared" si="19"/>
        <v>23.425371135130018</v>
      </c>
    </row>
    <row r="122" spans="1:11" x14ac:dyDescent="0.15">
      <c r="B122" t="s">
        <v>22</v>
      </c>
      <c r="C122">
        <v>29.63</v>
      </c>
      <c r="E122" t="s">
        <v>23</v>
      </c>
      <c r="F122">
        <v>20.88</v>
      </c>
      <c r="H122">
        <f t="shared" si="22"/>
        <v>8.7866699999999973</v>
      </c>
      <c r="J122">
        <f t="shared" si="20"/>
        <v>4.610000000000003</v>
      </c>
      <c r="K122" s="1">
        <f t="shared" si="19"/>
        <v>24.420147343368996</v>
      </c>
    </row>
    <row r="123" spans="1:11" x14ac:dyDescent="0.15">
      <c r="F123">
        <f>AVERAGE(F120:F122)</f>
        <v>20.843333333333334</v>
      </c>
      <c r="J123">
        <f t="shared" si="20"/>
        <v>13.39667</v>
      </c>
      <c r="K123" s="1"/>
    </row>
    <row r="124" spans="1:11" x14ac:dyDescent="0.15">
      <c r="B124" t="s">
        <v>24</v>
      </c>
      <c r="C124">
        <v>27.18</v>
      </c>
      <c r="E124" t="s">
        <v>25</v>
      </c>
      <c r="F124">
        <v>18.510000000000002</v>
      </c>
      <c r="H124">
        <f>C124-18.41333</f>
        <v>8.7666700000000013</v>
      </c>
      <c r="J124">
        <f t="shared" si="20"/>
        <v>4.629999999999999</v>
      </c>
      <c r="K124" s="1">
        <f t="shared" si="19"/>
        <v>24.761039896678213</v>
      </c>
    </row>
    <row r="125" spans="1:11" x14ac:dyDescent="0.15">
      <c r="B125" t="s">
        <v>26</v>
      </c>
      <c r="C125">
        <v>27.07</v>
      </c>
      <c r="E125" t="s">
        <v>27</v>
      </c>
      <c r="F125">
        <v>18.329999999999998</v>
      </c>
      <c r="H125">
        <f t="shared" ref="H125:H126" si="23">C125-18.41333</f>
        <v>8.6566700000000019</v>
      </c>
      <c r="J125">
        <f t="shared" si="20"/>
        <v>4.7399999999999984</v>
      </c>
      <c r="K125" s="1">
        <f t="shared" si="19"/>
        <v>26.722813421707787</v>
      </c>
    </row>
    <row r="126" spans="1:11" x14ac:dyDescent="0.15">
      <c r="B126" t="s">
        <v>28</v>
      </c>
      <c r="C126">
        <v>27.11</v>
      </c>
      <c r="E126" t="s">
        <v>29</v>
      </c>
      <c r="F126">
        <v>18.399999999999999</v>
      </c>
      <c r="H126">
        <f t="shared" si="23"/>
        <v>8.696670000000001</v>
      </c>
      <c r="J126">
        <f t="shared" si="20"/>
        <v>4.6999999999999993</v>
      </c>
      <c r="K126" s="1">
        <f t="shared" si="19"/>
        <v>25.992076683399524</v>
      </c>
    </row>
    <row r="127" spans="1:11" x14ac:dyDescent="0.15">
      <c r="F127">
        <f>AVERAGE(F124:F126)</f>
        <v>18.413333333333334</v>
      </c>
      <c r="J127">
        <f t="shared" si="20"/>
        <v>13.39667</v>
      </c>
      <c r="K127" s="1"/>
    </row>
    <row r="128" spans="1:11" x14ac:dyDescent="0.15">
      <c r="J128">
        <f t="shared" si="20"/>
        <v>13.39667</v>
      </c>
      <c r="K128" s="1"/>
    </row>
    <row r="129" spans="1:11" x14ac:dyDescent="0.15">
      <c r="A129" t="s">
        <v>134</v>
      </c>
      <c r="E129" t="s">
        <v>36</v>
      </c>
      <c r="F129">
        <v>19.47</v>
      </c>
      <c r="H129">
        <f>C129-19.4</f>
        <v>-19.399999999999999</v>
      </c>
      <c r="J129">
        <f t="shared" si="20"/>
        <v>32.796669999999999</v>
      </c>
      <c r="K129" s="1"/>
    </row>
    <row r="130" spans="1:11" x14ac:dyDescent="0.15">
      <c r="E130" t="s">
        <v>38</v>
      </c>
      <c r="F130">
        <v>19.329999999999998</v>
      </c>
      <c r="J130">
        <f t="shared" si="20"/>
        <v>13.39667</v>
      </c>
      <c r="K130" s="1"/>
    </row>
    <row r="131" spans="1:11" x14ac:dyDescent="0.15">
      <c r="E131" t="s">
        <v>40</v>
      </c>
      <c r="F131">
        <v>19.399999999999999</v>
      </c>
      <c r="H131">
        <f t="shared" ref="H131" si="24">C131-19.4</f>
        <v>-19.399999999999999</v>
      </c>
      <c r="J131">
        <f t="shared" si="20"/>
        <v>32.796669999999999</v>
      </c>
      <c r="K131" s="1"/>
    </row>
    <row r="132" spans="1:11" x14ac:dyDescent="0.15">
      <c r="F132">
        <f>AVERAGE(F129:F131)</f>
        <v>19.399999999999999</v>
      </c>
      <c r="J132">
        <f t="shared" si="20"/>
        <v>13.39667</v>
      </c>
      <c r="K132" s="1"/>
    </row>
    <row r="133" spans="1:11" x14ac:dyDescent="0.15">
      <c r="B133" t="s">
        <v>47</v>
      </c>
      <c r="C133">
        <v>33.700000000000003</v>
      </c>
      <c r="E133" t="s">
        <v>42</v>
      </c>
      <c r="F133">
        <v>20.49</v>
      </c>
      <c r="H133">
        <f>C133-20.49</f>
        <v>13.210000000000004</v>
      </c>
      <c r="J133">
        <f t="shared" si="20"/>
        <v>0.18666999999999589</v>
      </c>
      <c r="K133" s="1">
        <f t="shared" si="19"/>
        <v>1.1381336642319162</v>
      </c>
    </row>
    <row r="134" spans="1:11" x14ac:dyDescent="0.15">
      <c r="B134" t="s">
        <v>49</v>
      </c>
      <c r="C134">
        <v>33.46</v>
      </c>
      <c r="E134" t="s">
        <v>44</v>
      </c>
      <c r="F134">
        <v>20.41</v>
      </c>
      <c r="H134">
        <f>C134-20.49</f>
        <v>12.970000000000002</v>
      </c>
      <c r="J134">
        <f t="shared" si="20"/>
        <v>0.42666999999999788</v>
      </c>
      <c r="K134" s="1">
        <f t="shared" si="19"/>
        <v>1.344127505183796</v>
      </c>
    </row>
    <row r="135" spans="1:11" x14ac:dyDescent="0.15">
      <c r="B135" t="s">
        <v>51</v>
      </c>
      <c r="C135">
        <v>34.03</v>
      </c>
      <c r="E135" t="s">
        <v>46</v>
      </c>
      <c r="F135">
        <v>20.57</v>
      </c>
      <c r="H135">
        <f>C135-20.49</f>
        <v>13.540000000000003</v>
      </c>
      <c r="J135">
        <f t="shared" si="20"/>
        <v>-0.1433300000000024</v>
      </c>
      <c r="K135" s="1">
        <f t="shared" si="19"/>
        <v>0.90542685328616102</v>
      </c>
    </row>
    <row r="136" spans="1:11" x14ac:dyDescent="0.15">
      <c r="F136">
        <f>AVERAGE(F133:F135)</f>
        <v>20.49</v>
      </c>
      <c r="J136">
        <f t="shared" si="20"/>
        <v>13.39667</v>
      </c>
      <c r="K136" s="1"/>
    </row>
    <row r="137" spans="1:11" x14ac:dyDescent="0.15">
      <c r="J137">
        <f t="shared" si="20"/>
        <v>13.39667</v>
      </c>
      <c r="K137" s="1"/>
    </row>
    <row r="138" spans="1:11" x14ac:dyDescent="0.15">
      <c r="J138">
        <f t="shared" si="20"/>
        <v>13.39667</v>
      </c>
      <c r="K138" s="1"/>
    </row>
    <row r="139" spans="1:11" x14ac:dyDescent="0.15">
      <c r="J139">
        <f t="shared" si="20"/>
        <v>13.39667</v>
      </c>
      <c r="K139" s="1"/>
    </row>
    <row r="140" spans="1:11" x14ac:dyDescent="0.15">
      <c r="J140">
        <f t="shared" si="20"/>
        <v>13.39667</v>
      </c>
      <c r="K140" s="1"/>
    </row>
    <row r="141" spans="1:11" x14ac:dyDescent="0.15">
      <c r="A141" t="s">
        <v>149</v>
      </c>
      <c r="B141" t="s">
        <v>53</v>
      </c>
      <c r="C141">
        <v>26.96</v>
      </c>
      <c r="E141" t="s">
        <v>54</v>
      </c>
      <c r="F141">
        <v>17.55</v>
      </c>
      <c r="H141">
        <f>C141-17.50667</f>
        <v>9.4533300000000011</v>
      </c>
      <c r="J141">
        <f t="shared" si="20"/>
        <v>3.9433399999999992</v>
      </c>
      <c r="K141" s="1">
        <f>POWER(2,J141)</f>
        <v>15.383799927808496</v>
      </c>
    </row>
    <row r="142" spans="1:11" x14ac:dyDescent="0.15">
      <c r="B142" t="s">
        <v>55</v>
      </c>
      <c r="C142">
        <v>26.83</v>
      </c>
      <c r="E142" t="s">
        <v>56</v>
      </c>
      <c r="F142">
        <v>17.46</v>
      </c>
      <c r="H142">
        <f t="shared" ref="H142:H143" si="25">C142-17.50667</f>
        <v>9.3233299999999986</v>
      </c>
      <c r="J142">
        <f t="shared" si="20"/>
        <v>4.0733400000000017</v>
      </c>
      <c r="K142" s="1">
        <f t="shared" si="19"/>
        <v>16.834395362456295</v>
      </c>
    </row>
    <row r="143" spans="1:11" x14ac:dyDescent="0.15">
      <c r="B143" t="s">
        <v>57</v>
      </c>
      <c r="C143">
        <v>27.14</v>
      </c>
      <c r="E143" t="s">
        <v>58</v>
      </c>
      <c r="F143">
        <v>17.510000000000002</v>
      </c>
      <c r="H143">
        <f t="shared" si="25"/>
        <v>9.6333300000000008</v>
      </c>
      <c r="J143">
        <f t="shared" si="20"/>
        <v>3.7633399999999995</v>
      </c>
      <c r="K143" s="1">
        <f t="shared" si="19"/>
        <v>13.579326290612528</v>
      </c>
    </row>
    <row r="144" spans="1:11" x14ac:dyDescent="0.15">
      <c r="F144">
        <f>AVERAGE(F141:F143)</f>
        <v>17.506666666666671</v>
      </c>
      <c r="J144">
        <f t="shared" si="20"/>
        <v>13.39667</v>
      </c>
      <c r="K144" s="1"/>
    </row>
    <row r="145" spans="1:11" x14ac:dyDescent="0.15">
      <c r="J145">
        <f t="shared" si="20"/>
        <v>13.39667</v>
      </c>
      <c r="K145" s="1"/>
    </row>
    <row r="146" spans="1:11" x14ac:dyDescent="0.15">
      <c r="J146">
        <f t="shared" si="20"/>
        <v>13.39667</v>
      </c>
      <c r="K146" s="1"/>
    </row>
    <row r="147" spans="1:11" x14ac:dyDescent="0.15">
      <c r="J147">
        <f t="shared" si="20"/>
        <v>13.39667</v>
      </c>
      <c r="K147" s="1"/>
    </row>
    <row r="148" spans="1:11" x14ac:dyDescent="0.15">
      <c r="J148">
        <f t="shared" si="20"/>
        <v>13.39667</v>
      </c>
      <c r="K148" s="1"/>
    </row>
    <row r="149" spans="1:11" x14ac:dyDescent="0.15">
      <c r="B149" t="s">
        <v>65</v>
      </c>
      <c r="C149">
        <v>25.96</v>
      </c>
      <c r="E149" t="s">
        <v>66</v>
      </c>
      <c r="F149">
        <v>17.829999999999998</v>
      </c>
      <c r="H149">
        <f>C149-17.86</f>
        <v>8.1000000000000014</v>
      </c>
      <c r="J149">
        <f t="shared" si="20"/>
        <v>5.2966699999999989</v>
      </c>
      <c r="K149" s="1">
        <f>POWER(2,J149)</f>
        <v>39.305791595370721</v>
      </c>
    </row>
    <row r="150" spans="1:11" x14ac:dyDescent="0.15">
      <c r="B150" t="s">
        <v>67</v>
      </c>
      <c r="C150">
        <v>25.9</v>
      </c>
      <c r="E150" t="s">
        <v>68</v>
      </c>
      <c r="F150">
        <v>17.84</v>
      </c>
      <c r="H150">
        <f t="shared" ref="H150:H151" si="26">C150-17.86</f>
        <v>8.0399999999999991</v>
      </c>
      <c r="J150">
        <f t="shared" si="20"/>
        <v>5.3566700000000012</v>
      </c>
      <c r="K150" s="1">
        <f t="shared" si="19"/>
        <v>40.974941940930755</v>
      </c>
    </row>
    <row r="151" spans="1:11" x14ac:dyDescent="0.15">
      <c r="B151" t="s">
        <v>69</v>
      </c>
      <c r="C151">
        <v>25.92</v>
      </c>
      <c r="E151" t="s">
        <v>70</v>
      </c>
      <c r="F151">
        <v>17.91</v>
      </c>
      <c r="H151">
        <f t="shared" si="26"/>
        <v>8.0600000000000023</v>
      </c>
      <c r="J151">
        <f t="shared" si="20"/>
        <v>5.336669999999998</v>
      </c>
      <c r="K151" s="1">
        <f t="shared" si="19"/>
        <v>40.410827806862436</v>
      </c>
    </row>
    <row r="152" spans="1:11" x14ac:dyDescent="0.15">
      <c r="F152">
        <f>AVERAGE(F149:F151)</f>
        <v>17.86</v>
      </c>
      <c r="J152">
        <f t="shared" si="20"/>
        <v>13.39667</v>
      </c>
      <c r="K152" s="1"/>
    </row>
    <row r="153" spans="1:11" x14ac:dyDescent="0.15">
      <c r="A153" t="s">
        <v>133</v>
      </c>
      <c r="B153" t="s">
        <v>77</v>
      </c>
      <c r="C153">
        <v>34.590000000000003</v>
      </c>
      <c r="E153" t="s">
        <v>85</v>
      </c>
      <c r="H153">
        <f>C153-22.34</f>
        <v>12.250000000000004</v>
      </c>
      <c r="J153">
        <f t="shared" si="20"/>
        <v>1.1466699999999967</v>
      </c>
      <c r="K153" s="1">
        <f>POWER(2,J153)</f>
        <v>2.2140226786632935</v>
      </c>
    </row>
    <row r="154" spans="1:11" x14ac:dyDescent="0.15">
      <c r="B154" t="s">
        <v>78</v>
      </c>
      <c r="C154">
        <v>34.64</v>
      </c>
      <c r="E154" t="s">
        <v>86</v>
      </c>
      <c r="F154">
        <v>22.36</v>
      </c>
      <c r="H154">
        <f t="shared" ref="H154:H155" si="27">C154-22.34</f>
        <v>12.3</v>
      </c>
      <c r="J154">
        <f t="shared" si="20"/>
        <v>1.0966699999999996</v>
      </c>
      <c r="K154" s="1">
        <f t="shared" si="19"/>
        <v>2.138604938384379</v>
      </c>
    </row>
    <row r="155" spans="1:11" x14ac:dyDescent="0.15">
      <c r="B155" t="s">
        <v>93</v>
      </c>
      <c r="C155">
        <v>34.31</v>
      </c>
      <c r="E155" t="s">
        <v>94</v>
      </c>
      <c r="F155">
        <v>22.32</v>
      </c>
      <c r="H155">
        <f t="shared" si="27"/>
        <v>11.970000000000002</v>
      </c>
      <c r="J155">
        <f t="shared" si="20"/>
        <v>1.4266699999999979</v>
      </c>
      <c r="K155" s="1">
        <f t="shared" si="19"/>
        <v>2.688255010367592</v>
      </c>
    </row>
    <row r="156" spans="1:11" x14ac:dyDescent="0.15">
      <c r="F156">
        <f>AVERAGE(F153:F155)</f>
        <v>22.34</v>
      </c>
      <c r="H156">
        <f>AVERAGE(H153:H155)</f>
        <v>12.173333333333337</v>
      </c>
      <c r="J156">
        <f t="shared" si="20"/>
        <v>1.223336666666663</v>
      </c>
    </row>
    <row r="157" spans="1:11" x14ac:dyDescent="0.15">
      <c r="J157">
        <f t="shared" si="20"/>
        <v>13.39667</v>
      </c>
    </row>
    <row r="158" spans="1:11" x14ac:dyDescent="0.15">
      <c r="J158">
        <f t="shared" si="20"/>
        <v>13.39667</v>
      </c>
      <c r="K158" s="1"/>
    </row>
    <row r="159" spans="1:11" x14ac:dyDescent="0.15">
      <c r="J159">
        <f t="shared" si="20"/>
        <v>13.39667</v>
      </c>
      <c r="K159" s="1"/>
    </row>
    <row r="160" spans="1:11" x14ac:dyDescent="0.15">
      <c r="J160">
        <f t="shared" si="20"/>
        <v>13.39667</v>
      </c>
      <c r="K160" s="1"/>
    </row>
    <row r="161" spans="1:11" x14ac:dyDescent="0.15">
      <c r="J161">
        <f t="shared" si="20"/>
        <v>13.39667</v>
      </c>
      <c r="K161" s="1"/>
    </row>
    <row r="162" spans="1:11" x14ac:dyDescent="0.15">
      <c r="B162" t="s">
        <v>6</v>
      </c>
      <c r="C162">
        <v>18.100000000000001</v>
      </c>
      <c r="E162" t="s">
        <v>7</v>
      </c>
      <c r="F162">
        <v>30.04</v>
      </c>
      <c r="H162">
        <f>F162-18.10333</f>
        <v>11.936669999999999</v>
      </c>
      <c r="J162">
        <f t="shared" si="20"/>
        <v>1.4600000000000009</v>
      </c>
      <c r="K162" s="1">
        <f t="shared" ref="K162:K212" si="28">POWER(2,J162)</f>
        <v>2.751083636279489</v>
      </c>
    </row>
    <row r="163" spans="1:11" x14ac:dyDescent="0.15">
      <c r="B163" t="s">
        <v>8</v>
      </c>
      <c r="C163">
        <v>18.11</v>
      </c>
      <c r="E163" t="s">
        <v>9</v>
      </c>
      <c r="F163">
        <v>29.79</v>
      </c>
      <c r="H163">
        <f t="shared" ref="H163:H164" si="29">F163-18.10333</f>
        <v>11.686669999999999</v>
      </c>
      <c r="J163">
        <f t="shared" si="20"/>
        <v>1.7100000000000009</v>
      </c>
      <c r="K163" s="1">
        <f t="shared" si="28"/>
        <v>3.2716082342311266</v>
      </c>
    </row>
    <row r="164" spans="1:11" x14ac:dyDescent="0.15">
      <c r="B164" t="s">
        <v>10</v>
      </c>
      <c r="C164">
        <v>18.100000000000001</v>
      </c>
      <c r="E164" t="s">
        <v>11</v>
      </c>
      <c r="F164">
        <v>29.56</v>
      </c>
      <c r="H164">
        <f t="shared" si="29"/>
        <v>11.456669999999999</v>
      </c>
      <c r="J164">
        <f t="shared" si="20"/>
        <v>1.9400000000000013</v>
      </c>
      <c r="K164" s="1">
        <f t="shared" si="28"/>
        <v>3.8370564773010605</v>
      </c>
    </row>
    <row r="165" spans="1:11" x14ac:dyDescent="0.15">
      <c r="C165">
        <f>AVERAGE(C162:C164)</f>
        <v>18.103333333333335</v>
      </c>
      <c r="H165">
        <f>AVERAGE(H162:H164)</f>
        <v>11.693336666666667</v>
      </c>
      <c r="J165">
        <f t="shared" ref="J165:J212" si="30">13.39667-H165</f>
        <v>1.7033333333333331</v>
      </c>
      <c r="K165" s="1">
        <f>AVERAGE(K162:K164)</f>
        <v>3.286582782603892</v>
      </c>
    </row>
    <row r="166" spans="1:11" x14ac:dyDescent="0.15">
      <c r="B166" t="s">
        <v>12</v>
      </c>
      <c r="C166">
        <v>23.37</v>
      </c>
      <c r="E166" t="s">
        <v>13</v>
      </c>
      <c r="F166">
        <v>32.72</v>
      </c>
      <c r="H166">
        <f>F166-23.27667</f>
        <v>9.4433299999999996</v>
      </c>
      <c r="J166">
        <f t="shared" si="30"/>
        <v>3.9533400000000007</v>
      </c>
      <c r="K166" s="1">
        <f t="shared" si="28"/>
        <v>15.490802718268935</v>
      </c>
    </row>
    <row r="167" spans="1:11" x14ac:dyDescent="0.15">
      <c r="B167" t="s">
        <v>14</v>
      </c>
      <c r="C167">
        <v>23.16</v>
      </c>
      <c r="E167" t="s">
        <v>15</v>
      </c>
      <c r="F167">
        <v>32.869999999999997</v>
      </c>
      <c r="H167">
        <f t="shared" ref="H167:H168" si="31">F167-23.27667</f>
        <v>9.5933299999999981</v>
      </c>
      <c r="J167">
        <f t="shared" si="30"/>
        <v>3.8033400000000022</v>
      </c>
      <c r="K167" s="1">
        <f t="shared" si="28"/>
        <v>13.961093116053002</v>
      </c>
    </row>
    <row r="168" spans="1:11" x14ac:dyDescent="0.15">
      <c r="B168" t="s">
        <v>16</v>
      </c>
      <c r="C168">
        <v>23.3</v>
      </c>
      <c r="E168" t="s">
        <v>17</v>
      </c>
      <c r="F168">
        <v>33.020000000000003</v>
      </c>
      <c r="H168">
        <f t="shared" si="31"/>
        <v>9.7433300000000038</v>
      </c>
      <c r="J168">
        <f t="shared" si="30"/>
        <v>3.6533399999999965</v>
      </c>
      <c r="K168" s="1">
        <f t="shared" si="28"/>
        <v>12.582441629395595</v>
      </c>
    </row>
    <row r="169" spans="1:11" x14ac:dyDescent="0.15">
      <c r="C169">
        <f>AVERAGE(C166:C168)</f>
        <v>23.276666666666667</v>
      </c>
      <c r="J169">
        <f t="shared" si="30"/>
        <v>13.39667</v>
      </c>
      <c r="K169" s="1">
        <f>AVERAGE(K166:K168)</f>
        <v>14.011445821239178</v>
      </c>
    </row>
    <row r="170" spans="1:11" x14ac:dyDescent="0.15">
      <c r="A170" t="s">
        <v>151</v>
      </c>
      <c r="B170" t="s">
        <v>18</v>
      </c>
      <c r="C170">
        <v>22.25</v>
      </c>
      <c r="J170">
        <f t="shared" si="30"/>
        <v>13.39667</v>
      </c>
      <c r="K170" s="1"/>
    </row>
    <row r="171" spans="1:11" x14ac:dyDescent="0.15">
      <c r="B171" t="s">
        <v>20</v>
      </c>
      <c r="C171">
        <v>22.17</v>
      </c>
      <c r="J171">
        <f t="shared" si="30"/>
        <v>13.39667</v>
      </c>
      <c r="K171" s="1"/>
    </row>
    <row r="172" spans="1:11" x14ac:dyDescent="0.15">
      <c r="B172" t="s">
        <v>22</v>
      </c>
      <c r="C172">
        <v>22.2</v>
      </c>
      <c r="J172">
        <f t="shared" si="30"/>
        <v>13.39667</v>
      </c>
      <c r="K172" s="1"/>
    </row>
    <row r="173" spans="1:11" x14ac:dyDescent="0.15">
      <c r="C173">
        <f>AVERAGE(C170:C172)</f>
        <v>22.206666666666667</v>
      </c>
      <c r="J173">
        <f t="shared" si="30"/>
        <v>13.39667</v>
      </c>
      <c r="K173" s="1"/>
    </row>
    <row r="174" spans="1:11" x14ac:dyDescent="0.15">
      <c r="B174" t="s">
        <v>24</v>
      </c>
      <c r="C174">
        <v>17.11</v>
      </c>
      <c r="E174" t="s">
        <v>25</v>
      </c>
      <c r="F174">
        <v>26.98</v>
      </c>
      <c r="H174">
        <f>F174-17.02667</f>
        <v>9.9533300000000011</v>
      </c>
      <c r="J174">
        <f t="shared" si="30"/>
        <v>3.4433399999999992</v>
      </c>
      <c r="K174" s="1">
        <f t="shared" si="28"/>
        <v>10.877989249370513</v>
      </c>
    </row>
    <row r="175" spans="1:11" x14ac:dyDescent="0.15">
      <c r="B175" t="s">
        <v>26</v>
      </c>
      <c r="C175">
        <v>17</v>
      </c>
      <c r="E175" t="s">
        <v>27</v>
      </c>
      <c r="F175">
        <v>27.14</v>
      </c>
      <c r="H175">
        <f t="shared" ref="H175:H176" si="32">F175-17.02667</f>
        <v>10.113330000000001</v>
      </c>
      <c r="J175">
        <f t="shared" si="30"/>
        <v>3.283339999999999</v>
      </c>
      <c r="K175" s="1">
        <f t="shared" si="28"/>
        <v>9.7360730994715627</v>
      </c>
    </row>
    <row r="176" spans="1:11" x14ac:dyDescent="0.15">
      <c r="B176" t="s">
        <v>28</v>
      </c>
      <c r="C176">
        <v>16.97</v>
      </c>
      <c r="E176" t="s">
        <v>29</v>
      </c>
      <c r="F176">
        <v>27.14</v>
      </c>
      <c r="H176">
        <f t="shared" si="32"/>
        <v>10.113330000000001</v>
      </c>
      <c r="J176">
        <f t="shared" si="30"/>
        <v>3.283339999999999</v>
      </c>
      <c r="K176" s="1">
        <f t="shared" si="28"/>
        <v>9.7360730994715627</v>
      </c>
    </row>
    <row r="177" spans="1:11" x14ac:dyDescent="0.15">
      <c r="C177">
        <f>AVERAGE(C174:C176)</f>
        <v>17.026666666666667</v>
      </c>
      <c r="J177">
        <f t="shared" si="30"/>
        <v>13.39667</v>
      </c>
      <c r="K177" s="1">
        <f>AVERAGE(K174:K176)</f>
        <v>10.116711816104546</v>
      </c>
    </row>
    <row r="178" spans="1:11" x14ac:dyDescent="0.15">
      <c r="B178" t="s">
        <v>30</v>
      </c>
      <c r="C178">
        <v>18.63</v>
      </c>
      <c r="E178" t="s">
        <v>31</v>
      </c>
      <c r="F178">
        <v>29.07</v>
      </c>
      <c r="H178">
        <f>F178-18.63333</f>
        <v>10.436669999999999</v>
      </c>
      <c r="J178">
        <f t="shared" si="30"/>
        <v>2.9600000000000009</v>
      </c>
      <c r="K178" s="1">
        <f t="shared" si="28"/>
        <v>7.7812395792982887</v>
      </c>
    </row>
    <row r="179" spans="1:11" x14ac:dyDescent="0.15">
      <c r="B179" t="s">
        <v>32</v>
      </c>
      <c r="C179">
        <v>18.68</v>
      </c>
      <c r="E179" t="s">
        <v>33</v>
      </c>
      <c r="F179">
        <v>29.01</v>
      </c>
      <c r="H179">
        <f t="shared" ref="H179:H180" si="33">F179-18.63333</f>
        <v>10.376670000000001</v>
      </c>
      <c r="J179">
        <f t="shared" si="30"/>
        <v>3.0199999999999996</v>
      </c>
      <c r="K179" s="1">
        <f t="shared" si="28"/>
        <v>8.1116758383202292</v>
      </c>
    </row>
    <row r="180" spans="1:11" x14ac:dyDescent="0.15">
      <c r="B180" t="s">
        <v>87</v>
      </c>
      <c r="C180">
        <v>18.59</v>
      </c>
      <c r="E180" t="s">
        <v>34</v>
      </c>
      <c r="F180">
        <v>28.97</v>
      </c>
      <c r="H180">
        <f t="shared" si="33"/>
        <v>10.336669999999998</v>
      </c>
      <c r="J180">
        <f t="shared" si="30"/>
        <v>3.0600000000000023</v>
      </c>
      <c r="K180" s="1">
        <f t="shared" si="28"/>
        <v>8.3397260867289837</v>
      </c>
    </row>
    <row r="181" spans="1:11" x14ac:dyDescent="0.15">
      <c r="C181">
        <f>AVERAGE(C178:C180)</f>
        <v>18.633333333333336</v>
      </c>
      <c r="J181">
        <f t="shared" si="30"/>
        <v>13.39667</v>
      </c>
      <c r="K181" s="1">
        <f>AVERAGE(K178:K180)</f>
        <v>8.0775471681158333</v>
      </c>
    </row>
    <row r="182" spans="1:11" x14ac:dyDescent="0.15">
      <c r="A182" t="s">
        <v>132</v>
      </c>
      <c r="B182" t="s">
        <v>35</v>
      </c>
      <c r="C182">
        <v>20.75</v>
      </c>
      <c r="E182" t="s">
        <v>36</v>
      </c>
      <c r="F182">
        <v>30.5</v>
      </c>
      <c r="H182">
        <f>F182-20.5333</f>
        <v>9.9666999999999994</v>
      </c>
      <c r="J182">
        <f t="shared" si="30"/>
        <v>3.4299700000000009</v>
      </c>
      <c r="K182" s="1">
        <f t="shared" si="28"/>
        <v>10.777644497778439</v>
      </c>
    </row>
    <row r="183" spans="1:11" x14ac:dyDescent="0.15">
      <c r="B183" t="s">
        <v>37</v>
      </c>
      <c r="C183">
        <v>20.27</v>
      </c>
      <c r="E183" t="s">
        <v>38</v>
      </c>
      <c r="F183">
        <v>30.69</v>
      </c>
      <c r="H183">
        <f>F183-20.5333</f>
        <v>10.156700000000001</v>
      </c>
      <c r="J183">
        <f t="shared" si="30"/>
        <v>3.2399699999999996</v>
      </c>
      <c r="K183" s="1">
        <f>POWER(2,J183)</f>
        <v>9.4477448290628594</v>
      </c>
    </row>
    <row r="184" spans="1:11" x14ac:dyDescent="0.15">
      <c r="B184" t="s">
        <v>39</v>
      </c>
      <c r="C184">
        <v>20.58</v>
      </c>
      <c r="E184" t="s">
        <v>40</v>
      </c>
      <c r="F184">
        <v>30.69</v>
      </c>
      <c r="H184">
        <f>F184-20.5333</f>
        <v>10.156700000000001</v>
      </c>
      <c r="J184">
        <f t="shared" si="30"/>
        <v>3.2399699999999996</v>
      </c>
      <c r="K184" s="1">
        <f t="shared" si="28"/>
        <v>9.4477448290628594</v>
      </c>
    </row>
    <row r="185" spans="1:11" x14ac:dyDescent="0.15">
      <c r="C185">
        <f>AVERAGE(C182:C184)</f>
        <v>20.533333333333331</v>
      </c>
      <c r="J185">
        <f t="shared" si="30"/>
        <v>13.39667</v>
      </c>
      <c r="K185" s="1">
        <f>AVERAGE(K182:K184)</f>
        <v>9.8910447186347188</v>
      </c>
    </row>
    <row r="186" spans="1:11" x14ac:dyDescent="0.15">
      <c r="B186" t="s">
        <v>41</v>
      </c>
      <c r="C186">
        <v>16.510000000000002</v>
      </c>
      <c r="E186" t="s">
        <v>42</v>
      </c>
      <c r="F186">
        <v>26.12</v>
      </c>
      <c r="H186">
        <f>F186-16.47333</f>
        <v>9.6466700000000003</v>
      </c>
      <c r="J186">
        <f t="shared" si="30"/>
        <v>3.75</v>
      </c>
      <c r="K186" s="1">
        <f t="shared" si="28"/>
        <v>13.454342644059432</v>
      </c>
    </row>
    <row r="187" spans="1:11" x14ac:dyDescent="0.15">
      <c r="B187" t="s">
        <v>43</v>
      </c>
      <c r="C187">
        <v>16.489999999999998</v>
      </c>
      <c r="E187" t="s">
        <v>44</v>
      </c>
      <c r="F187">
        <v>26.01</v>
      </c>
      <c r="H187">
        <f t="shared" ref="H187:H188" si="34">F187-16.47333</f>
        <v>9.5366700000000009</v>
      </c>
      <c r="J187">
        <f t="shared" si="30"/>
        <v>3.8599999999999994</v>
      </c>
      <c r="K187" s="1">
        <f t="shared" si="28"/>
        <v>14.52030648507457</v>
      </c>
    </row>
    <row r="188" spans="1:11" x14ac:dyDescent="0.15">
      <c r="B188" t="s">
        <v>45</v>
      </c>
      <c r="C188">
        <v>16.420000000000002</v>
      </c>
      <c r="E188" t="s">
        <v>46</v>
      </c>
      <c r="F188">
        <v>26.06</v>
      </c>
      <c r="H188">
        <f t="shared" si="34"/>
        <v>9.586669999999998</v>
      </c>
      <c r="J188">
        <f t="shared" si="30"/>
        <v>3.8100000000000023</v>
      </c>
      <c r="K188" s="1">
        <f t="shared" si="28"/>
        <v>14.025691541056583</v>
      </c>
    </row>
    <row r="189" spans="1:11" x14ac:dyDescent="0.15">
      <c r="C189">
        <f>AVERAGE(C186:C188)</f>
        <v>16.473333333333333</v>
      </c>
      <c r="J189">
        <f t="shared" si="30"/>
        <v>13.39667</v>
      </c>
      <c r="K189" s="1">
        <f>AVERAGE(K186:K188)</f>
        <v>14.000113556730193</v>
      </c>
    </row>
    <row r="190" spans="1:11" x14ac:dyDescent="0.15">
      <c r="B190" t="s">
        <v>47</v>
      </c>
      <c r="C190">
        <v>16.649999999999999</v>
      </c>
      <c r="E190" t="s">
        <v>48</v>
      </c>
      <c r="F190">
        <v>26.96</v>
      </c>
      <c r="H190">
        <f>F190-16.59</f>
        <v>10.370000000000001</v>
      </c>
      <c r="J190">
        <f t="shared" si="30"/>
        <v>3.0266699999999993</v>
      </c>
      <c r="K190" s="1">
        <f t="shared" si="28"/>
        <v>8.1492653084374904</v>
      </c>
    </row>
    <row r="191" spans="1:11" x14ac:dyDescent="0.15">
      <c r="B191" t="s">
        <v>49</v>
      </c>
      <c r="C191">
        <v>16.579999999999998</v>
      </c>
      <c r="E191" t="s">
        <v>50</v>
      </c>
      <c r="F191">
        <v>27.52</v>
      </c>
      <c r="H191">
        <f t="shared" ref="H191:H192" si="35">F191-16.59</f>
        <v>10.93</v>
      </c>
      <c r="J191">
        <f t="shared" si="30"/>
        <v>2.4666700000000006</v>
      </c>
      <c r="K191" s="1">
        <f t="shared" si="28"/>
        <v>5.5276642914727478</v>
      </c>
    </row>
    <row r="192" spans="1:11" x14ac:dyDescent="0.15">
      <c r="B192" t="s">
        <v>51</v>
      </c>
      <c r="C192">
        <v>16.54</v>
      </c>
      <c r="E192" t="s">
        <v>52</v>
      </c>
      <c r="F192">
        <v>27.03</v>
      </c>
      <c r="H192">
        <f t="shared" si="35"/>
        <v>10.440000000000001</v>
      </c>
      <c r="J192">
        <f t="shared" si="30"/>
        <v>2.956669999999999</v>
      </c>
      <c r="K192" s="1">
        <f t="shared" si="28"/>
        <v>7.7632997889587969</v>
      </c>
    </row>
    <row r="193" spans="1:11" x14ac:dyDescent="0.15">
      <c r="C193">
        <f>AVERAGE(C190:C192)</f>
        <v>16.59</v>
      </c>
      <c r="J193">
        <f t="shared" si="30"/>
        <v>13.39667</v>
      </c>
      <c r="K193" s="1">
        <f>AVERAGE(K190:K192)</f>
        <v>7.1467431296230117</v>
      </c>
    </row>
    <row r="194" spans="1:11" x14ac:dyDescent="0.15">
      <c r="A194" t="s">
        <v>131</v>
      </c>
      <c r="B194" t="s">
        <v>53</v>
      </c>
      <c r="C194">
        <v>22.42</v>
      </c>
      <c r="E194" t="s">
        <v>54</v>
      </c>
      <c r="F194">
        <v>29.94</v>
      </c>
      <c r="H194">
        <f>F194-22.26333</f>
        <v>7.6766700000000014</v>
      </c>
      <c r="J194">
        <f t="shared" si="30"/>
        <v>5.7199999999999989</v>
      </c>
      <c r="K194" s="1"/>
    </row>
    <row r="195" spans="1:11" x14ac:dyDescent="0.15">
      <c r="B195" t="s">
        <v>55</v>
      </c>
      <c r="C195">
        <v>22.12</v>
      </c>
      <c r="E195" t="s">
        <v>56</v>
      </c>
      <c r="F195">
        <v>29.52</v>
      </c>
      <c r="H195">
        <f t="shared" ref="H195:H196" si="36">F195-22.26333</f>
        <v>7.2566699999999997</v>
      </c>
      <c r="J195">
        <f t="shared" si="30"/>
        <v>6.1400000000000006</v>
      </c>
      <c r="K195" s="1"/>
    </row>
    <row r="196" spans="1:11" x14ac:dyDescent="0.15">
      <c r="B196" t="s">
        <v>57</v>
      </c>
      <c r="C196">
        <v>22.25</v>
      </c>
      <c r="E196" t="s">
        <v>58</v>
      </c>
      <c r="F196">
        <v>30.15</v>
      </c>
      <c r="H196">
        <f t="shared" si="36"/>
        <v>7.8866699999999987</v>
      </c>
      <c r="J196">
        <f t="shared" si="30"/>
        <v>5.5100000000000016</v>
      </c>
      <c r="K196" s="1"/>
    </row>
    <row r="197" spans="1:11" x14ac:dyDescent="0.15">
      <c r="C197">
        <f>AVERAGE(C194:C196)</f>
        <v>22.263333333333335</v>
      </c>
      <c r="J197">
        <f t="shared" si="30"/>
        <v>13.39667</v>
      </c>
      <c r="K197" s="1"/>
    </row>
    <row r="198" spans="1:11" x14ac:dyDescent="0.15">
      <c r="B198" t="s">
        <v>59</v>
      </c>
      <c r="C198">
        <v>18.75</v>
      </c>
      <c r="E198" t="s">
        <v>60</v>
      </c>
      <c r="F198">
        <v>27.9</v>
      </c>
      <c r="H198">
        <f>F198-18.7</f>
        <v>9.1999999999999993</v>
      </c>
      <c r="J198">
        <f t="shared" si="30"/>
        <v>4.196670000000001</v>
      </c>
      <c r="K198" s="1">
        <f>POWER(2,J198)</f>
        <v>18.336800158475551</v>
      </c>
    </row>
    <row r="199" spans="1:11" x14ac:dyDescent="0.15">
      <c r="B199" t="s">
        <v>61</v>
      </c>
      <c r="C199">
        <v>18.649999999999999</v>
      </c>
      <c r="E199" t="s">
        <v>62</v>
      </c>
      <c r="F199">
        <v>28.06</v>
      </c>
      <c r="H199">
        <f t="shared" ref="H199:H200" si="37">F199-18.7</f>
        <v>9.36</v>
      </c>
      <c r="J199">
        <f t="shared" si="30"/>
        <v>4.0366700000000009</v>
      </c>
      <c r="K199" s="1">
        <f t="shared" si="28"/>
        <v>16.411895862431631</v>
      </c>
    </row>
    <row r="200" spans="1:11" x14ac:dyDescent="0.15">
      <c r="B200" t="s">
        <v>63</v>
      </c>
      <c r="C200">
        <v>18.7</v>
      </c>
      <c r="E200" t="s">
        <v>64</v>
      </c>
      <c r="F200">
        <v>27.95</v>
      </c>
      <c r="H200">
        <f t="shared" si="37"/>
        <v>9.25</v>
      </c>
      <c r="J200">
        <f t="shared" si="30"/>
        <v>4.1466700000000003</v>
      </c>
      <c r="K200" s="1">
        <f t="shared" si="28"/>
        <v>17.712181429306394</v>
      </c>
    </row>
    <row r="201" spans="1:11" x14ac:dyDescent="0.15">
      <c r="C201">
        <f>AVERAGE(C198:C200)</f>
        <v>18.7</v>
      </c>
      <c r="J201">
        <f t="shared" si="30"/>
        <v>13.39667</v>
      </c>
      <c r="K201" s="1">
        <f>AVERAGE(K198:K200)</f>
        <v>17.48695915007119</v>
      </c>
    </row>
    <row r="202" spans="1:11" x14ac:dyDescent="0.15">
      <c r="B202" t="s">
        <v>65</v>
      </c>
      <c r="C202">
        <v>19.649999999999999</v>
      </c>
      <c r="E202" t="s">
        <v>66</v>
      </c>
      <c r="F202">
        <v>28.89</v>
      </c>
      <c r="H202">
        <f>F202-19.63667</f>
        <v>9.2533300000000018</v>
      </c>
      <c r="J202">
        <f t="shared" si="30"/>
        <v>4.1433399999999985</v>
      </c>
      <c r="K202" s="1">
        <f t="shared" si="28"/>
        <v>17.67134567067712</v>
      </c>
    </row>
    <row r="203" spans="1:11" x14ac:dyDescent="0.15">
      <c r="B203" t="s">
        <v>67</v>
      </c>
      <c r="C203">
        <v>19.7</v>
      </c>
      <c r="E203" t="s">
        <v>68</v>
      </c>
      <c r="F203">
        <v>28.79</v>
      </c>
      <c r="H203">
        <f t="shared" ref="H203:H204" si="38">F203-19.63667</f>
        <v>9.1533300000000004</v>
      </c>
      <c r="J203">
        <f t="shared" si="30"/>
        <v>4.2433399999999999</v>
      </c>
      <c r="K203" s="1">
        <f t="shared" si="28"/>
        <v>18.939679337137367</v>
      </c>
    </row>
    <row r="204" spans="1:11" x14ac:dyDescent="0.15">
      <c r="B204" t="s">
        <v>69</v>
      </c>
      <c r="C204">
        <v>19.559999999999999</v>
      </c>
      <c r="E204" t="s">
        <v>70</v>
      </c>
      <c r="F204">
        <v>28.98</v>
      </c>
      <c r="H204">
        <f t="shared" si="38"/>
        <v>9.3433300000000017</v>
      </c>
      <c r="J204">
        <f t="shared" si="30"/>
        <v>4.0533399999999986</v>
      </c>
      <c r="K204" s="1">
        <f t="shared" si="28"/>
        <v>16.602631266825696</v>
      </c>
    </row>
    <row r="205" spans="1:11" x14ac:dyDescent="0.15">
      <c r="C205">
        <f>AVERAGE(C202:C204)</f>
        <v>19.636666666666667</v>
      </c>
      <c r="J205">
        <f t="shared" si="30"/>
        <v>13.39667</v>
      </c>
      <c r="K205" s="1">
        <f>AVERAGE(K202:K204)</f>
        <v>17.737885424880062</v>
      </c>
    </row>
    <row r="206" spans="1:11" x14ac:dyDescent="0.15">
      <c r="A206" t="s">
        <v>130</v>
      </c>
      <c r="B206" t="s">
        <v>71</v>
      </c>
      <c r="C206">
        <v>20.27</v>
      </c>
      <c r="E206" t="s">
        <v>79</v>
      </c>
      <c r="F206">
        <v>29.81</v>
      </c>
      <c r="H206">
        <f>F206-20.21667</f>
        <v>9.5933299999999981</v>
      </c>
      <c r="J206">
        <f t="shared" si="30"/>
        <v>3.8033400000000022</v>
      </c>
      <c r="K206" s="1">
        <f t="shared" si="28"/>
        <v>13.961093116053002</v>
      </c>
    </row>
    <row r="207" spans="1:11" x14ac:dyDescent="0.15">
      <c r="B207" t="s">
        <v>72</v>
      </c>
      <c r="C207">
        <v>20.23</v>
      </c>
      <c r="E207" t="s">
        <v>80</v>
      </c>
      <c r="F207">
        <v>30.17</v>
      </c>
      <c r="H207">
        <f t="shared" ref="H207:H208" si="39">F207-20.21667</f>
        <v>9.9533300000000011</v>
      </c>
      <c r="J207">
        <f t="shared" si="30"/>
        <v>3.4433399999999992</v>
      </c>
      <c r="K207" s="1">
        <f t="shared" si="28"/>
        <v>10.877989249370513</v>
      </c>
    </row>
    <row r="208" spans="1:11" x14ac:dyDescent="0.15">
      <c r="B208" t="s">
        <v>90</v>
      </c>
      <c r="C208">
        <v>20.149999999999999</v>
      </c>
      <c r="E208" t="s">
        <v>88</v>
      </c>
      <c r="F208">
        <v>30</v>
      </c>
      <c r="H208">
        <f t="shared" si="39"/>
        <v>9.7833299999999994</v>
      </c>
      <c r="J208">
        <f t="shared" si="30"/>
        <v>3.6133400000000009</v>
      </c>
      <c r="K208" s="1">
        <f t="shared" si="28"/>
        <v>12.238374101357961</v>
      </c>
    </row>
    <row r="209" spans="2:11" x14ac:dyDescent="0.15">
      <c r="C209">
        <f>AVERAGE(C206:C208)</f>
        <v>20.216666666666665</v>
      </c>
      <c r="J209">
        <f t="shared" si="30"/>
        <v>13.39667</v>
      </c>
      <c r="K209" s="1">
        <f>AVERAGE(K206:K208)</f>
        <v>12.359152155593826</v>
      </c>
    </row>
    <row r="210" spans="2:11" x14ac:dyDescent="0.15">
      <c r="B210" t="s">
        <v>73</v>
      </c>
      <c r="C210">
        <v>18.8</v>
      </c>
      <c r="E210" t="s">
        <v>81</v>
      </c>
      <c r="F210">
        <v>28.58</v>
      </c>
      <c r="H210">
        <f>F210-18.82667</f>
        <v>9.7533299999999983</v>
      </c>
      <c r="J210">
        <f t="shared" si="30"/>
        <v>3.643340000000002</v>
      </c>
      <c r="K210" s="1">
        <f t="shared" si="28"/>
        <v>12.495528356427362</v>
      </c>
    </row>
    <row r="211" spans="2:11" x14ac:dyDescent="0.15">
      <c r="B211" t="s">
        <v>74</v>
      </c>
      <c r="C211">
        <v>18.86</v>
      </c>
      <c r="E211" t="s">
        <v>82</v>
      </c>
      <c r="F211">
        <v>28.56</v>
      </c>
      <c r="H211">
        <f t="shared" ref="H211:H212" si="40">F211-18.82667</f>
        <v>9.7333299999999987</v>
      </c>
      <c r="J211">
        <f t="shared" si="30"/>
        <v>3.6633400000000016</v>
      </c>
      <c r="K211" s="1">
        <f t="shared" si="28"/>
        <v>12.669959431984642</v>
      </c>
    </row>
    <row r="212" spans="2:11" x14ac:dyDescent="0.15">
      <c r="B212" t="s">
        <v>91</v>
      </c>
      <c r="C212">
        <v>18.82</v>
      </c>
      <c r="E212" t="s">
        <v>92</v>
      </c>
      <c r="F212">
        <v>28.41</v>
      </c>
      <c r="H212">
        <f t="shared" si="40"/>
        <v>9.5833300000000001</v>
      </c>
      <c r="J212">
        <f t="shared" si="30"/>
        <v>3.8133400000000002</v>
      </c>
      <c r="K212" s="1">
        <f t="shared" si="28"/>
        <v>14.058200198068199</v>
      </c>
    </row>
    <row r="213" spans="2:11" x14ac:dyDescent="0.15">
      <c r="C213">
        <f>AVERAGE(C210:C212)</f>
        <v>18.826666666666664</v>
      </c>
      <c r="K213" s="1">
        <f>AVERAGE(K210:K212)</f>
        <v>13.074562662160067</v>
      </c>
    </row>
  </sheetData>
  <mergeCells count="6">
    <mergeCell ref="U34:V34"/>
    <mergeCell ref="N1:O1"/>
    <mergeCell ref="P1:Q1"/>
    <mergeCell ref="T2:AB2"/>
    <mergeCell ref="V7:W7"/>
    <mergeCell ref="S29:AA2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gaoye</dc:creator>
  <cp:lastModifiedBy>Microsoft Office 用户</cp:lastModifiedBy>
  <dcterms:created xsi:type="dcterms:W3CDTF">2016-10-19T05:14:59Z</dcterms:created>
  <dcterms:modified xsi:type="dcterms:W3CDTF">2019-05-17T02:05:28Z</dcterms:modified>
</cp:coreProperties>
</file>