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96" windowWidth="14808" windowHeight="6024" tabRatio="817"/>
  </bookViews>
  <sheets>
    <sheet name="Fig2" sheetId="1" r:id="rId1"/>
    <sheet name="Fig3" sheetId="2" r:id="rId2"/>
    <sheet name="Fig4" sheetId="3" r:id="rId3"/>
    <sheet name="Fig5" sheetId="4" r:id="rId4"/>
    <sheet name="Fig6" sheetId="5" r:id="rId5"/>
    <sheet name="Fig7" sheetId="6" r:id="rId6"/>
    <sheet name="Fig8" sheetId="11" r:id="rId7"/>
    <sheet name="Fig9" sheetId="8" r:id="rId8"/>
    <sheet name="Fig10" sheetId="9" r:id="rId9"/>
    <sheet name="Fig 11" sheetId="12" r:id="rId10"/>
  </sheets>
  <calcPr calcId="152511"/>
</workbook>
</file>

<file path=xl/calcChain.xml><?xml version="1.0" encoding="utf-8"?>
<calcChain xmlns="http://schemas.openxmlformats.org/spreadsheetml/2006/main">
  <c r="S17" i="11" l="1"/>
  <c r="R17" i="11"/>
  <c r="N17" i="11"/>
  <c r="S16" i="11"/>
  <c r="R16" i="11"/>
  <c r="P16" i="11"/>
  <c r="O16" i="11"/>
  <c r="N16" i="11"/>
  <c r="R15" i="11"/>
  <c r="N15" i="11"/>
  <c r="R14" i="11"/>
  <c r="O14" i="11"/>
  <c r="N14" i="11"/>
  <c r="R13" i="11"/>
  <c r="O13" i="11"/>
  <c r="N13" i="11"/>
  <c r="S10" i="11"/>
  <c r="R10" i="11"/>
  <c r="Q10" i="11"/>
  <c r="P10" i="11"/>
  <c r="O10" i="11"/>
  <c r="N10" i="11"/>
  <c r="S9" i="11"/>
  <c r="R9" i="11"/>
  <c r="Q9" i="11"/>
  <c r="P9" i="11"/>
  <c r="O9" i="11"/>
  <c r="N9" i="11"/>
  <c r="S8" i="11"/>
  <c r="R8" i="11"/>
  <c r="Q8" i="11"/>
  <c r="P8" i="11"/>
  <c r="O8" i="11"/>
  <c r="N8" i="11"/>
  <c r="S7" i="11"/>
  <c r="R7" i="11"/>
  <c r="Q7" i="11"/>
  <c r="P7" i="11"/>
  <c r="O7" i="11"/>
  <c r="N7" i="11"/>
  <c r="S6" i="11"/>
  <c r="R6" i="11"/>
  <c r="Q6" i="11"/>
  <c r="P6" i="11"/>
  <c r="O6" i="11"/>
  <c r="N6" i="11"/>
  <c r="S5" i="11"/>
  <c r="R5" i="11"/>
  <c r="Q5" i="11"/>
  <c r="P5" i="11"/>
  <c r="O5" i="11"/>
  <c r="N5" i="11"/>
  <c r="S4" i="11"/>
  <c r="R4" i="11"/>
  <c r="Q4" i="11"/>
  <c r="P4" i="11"/>
  <c r="O4" i="11"/>
  <c r="N4" i="11"/>
  <c r="S17" i="6"/>
  <c r="R17" i="6"/>
  <c r="N17" i="6"/>
  <c r="N16" i="6"/>
  <c r="N14" i="6"/>
  <c r="N13" i="6"/>
  <c r="S10" i="6"/>
  <c r="R10" i="6"/>
  <c r="Q10" i="6"/>
  <c r="P10" i="6"/>
  <c r="O10" i="6"/>
  <c r="N10" i="6"/>
  <c r="S9" i="6"/>
  <c r="R9" i="6"/>
  <c r="Q9" i="6"/>
  <c r="P9" i="6"/>
  <c r="O9" i="6"/>
  <c r="N9" i="6"/>
  <c r="L12" i="6"/>
  <c r="K12" i="6"/>
  <c r="J12" i="6"/>
  <c r="I12" i="6"/>
  <c r="H12" i="6"/>
  <c r="D10" i="6"/>
  <c r="C10" i="6"/>
  <c r="B10" i="6"/>
  <c r="E9" i="6"/>
  <c r="D9" i="6"/>
  <c r="C9" i="6"/>
  <c r="B9" i="6"/>
  <c r="F17" i="6"/>
  <c r="C17" i="6"/>
  <c r="B17" i="6"/>
  <c r="E92" i="3" l="1"/>
  <c r="E91" i="3"/>
  <c r="E90" i="3"/>
  <c r="E89" i="3"/>
  <c r="E88" i="3"/>
  <c r="E87" i="3"/>
  <c r="E86" i="3"/>
  <c r="E85" i="3"/>
  <c r="E74" i="3"/>
  <c r="E73" i="3"/>
  <c r="E72" i="3"/>
  <c r="E71" i="3"/>
  <c r="E70" i="3"/>
  <c r="E69" i="3"/>
  <c r="E68" i="3"/>
  <c r="E67" i="3"/>
  <c r="E56" i="3"/>
  <c r="E55" i="3"/>
  <c r="E54" i="3"/>
  <c r="E53" i="3"/>
  <c r="E52" i="3"/>
  <c r="E51" i="3"/>
  <c r="E50" i="3"/>
  <c r="E49" i="3"/>
  <c r="E38" i="3"/>
  <c r="E37" i="3"/>
  <c r="E36" i="3"/>
  <c r="E35" i="3"/>
  <c r="E34" i="3"/>
  <c r="E33" i="3"/>
  <c r="E32" i="3"/>
  <c r="E31" i="3"/>
  <c r="E20" i="3"/>
  <c r="E19" i="3"/>
  <c r="E18" i="3"/>
  <c r="E17" i="3"/>
  <c r="E16" i="3"/>
  <c r="E15" i="3"/>
  <c r="E14" i="3"/>
  <c r="E13" i="3"/>
  <c r="E10" i="3"/>
  <c r="E9" i="3"/>
  <c r="E8" i="3"/>
  <c r="E7" i="3"/>
  <c r="E6" i="3"/>
  <c r="E5" i="3"/>
  <c r="E4" i="3"/>
  <c r="E3" i="3"/>
</calcChain>
</file>

<file path=xl/comments1.xml><?xml version="1.0" encoding="utf-8"?>
<comments xmlns="http://schemas.openxmlformats.org/spreadsheetml/2006/main">
  <authors>
    <author>作者</author>
  </authors>
  <commentList>
    <comment ref="A7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from 8 July, the number includes seedlings and cloned ramets</t>
        </r>
      </text>
    </comment>
    <comment ref="A15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from 25th August, the number includes seedlings and cloned ramets</t>
        </r>
      </text>
    </comment>
  </commentList>
</comments>
</file>

<file path=xl/comments2.xml><?xml version="1.0" encoding="utf-8"?>
<comments xmlns="http://schemas.openxmlformats.org/spreadsheetml/2006/main">
  <authors>
    <author>作者</author>
  </authors>
  <commentList>
    <comment ref="A7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from 8 July, the number includes seedlings and cloned ramets</t>
        </r>
      </text>
    </comment>
    <comment ref="A15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from 25th August, the number includes seedlings and cloned ramets</t>
        </r>
      </text>
    </comment>
  </commentList>
</comments>
</file>

<file path=xl/comments3.xml><?xml version="1.0" encoding="utf-8"?>
<comments xmlns="http://schemas.openxmlformats.org/spreadsheetml/2006/main">
  <authors>
    <author>作者</author>
  </authors>
  <commentList>
    <comment ref="S21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70,45,60</t>
        </r>
      </text>
    </comment>
    <comment ref="T21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</commentList>
</comments>
</file>

<file path=xl/sharedStrings.xml><?xml version="1.0" encoding="utf-8"?>
<sst xmlns="http://schemas.openxmlformats.org/spreadsheetml/2006/main" count="553" uniqueCount="132">
  <si>
    <t>0cm</t>
  </si>
  <si>
    <t>10cm</t>
  </si>
  <si>
    <t>20cm</t>
  </si>
  <si>
    <t>30cm</t>
  </si>
  <si>
    <t>40cm</t>
  </si>
  <si>
    <t>mean</t>
  </si>
  <si>
    <t>SE</t>
  </si>
  <si>
    <t>density (stem/m2)</t>
    <phoneticPr fontId="2" type="noConversion"/>
  </si>
  <si>
    <t>Date</t>
    <phoneticPr fontId="2" type="noConversion"/>
  </si>
  <si>
    <t>cloned ramets (stems/m2)</t>
    <phoneticPr fontId="2" type="noConversion"/>
  </si>
  <si>
    <t>Mowing and tilling</t>
    <phoneticPr fontId="2" type="noConversion"/>
  </si>
  <si>
    <t>CK</t>
    <phoneticPr fontId="2" type="noConversion"/>
  </si>
  <si>
    <t>Mowing in June</t>
  </si>
  <si>
    <t>replicate</t>
    <phoneticPr fontId="2" type="noConversion"/>
  </si>
  <si>
    <t>Density (stems/m2)</t>
    <phoneticPr fontId="2" type="noConversion"/>
  </si>
  <si>
    <t>the average plant height of about ten plants</t>
  </si>
  <si>
    <t>averaged height (cm)</t>
    <phoneticPr fontId="2" type="noConversion"/>
  </si>
  <si>
    <t>Mowing in August</t>
    <phoneticPr fontId="2" type="noConversion"/>
  </si>
  <si>
    <t>2017 spike</t>
    <phoneticPr fontId="2" type="noConversion"/>
  </si>
  <si>
    <t>lengh (cm)</t>
    <phoneticPr fontId="2" type="noConversion"/>
  </si>
  <si>
    <t>Density (spikes/m2)</t>
    <phoneticPr fontId="2" type="noConversion"/>
  </si>
  <si>
    <t>the rate of spike</t>
    <phoneticPr fontId="2" type="noConversion"/>
  </si>
  <si>
    <r>
      <t>2018</t>
    </r>
    <r>
      <rPr>
        <sz val="11"/>
        <color theme="1"/>
        <rFont val="Times New Roman"/>
        <family val="1"/>
      </rPr>
      <t>,</t>
    </r>
    <phoneticPr fontId="2" type="noConversion"/>
  </si>
  <si>
    <t>mowing in August</t>
    <phoneticPr fontId="2" type="noConversion"/>
  </si>
  <si>
    <t>length (cm)</t>
    <phoneticPr fontId="2" type="noConversion"/>
  </si>
  <si>
    <t>mowing in June</t>
    <phoneticPr fontId="2" type="noConversion"/>
  </si>
  <si>
    <t>W1-2</t>
  </si>
  <si>
    <t>W1-3</t>
  </si>
  <si>
    <t>W1-4</t>
  </si>
  <si>
    <t>W20-20</t>
  </si>
  <si>
    <t>W20-2</t>
  </si>
  <si>
    <t>W20-3</t>
  </si>
  <si>
    <t>W20-4</t>
  </si>
  <si>
    <t>W1-1</t>
  </si>
  <si>
    <t>10cm waterlogging</t>
    <phoneticPr fontId="2" type="noConversion"/>
  </si>
  <si>
    <t xml:space="preserve">W1 </t>
    <phoneticPr fontId="15" type="noConversion"/>
  </si>
  <si>
    <t>W2</t>
  </si>
  <si>
    <t>W3</t>
  </si>
  <si>
    <t>W4</t>
    <phoneticPr fontId="15" type="noConversion"/>
  </si>
  <si>
    <t>W5</t>
  </si>
  <si>
    <t>W6</t>
    <phoneticPr fontId="15" type="noConversion"/>
  </si>
  <si>
    <t>W7</t>
  </si>
  <si>
    <t>W8</t>
  </si>
  <si>
    <t>W1 CK</t>
    <phoneticPr fontId="15" type="noConversion"/>
  </si>
  <si>
    <t>W2 CK</t>
    <phoneticPr fontId="15" type="noConversion"/>
  </si>
  <si>
    <t>W3 CK</t>
    <phoneticPr fontId="15" type="noConversion"/>
  </si>
  <si>
    <t>W4 CK</t>
    <phoneticPr fontId="15" type="noConversion"/>
  </si>
  <si>
    <t>W5 CK</t>
    <phoneticPr fontId="15" type="noConversion"/>
  </si>
  <si>
    <t>W6 CK</t>
    <phoneticPr fontId="15" type="noConversion"/>
  </si>
  <si>
    <t>W7 CK</t>
    <phoneticPr fontId="15" type="noConversion"/>
  </si>
  <si>
    <t>W8 CK</t>
    <phoneticPr fontId="15" type="noConversion"/>
  </si>
  <si>
    <t>W5 CK</t>
    <phoneticPr fontId="15" type="noConversion"/>
  </si>
  <si>
    <t>W6 CK</t>
    <phoneticPr fontId="15" type="noConversion"/>
  </si>
  <si>
    <t>W7 CK</t>
    <phoneticPr fontId="15" type="noConversion"/>
  </si>
  <si>
    <t>W8 CK</t>
    <phoneticPr fontId="15" type="noConversion"/>
  </si>
  <si>
    <t xml:space="preserve">W1 </t>
    <phoneticPr fontId="15" type="noConversion"/>
  </si>
  <si>
    <t>W4</t>
    <phoneticPr fontId="15" type="noConversion"/>
  </si>
  <si>
    <t>W6</t>
    <phoneticPr fontId="15" type="noConversion"/>
  </si>
  <si>
    <t>W1 CK</t>
    <phoneticPr fontId="15" type="noConversion"/>
  </si>
  <si>
    <t>W2 CK</t>
    <phoneticPr fontId="15" type="noConversion"/>
  </si>
  <si>
    <t>W3 CK</t>
    <phoneticPr fontId="15" type="noConversion"/>
  </si>
  <si>
    <t>W4 CK</t>
    <phoneticPr fontId="15" type="noConversion"/>
  </si>
  <si>
    <t>W4</t>
    <phoneticPr fontId="15" type="noConversion"/>
  </si>
  <si>
    <t>density (stems/m2)</t>
    <phoneticPr fontId="2" type="noConversion"/>
  </si>
  <si>
    <t>height (cm)</t>
  </si>
  <si>
    <t>height (cm)</t>
    <phoneticPr fontId="2" type="noConversion"/>
  </si>
  <si>
    <t>date</t>
    <phoneticPr fontId="2" type="noConversion"/>
  </si>
  <si>
    <t>treatment</t>
    <phoneticPr fontId="2" type="noConversion"/>
  </si>
  <si>
    <r>
      <t>stubble heigh 5cm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waterlogging 30cm</t>
    </r>
    <phoneticPr fontId="15" type="noConversion"/>
  </si>
  <si>
    <r>
      <t>stubble heigh 10 cm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waterlogging 30cm</t>
    </r>
    <phoneticPr fontId="15" type="noConversion"/>
  </si>
  <si>
    <r>
      <t>stubble heigh 10 cm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waterlogging 40 cm</t>
    </r>
    <phoneticPr fontId="15" type="noConversion"/>
  </si>
  <si>
    <r>
      <t>stubble heigh 5cm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waterlogging 0 cm</t>
    </r>
    <phoneticPr fontId="15" type="noConversion"/>
  </si>
  <si>
    <r>
      <t>stubble heigh 10 cm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waterlogging 0 cm</t>
    </r>
    <phoneticPr fontId="15" type="noConversion"/>
  </si>
  <si>
    <t>plot 1</t>
    <phoneticPr fontId="2" type="noConversion"/>
  </si>
  <si>
    <t>plot 2</t>
  </si>
  <si>
    <t>plot 3</t>
  </si>
  <si>
    <t>plot 4</t>
  </si>
  <si>
    <t>plot 5</t>
  </si>
  <si>
    <r>
      <t>Height of cloned ramets</t>
    </r>
    <r>
      <rPr>
        <sz val="11"/>
        <color theme="1"/>
        <rFont val="宋体"/>
        <family val="2"/>
      </rPr>
      <t>（</t>
    </r>
    <r>
      <rPr>
        <sz val="11"/>
        <color theme="1"/>
        <rFont val="Times New Roman"/>
        <family val="1"/>
      </rPr>
      <t>cm</t>
    </r>
    <r>
      <rPr>
        <sz val="11"/>
        <color theme="1"/>
        <rFont val="宋体"/>
        <family val="2"/>
      </rPr>
      <t>）</t>
    </r>
    <phoneticPr fontId="2" type="noConversion"/>
  </si>
  <si>
    <r>
      <t>Density of seedlings</t>
    </r>
    <r>
      <rPr>
        <sz val="11"/>
        <color theme="1"/>
        <rFont val="宋体"/>
        <family val="2"/>
      </rPr>
      <t>（</t>
    </r>
    <r>
      <rPr>
        <sz val="11"/>
        <color theme="1"/>
        <rFont val="Times New Roman"/>
        <family val="1"/>
      </rPr>
      <t>stems/m2</t>
    </r>
    <r>
      <rPr>
        <sz val="11"/>
        <color theme="1"/>
        <rFont val="宋体"/>
        <family val="2"/>
      </rPr>
      <t>）</t>
    </r>
    <phoneticPr fontId="2" type="noConversion"/>
  </si>
  <si>
    <r>
      <t>Height of seedlings</t>
    </r>
    <r>
      <rPr>
        <sz val="11"/>
        <color theme="1"/>
        <rFont val="宋体"/>
        <family val="2"/>
      </rPr>
      <t>（</t>
    </r>
    <r>
      <rPr>
        <sz val="11"/>
        <color theme="1"/>
        <rFont val="Times New Roman"/>
        <family val="1"/>
      </rPr>
      <t>cm</t>
    </r>
    <r>
      <rPr>
        <sz val="11"/>
        <color theme="1"/>
        <rFont val="宋体"/>
        <family val="2"/>
      </rPr>
      <t>）</t>
    </r>
    <phoneticPr fontId="2" type="noConversion"/>
  </si>
  <si>
    <t>plot 6</t>
  </si>
  <si>
    <t>spike length in CK</t>
    <phoneticPr fontId="2" type="noConversion"/>
  </si>
  <si>
    <t>Spike rate in mowing+tilling</t>
    <phoneticPr fontId="2" type="noConversion"/>
  </si>
  <si>
    <r>
      <t xml:space="preserve">spike length </t>
    </r>
    <r>
      <rPr>
        <sz val="11"/>
        <color theme="1"/>
        <rFont val="宋体"/>
        <family val="2"/>
      </rPr>
      <t>（</t>
    </r>
    <r>
      <rPr>
        <sz val="11"/>
        <color theme="1"/>
        <rFont val="Times New Roman"/>
        <family val="1"/>
      </rPr>
      <t>cm</t>
    </r>
    <r>
      <rPr>
        <sz val="11"/>
        <color theme="1"/>
        <rFont val="宋体"/>
        <family val="2"/>
      </rPr>
      <t>）</t>
    </r>
    <r>
      <rPr>
        <sz val="11"/>
        <color theme="1"/>
        <rFont val="Times New Roman"/>
        <family val="1"/>
      </rPr>
      <t>in mowing+tilling</t>
    </r>
    <phoneticPr fontId="2" type="noConversion"/>
  </si>
  <si>
    <t>spike rate in CK</t>
    <phoneticPr fontId="2" type="noConversion"/>
  </si>
  <si>
    <t>spike density (spikes/m2) in mowing+tilling</t>
    <phoneticPr fontId="2" type="noConversion"/>
  </si>
  <si>
    <t>spike density (spikes/m2) in CK</t>
    <phoneticPr fontId="2" type="noConversion"/>
  </si>
  <si>
    <t>CK1</t>
  </si>
  <si>
    <t>CK4</t>
  </si>
  <si>
    <t>CK8</t>
    <phoneticPr fontId="10" type="noConversion"/>
  </si>
  <si>
    <t>CK11</t>
  </si>
  <si>
    <t>CK12</t>
  </si>
  <si>
    <t>CK2</t>
  </si>
  <si>
    <t>CK3</t>
  </si>
  <si>
    <t>CK5</t>
  </si>
  <si>
    <t>CK6</t>
  </si>
  <si>
    <t>CK7</t>
  </si>
  <si>
    <t>CK8</t>
  </si>
  <si>
    <t>CK9</t>
  </si>
  <si>
    <t>CK10</t>
  </si>
  <si>
    <t>2018/6/</t>
    <phoneticPr fontId="10" type="noConversion"/>
  </si>
  <si>
    <t>herbicide</t>
    <phoneticPr fontId="2" type="noConversion"/>
  </si>
  <si>
    <t>density(stems/m2)</t>
  </si>
  <si>
    <t>spike number</t>
    <phoneticPr fontId="10" type="noConversion"/>
  </si>
  <si>
    <t>spike density(spikes/m2)</t>
    <phoneticPr fontId="2" type="noConversion"/>
  </si>
  <si>
    <t>spike length (cm)</t>
    <phoneticPr fontId="10" type="noConversion"/>
  </si>
  <si>
    <t>G1-1</t>
    <phoneticPr fontId="2" type="noConversion"/>
  </si>
  <si>
    <t>G1-2</t>
  </si>
  <si>
    <t>G1-3</t>
  </si>
  <si>
    <t>G2-1</t>
    <phoneticPr fontId="2" type="noConversion"/>
  </si>
  <si>
    <t>G2-2</t>
  </si>
  <si>
    <t>G2-3</t>
  </si>
  <si>
    <t>H1-1</t>
    <phoneticPr fontId="2" type="noConversion"/>
  </si>
  <si>
    <t>H1-2</t>
  </si>
  <si>
    <t>H1-3</t>
  </si>
  <si>
    <t>H2-1</t>
    <phoneticPr fontId="2" type="noConversion"/>
  </si>
  <si>
    <t>H2-2</t>
  </si>
  <si>
    <t>H2-3</t>
  </si>
  <si>
    <t>H3-1</t>
    <phoneticPr fontId="2" type="noConversion"/>
  </si>
  <si>
    <t>H3-2</t>
  </si>
  <si>
    <t>H3-3</t>
  </si>
  <si>
    <t>haloxyfop-r-methyl</t>
  </si>
  <si>
    <t>0.45 kg/ha</t>
    <phoneticPr fontId="2" type="noConversion"/>
  </si>
  <si>
    <t>0.3 kg/ha</t>
    <phoneticPr fontId="2" type="noConversion"/>
  </si>
  <si>
    <t xml:space="preserve"> 0.15 kg/ha</t>
    <phoneticPr fontId="10" type="noConversion"/>
  </si>
  <si>
    <t>glyphosate</t>
  </si>
  <si>
    <t>8 kg/ha</t>
    <phoneticPr fontId="2" type="noConversion"/>
  </si>
  <si>
    <t xml:space="preserve">  4 kg/ha</t>
    <phoneticPr fontId="2" type="noConversion"/>
  </si>
  <si>
    <t>none herbicide</t>
    <phoneticPr fontId="2" type="noConversion"/>
  </si>
  <si>
    <t>20 cm waterlogging</t>
    <phoneticPr fontId="2" type="noConversion"/>
  </si>
  <si>
    <t>Date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</si>
</sst>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.0"/>
    <numFmt numFmtId="177" formatCode="0.0_);[Red]\(0.0\)"/>
    <numFmt numFmtId="178" formatCode="0.0_ "/>
    <numFmt numFmtId="179" formatCode="0.00_ "/>
    <numFmt numFmtId="180" formatCode="0_);[Red]\(0\)"/>
  </numFmts>
  <fonts count="22" x14ac:knownFonts="1">
    <font>
      <sz val="11"/>
      <color theme="1"/>
      <name val="宋体"/>
      <family val="2"/>
      <scheme val="minor"/>
    </font>
    <font>
      <sz val="11"/>
      <color theme="1"/>
      <name val="Times New Roman"/>
      <family val="1"/>
    </font>
    <font>
      <sz val="9"/>
      <name val="宋体"/>
      <family val="3"/>
      <charset val="134"/>
      <scheme val="minor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sz val="11"/>
      <color theme="1"/>
      <name val="宋体"/>
      <family val="2"/>
    </font>
    <font>
      <b/>
      <sz val="9"/>
      <color indexed="81"/>
      <name val="宋体"/>
      <family val="3"/>
      <charset val="134"/>
    </font>
    <font>
      <sz val="9"/>
      <color indexed="81"/>
      <name val="宋体"/>
      <family val="3"/>
      <charset val="134"/>
    </font>
    <font>
      <sz val="9"/>
      <name val="宋体"/>
      <family val="3"/>
      <charset val="134"/>
    </font>
    <font>
      <sz val="11"/>
      <name val="Times New Roman"/>
      <family val="1"/>
    </font>
    <font>
      <sz val="11"/>
      <color rgb="FF00B0F0"/>
      <name val="Times New Roman"/>
      <family val="1"/>
    </font>
    <font>
      <sz val="11"/>
      <color theme="1"/>
      <name val="宋体"/>
      <family val="3"/>
      <charset val="134"/>
      <scheme val="minor"/>
    </font>
    <font>
      <sz val="12"/>
      <color rgb="FFFF0000"/>
      <name val="Times New Roman"/>
      <family val="1"/>
    </font>
    <font>
      <sz val="9"/>
      <name val="宋体"/>
      <family val="2"/>
      <charset val="134"/>
      <scheme val="minor"/>
    </font>
    <font>
      <sz val="12"/>
      <name val="Times New Roman"/>
      <family val="1"/>
    </font>
    <font>
      <sz val="12"/>
      <name val="宋体"/>
      <family val="3"/>
      <charset val="134"/>
    </font>
    <font>
      <sz val="11"/>
      <color rgb="FF00B050"/>
      <name val="Times New Roman"/>
      <family val="1"/>
    </font>
    <font>
      <b/>
      <sz val="11"/>
      <color rgb="FF0000FF"/>
      <name val="Times New Roman"/>
      <family val="1"/>
    </font>
    <font>
      <sz val="11"/>
      <color rgb="FF0000FF"/>
      <name val="Times New Roman"/>
      <family val="1"/>
    </font>
    <font>
      <sz val="10.5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</cellStyleXfs>
  <cellXfs count="81">
    <xf numFmtId="0" fontId="0" fillId="0" borderId="0" xfId="0"/>
    <xf numFmtId="0" fontId="3" fillId="0" borderId="0" xfId="0" applyFont="1"/>
    <xf numFmtId="176" fontId="1" fillId="0" borderId="0" xfId="0" applyNumberFormat="1" applyFont="1"/>
    <xf numFmtId="0" fontId="1" fillId="0" borderId="0" xfId="0" applyFont="1" applyAlignment="1">
      <alignment vertical="center"/>
    </xf>
    <xf numFmtId="0" fontId="1" fillId="0" borderId="0" xfId="0" applyFont="1" applyFill="1"/>
    <xf numFmtId="0" fontId="1" fillId="0" borderId="0" xfId="0" applyFont="1"/>
    <xf numFmtId="0" fontId="5" fillId="0" borderId="0" xfId="0" applyFont="1"/>
    <xf numFmtId="14" fontId="1" fillId="0" borderId="0" xfId="0" applyNumberFormat="1" applyFont="1"/>
    <xf numFmtId="1" fontId="1" fillId="0" borderId="0" xfId="0" applyNumberFormat="1" applyFont="1"/>
    <xf numFmtId="14" fontId="1" fillId="2" borderId="0" xfId="0" applyNumberFormat="1" applyFont="1" applyFill="1"/>
    <xf numFmtId="178" fontId="1" fillId="0" borderId="0" xfId="0" applyNumberFormat="1" applyFont="1"/>
    <xf numFmtId="0" fontId="11" fillId="0" borderId="0" xfId="0" applyFont="1"/>
    <xf numFmtId="0" fontId="12" fillId="0" borderId="0" xfId="0" applyFont="1"/>
    <xf numFmtId="0" fontId="1" fillId="2" borderId="0" xfId="0" applyFont="1" applyFill="1"/>
    <xf numFmtId="178" fontId="1" fillId="2" borderId="0" xfId="0" applyNumberFormat="1" applyFont="1" applyFill="1"/>
    <xf numFmtId="0" fontId="12" fillId="0" borderId="0" xfId="0" applyFont="1" applyFill="1"/>
    <xf numFmtId="0" fontId="5" fillId="0" borderId="0" xfId="0" applyFont="1" applyFill="1"/>
    <xf numFmtId="0" fontId="1" fillId="0" borderId="0" xfId="0" applyFont="1" applyAlignment="1">
      <alignment horizontal="center" vertical="center"/>
    </xf>
    <xf numFmtId="0" fontId="14" fillId="0" borderId="0" xfId="1" applyFont="1" applyFill="1" applyBorder="1" applyAlignment="1">
      <alignment vertical="center"/>
    </xf>
    <xf numFmtId="0" fontId="16" fillId="0" borderId="0" xfId="2" applyFont="1" applyFill="1" applyBorder="1" applyAlignment="1">
      <alignment horizontal="center" vertical="center"/>
    </xf>
    <xf numFmtId="0" fontId="16" fillId="0" borderId="0" xfId="2" applyFont="1" applyFill="1" applyBorder="1" applyAlignment="1">
      <alignment vertical="center"/>
    </xf>
    <xf numFmtId="178" fontId="1" fillId="0" borderId="0" xfId="0" applyNumberFormat="1" applyFont="1" applyAlignment="1">
      <alignment horizontal="center" vertical="center"/>
    </xf>
    <xf numFmtId="177" fontId="3" fillId="0" borderId="0" xfId="2" applyNumberFormat="1" applyFont="1" applyAlignment="1">
      <alignment horizontal="center" vertical="center"/>
    </xf>
    <xf numFmtId="177" fontId="1" fillId="0" borderId="0" xfId="2" applyNumberFormat="1" applyFont="1" applyAlignment="1">
      <alignment horizontal="center" vertical="center"/>
    </xf>
    <xf numFmtId="0" fontId="16" fillId="0" borderId="0" xfId="3" applyFont="1" applyFill="1" applyBorder="1" applyAlignment="1">
      <alignment horizontal="center" vertical="center"/>
    </xf>
    <xf numFmtId="0" fontId="16" fillId="0" borderId="0" xfId="4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6" fillId="4" borderId="0" xfId="2" applyFont="1" applyFill="1" applyBorder="1" applyAlignment="1">
      <alignment horizontal="center" vertical="center"/>
    </xf>
    <xf numFmtId="0" fontId="1" fillId="0" borderId="0" xfId="2" applyFont="1" applyAlignment="1">
      <alignment horizontal="center" vertical="center"/>
    </xf>
    <xf numFmtId="177" fontId="1" fillId="0" borderId="0" xfId="0" applyNumberFormat="1" applyFont="1" applyAlignment="1">
      <alignment horizontal="center" vertical="center"/>
    </xf>
    <xf numFmtId="177" fontId="1" fillId="0" borderId="0" xfId="0" applyNumberFormat="1" applyFont="1" applyAlignment="1">
      <alignment horizontal="center" vertical="center" wrapText="1"/>
    </xf>
    <xf numFmtId="0" fontId="16" fillId="3" borderId="0" xfId="3" applyFont="1" applyFill="1" applyBorder="1" applyAlignment="1">
      <alignment horizontal="center" vertical="center"/>
    </xf>
    <xf numFmtId="177" fontId="1" fillId="0" borderId="0" xfId="3" applyNumberFormat="1" applyFont="1" applyAlignment="1">
      <alignment horizontal="center" vertical="center"/>
    </xf>
    <xf numFmtId="0" fontId="1" fillId="0" borderId="0" xfId="3" applyFont="1" applyAlignment="1">
      <alignment horizontal="center" vertical="center"/>
    </xf>
    <xf numFmtId="0" fontId="16" fillId="5" borderId="0" xfId="4" applyFont="1" applyFill="1" applyBorder="1" applyAlignment="1">
      <alignment horizontal="center" vertical="center"/>
    </xf>
    <xf numFmtId="0" fontId="1" fillId="0" borderId="0" xfId="4" applyFont="1" applyAlignment="1">
      <alignment horizontal="center" vertical="center"/>
    </xf>
    <xf numFmtId="177" fontId="1" fillId="0" borderId="0" xfId="4" applyNumberFormat="1" applyFont="1" applyAlignment="1">
      <alignment horizontal="center" vertical="center"/>
    </xf>
    <xf numFmtId="179" fontId="1" fillId="0" borderId="0" xfId="4" applyNumberFormat="1" applyFont="1" applyAlignment="1">
      <alignment horizontal="center" vertical="center"/>
    </xf>
    <xf numFmtId="177" fontId="11" fillId="0" borderId="0" xfId="0" applyNumberFormat="1" applyFont="1" applyAlignment="1">
      <alignment horizontal="center" vertical="center"/>
    </xf>
    <xf numFmtId="0" fontId="1" fillId="0" borderId="0" xfId="1" applyFont="1" applyAlignment="1">
      <alignment horizontal="center" vertical="center"/>
    </xf>
    <xf numFmtId="179" fontId="1" fillId="0" borderId="0" xfId="0" applyNumberFormat="1" applyFont="1" applyAlignment="1">
      <alignment horizontal="center" vertical="center"/>
    </xf>
    <xf numFmtId="177" fontId="18" fillId="0" borderId="0" xfId="0" applyNumberFormat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180" fontId="11" fillId="0" borderId="0" xfId="0" applyNumberFormat="1" applyFont="1" applyAlignment="1">
      <alignment horizontal="center" vertical="center"/>
    </xf>
    <xf numFmtId="179" fontId="11" fillId="0" borderId="0" xfId="2" applyNumberFormat="1" applyFont="1" applyAlignment="1">
      <alignment horizontal="center" vertical="center"/>
    </xf>
    <xf numFmtId="0" fontId="11" fillId="0" borderId="0" xfId="2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180" fontId="11" fillId="0" borderId="0" xfId="0" applyNumberFormat="1" applyFont="1" applyFill="1" applyAlignment="1">
      <alignment horizontal="center" vertical="center"/>
    </xf>
    <xf numFmtId="177" fontId="1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178" fontId="1" fillId="0" borderId="0" xfId="0" applyNumberFormat="1" applyFont="1" applyFill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" fillId="0" borderId="0" xfId="0" applyFont="1" applyAlignment="1"/>
    <xf numFmtId="0" fontId="5" fillId="0" borderId="0" xfId="0" applyFont="1" applyAlignment="1"/>
    <xf numFmtId="0" fontId="11" fillId="0" borderId="0" xfId="0" applyFont="1" applyAlignment="1"/>
    <xf numFmtId="0" fontId="12" fillId="0" borderId="0" xfId="0" applyFont="1" applyAlignment="1"/>
    <xf numFmtId="176" fontId="11" fillId="0" borderId="0" xfId="0" applyNumberFormat="1" applyFont="1"/>
    <xf numFmtId="0" fontId="4" fillId="0" borderId="0" xfId="0" applyFont="1" applyAlignment="1"/>
    <xf numFmtId="0" fontId="4" fillId="0" borderId="0" xfId="0" applyFont="1" applyFill="1" applyAlignment="1"/>
    <xf numFmtId="0" fontId="11" fillId="0" borderId="0" xfId="0" applyFont="1" applyAlignment="1">
      <alignment vertical="center"/>
    </xf>
    <xf numFmtId="0" fontId="19" fillId="0" borderId="0" xfId="0" applyFont="1" applyFill="1" applyAlignment="1"/>
    <xf numFmtId="0" fontId="4" fillId="0" borderId="0" xfId="0" applyFont="1" applyAlignment="1">
      <alignment wrapText="1"/>
    </xf>
    <xf numFmtId="14" fontId="6" fillId="0" borderId="0" xfId="0" applyNumberFormat="1" applyFont="1" applyFill="1" applyAlignment="1">
      <alignment wrapText="1"/>
    </xf>
    <xf numFmtId="0" fontId="20" fillId="0" borderId="0" xfId="0" applyFont="1" applyAlignment="1"/>
    <xf numFmtId="177" fontId="20" fillId="0" borderId="0" xfId="0" applyNumberFormat="1" applyFont="1" applyAlignment="1"/>
    <xf numFmtId="177" fontId="4" fillId="0" borderId="0" xfId="0" applyNumberFormat="1" applyFont="1" applyAlignment="1"/>
    <xf numFmtId="176" fontId="4" fillId="0" borderId="0" xfId="0" applyNumberFormat="1" applyFont="1" applyAlignment="1"/>
    <xf numFmtId="0" fontId="4" fillId="0" borderId="0" xfId="0" applyNumberFormat="1" applyFont="1" applyAlignment="1"/>
    <xf numFmtId="178" fontId="4" fillId="0" borderId="0" xfId="0" applyNumberFormat="1" applyFont="1" applyAlignment="1"/>
    <xf numFmtId="176" fontId="11" fillId="0" borderId="0" xfId="0" applyNumberFormat="1" applyFont="1" applyAlignment="1">
      <alignment vertical="center"/>
    </xf>
    <xf numFmtId="2" fontId="4" fillId="0" borderId="0" xfId="0" applyNumberFormat="1" applyFont="1" applyAlignment="1"/>
    <xf numFmtId="177" fontId="4" fillId="0" borderId="0" xfId="0" applyNumberFormat="1" applyFont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21" fillId="0" borderId="0" xfId="0" applyFont="1"/>
    <xf numFmtId="177" fontId="11" fillId="0" borderId="0" xfId="0" applyNumberFormat="1" applyFont="1" applyAlignment="1"/>
    <xf numFmtId="0" fontId="14" fillId="0" borderId="0" xfId="1" applyFont="1" applyFill="1" applyBorder="1" applyAlignment="1">
      <alignment horizontal="center" vertical="center"/>
    </xf>
    <xf numFmtId="14" fontId="14" fillId="0" borderId="0" xfId="1" applyNumberFormat="1" applyFont="1" applyFill="1" applyBorder="1" applyAlignment="1">
      <alignment vertical="center"/>
    </xf>
    <xf numFmtId="14" fontId="14" fillId="0" borderId="0" xfId="1" applyNumberFormat="1" applyFont="1" applyFill="1" applyBorder="1" applyAlignment="1">
      <alignment horizontal="center" vertical="center"/>
    </xf>
  </cellXfs>
  <cellStyles count="5">
    <cellStyle name="常规" xfId="0" builtinId="0"/>
    <cellStyle name="常规 2" xfId="1"/>
    <cellStyle name="常规 3" xfId="2"/>
    <cellStyle name="常规 4" xfId="3"/>
    <cellStyle name="常规 5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3"/>
  <sheetViews>
    <sheetView tabSelected="1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K7" sqref="K7"/>
    </sheetView>
  </sheetViews>
  <sheetFormatPr defaultColWidth="8.77734375" defaultRowHeight="13.8" x14ac:dyDescent="0.25"/>
  <cols>
    <col min="1" max="1" width="10" style="7" bestFit="1" customWidth="1"/>
    <col min="2" max="2" width="8.44140625" style="5" bestFit="1" customWidth="1"/>
    <col min="3" max="3" width="17.33203125" style="5" bestFit="1" customWidth="1"/>
    <col min="4" max="4" width="7.88671875" style="5" bestFit="1" customWidth="1"/>
    <col min="5" max="5" width="7.44140625" style="5" customWidth="1"/>
    <col min="6" max="7" width="6.44140625" style="5" bestFit="1" customWidth="1"/>
    <col min="8" max="9" width="2.44140625" style="5" bestFit="1" customWidth="1"/>
    <col min="10" max="10" width="3.6640625" style="5" bestFit="1" customWidth="1"/>
    <col min="11" max="11" width="16.44140625" style="5" bestFit="1" customWidth="1"/>
    <col min="12" max="12" width="11.44140625" style="5" bestFit="1" customWidth="1"/>
    <col min="13" max="13" width="7.88671875" style="5" bestFit="1" customWidth="1"/>
    <col min="14" max="14" width="6.44140625" style="5" bestFit="1" customWidth="1"/>
    <col min="15" max="15" width="7.88671875" style="5" bestFit="1" customWidth="1"/>
    <col min="16" max="16" width="20.44140625" style="5" customWidth="1"/>
    <col min="17" max="18" width="9.33203125" style="5" bestFit="1" customWidth="1"/>
    <col min="19" max="20" width="7.88671875" style="5" bestFit="1" customWidth="1"/>
    <col min="21" max="21" width="4.44140625" style="5" bestFit="1" customWidth="1"/>
    <col min="22" max="22" width="2.44140625" style="5" bestFit="1" customWidth="1"/>
    <col min="23" max="26" width="12.5546875" style="5" bestFit="1" customWidth="1"/>
    <col min="27" max="27" width="5.44140625" style="5" bestFit="1" customWidth="1"/>
    <col min="28" max="32" width="2.44140625" style="5" bestFit="1" customWidth="1"/>
    <col min="33" max="33" width="8.77734375" style="5"/>
    <col min="34" max="34" width="5.44140625" style="5" bestFit="1" customWidth="1"/>
    <col min="35" max="39" width="2.44140625" style="5" bestFit="1" customWidth="1"/>
    <col min="40" max="16384" width="8.77734375" style="5"/>
  </cols>
  <sheetData>
    <row r="1" spans="1:19" x14ac:dyDescent="0.25">
      <c r="D1" s="6" t="s">
        <v>12</v>
      </c>
      <c r="K1" s="12" t="s">
        <v>17</v>
      </c>
      <c r="N1" s="6"/>
      <c r="P1" s="12"/>
    </row>
    <row r="2" spans="1:19" ht="17.25" customHeight="1" x14ac:dyDescent="0.25"/>
    <row r="3" spans="1:19" x14ac:dyDescent="0.25">
      <c r="C3" s="5" t="s">
        <v>14</v>
      </c>
      <c r="K3" s="5" t="s">
        <v>14</v>
      </c>
    </row>
    <row r="4" spans="1:19" x14ac:dyDescent="0.25">
      <c r="A4" s="7" t="s">
        <v>131</v>
      </c>
      <c r="B4" s="5" t="s">
        <v>13</v>
      </c>
      <c r="C4" s="5" t="s">
        <v>0</v>
      </c>
      <c r="D4" s="5" t="s">
        <v>1</v>
      </c>
      <c r="E4" s="5" t="s">
        <v>2</v>
      </c>
      <c r="F4" s="5" t="s">
        <v>3</v>
      </c>
      <c r="G4" s="5" t="s">
        <v>4</v>
      </c>
      <c r="K4" s="5" t="s">
        <v>1</v>
      </c>
      <c r="L4" s="5" t="s">
        <v>2</v>
      </c>
      <c r="M4" s="5" t="s">
        <v>3</v>
      </c>
      <c r="N4" s="5" t="s">
        <v>4</v>
      </c>
    </row>
    <row r="5" spans="1:19" x14ac:dyDescent="0.25">
      <c r="A5" s="7">
        <v>42849</v>
      </c>
      <c r="B5" s="5">
        <v>1</v>
      </c>
      <c r="C5" s="5">
        <v>240</v>
      </c>
    </row>
    <row r="6" spans="1:19" x14ac:dyDescent="0.25">
      <c r="B6" s="8">
        <v>2</v>
      </c>
      <c r="C6" s="5">
        <v>157</v>
      </c>
    </row>
    <row r="7" spans="1:19" x14ac:dyDescent="0.25">
      <c r="B7" s="5">
        <v>3</v>
      </c>
      <c r="C7" s="5">
        <v>289</v>
      </c>
    </row>
    <row r="8" spans="1:19" x14ac:dyDescent="0.25">
      <c r="B8" s="5">
        <v>4</v>
      </c>
      <c r="C8" s="5">
        <v>311</v>
      </c>
    </row>
    <row r="9" spans="1:19" x14ac:dyDescent="0.25">
      <c r="B9" s="5">
        <v>5</v>
      </c>
      <c r="C9" s="5">
        <v>254</v>
      </c>
    </row>
    <row r="10" spans="1:19" x14ac:dyDescent="0.25">
      <c r="B10" s="5">
        <v>6</v>
      </c>
      <c r="C10" s="5">
        <v>233</v>
      </c>
    </row>
    <row r="11" spans="1:19" x14ac:dyDescent="0.25">
      <c r="A11" s="7">
        <v>42865</v>
      </c>
      <c r="B11" s="5">
        <v>1</v>
      </c>
      <c r="C11" s="10"/>
      <c r="D11" s="10"/>
      <c r="E11" s="10"/>
      <c r="F11" s="10">
        <v>424.18658907586973</v>
      </c>
      <c r="G11" s="10">
        <v>530.23323634483711</v>
      </c>
      <c r="H11" s="10"/>
      <c r="I11" s="10"/>
      <c r="J11" s="10"/>
      <c r="K11" s="10"/>
      <c r="L11" s="10"/>
      <c r="M11" s="10">
        <v>556.74489816207904</v>
      </c>
      <c r="N11" s="10">
        <v>291.62827998966043</v>
      </c>
      <c r="O11" s="10"/>
      <c r="P11" s="10"/>
      <c r="Q11" s="10"/>
      <c r="R11" s="10"/>
      <c r="S11" s="10"/>
    </row>
    <row r="12" spans="1:19" x14ac:dyDescent="0.25">
      <c r="B12" s="8">
        <v>2</v>
      </c>
      <c r="C12" s="10">
        <v>331.39577271552321</v>
      </c>
      <c r="D12" s="10">
        <v>623.02405270518364</v>
      </c>
      <c r="E12" s="10">
        <v>331.39577271552321</v>
      </c>
      <c r="F12" s="10">
        <v>172.32580181207209</v>
      </c>
      <c r="G12" s="10">
        <v>331.39577271552321</v>
      </c>
      <c r="H12" s="10"/>
      <c r="I12" s="10"/>
      <c r="J12" s="10"/>
      <c r="K12" s="10">
        <v>543.48906725345807</v>
      </c>
      <c r="L12" s="10">
        <v>477.20991271035342</v>
      </c>
      <c r="M12" s="10">
        <v>238.60495635517671</v>
      </c>
      <c r="N12" s="10">
        <v>198.83746362931393</v>
      </c>
      <c r="O12" s="10"/>
      <c r="P12" s="10"/>
      <c r="Q12" s="10"/>
      <c r="R12" s="10"/>
      <c r="S12" s="10"/>
    </row>
    <row r="13" spans="1:19" x14ac:dyDescent="0.25">
      <c r="B13" s="5">
        <v>3</v>
      </c>
      <c r="C13" s="10">
        <v>437.44241998449064</v>
      </c>
      <c r="D13" s="10">
        <v>251.86078726379765</v>
      </c>
      <c r="E13" s="10">
        <v>384.41909635000695</v>
      </c>
      <c r="F13" s="10">
        <v>543.48906725345807</v>
      </c>
      <c r="G13" s="10">
        <v>357.90743453276508</v>
      </c>
      <c r="H13" s="10"/>
      <c r="I13" s="10"/>
      <c r="J13" s="10"/>
      <c r="K13" s="10">
        <v>331.39577271552321</v>
      </c>
      <c r="L13" s="10">
        <v>424.18658907586973</v>
      </c>
      <c r="M13" s="10">
        <v>212.09329453793487</v>
      </c>
      <c r="N13" s="10">
        <v>198.83746362931393</v>
      </c>
      <c r="O13" s="10"/>
      <c r="P13" s="10"/>
      <c r="Q13" s="10"/>
      <c r="R13" s="10"/>
      <c r="S13" s="10"/>
    </row>
    <row r="14" spans="1:19" x14ac:dyDescent="0.25">
      <c r="B14" s="5">
        <v>4</v>
      </c>
      <c r="C14" s="10">
        <v>198.83746362931393</v>
      </c>
      <c r="D14" s="10">
        <v>384.41909635000695</v>
      </c>
      <c r="E14" s="10">
        <v>159.06997090345115</v>
      </c>
      <c r="F14" s="10">
        <v>596.51239088794182</v>
      </c>
      <c r="G14" s="10">
        <v>490.46574361897439</v>
      </c>
      <c r="H14" s="10"/>
      <c r="I14" s="10"/>
      <c r="J14" s="10"/>
      <c r="K14" s="10">
        <v>278.37244908103952</v>
      </c>
      <c r="L14" s="10">
        <v>397.67492725862786</v>
      </c>
      <c r="M14" s="10">
        <v>477.20991271035342</v>
      </c>
      <c r="N14" s="10">
        <v>357.90743453276508</v>
      </c>
      <c r="O14" s="10"/>
      <c r="P14" s="10"/>
      <c r="Q14" s="10"/>
      <c r="R14" s="10"/>
      <c r="S14" s="10"/>
    </row>
    <row r="15" spans="1:19" x14ac:dyDescent="0.25">
      <c r="B15" s="5">
        <v>5</v>
      </c>
      <c r="C15" s="10">
        <v>490.46574361897439</v>
      </c>
      <c r="D15" s="10">
        <v>516.97740543621626</v>
      </c>
      <c r="E15" s="10">
        <v>357.90743453276508</v>
      </c>
      <c r="F15" s="10">
        <v>318.1399418069023</v>
      </c>
      <c r="G15" s="10">
        <v>238.60495635517671</v>
      </c>
      <c r="H15" s="10"/>
      <c r="I15" s="10"/>
      <c r="J15" s="10"/>
      <c r="K15" s="10">
        <v>556.74489816207904</v>
      </c>
      <c r="L15" s="10">
        <v>490.46574361897439</v>
      </c>
      <c r="M15" s="10">
        <v>225.34912544655577</v>
      </c>
      <c r="N15" s="10">
        <v>331.39577271552321</v>
      </c>
      <c r="O15" s="10"/>
      <c r="P15" s="10"/>
      <c r="Q15" s="10"/>
      <c r="R15" s="10"/>
      <c r="S15" s="10"/>
    </row>
    <row r="16" spans="1:19" x14ac:dyDescent="0.25">
      <c r="B16" s="5">
        <v>6</v>
      </c>
      <c r="C16" s="10">
        <v>424.18658907586973</v>
      </c>
      <c r="D16" s="10">
        <v>318.1399418069023</v>
      </c>
      <c r="E16" s="10">
        <v>556.74489816207904</v>
      </c>
      <c r="F16" s="10">
        <v>384.41909635000695</v>
      </c>
      <c r="G16" s="10">
        <v>278.37244908103952</v>
      </c>
      <c r="H16" s="10"/>
      <c r="I16" s="10"/>
      <c r="J16" s="10"/>
      <c r="K16" s="10">
        <v>318.1399418069023</v>
      </c>
      <c r="L16" s="10">
        <v>556.74489816207904</v>
      </c>
      <c r="M16" s="10">
        <v>318.1399418069023</v>
      </c>
      <c r="N16" s="10">
        <v>463.95408180173251</v>
      </c>
      <c r="O16" s="10"/>
      <c r="P16" s="10"/>
      <c r="Q16" s="10"/>
      <c r="R16" s="10"/>
      <c r="S16" s="10"/>
    </row>
    <row r="17" spans="1:19" x14ac:dyDescent="0.25">
      <c r="A17" s="7">
        <v>42865</v>
      </c>
      <c r="B17" s="5" t="s">
        <v>5</v>
      </c>
      <c r="C17" s="10">
        <v>376.46559780483398</v>
      </c>
      <c r="D17" s="10">
        <v>418.8842567124214</v>
      </c>
      <c r="E17" s="10">
        <v>357.90743453276508</v>
      </c>
      <c r="F17" s="10">
        <v>406.51214786437509</v>
      </c>
      <c r="G17" s="10">
        <v>371.16326544138593</v>
      </c>
      <c r="H17" s="10"/>
      <c r="I17" s="10"/>
      <c r="J17" s="10"/>
      <c r="K17" s="10">
        <v>405.62842580380038</v>
      </c>
      <c r="L17" s="10">
        <v>469.25641416518084</v>
      </c>
      <c r="M17" s="10">
        <v>338.02368816983363</v>
      </c>
      <c r="N17" s="10">
        <v>307.09341604971814</v>
      </c>
      <c r="O17" s="10"/>
      <c r="P17" s="10"/>
      <c r="Q17" s="10"/>
      <c r="R17" s="10"/>
      <c r="S17" s="10"/>
    </row>
    <row r="18" spans="1:19" x14ac:dyDescent="0.25">
      <c r="B18" s="5" t="s">
        <v>6</v>
      </c>
      <c r="C18" s="10">
        <v>51.27111383660511</v>
      </c>
      <c r="D18" s="10">
        <v>67.279055338849602</v>
      </c>
      <c r="E18" s="10">
        <v>63.434379601955989</v>
      </c>
      <c r="F18" s="10">
        <v>62.800251876481781</v>
      </c>
      <c r="G18" s="10">
        <v>47.425502415870859</v>
      </c>
      <c r="H18" s="10"/>
      <c r="I18" s="10"/>
      <c r="J18" s="10"/>
      <c r="K18" s="10">
        <v>59.665965971894558</v>
      </c>
      <c r="L18" s="10">
        <v>27.678987543258714</v>
      </c>
      <c r="M18" s="10">
        <v>59.454532076353097</v>
      </c>
      <c r="N18" s="10">
        <v>41.414896827239367</v>
      </c>
      <c r="O18" s="10"/>
      <c r="P18" s="10"/>
      <c r="Q18" s="10"/>
      <c r="R18" s="10"/>
      <c r="S18" s="10"/>
    </row>
    <row r="19" spans="1:19" x14ac:dyDescent="0.25">
      <c r="A19" s="7">
        <v>42897</v>
      </c>
      <c r="B19" s="5">
        <v>1</v>
      </c>
      <c r="C19" s="10">
        <v>238.60495635517671</v>
      </c>
      <c r="D19" s="10">
        <v>357.90743453276508</v>
      </c>
      <c r="E19" s="10">
        <v>331.39577271552321</v>
      </c>
      <c r="F19" s="10">
        <v>357.90743453276508</v>
      </c>
      <c r="G19" s="10">
        <v>357.90743453276508</v>
      </c>
      <c r="H19" s="10"/>
      <c r="I19" s="10"/>
      <c r="J19" s="10"/>
      <c r="K19" s="10">
        <v>304.88411089828134</v>
      </c>
      <c r="L19" s="10">
        <v>225.34912544655577</v>
      </c>
      <c r="M19" s="10">
        <v>291.62827998966043</v>
      </c>
      <c r="N19" s="10">
        <v>278.37244908103952</v>
      </c>
      <c r="O19" s="10"/>
      <c r="P19" s="10"/>
      <c r="Q19" s="10"/>
      <c r="R19" s="10"/>
      <c r="S19" s="10"/>
    </row>
    <row r="20" spans="1:19" x14ac:dyDescent="0.25">
      <c r="B20" s="5">
        <v>2</v>
      </c>
      <c r="C20" s="10">
        <v>119.30247817758836</v>
      </c>
      <c r="D20" s="10">
        <v>490.46574361897439</v>
      </c>
      <c r="E20" s="10">
        <v>212.09329453793487</v>
      </c>
      <c r="F20" s="10">
        <v>119.30247817758836</v>
      </c>
      <c r="G20" s="10">
        <v>185.58163272069299</v>
      </c>
      <c r="H20" s="10"/>
      <c r="I20" s="10"/>
      <c r="J20" s="10"/>
      <c r="K20" s="10">
        <v>556.74489816207904</v>
      </c>
      <c r="L20" s="10">
        <v>238.60495635517671</v>
      </c>
      <c r="M20" s="10">
        <v>119.30247817758836</v>
      </c>
      <c r="N20" s="10">
        <v>106.04664726896743</v>
      </c>
      <c r="O20" s="10"/>
      <c r="P20" s="10"/>
      <c r="Q20" s="10"/>
      <c r="R20" s="10"/>
      <c r="S20" s="10"/>
    </row>
    <row r="21" spans="1:19" x14ac:dyDescent="0.25">
      <c r="B21" s="5">
        <v>3</v>
      </c>
      <c r="C21" s="10">
        <v>291.62827998966043</v>
      </c>
      <c r="D21" s="10">
        <v>185.58163272069299</v>
      </c>
      <c r="E21" s="10">
        <v>278.37244908103952</v>
      </c>
      <c r="F21" s="10">
        <v>106.04664726896743</v>
      </c>
      <c r="G21" s="10">
        <v>172.32580181207209</v>
      </c>
      <c r="H21" s="10"/>
      <c r="I21" s="10"/>
      <c r="J21" s="10"/>
      <c r="K21" s="10">
        <v>357.90743453276508</v>
      </c>
      <c r="L21" s="10">
        <v>296.04689029253404</v>
      </c>
      <c r="M21" s="10">
        <v>225.34912544655577</v>
      </c>
      <c r="N21" s="10">
        <v>384.41909635000695</v>
      </c>
      <c r="O21" s="10"/>
      <c r="P21" s="10"/>
      <c r="Q21" s="10"/>
      <c r="R21" s="10"/>
      <c r="S21" s="10"/>
    </row>
    <row r="22" spans="1:19" x14ac:dyDescent="0.25">
      <c r="B22" s="5">
        <v>4</v>
      </c>
      <c r="C22" s="10">
        <v>185.58163272069299</v>
      </c>
      <c r="D22" s="10">
        <v>185.58163272069299</v>
      </c>
      <c r="E22" s="10">
        <v>106.04664726896743</v>
      </c>
      <c r="F22" s="10">
        <v>291.62827998966043</v>
      </c>
      <c r="G22" s="10">
        <v>291.62827998966043</v>
      </c>
      <c r="H22" s="10"/>
      <c r="I22" s="10"/>
      <c r="J22" s="10"/>
      <c r="K22" s="10">
        <v>198.83746362931393</v>
      </c>
      <c r="L22" s="10">
        <v>225.34912544655577</v>
      </c>
      <c r="M22" s="10">
        <v>159.06997090345115</v>
      </c>
      <c r="N22" s="10">
        <v>172.32580181207209</v>
      </c>
      <c r="O22" s="10"/>
      <c r="P22" s="10"/>
      <c r="Q22" s="10"/>
      <c r="R22" s="10"/>
      <c r="S22" s="10"/>
    </row>
    <row r="23" spans="1:19" x14ac:dyDescent="0.25">
      <c r="B23" s="5">
        <v>5</v>
      </c>
      <c r="C23" s="10">
        <v>318.1399418069023</v>
      </c>
      <c r="D23" s="10">
        <v>410.93075816724877</v>
      </c>
      <c r="E23" s="10">
        <v>278.37244908103952</v>
      </c>
      <c r="F23" s="10">
        <v>132.55830908620928</v>
      </c>
      <c r="G23" s="10">
        <v>132.55830908620928</v>
      </c>
      <c r="H23" s="10"/>
      <c r="I23" s="10"/>
      <c r="J23" s="10"/>
      <c r="K23" s="10">
        <v>371.16326544138599</v>
      </c>
      <c r="L23" s="10">
        <v>225.34912544655577</v>
      </c>
      <c r="M23" s="10">
        <v>159.06997090345115</v>
      </c>
      <c r="N23" s="10">
        <v>132.55830908620928</v>
      </c>
      <c r="O23" s="10"/>
      <c r="P23" s="10"/>
      <c r="Q23" s="10"/>
      <c r="R23" s="10"/>
      <c r="S23" s="10"/>
    </row>
    <row r="24" spans="1:19" x14ac:dyDescent="0.25">
      <c r="B24" s="5">
        <v>6</v>
      </c>
      <c r="C24" s="10">
        <v>291.62827998966043</v>
      </c>
      <c r="D24" s="10">
        <v>397.67492725862786</v>
      </c>
      <c r="E24" s="10">
        <v>437.44241998449064</v>
      </c>
      <c r="F24" s="10">
        <v>185.58163272069299</v>
      </c>
      <c r="G24" s="10">
        <v>212.09329453793487</v>
      </c>
      <c r="H24" s="10"/>
      <c r="I24" s="10"/>
      <c r="J24" s="10"/>
      <c r="K24" s="10">
        <v>331.39577271552321</v>
      </c>
      <c r="L24" s="10">
        <v>251.86078726379765</v>
      </c>
      <c r="M24" s="10">
        <v>251.86078726379765</v>
      </c>
      <c r="N24" s="10">
        <v>238.60495635517671</v>
      </c>
      <c r="O24" s="10"/>
      <c r="P24" s="10"/>
      <c r="Q24" s="10"/>
      <c r="R24" s="10"/>
      <c r="S24" s="10"/>
    </row>
    <row r="25" spans="1:19" x14ac:dyDescent="0.25">
      <c r="A25" s="7">
        <v>42897</v>
      </c>
      <c r="B25" s="5" t="s">
        <v>5</v>
      </c>
      <c r="C25" s="10">
        <v>240.81426150661355</v>
      </c>
      <c r="D25" s="10">
        <v>338.02368816983369</v>
      </c>
      <c r="E25" s="10">
        <v>273.9538387781659</v>
      </c>
      <c r="F25" s="10">
        <v>198.83746362931393</v>
      </c>
      <c r="G25" s="10">
        <v>225.3491254465558</v>
      </c>
      <c r="H25" s="10"/>
      <c r="I25" s="10"/>
      <c r="J25" s="10"/>
      <c r="K25" s="10">
        <v>353.48882422989146</v>
      </c>
      <c r="L25" s="10">
        <v>243.7600017085293</v>
      </c>
      <c r="M25" s="10">
        <v>201.04676878075074</v>
      </c>
      <c r="N25" s="10">
        <v>218.72120999224532</v>
      </c>
      <c r="O25" s="10"/>
      <c r="P25" s="10"/>
      <c r="Q25" s="10"/>
      <c r="R25" s="10"/>
      <c r="S25" s="10"/>
    </row>
    <row r="26" spans="1:19" x14ac:dyDescent="0.25">
      <c r="B26" s="5" t="s">
        <v>6</v>
      </c>
      <c r="C26" s="10">
        <v>31.071974286779611</v>
      </c>
      <c r="D26" s="10">
        <v>51.311082415185425</v>
      </c>
      <c r="E26" s="10">
        <v>45.49237741554154</v>
      </c>
      <c r="F26" s="10">
        <v>42.197150036345988</v>
      </c>
      <c r="G26" s="10">
        <v>34.226408232820241</v>
      </c>
      <c r="H26" s="10"/>
      <c r="I26" s="10"/>
      <c r="J26" s="10"/>
      <c r="K26" s="10">
        <v>47.753710500982145</v>
      </c>
      <c r="L26" s="10">
        <v>11.318122681794735</v>
      </c>
      <c r="M26" s="10">
        <v>26.822820727305363</v>
      </c>
      <c r="N26" s="10">
        <v>42.30112674437634</v>
      </c>
      <c r="O26" s="10"/>
      <c r="P26" s="10"/>
      <c r="Q26" s="10"/>
      <c r="R26" s="10"/>
      <c r="S26" s="10"/>
    </row>
    <row r="27" spans="1:19" x14ac:dyDescent="0.25">
      <c r="A27" s="7">
        <v>42924</v>
      </c>
      <c r="B27" s="5">
        <v>1</v>
      </c>
      <c r="C27" s="10"/>
      <c r="D27" s="10">
        <v>0</v>
      </c>
      <c r="E27" s="10">
        <v>0</v>
      </c>
      <c r="F27" s="10">
        <v>13.255830908620929</v>
      </c>
      <c r="G27" s="10">
        <v>0</v>
      </c>
      <c r="H27" s="10"/>
      <c r="I27" s="10"/>
      <c r="J27" s="10"/>
      <c r="K27" s="10">
        <v>0</v>
      </c>
      <c r="L27" s="10">
        <v>0</v>
      </c>
      <c r="M27" s="10">
        <v>0</v>
      </c>
      <c r="N27" s="10">
        <v>0</v>
      </c>
      <c r="O27" s="10"/>
      <c r="P27" s="10"/>
      <c r="Q27" s="10"/>
      <c r="R27" s="10"/>
      <c r="S27" s="10"/>
    </row>
    <row r="28" spans="1:19" x14ac:dyDescent="0.25">
      <c r="B28" s="5">
        <v>2</v>
      </c>
      <c r="C28" s="10"/>
      <c r="D28" s="10">
        <v>0</v>
      </c>
      <c r="E28" s="10">
        <v>0</v>
      </c>
      <c r="F28" s="10">
        <v>0</v>
      </c>
      <c r="G28" s="10">
        <v>0</v>
      </c>
      <c r="H28" s="10"/>
      <c r="I28" s="10"/>
      <c r="J28" s="10"/>
      <c r="K28" s="10">
        <v>0</v>
      </c>
      <c r="L28" s="10">
        <v>0</v>
      </c>
      <c r="M28" s="10">
        <v>0</v>
      </c>
      <c r="N28" s="10">
        <v>0</v>
      </c>
      <c r="O28" s="10"/>
      <c r="P28" s="10"/>
      <c r="Q28" s="10"/>
      <c r="R28" s="10"/>
      <c r="S28" s="10"/>
    </row>
    <row r="29" spans="1:19" x14ac:dyDescent="0.25">
      <c r="B29" s="5">
        <v>3</v>
      </c>
      <c r="C29" s="10"/>
      <c r="D29" s="10">
        <v>0</v>
      </c>
      <c r="E29" s="10">
        <v>0</v>
      </c>
      <c r="F29" s="10">
        <v>0</v>
      </c>
      <c r="G29" s="10">
        <v>0</v>
      </c>
      <c r="H29" s="10"/>
      <c r="I29" s="10"/>
      <c r="J29" s="10"/>
      <c r="K29" s="10">
        <v>0</v>
      </c>
      <c r="L29" s="10">
        <v>0</v>
      </c>
      <c r="M29" s="10">
        <v>0</v>
      </c>
      <c r="N29" s="10">
        <v>0</v>
      </c>
      <c r="O29" s="10"/>
      <c r="P29" s="10"/>
      <c r="Q29" s="10"/>
      <c r="R29" s="10"/>
      <c r="S29" s="10"/>
    </row>
    <row r="30" spans="1:19" x14ac:dyDescent="0.25">
      <c r="B30" s="5">
        <v>4</v>
      </c>
      <c r="C30" s="10"/>
      <c r="D30" s="10">
        <v>0</v>
      </c>
      <c r="E30" s="10">
        <v>0</v>
      </c>
      <c r="F30" s="10">
        <v>0</v>
      </c>
      <c r="G30" s="10">
        <v>0</v>
      </c>
      <c r="H30" s="10"/>
      <c r="I30" s="10"/>
      <c r="J30" s="10"/>
      <c r="K30" s="10">
        <v>0</v>
      </c>
      <c r="L30" s="10">
        <v>0</v>
      </c>
      <c r="M30" s="10">
        <v>0</v>
      </c>
      <c r="N30" s="10">
        <v>0</v>
      </c>
      <c r="O30" s="10"/>
      <c r="P30" s="10"/>
      <c r="Q30" s="10"/>
      <c r="R30" s="10"/>
      <c r="S30" s="10"/>
    </row>
    <row r="31" spans="1:19" x14ac:dyDescent="0.25">
      <c r="B31" s="5">
        <v>5</v>
      </c>
      <c r="C31" s="10">
        <v>450.69825089311155</v>
      </c>
      <c r="D31" s="10">
        <v>26.511661817241858</v>
      </c>
      <c r="E31" s="10">
        <v>0</v>
      </c>
      <c r="F31" s="10">
        <v>0</v>
      </c>
      <c r="G31" s="10">
        <v>0</v>
      </c>
      <c r="H31" s="10"/>
      <c r="I31" s="10"/>
      <c r="J31" s="10"/>
      <c r="K31" s="10">
        <v>543.48906725345807</v>
      </c>
      <c r="L31" s="10">
        <v>39.767492725862787</v>
      </c>
      <c r="M31" s="10">
        <v>132.55830908620928</v>
      </c>
      <c r="N31" s="10">
        <v>106.04664726896743</v>
      </c>
      <c r="O31" s="10"/>
      <c r="P31" s="10"/>
      <c r="Q31" s="10"/>
      <c r="R31" s="10"/>
      <c r="S31" s="10"/>
    </row>
    <row r="32" spans="1:19" x14ac:dyDescent="0.25">
      <c r="B32" s="5">
        <v>6</v>
      </c>
      <c r="C32" s="10">
        <v>304.88411089828134</v>
      </c>
      <c r="D32" s="10">
        <v>26.511661817241858</v>
      </c>
      <c r="E32" s="10">
        <v>26.511661817241858</v>
      </c>
      <c r="F32" s="10">
        <v>0</v>
      </c>
      <c r="G32" s="10">
        <v>0</v>
      </c>
      <c r="H32" s="10"/>
      <c r="I32" s="10"/>
      <c r="J32" s="10"/>
      <c r="K32" s="10">
        <v>304.88411089828134</v>
      </c>
      <c r="L32" s="10">
        <v>265.11661817241855</v>
      </c>
      <c r="M32" s="10">
        <v>198.83746362931393</v>
      </c>
      <c r="N32" s="10">
        <v>0</v>
      </c>
      <c r="O32" s="10"/>
      <c r="P32" s="10"/>
      <c r="Q32" s="10"/>
      <c r="R32" s="10"/>
      <c r="S32" s="10"/>
    </row>
    <row r="33" spans="1:19" x14ac:dyDescent="0.25">
      <c r="A33" s="7">
        <v>42924</v>
      </c>
      <c r="B33" s="5" t="s">
        <v>5</v>
      </c>
      <c r="C33" s="10">
        <v>377.79118089569647</v>
      </c>
      <c r="D33" s="10">
        <v>8.8372206057472855</v>
      </c>
      <c r="E33" s="10">
        <v>4.4186103028736428</v>
      </c>
      <c r="F33" s="10">
        <v>2.2093051514368214</v>
      </c>
      <c r="G33" s="10">
        <v>0</v>
      </c>
      <c r="H33" s="10"/>
      <c r="I33" s="10"/>
      <c r="J33" s="10"/>
      <c r="K33" s="10">
        <v>141.39552969195657</v>
      </c>
      <c r="L33" s="10">
        <v>50.814018483046887</v>
      </c>
      <c r="M33" s="10">
        <v>55.232628785920532</v>
      </c>
      <c r="N33" s="10">
        <v>17.674441211494571</v>
      </c>
      <c r="O33" s="10"/>
      <c r="P33" s="10"/>
      <c r="Q33" s="10"/>
      <c r="R33" s="10"/>
      <c r="S33" s="10"/>
    </row>
    <row r="34" spans="1:19" x14ac:dyDescent="0.25">
      <c r="B34" s="5" t="s">
        <v>6</v>
      </c>
      <c r="C34" s="10">
        <v>72.907069997415007</v>
      </c>
      <c r="D34" s="10">
        <v>0</v>
      </c>
      <c r="E34" s="10">
        <v>0</v>
      </c>
      <c r="F34" s="10">
        <v>2.2093051514368218</v>
      </c>
      <c r="G34" s="10">
        <v>0</v>
      </c>
      <c r="H34" s="10"/>
      <c r="I34" s="10"/>
      <c r="J34" s="10"/>
      <c r="K34" s="10">
        <v>94.583034490169112</v>
      </c>
      <c r="L34" s="10">
        <v>43.34969737015048</v>
      </c>
      <c r="M34" s="10">
        <v>35.964882202278908</v>
      </c>
      <c r="N34" s="10">
        <v>17.674441211494575</v>
      </c>
      <c r="O34" s="10"/>
      <c r="P34" s="10"/>
      <c r="Q34" s="10"/>
      <c r="R34" s="10"/>
      <c r="S34" s="10"/>
    </row>
    <row r="35" spans="1:19" x14ac:dyDescent="0.25">
      <c r="A35" s="7">
        <v>42951</v>
      </c>
      <c r="B35" s="5">
        <v>1</v>
      </c>
      <c r="C35" s="10">
        <v>265.11661817241855</v>
      </c>
      <c r="D35" s="10">
        <v>0</v>
      </c>
      <c r="E35" s="10">
        <v>0</v>
      </c>
      <c r="F35" s="10">
        <v>0</v>
      </c>
      <c r="G35" s="10">
        <v>0</v>
      </c>
      <c r="H35" s="10"/>
      <c r="I35" s="10"/>
      <c r="J35" s="10"/>
      <c r="K35" s="10">
        <v>265.11661817241855</v>
      </c>
      <c r="L35" s="10">
        <v>344.65160362414417</v>
      </c>
      <c r="M35" s="10">
        <v>410.93075816724877</v>
      </c>
      <c r="N35" s="10">
        <v>0</v>
      </c>
      <c r="O35" s="10"/>
      <c r="P35" s="10"/>
      <c r="Q35" s="10"/>
      <c r="R35" s="10"/>
      <c r="S35" s="10"/>
    </row>
    <row r="36" spans="1:19" x14ac:dyDescent="0.25">
      <c r="B36" s="5">
        <v>2</v>
      </c>
      <c r="C36" s="10">
        <v>503.72157452759529</v>
      </c>
      <c r="D36" s="10">
        <v>0</v>
      </c>
      <c r="E36" s="10">
        <v>0</v>
      </c>
      <c r="F36" s="10">
        <v>0</v>
      </c>
      <c r="G36" s="10">
        <v>0</v>
      </c>
      <c r="H36" s="10"/>
      <c r="I36" s="10"/>
      <c r="J36" s="10"/>
      <c r="K36" s="10">
        <v>914.65233269484406</v>
      </c>
      <c r="L36" s="10">
        <v>198.83746362931393</v>
      </c>
      <c r="M36" s="10">
        <v>0</v>
      </c>
      <c r="N36" s="10">
        <v>0</v>
      </c>
      <c r="O36" s="10"/>
      <c r="P36" s="10"/>
      <c r="Q36" s="10"/>
      <c r="R36" s="10"/>
      <c r="S36" s="10"/>
    </row>
    <row r="37" spans="1:19" x14ac:dyDescent="0.25">
      <c r="B37" s="5">
        <v>3</v>
      </c>
      <c r="C37" s="10">
        <v>689.30320724828834</v>
      </c>
      <c r="D37" s="10">
        <v>0</v>
      </c>
      <c r="E37" s="10">
        <v>0</v>
      </c>
      <c r="F37" s="10">
        <v>0</v>
      </c>
      <c r="G37" s="10">
        <v>0</v>
      </c>
      <c r="H37" s="10"/>
      <c r="I37" s="10"/>
      <c r="J37" s="10"/>
      <c r="K37" s="10">
        <v>888.14067087760225</v>
      </c>
      <c r="L37" s="10">
        <v>185.58163272069299</v>
      </c>
      <c r="M37" s="10">
        <v>0</v>
      </c>
      <c r="N37" s="10">
        <v>0</v>
      </c>
      <c r="O37" s="10"/>
      <c r="P37" s="10"/>
      <c r="Q37" s="10"/>
      <c r="R37" s="10"/>
      <c r="S37" s="10"/>
    </row>
    <row r="38" spans="1:19" x14ac:dyDescent="0.25">
      <c r="B38" s="5">
        <v>4</v>
      </c>
      <c r="C38" s="10">
        <v>371.16326544138599</v>
      </c>
      <c r="D38" s="10">
        <v>0</v>
      </c>
      <c r="E38" s="10">
        <v>0</v>
      </c>
      <c r="F38" s="10">
        <v>0</v>
      </c>
      <c r="G38" s="10">
        <v>0</v>
      </c>
      <c r="H38" s="10"/>
      <c r="I38" s="10"/>
      <c r="J38" s="10"/>
      <c r="K38" s="10">
        <v>344.65160362414417</v>
      </c>
      <c r="L38" s="10">
        <v>437.44241998449064</v>
      </c>
      <c r="M38" s="10">
        <v>119.30247817758836</v>
      </c>
      <c r="N38" s="10">
        <v>0</v>
      </c>
      <c r="O38" s="10"/>
      <c r="P38" s="10"/>
      <c r="Q38" s="10"/>
      <c r="R38" s="10"/>
      <c r="S38" s="10"/>
    </row>
    <row r="39" spans="1:19" x14ac:dyDescent="0.25">
      <c r="B39" s="5">
        <v>5</v>
      </c>
      <c r="C39" s="10">
        <v>530.23323634483711</v>
      </c>
      <c r="D39" s="10">
        <v>0</v>
      </c>
      <c r="E39" s="10">
        <v>0</v>
      </c>
      <c r="F39" s="10">
        <v>0</v>
      </c>
      <c r="G39" s="10">
        <v>0</v>
      </c>
      <c r="H39" s="10"/>
      <c r="I39" s="10"/>
      <c r="J39" s="10"/>
      <c r="K39" s="10">
        <v>53.023323634483717</v>
      </c>
      <c r="L39" s="10">
        <v>689.30320724828834</v>
      </c>
      <c r="M39" s="10">
        <v>159.06997090345115</v>
      </c>
      <c r="N39" s="10">
        <v>0</v>
      </c>
      <c r="O39" s="10"/>
      <c r="P39" s="10"/>
      <c r="Q39" s="10"/>
      <c r="R39" s="10"/>
      <c r="S39" s="10"/>
    </row>
    <row r="40" spans="1:19" x14ac:dyDescent="0.25">
      <c r="B40" s="5">
        <v>6</v>
      </c>
      <c r="C40" s="10">
        <v>437.44241998449064</v>
      </c>
      <c r="D40" s="10">
        <v>39.767492725862787</v>
      </c>
      <c r="E40" s="10">
        <v>13.255830908620929</v>
      </c>
      <c r="F40" s="10">
        <v>0</v>
      </c>
      <c r="G40" s="10">
        <v>0</v>
      </c>
      <c r="H40" s="10"/>
      <c r="I40" s="10"/>
      <c r="J40" s="10"/>
      <c r="K40" s="10">
        <v>278.37244908103952</v>
      </c>
      <c r="L40" s="10">
        <v>251.86078726379765</v>
      </c>
      <c r="M40" s="10">
        <v>0</v>
      </c>
      <c r="N40" s="10">
        <v>0</v>
      </c>
      <c r="O40" s="10"/>
      <c r="P40" s="10"/>
      <c r="Q40" s="10"/>
      <c r="R40" s="10"/>
      <c r="S40" s="10"/>
    </row>
    <row r="41" spans="1:19" x14ac:dyDescent="0.25">
      <c r="A41" s="7">
        <v>42951</v>
      </c>
      <c r="B41" s="5" t="s">
        <v>5</v>
      </c>
      <c r="C41" s="10">
        <v>466.16338695316932</v>
      </c>
      <c r="D41" s="10">
        <v>6.6279154543104646</v>
      </c>
      <c r="E41" s="10">
        <v>2.2093051514368214</v>
      </c>
      <c r="F41" s="10">
        <v>0</v>
      </c>
      <c r="G41" s="10">
        <v>0</v>
      </c>
      <c r="H41" s="10"/>
      <c r="I41" s="10"/>
      <c r="J41" s="10"/>
      <c r="K41" s="10">
        <v>457.32616634742209</v>
      </c>
      <c r="L41" s="10">
        <v>351.2795190784546</v>
      </c>
      <c r="M41" s="10">
        <v>114.88386787471471</v>
      </c>
      <c r="N41" s="10">
        <v>0</v>
      </c>
      <c r="O41" s="10"/>
      <c r="P41" s="10"/>
      <c r="Q41" s="10"/>
      <c r="R41" s="10"/>
      <c r="S41" s="10"/>
    </row>
    <row r="42" spans="1:19" x14ac:dyDescent="0.25">
      <c r="B42" s="5" t="s">
        <v>6</v>
      </c>
      <c r="C42" s="10">
        <v>59.323031706169296</v>
      </c>
      <c r="D42" s="10">
        <v>0</v>
      </c>
      <c r="E42" s="10">
        <v>0</v>
      </c>
      <c r="F42" s="10">
        <v>0</v>
      </c>
      <c r="G42" s="10">
        <v>0</v>
      </c>
      <c r="H42" s="10"/>
      <c r="I42" s="10"/>
      <c r="J42" s="10"/>
      <c r="K42" s="10">
        <v>146.04493016230251</v>
      </c>
      <c r="L42" s="10">
        <v>77.954354714446652</v>
      </c>
      <c r="M42" s="10">
        <v>65.627892028547137</v>
      </c>
      <c r="N42" s="10">
        <v>0</v>
      </c>
      <c r="O42" s="10"/>
      <c r="P42" s="10"/>
      <c r="Q42" s="10"/>
      <c r="R42" s="10"/>
      <c r="S42" s="10"/>
    </row>
    <row r="43" spans="1:19" x14ac:dyDescent="0.25">
      <c r="A43" s="7">
        <v>42970</v>
      </c>
      <c r="B43" s="5">
        <v>1</v>
      </c>
      <c r="C43" s="10">
        <v>251.86078726379765</v>
      </c>
      <c r="D43" s="10">
        <v>0</v>
      </c>
      <c r="E43" s="10">
        <v>0</v>
      </c>
      <c r="F43" s="10">
        <v>0</v>
      </c>
      <c r="G43" s="10">
        <v>0</v>
      </c>
      <c r="H43" s="10"/>
      <c r="I43" s="10"/>
      <c r="J43" s="10"/>
      <c r="K43" s="10">
        <v>0</v>
      </c>
      <c r="L43" s="10">
        <v>0</v>
      </c>
      <c r="M43" s="10">
        <v>0</v>
      </c>
      <c r="N43" s="10">
        <v>0</v>
      </c>
      <c r="O43" s="10"/>
      <c r="P43" s="10"/>
      <c r="Q43" s="10"/>
      <c r="R43" s="10"/>
      <c r="S43" s="10"/>
    </row>
    <row r="44" spans="1:19" x14ac:dyDescent="0.25">
      <c r="B44" s="5">
        <v>2</v>
      </c>
      <c r="C44" s="10">
        <v>570.00072907069989</v>
      </c>
      <c r="D44" s="10">
        <v>0</v>
      </c>
      <c r="E44" s="10">
        <v>0</v>
      </c>
      <c r="F44" s="10">
        <v>0</v>
      </c>
      <c r="G44" s="10">
        <v>0</v>
      </c>
      <c r="H44" s="10"/>
      <c r="I44" s="10"/>
      <c r="J44" s="10"/>
      <c r="K44" s="10">
        <v>0</v>
      </c>
      <c r="L44" s="10">
        <v>13.255830908620929</v>
      </c>
      <c r="M44" s="10">
        <v>0</v>
      </c>
      <c r="N44" s="10">
        <v>0</v>
      </c>
      <c r="O44" s="10"/>
      <c r="P44" s="10"/>
      <c r="Q44" s="10"/>
      <c r="R44" s="10"/>
      <c r="S44" s="10"/>
    </row>
    <row r="45" spans="1:19" x14ac:dyDescent="0.25">
      <c r="B45" s="5">
        <v>3</v>
      </c>
      <c r="C45" s="10">
        <v>729.07069997415113</v>
      </c>
      <c r="D45" s="10">
        <v>0</v>
      </c>
      <c r="E45" s="10">
        <v>0</v>
      </c>
      <c r="F45" s="10">
        <v>0</v>
      </c>
      <c r="G45" s="10">
        <v>0</v>
      </c>
      <c r="H45" s="10"/>
      <c r="I45" s="10"/>
      <c r="J45" s="10"/>
      <c r="K45" s="10">
        <v>0</v>
      </c>
      <c r="L45" s="10">
        <v>66.279154543104639</v>
      </c>
      <c r="M45" s="10">
        <v>0</v>
      </c>
      <c r="N45" s="10">
        <v>0</v>
      </c>
      <c r="O45" s="10"/>
      <c r="P45" s="10"/>
      <c r="Q45" s="10"/>
      <c r="R45" s="10"/>
      <c r="S45" s="10"/>
    </row>
    <row r="46" spans="1:19" x14ac:dyDescent="0.25">
      <c r="B46" s="5">
        <v>4</v>
      </c>
      <c r="C46" s="10">
        <v>477.20991271035342</v>
      </c>
      <c r="D46" s="10">
        <v>0</v>
      </c>
      <c r="E46" s="10">
        <v>0</v>
      </c>
      <c r="F46" s="10">
        <v>0</v>
      </c>
      <c r="G46" s="10">
        <v>0</v>
      </c>
      <c r="H46" s="10"/>
      <c r="I46" s="10"/>
      <c r="J46" s="10"/>
      <c r="K46" s="10">
        <v>26.511661817241858</v>
      </c>
      <c r="L46" s="10">
        <v>0</v>
      </c>
      <c r="M46" s="10">
        <v>0</v>
      </c>
      <c r="N46" s="10">
        <v>0</v>
      </c>
      <c r="O46" s="10"/>
      <c r="P46" s="10"/>
      <c r="Q46" s="10"/>
      <c r="R46" s="10"/>
      <c r="S46" s="10"/>
    </row>
    <row r="47" spans="1:19" x14ac:dyDescent="0.25">
      <c r="B47" s="5">
        <v>5</v>
      </c>
      <c r="C47" s="10">
        <v>609.76822179656267</v>
      </c>
      <c r="D47" s="10">
        <v>0</v>
      </c>
      <c r="E47" s="10">
        <v>0</v>
      </c>
      <c r="F47" s="10">
        <v>0</v>
      </c>
      <c r="G47" s="10">
        <v>0</v>
      </c>
      <c r="H47" s="10"/>
      <c r="I47" s="10"/>
      <c r="J47" s="10"/>
      <c r="K47" s="10">
        <v>26.511661817241858</v>
      </c>
      <c r="L47" s="10">
        <v>0</v>
      </c>
      <c r="M47" s="10">
        <v>0</v>
      </c>
      <c r="N47" s="10">
        <v>0</v>
      </c>
      <c r="O47" s="10"/>
      <c r="P47" s="10"/>
      <c r="Q47" s="10"/>
      <c r="R47" s="10"/>
      <c r="S47" s="10"/>
    </row>
    <row r="48" spans="1:19" x14ac:dyDescent="0.25">
      <c r="B48" s="5">
        <v>6</v>
      </c>
      <c r="C48" s="10">
        <v>450.69825089311155</v>
      </c>
      <c r="D48" s="10">
        <v>92.790816360346497</v>
      </c>
      <c r="E48" s="10">
        <v>26.511661817241858</v>
      </c>
      <c r="F48" s="10">
        <v>0</v>
      </c>
      <c r="G48" s="10">
        <v>0</v>
      </c>
      <c r="H48" s="10"/>
      <c r="I48" s="10"/>
      <c r="J48" s="10"/>
      <c r="K48" s="10">
        <v>0</v>
      </c>
      <c r="L48" s="10">
        <v>39.767492725862787</v>
      </c>
      <c r="M48" s="10">
        <v>0</v>
      </c>
      <c r="N48" s="10">
        <v>0</v>
      </c>
      <c r="O48" s="10"/>
      <c r="P48" s="10"/>
      <c r="Q48" s="10"/>
      <c r="R48" s="10"/>
      <c r="S48" s="10"/>
    </row>
    <row r="49" spans="1:19" x14ac:dyDescent="0.25">
      <c r="A49" s="7">
        <v>42970</v>
      </c>
      <c r="B49" s="5" t="s">
        <v>5</v>
      </c>
      <c r="C49" s="10">
        <v>514.76810028477928</v>
      </c>
      <c r="D49" s="10">
        <v>15.46513606005775</v>
      </c>
      <c r="E49" s="10">
        <v>4.4186103028736428</v>
      </c>
      <c r="F49" s="10">
        <v>0</v>
      </c>
      <c r="G49" s="10">
        <v>0</v>
      </c>
      <c r="H49" s="10"/>
      <c r="I49" s="10"/>
      <c r="J49" s="10"/>
      <c r="K49" s="10">
        <v>8.8372206057472855</v>
      </c>
      <c r="L49" s="10">
        <v>19.88374636293139</v>
      </c>
      <c r="M49" s="10">
        <v>0</v>
      </c>
      <c r="N49" s="10">
        <v>0</v>
      </c>
      <c r="O49" s="10"/>
      <c r="P49" s="10"/>
      <c r="Q49" s="10"/>
      <c r="R49" s="10"/>
      <c r="S49" s="10"/>
    </row>
    <row r="50" spans="1:19" x14ac:dyDescent="0.25">
      <c r="B50" s="5" t="s">
        <v>6</v>
      </c>
      <c r="C50" s="10">
        <v>66.492377733175815</v>
      </c>
      <c r="D50" s="10">
        <v>0</v>
      </c>
      <c r="E50" s="10">
        <v>0</v>
      </c>
      <c r="F50" s="10">
        <v>0</v>
      </c>
      <c r="G50" s="10">
        <v>0</v>
      </c>
      <c r="H50" s="10"/>
      <c r="I50" s="10"/>
      <c r="J50" s="10"/>
      <c r="K50" s="10">
        <v>5.5891490599068634</v>
      </c>
      <c r="L50" s="10">
        <v>11.221878394719138</v>
      </c>
      <c r="M50" s="10">
        <v>0</v>
      </c>
      <c r="N50" s="10">
        <v>0</v>
      </c>
      <c r="O50" s="10"/>
      <c r="P50" s="10"/>
      <c r="Q50" s="10"/>
      <c r="R50" s="10"/>
      <c r="S50" s="10"/>
    </row>
    <row r="51" spans="1:19" x14ac:dyDescent="0.25">
      <c r="A51" s="7">
        <v>43043</v>
      </c>
      <c r="B51" s="5">
        <v>1</v>
      </c>
      <c r="C51" s="10">
        <v>238.60495635517671</v>
      </c>
      <c r="D51" s="10">
        <v>0</v>
      </c>
      <c r="E51" s="10">
        <v>0</v>
      </c>
      <c r="F51" s="10">
        <v>0</v>
      </c>
      <c r="G51" s="10">
        <v>0</v>
      </c>
      <c r="H51" s="10"/>
      <c r="I51" s="10"/>
      <c r="J51" s="10"/>
      <c r="K51" s="10">
        <v>13.255830908620929</v>
      </c>
      <c r="L51" s="10">
        <v>0</v>
      </c>
      <c r="M51" s="10">
        <v>0</v>
      </c>
      <c r="N51" s="10">
        <v>0</v>
      </c>
      <c r="O51" s="10"/>
      <c r="P51" s="10"/>
      <c r="Q51" s="10"/>
      <c r="R51" s="10"/>
      <c r="S51" s="10"/>
    </row>
    <row r="52" spans="1:19" x14ac:dyDescent="0.25">
      <c r="B52" s="5">
        <v>2</v>
      </c>
      <c r="C52" s="10">
        <v>583.25655997932085</v>
      </c>
      <c r="D52" s="10">
        <v>0</v>
      </c>
      <c r="E52" s="10">
        <v>0</v>
      </c>
      <c r="F52" s="10">
        <v>0</v>
      </c>
      <c r="G52" s="10">
        <v>0</v>
      </c>
      <c r="H52" s="10"/>
      <c r="I52" s="10"/>
      <c r="J52" s="10"/>
      <c r="K52" s="10">
        <v>39.767492725862787</v>
      </c>
      <c r="L52" s="10">
        <v>13.255830908620929</v>
      </c>
      <c r="M52" s="10">
        <v>0</v>
      </c>
      <c r="N52" s="10">
        <v>0</v>
      </c>
      <c r="O52" s="10"/>
      <c r="P52" s="10"/>
      <c r="Q52" s="10"/>
      <c r="R52" s="10"/>
      <c r="S52" s="10"/>
    </row>
    <row r="53" spans="1:19" x14ac:dyDescent="0.25">
      <c r="B53" s="5">
        <v>3</v>
      </c>
      <c r="C53" s="10">
        <v>742.32653088277198</v>
      </c>
      <c r="D53" s="10">
        <v>0</v>
      </c>
      <c r="E53" s="10">
        <v>0</v>
      </c>
      <c r="F53" s="10">
        <v>0</v>
      </c>
      <c r="G53" s="10">
        <v>0</v>
      </c>
      <c r="H53" s="10"/>
      <c r="I53" s="10"/>
      <c r="J53" s="10"/>
      <c r="K53" s="10">
        <v>0</v>
      </c>
      <c r="L53" s="10">
        <v>39.767492725862787</v>
      </c>
      <c r="M53" s="10">
        <v>0</v>
      </c>
      <c r="N53" s="10">
        <v>0</v>
      </c>
      <c r="O53" s="10"/>
      <c r="P53" s="10"/>
      <c r="Q53" s="10"/>
      <c r="R53" s="10"/>
      <c r="S53" s="10"/>
    </row>
    <row r="54" spans="1:19" x14ac:dyDescent="0.25">
      <c r="B54" s="5">
        <v>4</v>
      </c>
      <c r="C54" s="10">
        <v>357.90743453276508</v>
      </c>
      <c r="D54" s="10">
        <v>0</v>
      </c>
      <c r="E54" s="10">
        <v>0</v>
      </c>
      <c r="F54" s="10">
        <v>0</v>
      </c>
      <c r="G54" s="10">
        <v>0</v>
      </c>
      <c r="H54" s="10"/>
      <c r="I54" s="10"/>
      <c r="J54" s="10"/>
      <c r="K54" s="10">
        <v>39.767492725862787</v>
      </c>
      <c r="L54" s="10">
        <v>0</v>
      </c>
      <c r="M54" s="10">
        <v>0</v>
      </c>
      <c r="N54" s="10">
        <v>0</v>
      </c>
      <c r="O54" s="10"/>
      <c r="P54" s="10"/>
      <c r="Q54" s="10"/>
      <c r="R54" s="10"/>
      <c r="S54" s="10"/>
    </row>
    <row r="55" spans="1:19" x14ac:dyDescent="0.25">
      <c r="B55" s="5">
        <v>5</v>
      </c>
      <c r="C55" s="10">
        <v>530.23323634483711</v>
      </c>
      <c r="D55" s="10">
        <v>0</v>
      </c>
      <c r="E55" s="10">
        <v>0</v>
      </c>
      <c r="F55" s="10">
        <v>0</v>
      </c>
      <c r="G55" s="10">
        <v>0</v>
      </c>
      <c r="H55" s="10"/>
      <c r="I55" s="10"/>
      <c r="J55" s="10"/>
      <c r="K55" s="10">
        <v>39.767492725862787</v>
      </c>
      <c r="L55" s="10">
        <v>0</v>
      </c>
      <c r="M55" s="10">
        <v>0</v>
      </c>
      <c r="N55" s="10">
        <v>0</v>
      </c>
      <c r="O55" s="10"/>
      <c r="P55" s="10"/>
      <c r="Q55" s="10"/>
      <c r="R55" s="10"/>
      <c r="S55" s="10"/>
    </row>
    <row r="56" spans="1:19" x14ac:dyDescent="0.25">
      <c r="B56" s="5">
        <v>6</v>
      </c>
      <c r="C56" s="10">
        <v>543.48906725345807</v>
      </c>
      <c r="D56" s="10">
        <v>159.06997090345115</v>
      </c>
      <c r="E56" s="10">
        <v>26.511661817241858</v>
      </c>
      <c r="F56" s="10">
        <v>0</v>
      </c>
      <c r="G56" s="10">
        <v>0</v>
      </c>
      <c r="H56" s="10"/>
      <c r="I56" s="10"/>
      <c r="J56" s="10"/>
      <c r="K56" s="10">
        <v>159.06997090345115</v>
      </c>
      <c r="L56" s="10">
        <v>39.767492725862787</v>
      </c>
      <c r="M56" s="10">
        <v>0</v>
      </c>
      <c r="N56" s="10">
        <v>0</v>
      </c>
      <c r="O56" s="10"/>
      <c r="P56" s="10"/>
      <c r="Q56" s="10"/>
      <c r="R56" s="10"/>
      <c r="S56" s="10"/>
    </row>
    <row r="57" spans="1:19" x14ac:dyDescent="0.25">
      <c r="A57" s="7">
        <v>43043</v>
      </c>
      <c r="B57" s="5" t="s">
        <v>5</v>
      </c>
      <c r="C57" s="10">
        <v>499.30296422472162</v>
      </c>
      <c r="D57" s="10">
        <v>26.511661817241858</v>
      </c>
      <c r="E57" s="10">
        <v>4.4186103028736428</v>
      </c>
      <c r="F57" s="10">
        <v>0</v>
      </c>
      <c r="G57" s="10">
        <v>0</v>
      </c>
      <c r="H57" s="10"/>
      <c r="I57" s="10"/>
      <c r="J57" s="10"/>
      <c r="K57" s="10">
        <v>48.604713331610071</v>
      </c>
      <c r="L57" s="10">
        <v>15.46513606005775</v>
      </c>
      <c r="M57" s="10">
        <v>0</v>
      </c>
      <c r="N57" s="10">
        <v>0</v>
      </c>
      <c r="O57" s="10"/>
      <c r="P57" s="10"/>
      <c r="Q57" s="10"/>
      <c r="R57" s="10"/>
      <c r="S57" s="10"/>
    </row>
    <row r="58" spans="1:19" x14ac:dyDescent="0.25">
      <c r="B58" s="5" t="s">
        <v>6</v>
      </c>
      <c r="C58" s="10">
        <v>72.335768180901809</v>
      </c>
      <c r="D58" s="10">
        <v>0</v>
      </c>
      <c r="E58" s="10">
        <v>0</v>
      </c>
      <c r="F58" s="10">
        <v>0</v>
      </c>
      <c r="G58" s="10">
        <v>0</v>
      </c>
      <c r="H58" s="10"/>
      <c r="I58" s="10"/>
      <c r="J58" s="10"/>
      <c r="K58" s="10">
        <v>23.129219745536478</v>
      </c>
      <c r="L58" s="10">
        <v>7.9657630066521943</v>
      </c>
      <c r="M58" s="10">
        <v>0</v>
      </c>
      <c r="N58" s="10">
        <v>0</v>
      </c>
      <c r="O58" s="10"/>
      <c r="P58" s="10"/>
      <c r="Q58" s="10"/>
      <c r="R58" s="10"/>
      <c r="S58" s="10"/>
    </row>
    <row r="59" spans="1:19" x14ac:dyDescent="0.25">
      <c r="A59" s="7">
        <v>43207</v>
      </c>
      <c r="B59" s="5">
        <v>1</v>
      </c>
      <c r="C59" s="10">
        <v>0</v>
      </c>
      <c r="D59" s="10">
        <v>0</v>
      </c>
      <c r="E59" s="10">
        <v>0</v>
      </c>
      <c r="F59" s="10">
        <v>0</v>
      </c>
      <c r="G59" s="10">
        <v>0</v>
      </c>
      <c r="H59" s="10"/>
      <c r="I59" s="10"/>
      <c r="J59" s="10"/>
      <c r="K59" s="10">
        <v>0</v>
      </c>
      <c r="L59" s="10">
        <v>0</v>
      </c>
      <c r="M59" s="10">
        <v>0</v>
      </c>
      <c r="N59" s="10">
        <v>0</v>
      </c>
      <c r="O59" s="10"/>
      <c r="P59" s="10"/>
      <c r="Q59" s="10"/>
      <c r="R59" s="10"/>
      <c r="S59" s="10"/>
    </row>
    <row r="60" spans="1:19" x14ac:dyDescent="0.25">
      <c r="B60" s="5">
        <v>2</v>
      </c>
      <c r="C60" s="10">
        <v>0</v>
      </c>
      <c r="D60" s="10">
        <v>0</v>
      </c>
      <c r="E60" s="10">
        <v>0</v>
      </c>
      <c r="F60" s="10">
        <v>0</v>
      </c>
      <c r="G60" s="10">
        <v>0</v>
      </c>
      <c r="H60" s="10"/>
      <c r="I60" s="10"/>
      <c r="J60" s="10"/>
      <c r="K60" s="10">
        <v>0</v>
      </c>
      <c r="L60" s="10">
        <v>0</v>
      </c>
      <c r="M60" s="10">
        <v>0</v>
      </c>
      <c r="N60" s="10">
        <v>0</v>
      </c>
      <c r="O60" s="10"/>
      <c r="P60" s="10"/>
      <c r="Q60" s="10"/>
      <c r="R60" s="10"/>
      <c r="S60" s="10"/>
    </row>
    <row r="61" spans="1:19" x14ac:dyDescent="0.25">
      <c r="B61" s="5">
        <v>3</v>
      </c>
      <c r="C61" s="10">
        <v>89</v>
      </c>
      <c r="D61" s="10">
        <v>0</v>
      </c>
      <c r="E61" s="10">
        <v>0</v>
      </c>
      <c r="F61" s="10">
        <v>0</v>
      </c>
      <c r="G61" s="10">
        <v>0</v>
      </c>
      <c r="H61" s="10"/>
      <c r="I61" s="10"/>
      <c r="J61" s="10"/>
      <c r="K61" s="10">
        <v>66.279154543104639</v>
      </c>
      <c r="L61" s="10">
        <v>0</v>
      </c>
      <c r="M61" s="10">
        <v>13.255830908620929</v>
      </c>
      <c r="N61" s="10">
        <v>0</v>
      </c>
      <c r="O61" s="10"/>
      <c r="P61" s="10"/>
      <c r="Q61" s="10"/>
      <c r="R61" s="10"/>
      <c r="S61" s="10"/>
    </row>
    <row r="62" spans="1:19" x14ac:dyDescent="0.25">
      <c r="B62" s="5">
        <v>4</v>
      </c>
      <c r="C62" s="10">
        <v>128</v>
      </c>
      <c r="D62" s="10">
        <v>0</v>
      </c>
      <c r="E62" s="10">
        <v>0</v>
      </c>
      <c r="F62" s="10">
        <v>0</v>
      </c>
      <c r="G62" s="10">
        <v>0</v>
      </c>
      <c r="H62" s="10"/>
      <c r="I62" s="10"/>
      <c r="J62" s="10"/>
      <c r="K62" s="10">
        <v>0</v>
      </c>
      <c r="L62" s="10">
        <v>39.767492725862787</v>
      </c>
      <c r="M62" s="10">
        <v>0</v>
      </c>
      <c r="N62" s="10">
        <v>0</v>
      </c>
      <c r="O62" s="10"/>
      <c r="P62" s="10"/>
      <c r="Q62" s="10"/>
      <c r="R62" s="10"/>
      <c r="S62" s="10"/>
    </row>
    <row r="63" spans="1:19" x14ac:dyDescent="0.25">
      <c r="B63" s="5">
        <v>5</v>
      </c>
      <c r="C63" s="10">
        <v>97</v>
      </c>
      <c r="D63" s="10">
        <v>0</v>
      </c>
      <c r="E63" s="10">
        <v>0</v>
      </c>
      <c r="F63" s="10">
        <v>0</v>
      </c>
      <c r="G63" s="10">
        <v>0</v>
      </c>
      <c r="H63" s="10"/>
      <c r="I63" s="10"/>
      <c r="J63" s="10"/>
      <c r="K63" s="10">
        <v>79.534985451725575</v>
      </c>
      <c r="L63" s="10">
        <v>0</v>
      </c>
      <c r="M63" s="10">
        <v>0</v>
      </c>
      <c r="N63" s="10">
        <v>0</v>
      </c>
      <c r="O63" s="10"/>
      <c r="P63" s="10"/>
      <c r="Q63" s="10"/>
      <c r="R63" s="10"/>
      <c r="S63" s="10"/>
    </row>
    <row r="64" spans="1:19" x14ac:dyDescent="0.25">
      <c r="B64" s="5">
        <v>6</v>
      </c>
      <c r="C64" s="10">
        <v>0</v>
      </c>
      <c r="D64" s="10">
        <v>132.55830908620928</v>
      </c>
      <c r="E64" s="10">
        <v>0</v>
      </c>
      <c r="F64" s="10">
        <v>0</v>
      </c>
      <c r="G64" s="10">
        <v>0</v>
      </c>
      <c r="H64" s="10"/>
      <c r="I64" s="10"/>
      <c r="J64" s="10"/>
      <c r="K64" s="10">
        <v>0</v>
      </c>
      <c r="L64" s="10">
        <v>212.09329453793487</v>
      </c>
      <c r="M64" s="10">
        <v>0</v>
      </c>
      <c r="N64" s="10">
        <v>0</v>
      </c>
      <c r="O64" s="10"/>
      <c r="P64" s="10"/>
      <c r="Q64" s="10"/>
      <c r="R64" s="10"/>
      <c r="S64" s="10"/>
    </row>
    <row r="65" spans="1:19" x14ac:dyDescent="0.25">
      <c r="A65" s="7">
        <v>43207</v>
      </c>
      <c r="B65" s="5" t="s">
        <v>5</v>
      </c>
      <c r="C65" s="10">
        <v>52.333333333333336</v>
      </c>
      <c r="D65" s="10">
        <v>22.093051514368213</v>
      </c>
      <c r="E65" s="10">
        <v>0</v>
      </c>
      <c r="F65" s="10">
        <v>0</v>
      </c>
      <c r="G65" s="10">
        <v>0</v>
      </c>
      <c r="H65" s="10"/>
      <c r="I65" s="10"/>
      <c r="J65" s="10"/>
      <c r="K65" s="10">
        <v>24.302356665805036</v>
      </c>
      <c r="L65" s="10">
        <v>41.97679787729961</v>
      </c>
      <c r="M65" s="10">
        <v>2.2093051514368214</v>
      </c>
      <c r="N65" s="10">
        <v>0</v>
      </c>
      <c r="O65" s="10"/>
      <c r="P65" s="10"/>
      <c r="Q65" s="10"/>
      <c r="R65" s="10"/>
      <c r="S65" s="10"/>
    </row>
    <row r="66" spans="1:19" x14ac:dyDescent="0.25">
      <c r="B66" s="5" t="s">
        <v>6</v>
      </c>
      <c r="C66" s="10">
        <v>24.000925908065391</v>
      </c>
      <c r="D66" s="10">
        <v>0</v>
      </c>
      <c r="E66" s="10">
        <v>0</v>
      </c>
      <c r="F66" s="10">
        <v>0</v>
      </c>
      <c r="G66" s="10">
        <v>0</v>
      </c>
      <c r="H66" s="10"/>
      <c r="I66" s="10"/>
      <c r="J66" s="10"/>
      <c r="K66" s="10">
        <v>15.465136060057752</v>
      </c>
      <c r="L66" s="10">
        <v>34.637508429190248</v>
      </c>
      <c r="M66" s="10">
        <v>2.2093051514368218</v>
      </c>
      <c r="N66" s="10">
        <v>0</v>
      </c>
      <c r="O66" s="10"/>
      <c r="P66" s="10"/>
      <c r="Q66" s="10"/>
      <c r="R66" s="10"/>
      <c r="S66" s="10"/>
    </row>
    <row r="67" spans="1:19" x14ac:dyDescent="0.25">
      <c r="A67" s="7">
        <v>43248</v>
      </c>
      <c r="B67" s="5">
        <v>1</v>
      </c>
      <c r="C67" s="10">
        <v>583.25655997932085</v>
      </c>
      <c r="D67" s="10">
        <v>66.279154543104639</v>
      </c>
      <c r="E67" s="10">
        <v>0</v>
      </c>
      <c r="F67" s="10">
        <v>0</v>
      </c>
      <c r="G67" s="10">
        <v>0</v>
      </c>
      <c r="H67" s="10"/>
      <c r="I67" s="10"/>
      <c r="J67" s="10"/>
      <c r="K67" s="10">
        <v>609.76822179656267</v>
      </c>
      <c r="L67" s="10">
        <v>371.16326544138599</v>
      </c>
      <c r="M67" s="10">
        <v>0</v>
      </c>
      <c r="N67" s="10">
        <v>0</v>
      </c>
      <c r="O67" s="10"/>
      <c r="P67" s="10"/>
      <c r="Q67" s="10"/>
      <c r="R67" s="10"/>
      <c r="S67" s="10"/>
    </row>
    <row r="68" spans="1:19" x14ac:dyDescent="0.25">
      <c r="B68" s="5">
        <v>2</v>
      </c>
      <c r="C68" s="10"/>
      <c r="D68" s="10">
        <v>0</v>
      </c>
      <c r="E68" s="10">
        <v>0</v>
      </c>
      <c r="F68" s="10">
        <v>0</v>
      </c>
      <c r="G68" s="10">
        <v>0</v>
      </c>
      <c r="H68" s="10"/>
      <c r="I68" s="10"/>
      <c r="J68" s="10"/>
      <c r="K68" s="10">
        <v>0</v>
      </c>
      <c r="L68" s="10">
        <v>0</v>
      </c>
      <c r="M68" s="10">
        <v>0</v>
      </c>
      <c r="N68" s="10">
        <v>0</v>
      </c>
      <c r="O68" s="10"/>
      <c r="P68" s="10"/>
      <c r="Q68" s="10"/>
      <c r="R68" s="10"/>
      <c r="S68" s="10"/>
    </row>
    <row r="69" spans="1:19" x14ac:dyDescent="0.25">
      <c r="B69" s="5">
        <v>3</v>
      </c>
      <c r="C69" s="10"/>
      <c r="D69" s="10">
        <v>0</v>
      </c>
      <c r="E69" s="10">
        <v>0</v>
      </c>
      <c r="F69" s="10">
        <v>0</v>
      </c>
      <c r="G69" s="10">
        <v>0</v>
      </c>
      <c r="H69" s="10"/>
      <c r="I69" s="10"/>
      <c r="J69" s="10"/>
      <c r="K69" s="10">
        <v>450.69825089311155</v>
      </c>
      <c r="L69" s="10">
        <v>0</v>
      </c>
      <c r="M69" s="10">
        <v>26.511661817241858</v>
      </c>
      <c r="N69" s="10">
        <v>0</v>
      </c>
      <c r="O69" s="10"/>
      <c r="P69" s="10"/>
      <c r="Q69" s="10"/>
      <c r="R69" s="10"/>
      <c r="S69" s="10"/>
    </row>
    <row r="70" spans="1:19" x14ac:dyDescent="0.25">
      <c r="B70" s="5">
        <v>4</v>
      </c>
      <c r="C70" s="10"/>
      <c r="D70" s="10">
        <v>0</v>
      </c>
      <c r="E70" s="10">
        <v>0</v>
      </c>
      <c r="F70" s="10">
        <v>0</v>
      </c>
      <c r="G70" s="10">
        <v>0</v>
      </c>
      <c r="H70" s="10"/>
      <c r="I70" s="10"/>
      <c r="J70" s="10"/>
      <c r="K70" s="10">
        <v>0</v>
      </c>
      <c r="L70" s="10">
        <v>0</v>
      </c>
      <c r="M70" s="10">
        <v>0</v>
      </c>
      <c r="N70" s="10">
        <v>0</v>
      </c>
      <c r="O70" s="10"/>
      <c r="P70" s="10"/>
      <c r="Q70" s="10"/>
      <c r="R70" s="10"/>
      <c r="S70" s="10"/>
    </row>
    <row r="71" spans="1:19" x14ac:dyDescent="0.25">
      <c r="B71" s="5">
        <v>5</v>
      </c>
      <c r="C71" s="10"/>
      <c r="D71" s="10">
        <v>0</v>
      </c>
      <c r="E71" s="10">
        <v>0</v>
      </c>
      <c r="F71" s="10">
        <v>0</v>
      </c>
      <c r="G71" s="10">
        <v>0</v>
      </c>
      <c r="H71" s="10"/>
      <c r="I71" s="10"/>
      <c r="J71" s="10"/>
      <c r="K71" s="10">
        <v>0</v>
      </c>
      <c r="L71" s="10">
        <v>0</v>
      </c>
      <c r="M71" s="10">
        <v>0</v>
      </c>
      <c r="N71" s="10">
        <v>0</v>
      </c>
      <c r="O71" s="10"/>
      <c r="P71" s="10"/>
      <c r="Q71" s="10"/>
      <c r="R71" s="10"/>
      <c r="S71" s="10"/>
    </row>
    <row r="72" spans="1:19" x14ac:dyDescent="0.25">
      <c r="B72" s="5">
        <v>6</v>
      </c>
      <c r="C72" s="10">
        <v>516.97740543621626</v>
      </c>
      <c r="D72" s="10">
        <v>172.32580181207209</v>
      </c>
      <c r="E72" s="10">
        <v>13.255830908620929</v>
      </c>
      <c r="F72" s="10">
        <v>0</v>
      </c>
      <c r="G72" s="10">
        <v>0</v>
      </c>
      <c r="H72" s="10"/>
      <c r="I72" s="10"/>
      <c r="J72" s="10"/>
      <c r="K72" s="10">
        <v>0</v>
      </c>
      <c r="L72" s="10">
        <v>39.767492725862787</v>
      </c>
      <c r="M72" s="10">
        <v>53.023323634483717</v>
      </c>
      <c r="N72" s="10">
        <v>0</v>
      </c>
      <c r="O72" s="10"/>
      <c r="P72" s="10"/>
      <c r="Q72" s="10"/>
      <c r="R72" s="10"/>
      <c r="S72" s="10"/>
    </row>
    <row r="73" spans="1:19" x14ac:dyDescent="0.25">
      <c r="A73" s="7">
        <v>43248</v>
      </c>
      <c r="B73" s="5" t="s">
        <v>5</v>
      </c>
      <c r="C73" s="10">
        <v>550.11698270776856</v>
      </c>
      <c r="D73" s="10">
        <v>39.767492725862787</v>
      </c>
      <c r="E73" s="10">
        <v>2.2093051514368214</v>
      </c>
      <c r="F73" s="10">
        <v>0</v>
      </c>
      <c r="G73" s="10">
        <v>0</v>
      </c>
      <c r="H73" s="10"/>
      <c r="I73" s="10"/>
      <c r="J73" s="10"/>
      <c r="K73" s="10">
        <v>176.7444121149457</v>
      </c>
      <c r="L73" s="10">
        <v>68.488459694541461</v>
      </c>
      <c r="M73" s="10">
        <v>13.255830908620929</v>
      </c>
      <c r="N73" s="10">
        <v>0</v>
      </c>
      <c r="O73" s="10"/>
      <c r="P73" s="10"/>
      <c r="Q73" s="10"/>
      <c r="R73" s="10"/>
      <c r="S73" s="10"/>
    </row>
    <row r="74" spans="1:19" x14ac:dyDescent="0.25">
      <c r="B74" s="5" t="s">
        <v>6</v>
      </c>
      <c r="C74" s="10">
        <v>33.139577271552298</v>
      </c>
      <c r="D74" s="10">
        <v>28.635867620237502</v>
      </c>
      <c r="E74" s="10">
        <v>2.2093051514368218</v>
      </c>
      <c r="F74" s="10">
        <v>0</v>
      </c>
      <c r="G74" s="10">
        <v>0</v>
      </c>
      <c r="H74" s="10"/>
      <c r="I74" s="10"/>
      <c r="J74" s="10"/>
      <c r="K74" s="10">
        <v>113.65366607782693</v>
      </c>
      <c r="L74" s="10">
        <v>60.882293108048344</v>
      </c>
      <c r="M74" s="10">
        <v>9.055456445501612</v>
      </c>
      <c r="N74" s="10">
        <v>0</v>
      </c>
      <c r="O74" s="10"/>
      <c r="P74" s="10"/>
      <c r="Q74" s="10"/>
      <c r="R74" s="10"/>
      <c r="S74" s="10"/>
    </row>
    <row r="75" spans="1:19" x14ac:dyDescent="0.25">
      <c r="A75" s="7">
        <v>43360</v>
      </c>
      <c r="B75" s="5">
        <v>1</v>
      </c>
      <c r="C75" s="10">
        <v>404</v>
      </c>
      <c r="D75" s="10">
        <v>0</v>
      </c>
      <c r="E75" s="10">
        <v>0</v>
      </c>
      <c r="F75" s="10">
        <v>0</v>
      </c>
      <c r="G75" s="10">
        <v>0</v>
      </c>
      <c r="H75" s="10"/>
      <c r="I75" s="10"/>
      <c r="J75" s="10"/>
      <c r="K75" s="10">
        <v>477.20991271035342</v>
      </c>
      <c r="L75" s="10">
        <v>0</v>
      </c>
      <c r="M75" s="10">
        <v>0</v>
      </c>
      <c r="N75" s="10">
        <v>0</v>
      </c>
      <c r="O75" s="10"/>
      <c r="P75" s="10"/>
      <c r="Q75" s="10"/>
      <c r="R75" s="10"/>
      <c r="S75" s="10"/>
    </row>
    <row r="76" spans="1:19" x14ac:dyDescent="0.25">
      <c r="B76" s="5">
        <v>2</v>
      </c>
      <c r="C76" s="10">
        <v>388</v>
      </c>
      <c r="D76" s="10">
        <v>0</v>
      </c>
      <c r="E76" s="10">
        <v>0</v>
      </c>
      <c r="F76" s="10">
        <v>0</v>
      </c>
      <c r="G76" s="10">
        <v>0</v>
      </c>
      <c r="H76" s="10"/>
      <c r="I76" s="10"/>
      <c r="J76" s="10"/>
      <c r="K76" s="10">
        <v>92.790816360346497</v>
      </c>
      <c r="L76" s="10">
        <v>0</v>
      </c>
      <c r="M76" s="10">
        <v>0</v>
      </c>
      <c r="N76" s="10">
        <v>0</v>
      </c>
      <c r="O76" s="10"/>
      <c r="P76" s="10"/>
      <c r="Q76" s="10"/>
      <c r="R76" s="10"/>
      <c r="S76" s="10"/>
    </row>
    <row r="77" spans="1:19" x14ac:dyDescent="0.25">
      <c r="B77" s="5">
        <v>3</v>
      </c>
      <c r="C77" s="10">
        <v>0</v>
      </c>
      <c r="D77" s="10">
        <v>0</v>
      </c>
      <c r="E77" s="10">
        <v>0</v>
      </c>
      <c r="F77" s="10">
        <v>0</v>
      </c>
      <c r="G77" s="10">
        <v>0</v>
      </c>
      <c r="H77" s="10"/>
      <c r="I77" s="10"/>
      <c r="J77" s="10"/>
      <c r="K77" s="10">
        <v>0</v>
      </c>
      <c r="L77" s="10">
        <v>0</v>
      </c>
      <c r="M77" s="10">
        <v>0</v>
      </c>
      <c r="N77" s="10">
        <v>0</v>
      </c>
      <c r="O77" s="10"/>
      <c r="P77" s="10"/>
      <c r="Q77" s="10"/>
      <c r="R77" s="10"/>
      <c r="S77" s="10"/>
    </row>
    <row r="78" spans="1:19" x14ac:dyDescent="0.25">
      <c r="B78" s="5">
        <v>4</v>
      </c>
      <c r="C78" s="10">
        <v>452</v>
      </c>
      <c r="D78" s="10">
        <v>0</v>
      </c>
      <c r="E78" s="10">
        <v>0</v>
      </c>
      <c r="F78" s="10">
        <v>0</v>
      </c>
      <c r="G78" s="10">
        <v>0</v>
      </c>
      <c r="H78" s="10"/>
      <c r="I78" s="10"/>
      <c r="J78" s="10"/>
      <c r="K78" s="10">
        <v>0</v>
      </c>
      <c r="L78" s="10">
        <v>265.11661817241855</v>
      </c>
      <c r="M78" s="10">
        <v>0</v>
      </c>
      <c r="N78" s="10">
        <v>0</v>
      </c>
      <c r="O78" s="10"/>
      <c r="P78" s="10"/>
      <c r="Q78" s="10"/>
      <c r="R78" s="10"/>
      <c r="S78" s="10"/>
    </row>
    <row r="79" spans="1:19" x14ac:dyDescent="0.25">
      <c r="B79" s="5">
        <v>5</v>
      </c>
      <c r="C79" s="10">
        <v>480</v>
      </c>
      <c r="D79" s="10">
        <v>66.279154543104639</v>
      </c>
      <c r="E79" s="10">
        <v>0</v>
      </c>
      <c r="F79" s="10">
        <v>0</v>
      </c>
      <c r="G79" s="10">
        <v>0</v>
      </c>
      <c r="H79" s="10"/>
      <c r="I79" s="10"/>
      <c r="J79" s="10"/>
      <c r="K79" s="10">
        <v>185.58163272069299</v>
      </c>
      <c r="L79" s="10">
        <v>0</v>
      </c>
      <c r="M79" s="10">
        <v>0</v>
      </c>
      <c r="N79" s="10">
        <v>0</v>
      </c>
      <c r="O79" s="10"/>
      <c r="P79" s="10"/>
      <c r="Q79" s="10"/>
      <c r="R79" s="10"/>
      <c r="S79" s="10"/>
    </row>
    <row r="80" spans="1:19" x14ac:dyDescent="0.25">
      <c r="B80" s="5">
        <v>6</v>
      </c>
      <c r="C80" s="10">
        <v>484</v>
      </c>
      <c r="D80" s="10">
        <v>172.32580181207209</v>
      </c>
      <c r="E80" s="10">
        <v>0</v>
      </c>
      <c r="F80" s="10">
        <v>0</v>
      </c>
      <c r="G80" s="10">
        <v>0</v>
      </c>
      <c r="H80" s="10"/>
      <c r="I80" s="10"/>
      <c r="J80" s="10"/>
      <c r="K80" s="10">
        <v>0</v>
      </c>
      <c r="L80" s="10">
        <v>119.30247817758836</v>
      </c>
      <c r="M80" s="10">
        <v>0</v>
      </c>
      <c r="N80" s="10">
        <v>0</v>
      </c>
      <c r="O80" s="10"/>
      <c r="P80" s="10"/>
      <c r="Q80" s="10"/>
      <c r="R80" s="10"/>
      <c r="S80" s="10"/>
    </row>
    <row r="81" spans="1:19" x14ac:dyDescent="0.25">
      <c r="A81" s="7">
        <v>43360</v>
      </c>
      <c r="B81" s="5" t="s">
        <v>5</v>
      </c>
      <c r="C81" s="10">
        <v>368</v>
      </c>
      <c r="D81" s="10">
        <v>39.767492725862787</v>
      </c>
      <c r="E81" s="10">
        <v>0</v>
      </c>
      <c r="F81" s="10">
        <v>0</v>
      </c>
      <c r="G81" s="10">
        <v>0</v>
      </c>
      <c r="H81" s="10"/>
      <c r="I81" s="10"/>
      <c r="J81" s="10"/>
      <c r="K81" s="10">
        <v>125.93039363189882</v>
      </c>
      <c r="L81" s="10">
        <v>64.069849391667816</v>
      </c>
      <c r="M81" s="10">
        <v>0</v>
      </c>
      <c r="N81" s="10">
        <v>0</v>
      </c>
      <c r="O81" s="10"/>
      <c r="P81" s="10"/>
      <c r="Q81" s="10"/>
      <c r="R81" s="10"/>
      <c r="S81" s="10"/>
    </row>
    <row r="82" spans="1:19" x14ac:dyDescent="0.25">
      <c r="B82" s="5" t="s">
        <v>6</v>
      </c>
      <c r="C82" s="10">
        <v>75.316222245498579</v>
      </c>
      <c r="D82" s="10">
        <v>28.635867620237502</v>
      </c>
      <c r="E82" s="10">
        <v>0</v>
      </c>
      <c r="F82" s="10">
        <v>0</v>
      </c>
      <c r="G82" s="10">
        <v>0</v>
      </c>
      <c r="H82" s="10"/>
      <c r="I82" s="10"/>
      <c r="J82" s="10"/>
      <c r="K82" s="10">
        <v>76.513439898144924</v>
      </c>
      <c r="L82" s="10">
        <v>44.680431557177222</v>
      </c>
      <c r="M82" s="10">
        <v>0</v>
      </c>
      <c r="N82" s="10">
        <v>0</v>
      </c>
      <c r="O82" s="10"/>
      <c r="P82" s="10"/>
      <c r="Q82" s="10"/>
      <c r="R82" s="10"/>
      <c r="S82" s="10"/>
    </row>
    <row r="83" spans="1:19" x14ac:dyDescent="0.25">
      <c r="A83" s="7">
        <v>43413</v>
      </c>
      <c r="B83" s="5">
        <v>1</v>
      </c>
      <c r="C83" s="10">
        <v>377</v>
      </c>
      <c r="D83" s="10"/>
      <c r="E83" s="10">
        <v>0</v>
      </c>
      <c r="F83" s="10">
        <v>0</v>
      </c>
      <c r="G83" s="10">
        <v>0</v>
      </c>
      <c r="H83" s="10"/>
      <c r="I83" s="10"/>
      <c r="J83" s="10"/>
      <c r="K83" s="10">
        <v>665.44271161277061</v>
      </c>
      <c r="L83" s="10">
        <v>0</v>
      </c>
      <c r="M83" s="10">
        <v>0</v>
      </c>
      <c r="N83" s="10">
        <v>0</v>
      </c>
      <c r="O83" s="10"/>
      <c r="P83" s="10"/>
      <c r="Q83" s="10"/>
      <c r="R83" s="10"/>
      <c r="S83" s="10"/>
    </row>
    <row r="84" spans="1:19" x14ac:dyDescent="0.25">
      <c r="B84" s="5">
        <v>2</v>
      </c>
      <c r="C84" s="10">
        <v>270</v>
      </c>
      <c r="D84" s="10"/>
      <c r="E84" s="10">
        <v>0</v>
      </c>
      <c r="F84" s="10">
        <v>0</v>
      </c>
      <c r="G84" s="10">
        <v>0</v>
      </c>
      <c r="H84" s="10"/>
      <c r="I84" s="10"/>
      <c r="J84" s="10"/>
      <c r="K84" s="10">
        <v>178.95371726638254</v>
      </c>
      <c r="L84" s="10">
        <v>0</v>
      </c>
      <c r="M84" s="10">
        <v>0</v>
      </c>
      <c r="N84" s="10">
        <v>0</v>
      </c>
      <c r="O84" s="10"/>
      <c r="P84" s="10"/>
      <c r="Q84" s="10"/>
      <c r="R84" s="10"/>
      <c r="S84" s="10"/>
    </row>
    <row r="85" spans="1:19" x14ac:dyDescent="0.25">
      <c r="B85" s="5">
        <v>3</v>
      </c>
      <c r="C85" s="10"/>
      <c r="D85" s="10"/>
      <c r="E85" s="10">
        <v>0</v>
      </c>
      <c r="F85" s="10">
        <v>0</v>
      </c>
      <c r="G85" s="10">
        <v>0</v>
      </c>
      <c r="H85" s="10"/>
      <c r="I85" s="10"/>
      <c r="J85" s="10"/>
      <c r="K85" s="10"/>
      <c r="L85" s="10">
        <v>0</v>
      </c>
      <c r="M85" s="10">
        <v>0</v>
      </c>
      <c r="N85" s="10">
        <v>0</v>
      </c>
      <c r="O85" s="10"/>
      <c r="P85" s="10"/>
      <c r="Q85" s="10"/>
      <c r="R85" s="10"/>
      <c r="S85" s="10"/>
    </row>
    <row r="86" spans="1:19" x14ac:dyDescent="0.25">
      <c r="B86" s="5">
        <v>4</v>
      </c>
      <c r="C86" s="10"/>
      <c r="D86" s="10"/>
      <c r="E86" s="10">
        <v>0</v>
      </c>
      <c r="F86" s="10">
        <v>0</v>
      </c>
      <c r="G86" s="10">
        <v>0</v>
      </c>
      <c r="H86" s="10"/>
      <c r="I86" s="10"/>
      <c r="J86" s="10"/>
      <c r="K86" s="10"/>
      <c r="L86" s="10">
        <v>465.27966489259461</v>
      </c>
      <c r="M86" s="10">
        <v>0</v>
      </c>
      <c r="N86" s="10">
        <v>0</v>
      </c>
      <c r="O86" s="10"/>
      <c r="P86" s="10"/>
      <c r="Q86" s="10"/>
      <c r="R86" s="10"/>
      <c r="S86" s="10"/>
    </row>
    <row r="87" spans="1:19" x14ac:dyDescent="0.25">
      <c r="B87" s="5">
        <v>5</v>
      </c>
      <c r="C87" s="10">
        <v>377</v>
      </c>
      <c r="D87" s="10">
        <v>56.3</v>
      </c>
      <c r="E87" s="10">
        <v>0</v>
      </c>
      <c r="F87" s="10">
        <v>0</v>
      </c>
      <c r="G87" s="10">
        <v>0</v>
      </c>
      <c r="H87" s="10"/>
      <c r="I87" s="10"/>
      <c r="J87" s="10"/>
      <c r="K87" s="10">
        <v>342.00043744241998</v>
      </c>
      <c r="L87" s="10">
        <v>0</v>
      </c>
      <c r="M87" s="10">
        <v>0</v>
      </c>
      <c r="N87" s="10">
        <v>0</v>
      </c>
      <c r="O87" s="10"/>
      <c r="P87" s="10"/>
      <c r="Q87" s="10"/>
      <c r="R87" s="10"/>
      <c r="S87" s="10"/>
    </row>
    <row r="88" spans="1:19" x14ac:dyDescent="0.25">
      <c r="B88" s="5">
        <v>6</v>
      </c>
      <c r="C88" s="10"/>
      <c r="D88" s="10">
        <v>156.5</v>
      </c>
      <c r="E88" s="10">
        <v>0</v>
      </c>
      <c r="F88" s="10">
        <v>0</v>
      </c>
      <c r="G88" s="10">
        <v>0</v>
      </c>
      <c r="H88" s="10"/>
      <c r="I88" s="10"/>
      <c r="J88" s="10"/>
      <c r="K88" s="10"/>
      <c r="L88" s="10">
        <v>0</v>
      </c>
      <c r="M88" s="10">
        <v>0</v>
      </c>
      <c r="N88" s="10">
        <v>0</v>
      </c>
      <c r="O88" s="10"/>
      <c r="P88" s="10"/>
      <c r="Q88" s="10"/>
      <c r="R88" s="10"/>
      <c r="S88" s="10"/>
    </row>
    <row r="89" spans="1:19" x14ac:dyDescent="0.25">
      <c r="A89" s="7">
        <v>43413</v>
      </c>
      <c r="B89" s="5" t="s">
        <v>5</v>
      </c>
      <c r="C89" s="10">
        <v>341.33333333333331</v>
      </c>
      <c r="D89" s="10">
        <v>106.4</v>
      </c>
      <c r="E89" s="10">
        <v>0</v>
      </c>
      <c r="F89" s="10">
        <v>0</v>
      </c>
      <c r="G89" s="10">
        <v>0</v>
      </c>
      <c r="H89" s="10"/>
      <c r="I89" s="10"/>
      <c r="J89" s="10"/>
      <c r="K89" s="10">
        <v>395.46562210719111</v>
      </c>
      <c r="L89" s="10">
        <v>77.54661081543243</v>
      </c>
      <c r="M89" s="10">
        <v>0</v>
      </c>
      <c r="N89" s="10">
        <v>0</v>
      </c>
      <c r="O89" s="10"/>
      <c r="P89" s="10"/>
      <c r="Q89" s="10"/>
      <c r="R89" s="10"/>
      <c r="S89" s="10"/>
    </row>
    <row r="90" spans="1:19" x14ac:dyDescent="0.25">
      <c r="B90" s="5" t="s">
        <v>6</v>
      </c>
      <c r="C90" s="10">
        <v>35.666666666666714</v>
      </c>
      <c r="D90" s="10">
        <v>50.09999999999998</v>
      </c>
      <c r="E90" s="10">
        <v>0</v>
      </c>
      <c r="F90" s="10">
        <v>0</v>
      </c>
      <c r="G90" s="10">
        <v>0</v>
      </c>
      <c r="H90" s="10"/>
      <c r="I90" s="10"/>
      <c r="J90" s="10"/>
      <c r="K90" s="10">
        <v>142.95894501973694</v>
      </c>
      <c r="L90" s="10">
        <v>77.546610815432459</v>
      </c>
      <c r="M90" s="10">
        <v>0</v>
      </c>
      <c r="N90" s="10">
        <v>0</v>
      </c>
      <c r="O90" s="10"/>
      <c r="P90" s="10"/>
      <c r="Q90" s="10"/>
      <c r="R90" s="10"/>
      <c r="S90" s="10"/>
    </row>
    <row r="91" spans="1:19" x14ac:dyDescent="0.25"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</row>
    <row r="92" spans="1:19" x14ac:dyDescent="0.25"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</row>
    <row r="93" spans="1:19" x14ac:dyDescent="0.25"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</row>
    <row r="94" spans="1:19" x14ac:dyDescent="0.25"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</row>
    <row r="95" spans="1:19" x14ac:dyDescent="0.25"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</row>
    <row r="96" spans="1:19" x14ac:dyDescent="0.25"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</row>
    <row r="97" spans="3:19" x14ac:dyDescent="0.25"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</row>
    <row r="98" spans="3:19" x14ac:dyDescent="0.25"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</row>
    <row r="99" spans="3:19" x14ac:dyDescent="0.25"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</row>
    <row r="100" spans="3:19" x14ac:dyDescent="0.25"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</row>
    <row r="101" spans="3:19" x14ac:dyDescent="0.25"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</row>
    <row r="102" spans="3:19" x14ac:dyDescent="0.25"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</row>
    <row r="103" spans="3:19" x14ac:dyDescent="0.25"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</row>
    <row r="104" spans="3:19" x14ac:dyDescent="0.25"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</row>
    <row r="105" spans="3:19" x14ac:dyDescent="0.25"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</row>
    <row r="106" spans="3:19" x14ac:dyDescent="0.25"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</row>
    <row r="107" spans="3:19" x14ac:dyDescent="0.25"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</row>
    <row r="108" spans="3:19" x14ac:dyDescent="0.25"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</row>
    <row r="109" spans="3:19" x14ac:dyDescent="0.25"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</row>
    <row r="110" spans="3:19" x14ac:dyDescent="0.25"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</row>
    <row r="111" spans="3:19" x14ac:dyDescent="0.25"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</row>
    <row r="112" spans="3:19" x14ac:dyDescent="0.25"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</row>
    <row r="113" spans="3:19" x14ac:dyDescent="0.25"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</row>
    <row r="114" spans="3:19" x14ac:dyDescent="0.25"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</row>
    <row r="115" spans="3:19" x14ac:dyDescent="0.25"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</row>
    <row r="116" spans="3:19" x14ac:dyDescent="0.25"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</row>
    <row r="117" spans="3:19" x14ac:dyDescent="0.25"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</row>
    <row r="118" spans="3:19" x14ac:dyDescent="0.25"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</row>
    <row r="119" spans="3:19" x14ac:dyDescent="0.25"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</row>
    <row r="120" spans="3:19" x14ac:dyDescent="0.25"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</row>
    <row r="121" spans="3:19" x14ac:dyDescent="0.25"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</row>
    <row r="122" spans="3:19" x14ac:dyDescent="0.25"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</row>
    <row r="123" spans="3:19" x14ac:dyDescent="0.25"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</row>
    <row r="124" spans="3:19" x14ac:dyDescent="0.25"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</row>
    <row r="125" spans="3:19" x14ac:dyDescent="0.25"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</row>
    <row r="126" spans="3:19" x14ac:dyDescent="0.25"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</row>
    <row r="127" spans="3:19" x14ac:dyDescent="0.25"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</row>
    <row r="128" spans="3:19" x14ac:dyDescent="0.25"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</row>
    <row r="129" spans="3:19" x14ac:dyDescent="0.25"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</row>
    <row r="130" spans="3:19" x14ac:dyDescent="0.25"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</row>
    <row r="131" spans="3:19" x14ac:dyDescent="0.25"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</row>
    <row r="132" spans="3:19" x14ac:dyDescent="0.25"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</row>
    <row r="133" spans="3:19" x14ac:dyDescent="0.25"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</row>
    <row r="134" spans="3:19" x14ac:dyDescent="0.25"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</row>
    <row r="135" spans="3:19" x14ac:dyDescent="0.25"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</row>
    <row r="136" spans="3:19" x14ac:dyDescent="0.25"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</row>
    <row r="137" spans="3:19" x14ac:dyDescent="0.25"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</row>
    <row r="138" spans="3:19" x14ac:dyDescent="0.25"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</row>
    <row r="139" spans="3:19" x14ac:dyDescent="0.25"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</row>
    <row r="140" spans="3:19" x14ac:dyDescent="0.25"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</row>
    <row r="141" spans="3:19" x14ac:dyDescent="0.25"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</row>
    <row r="142" spans="3:19" x14ac:dyDescent="0.25"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</row>
    <row r="143" spans="3:19" x14ac:dyDescent="0.25"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</row>
  </sheetData>
  <phoneticPr fontId="2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4"/>
  <sheetViews>
    <sheetView workbookViewId="0">
      <selection activeCell="D8" sqref="D8"/>
    </sheetView>
  </sheetViews>
  <sheetFormatPr defaultColWidth="9" defaultRowHeight="13.8" x14ac:dyDescent="0.25"/>
  <cols>
    <col min="1" max="1" width="13.6640625" style="61" bestFit="1" customWidth="1"/>
    <col min="2" max="2" width="9.77734375" style="61" bestFit="1" customWidth="1"/>
    <col min="3" max="3" width="12.21875" style="61" customWidth="1"/>
    <col min="4" max="4" width="19.44140625" style="61" customWidth="1"/>
    <col min="5" max="5" width="14.6640625" style="61" customWidth="1"/>
    <col min="6" max="8" width="9.109375" style="61" bestFit="1" customWidth="1"/>
    <col min="9" max="16384" width="9" style="61"/>
  </cols>
  <sheetData>
    <row r="1" spans="1:8" x14ac:dyDescent="0.25">
      <c r="A1" s="62"/>
      <c r="B1" s="62"/>
      <c r="C1" s="59"/>
      <c r="D1" s="59"/>
      <c r="E1" s="59"/>
    </row>
    <row r="2" spans="1:8" ht="27.6" x14ac:dyDescent="0.25">
      <c r="A2" s="64" t="s">
        <v>102</v>
      </c>
      <c r="B2" s="64">
        <v>43412</v>
      </c>
      <c r="C2" s="63" t="s">
        <v>104</v>
      </c>
      <c r="D2" s="63" t="s">
        <v>105</v>
      </c>
      <c r="E2" s="63" t="s">
        <v>106</v>
      </c>
    </row>
    <row r="3" spans="1:8" x14ac:dyDescent="0.25">
      <c r="A3" s="59" t="s">
        <v>128</v>
      </c>
      <c r="B3" s="61" t="s">
        <v>107</v>
      </c>
      <c r="C3" s="59">
        <v>48</v>
      </c>
      <c r="D3" s="59">
        <v>48</v>
      </c>
      <c r="E3" s="68">
        <v>20.833333333333332</v>
      </c>
    </row>
    <row r="4" spans="1:8" x14ac:dyDescent="0.25">
      <c r="A4" s="76" t="s">
        <v>126</v>
      </c>
      <c r="B4" s="61" t="s">
        <v>108</v>
      </c>
      <c r="C4" s="59">
        <v>29</v>
      </c>
      <c r="D4" s="59">
        <v>29</v>
      </c>
      <c r="E4" s="68">
        <v>15.833333333333334</v>
      </c>
    </row>
    <row r="5" spans="1:8" x14ac:dyDescent="0.25">
      <c r="A5" s="59"/>
      <c r="B5" s="61" t="s">
        <v>109</v>
      </c>
      <c r="C5" s="59">
        <v>33</v>
      </c>
      <c r="D5" s="59">
        <v>33</v>
      </c>
      <c r="E5" s="59">
        <v>18.2</v>
      </c>
    </row>
    <row r="6" spans="1:8" x14ac:dyDescent="0.25">
      <c r="A6" s="65"/>
      <c r="C6" s="59"/>
      <c r="D6" s="59"/>
      <c r="E6" s="59"/>
    </row>
    <row r="7" spans="1:8" x14ac:dyDescent="0.25">
      <c r="A7" s="59" t="s">
        <v>127</v>
      </c>
      <c r="B7" s="61" t="s">
        <v>110</v>
      </c>
      <c r="C7" s="69">
        <v>31</v>
      </c>
      <c r="D7" s="59">
        <v>15.5</v>
      </c>
      <c r="E7" s="59">
        <v>22</v>
      </c>
    </row>
    <row r="8" spans="1:8" x14ac:dyDescent="0.25">
      <c r="A8" s="76" t="s">
        <v>126</v>
      </c>
      <c r="B8" s="61" t="s">
        <v>111</v>
      </c>
      <c r="C8" s="69">
        <v>17</v>
      </c>
      <c r="D8" s="59">
        <v>8.5</v>
      </c>
      <c r="E8" s="59">
        <v>18</v>
      </c>
    </row>
    <row r="9" spans="1:8" x14ac:dyDescent="0.25">
      <c r="A9" s="59"/>
      <c r="B9" s="61" t="s">
        <v>112</v>
      </c>
      <c r="C9" s="69">
        <v>20</v>
      </c>
      <c r="D9" s="59">
        <v>10</v>
      </c>
      <c r="E9" s="59">
        <v>20.8</v>
      </c>
    </row>
    <row r="10" spans="1:8" x14ac:dyDescent="0.25">
      <c r="A10" s="59"/>
      <c r="C10" s="59"/>
      <c r="D10" s="59"/>
      <c r="E10" s="59"/>
    </row>
    <row r="11" spans="1:8" x14ac:dyDescent="0.25">
      <c r="A11" s="56" t="s">
        <v>125</v>
      </c>
      <c r="B11" s="61" t="s">
        <v>113</v>
      </c>
      <c r="C11" s="59">
        <v>2</v>
      </c>
      <c r="D11" s="59">
        <v>8</v>
      </c>
      <c r="E11" s="59">
        <v>18.5</v>
      </c>
    </row>
    <row r="12" spans="1:8" x14ac:dyDescent="0.25">
      <c r="A12" s="76" t="s">
        <v>122</v>
      </c>
      <c r="B12" s="61" t="s">
        <v>114</v>
      </c>
      <c r="C12" s="59">
        <v>2</v>
      </c>
      <c r="D12" s="59">
        <v>8</v>
      </c>
      <c r="E12" s="59">
        <v>21</v>
      </c>
    </row>
    <row r="13" spans="1:8" x14ac:dyDescent="0.25">
      <c r="A13" s="56"/>
      <c r="B13" s="61" t="s">
        <v>115</v>
      </c>
      <c r="C13" s="59">
        <v>7</v>
      </c>
      <c r="D13" s="59">
        <v>28</v>
      </c>
      <c r="E13" s="59">
        <v>19.2</v>
      </c>
    </row>
    <row r="14" spans="1:8" x14ac:dyDescent="0.25">
      <c r="A14" s="56"/>
      <c r="F14" s="3"/>
      <c r="G14" s="3"/>
      <c r="H14" s="3"/>
    </row>
    <row r="15" spans="1:8" x14ac:dyDescent="0.25">
      <c r="A15" s="56" t="s">
        <v>124</v>
      </c>
      <c r="B15" s="61" t="s">
        <v>116</v>
      </c>
      <c r="C15" s="59">
        <v>0</v>
      </c>
      <c r="D15" s="59">
        <v>0</v>
      </c>
      <c r="E15" s="59"/>
      <c r="F15" s="3"/>
      <c r="G15" s="3"/>
      <c r="H15" s="3"/>
    </row>
    <row r="16" spans="1:8" x14ac:dyDescent="0.25">
      <c r="A16" s="76" t="s">
        <v>122</v>
      </c>
      <c r="B16" s="61" t="s">
        <v>117</v>
      </c>
      <c r="C16" s="59">
        <v>1</v>
      </c>
      <c r="D16" s="59">
        <v>4</v>
      </c>
      <c r="E16" s="59">
        <v>10</v>
      </c>
      <c r="F16" s="3"/>
      <c r="G16" s="3"/>
      <c r="H16" s="3"/>
    </row>
    <row r="17" spans="1:8" x14ac:dyDescent="0.25">
      <c r="A17" s="56"/>
      <c r="B17" s="61" t="s">
        <v>118</v>
      </c>
      <c r="C17" s="59">
        <v>2</v>
      </c>
      <c r="D17" s="59">
        <v>8</v>
      </c>
      <c r="E17" s="59">
        <v>19</v>
      </c>
      <c r="F17" s="3"/>
      <c r="G17" s="3"/>
      <c r="H17" s="3"/>
    </row>
    <row r="18" spans="1:8" x14ac:dyDescent="0.25">
      <c r="C18" s="59"/>
      <c r="D18" s="59"/>
      <c r="E18" s="59"/>
      <c r="F18" s="3"/>
      <c r="G18" s="3"/>
      <c r="H18" s="3"/>
    </row>
    <row r="19" spans="1:8" x14ac:dyDescent="0.25">
      <c r="A19" s="56" t="s">
        <v>123</v>
      </c>
      <c r="B19" s="61" t="s">
        <v>119</v>
      </c>
      <c r="C19" s="59">
        <v>0.2</v>
      </c>
      <c r="D19" s="59">
        <v>0.8</v>
      </c>
      <c r="E19" s="59">
        <v>7</v>
      </c>
      <c r="F19" s="3"/>
      <c r="G19" s="3"/>
      <c r="H19" s="3"/>
    </row>
    <row r="20" spans="1:8" x14ac:dyDescent="0.25">
      <c r="A20" s="76" t="s">
        <v>122</v>
      </c>
      <c r="B20" s="61" t="s">
        <v>120</v>
      </c>
      <c r="C20" s="59">
        <v>0.2</v>
      </c>
      <c r="D20" s="59">
        <v>0.8</v>
      </c>
      <c r="E20" s="59">
        <v>9</v>
      </c>
      <c r="F20" s="3"/>
      <c r="G20" s="3"/>
      <c r="H20" s="3"/>
    </row>
    <row r="21" spans="1:8" x14ac:dyDescent="0.25">
      <c r="A21" s="59"/>
      <c r="B21" s="61" t="s">
        <v>121</v>
      </c>
      <c r="C21" s="59">
        <v>0</v>
      </c>
      <c r="D21" s="59">
        <v>0</v>
      </c>
      <c r="E21" s="59"/>
      <c r="F21" s="3"/>
      <c r="G21" s="3"/>
      <c r="H21" s="3"/>
    </row>
    <row r="22" spans="1:8" x14ac:dyDescent="0.25">
      <c r="F22" s="3"/>
      <c r="G22" s="3"/>
      <c r="H22" s="3"/>
    </row>
    <row r="23" spans="1:8" x14ac:dyDescent="0.25">
      <c r="A23" s="56" t="s">
        <v>129</v>
      </c>
      <c r="B23" s="75" t="s">
        <v>88</v>
      </c>
      <c r="C23" s="59">
        <v>18</v>
      </c>
      <c r="D23" s="59">
        <v>72</v>
      </c>
      <c r="E23" s="72">
        <v>20.333333333333332</v>
      </c>
      <c r="F23" s="3"/>
      <c r="G23" s="3"/>
      <c r="H23" s="3"/>
    </row>
    <row r="24" spans="1:8" x14ac:dyDescent="0.25">
      <c r="A24" s="59"/>
      <c r="B24" s="75" t="s">
        <v>89</v>
      </c>
      <c r="C24" s="59">
        <v>20</v>
      </c>
      <c r="D24" s="59">
        <v>80</v>
      </c>
      <c r="E24" s="72">
        <v>23.5</v>
      </c>
      <c r="F24" s="3"/>
      <c r="G24" s="3"/>
      <c r="H24" s="3"/>
    </row>
    <row r="25" spans="1:8" x14ac:dyDescent="0.25">
      <c r="A25" s="59"/>
      <c r="B25" s="75" t="s">
        <v>90</v>
      </c>
      <c r="C25" s="59">
        <v>29</v>
      </c>
      <c r="D25" s="59">
        <v>116</v>
      </c>
      <c r="E25" s="72">
        <v>22.666666666666668</v>
      </c>
      <c r="F25" s="3"/>
      <c r="G25" s="3"/>
      <c r="H25" s="3"/>
    </row>
    <row r="26" spans="1:8" x14ac:dyDescent="0.25">
      <c r="B26" s="75" t="s">
        <v>91</v>
      </c>
      <c r="C26" s="59">
        <v>24</v>
      </c>
      <c r="D26" s="59">
        <v>96</v>
      </c>
      <c r="E26" s="72">
        <v>23.833333333333332</v>
      </c>
      <c r="F26" s="3"/>
      <c r="G26" s="3"/>
      <c r="H26" s="3"/>
    </row>
    <row r="27" spans="1:8" x14ac:dyDescent="0.25">
      <c r="A27" s="59"/>
      <c r="B27" s="75" t="s">
        <v>92</v>
      </c>
      <c r="C27" s="59">
        <v>35</v>
      </c>
      <c r="D27" s="59">
        <v>140</v>
      </c>
      <c r="E27" s="59">
        <v>21</v>
      </c>
      <c r="F27" s="3"/>
      <c r="G27" s="3"/>
      <c r="H27" s="3"/>
    </row>
    <row r="28" spans="1:8" x14ac:dyDescent="0.25">
      <c r="A28" s="59"/>
      <c r="F28" s="3"/>
      <c r="G28" s="3"/>
      <c r="H28" s="3"/>
    </row>
    <row r="29" spans="1:8" x14ac:dyDescent="0.25">
      <c r="A29" s="59"/>
      <c r="F29" s="3"/>
      <c r="G29" s="3"/>
      <c r="H29" s="3"/>
    </row>
    <row r="30" spans="1:8" x14ac:dyDescent="0.25">
      <c r="A30" s="59"/>
      <c r="F30" s="3"/>
      <c r="G30" s="3"/>
      <c r="H30" s="3"/>
    </row>
    <row r="31" spans="1:8" x14ac:dyDescent="0.25">
      <c r="A31" s="59"/>
      <c r="F31" s="3"/>
      <c r="G31" s="3"/>
      <c r="H31" s="3"/>
    </row>
    <row r="32" spans="1:8" x14ac:dyDescent="0.25">
      <c r="A32" s="59"/>
      <c r="F32" s="3"/>
      <c r="G32" s="3"/>
      <c r="H32" s="3"/>
    </row>
    <row r="33" spans="1:8" x14ac:dyDescent="0.25">
      <c r="A33" s="59"/>
      <c r="F33" s="3"/>
      <c r="G33" s="3"/>
      <c r="H33" s="3"/>
    </row>
    <row r="34" spans="1:8" x14ac:dyDescent="0.25">
      <c r="A34" s="59"/>
      <c r="F34" s="3"/>
      <c r="G34" s="3"/>
      <c r="H34" s="3"/>
    </row>
    <row r="35" spans="1:8" x14ac:dyDescent="0.25">
      <c r="A35" s="59"/>
      <c r="F35" s="3"/>
      <c r="G35" s="3"/>
      <c r="H35" s="3"/>
    </row>
    <row r="36" spans="1:8" x14ac:dyDescent="0.25">
      <c r="A36" s="59"/>
      <c r="F36" s="3"/>
      <c r="G36" s="3"/>
      <c r="H36" s="3"/>
    </row>
    <row r="37" spans="1:8" x14ac:dyDescent="0.25">
      <c r="A37" s="59"/>
      <c r="F37" s="3"/>
      <c r="G37" s="3"/>
      <c r="H37" s="3"/>
    </row>
    <row r="38" spans="1:8" x14ac:dyDescent="0.25">
      <c r="A38" s="59"/>
      <c r="F38" s="3"/>
      <c r="G38" s="3"/>
      <c r="H38" s="3"/>
    </row>
    <row r="39" spans="1:8" x14ac:dyDescent="0.25">
      <c r="A39" s="59"/>
      <c r="F39" s="3"/>
      <c r="G39" s="3"/>
      <c r="H39" s="3"/>
    </row>
    <row r="40" spans="1:8" x14ac:dyDescent="0.25">
      <c r="A40" s="59"/>
      <c r="F40" s="3"/>
      <c r="G40" s="3"/>
      <c r="H40" s="3"/>
    </row>
    <row r="41" spans="1:8" x14ac:dyDescent="0.25">
      <c r="A41" s="59"/>
      <c r="F41" s="3"/>
      <c r="G41" s="3"/>
      <c r="H41" s="3"/>
    </row>
    <row r="42" spans="1:8" x14ac:dyDescent="0.25">
      <c r="A42" s="59"/>
      <c r="F42" s="3"/>
      <c r="G42" s="3"/>
      <c r="H42" s="3"/>
    </row>
    <row r="43" spans="1:8" x14ac:dyDescent="0.25">
      <c r="A43" s="59"/>
      <c r="F43" s="3"/>
      <c r="G43" s="3"/>
      <c r="H43" s="3"/>
    </row>
    <row r="44" spans="1:8" x14ac:dyDescent="0.25">
      <c r="A44" s="59"/>
    </row>
    <row r="45" spans="1:8" x14ac:dyDescent="0.25">
      <c r="A45" s="59"/>
    </row>
    <row r="46" spans="1:8" x14ac:dyDescent="0.25">
      <c r="A46" s="59"/>
    </row>
    <row r="47" spans="1:8" x14ac:dyDescent="0.25">
      <c r="A47" s="59"/>
    </row>
    <row r="48" spans="1:8" x14ac:dyDescent="0.25">
      <c r="A48" s="59"/>
    </row>
    <row r="49" spans="1:1" x14ac:dyDescent="0.25">
      <c r="A49" s="59"/>
    </row>
    <row r="50" spans="1:1" x14ac:dyDescent="0.25">
      <c r="A50" s="59"/>
    </row>
    <row r="51" spans="1:1" x14ac:dyDescent="0.25">
      <c r="A51" s="59"/>
    </row>
    <row r="52" spans="1:1" x14ac:dyDescent="0.25">
      <c r="A52" s="59"/>
    </row>
    <row r="53" spans="1:1" x14ac:dyDescent="0.25">
      <c r="A53" s="59"/>
    </row>
    <row r="54" spans="1:1" x14ac:dyDescent="0.25">
      <c r="A54" s="59"/>
    </row>
    <row r="55" spans="1:1" x14ac:dyDescent="0.25">
      <c r="A55" s="59"/>
    </row>
    <row r="56" spans="1:1" x14ac:dyDescent="0.25">
      <c r="A56" s="59"/>
    </row>
    <row r="57" spans="1:1" x14ac:dyDescent="0.25">
      <c r="A57" s="59"/>
    </row>
    <row r="58" spans="1:1" x14ac:dyDescent="0.25">
      <c r="A58" s="59"/>
    </row>
    <row r="59" spans="1:1" x14ac:dyDescent="0.25">
      <c r="A59" s="59"/>
    </row>
    <row r="60" spans="1:1" x14ac:dyDescent="0.25">
      <c r="A60" s="59"/>
    </row>
    <row r="61" spans="1:1" x14ac:dyDescent="0.25">
      <c r="A61" s="59"/>
    </row>
    <row r="62" spans="1:1" x14ac:dyDescent="0.25">
      <c r="A62" s="59"/>
    </row>
    <row r="63" spans="1:1" x14ac:dyDescent="0.25">
      <c r="A63" s="59"/>
    </row>
    <row r="64" spans="1:1" x14ac:dyDescent="0.25">
      <c r="A64" s="59"/>
    </row>
    <row r="65" spans="1:1" x14ac:dyDescent="0.25">
      <c r="A65" s="59"/>
    </row>
    <row r="66" spans="1:1" x14ac:dyDescent="0.25">
      <c r="A66" s="59"/>
    </row>
    <row r="67" spans="1:1" x14ac:dyDescent="0.25">
      <c r="A67" s="59"/>
    </row>
    <row r="68" spans="1:1" x14ac:dyDescent="0.25">
      <c r="A68" s="59"/>
    </row>
    <row r="69" spans="1:1" x14ac:dyDescent="0.25">
      <c r="A69" s="59"/>
    </row>
    <row r="70" spans="1:1" x14ac:dyDescent="0.25">
      <c r="A70" s="59"/>
    </row>
    <row r="71" spans="1:1" x14ac:dyDescent="0.25">
      <c r="A71" s="59"/>
    </row>
    <row r="72" spans="1:1" x14ac:dyDescent="0.25">
      <c r="A72" s="59"/>
    </row>
    <row r="73" spans="1:1" x14ac:dyDescent="0.25">
      <c r="A73" s="59"/>
    </row>
    <row r="74" spans="1:1" x14ac:dyDescent="0.25">
      <c r="A74" s="59"/>
    </row>
    <row r="75" spans="1:1" x14ac:dyDescent="0.25">
      <c r="A75" s="59"/>
    </row>
    <row r="76" spans="1:1" x14ac:dyDescent="0.25">
      <c r="A76" s="59"/>
    </row>
    <row r="77" spans="1:1" x14ac:dyDescent="0.25">
      <c r="A77" s="59"/>
    </row>
    <row r="78" spans="1:1" x14ac:dyDescent="0.25">
      <c r="A78" s="59"/>
    </row>
    <row r="79" spans="1:1" x14ac:dyDescent="0.25">
      <c r="A79" s="59"/>
    </row>
    <row r="80" spans="1:1" x14ac:dyDescent="0.25">
      <c r="A80" s="59"/>
    </row>
    <row r="81" spans="1:1" x14ac:dyDescent="0.25">
      <c r="A81" s="59"/>
    </row>
    <row r="82" spans="1:1" x14ac:dyDescent="0.25">
      <c r="A82" s="59"/>
    </row>
    <row r="83" spans="1:1" x14ac:dyDescent="0.25">
      <c r="A83" s="59"/>
    </row>
    <row r="84" spans="1:1" x14ac:dyDescent="0.25">
      <c r="A84" s="59"/>
    </row>
    <row r="85" spans="1:1" x14ac:dyDescent="0.25">
      <c r="A85" s="59"/>
    </row>
    <row r="86" spans="1:1" x14ac:dyDescent="0.25">
      <c r="A86" s="59"/>
    </row>
    <row r="87" spans="1:1" x14ac:dyDescent="0.25">
      <c r="A87" s="59"/>
    </row>
    <row r="88" spans="1:1" x14ac:dyDescent="0.25">
      <c r="A88" s="59"/>
    </row>
    <row r="89" spans="1:1" x14ac:dyDescent="0.25">
      <c r="A89" s="59"/>
    </row>
    <row r="90" spans="1:1" x14ac:dyDescent="0.25">
      <c r="A90" s="59"/>
    </row>
    <row r="91" spans="1:1" x14ac:dyDescent="0.25">
      <c r="A91" s="59"/>
    </row>
    <row r="92" spans="1:1" x14ac:dyDescent="0.25">
      <c r="A92" s="59"/>
    </row>
    <row r="93" spans="1:1" x14ac:dyDescent="0.25">
      <c r="A93" s="59"/>
    </row>
    <row r="94" spans="1:1" x14ac:dyDescent="0.25">
      <c r="A94" s="59"/>
    </row>
    <row r="95" spans="1:1" x14ac:dyDescent="0.25">
      <c r="A95" s="59"/>
    </row>
    <row r="96" spans="1:1" x14ac:dyDescent="0.25">
      <c r="A96" s="59"/>
    </row>
    <row r="97" spans="1:1" x14ac:dyDescent="0.25">
      <c r="A97" s="59"/>
    </row>
    <row r="98" spans="1:1" x14ac:dyDescent="0.25">
      <c r="A98" s="59"/>
    </row>
    <row r="99" spans="1:1" x14ac:dyDescent="0.25">
      <c r="A99" s="59"/>
    </row>
    <row r="100" spans="1:1" x14ac:dyDescent="0.25">
      <c r="A100" s="59"/>
    </row>
    <row r="101" spans="1:1" x14ac:dyDescent="0.25">
      <c r="A101" s="59"/>
    </row>
    <row r="102" spans="1:1" x14ac:dyDescent="0.25">
      <c r="A102" s="59"/>
    </row>
    <row r="103" spans="1:1" x14ac:dyDescent="0.25">
      <c r="A103" s="59"/>
    </row>
    <row r="104" spans="1:1" x14ac:dyDescent="0.25">
      <c r="A104" s="59"/>
    </row>
    <row r="105" spans="1:1" x14ac:dyDescent="0.25">
      <c r="A105" s="59"/>
    </row>
    <row r="106" spans="1:1" x14ac:dyDescent="0.25">
      <c r="A106" s="59"/>
    </row>
    <row r="107" spans="1:1" x14ac:dyDescent="0.25">
      <c r="A107" s="59"/>
    </row>
    <row r="108" spans="1:1" x14ac:dyDescent="0.25">
      <c r="A108" s="59"/>
    </row>
    <row r="109" spans="1:1" x14ac:dyDescent="0.25">
      <c r="A109" s="59"/>
    </row>
    <row r="110" spans="1:1" x14ac:dyDescent="0.25">
      <c r="A110" s="59"/>
    </row>
    <row r="111" spans="1:1" x14ac:dyDescent="0.25">
      <c r="A111" s="59"/>
    </row>
    <row r="112" spans="1:1" x14ac:dyDescent="0.25">
      <c r="A112" s="59"/>
    </row>
    <row r="113" spans="1:1" x14ac:dyDescent="0.25">
      <c r="A113" s="59"/>
    </row>
    <row r="114" spans="1:1" x14ac:dyDescent="0.25">
      <c r="A114" s="59"/>
    </row>
  </sheetData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3"/>
  <sheetViews>
    <sheetView workbookViewId="0">
      <selection activeCell="G9" sqref="G9"/>
    </sheetView>
  </sheetViews>
  <sheetFormatPr defaultColWidth="8.77734375" defaultRowHeight="13.8" x14ac:dyDescent="0.25"/>
  <cols>
    <col min="1" max="1" width="10" style="7" bestFit="1" customWidth="1"/>
    <col min="2" max="2" width="8.44140625" style="5" bestFit="1" customWidth="1"/>
    <col min="3" max="4" width="2.44140625" style="5" bestFit="1" customWidth="1"/>
    <col min="5" max="5" width="14.6640625" style="5" customWidth="1"/>
    <col min="6" max="7" width="7.88671875" style="5" bestFit="1" customWidth="1"/>
    <col min="8" max="9" width="5.6640625" style="5" bestFit="1" customWidth="1"/>
    <col min="10" max="10" width="3.6640625" style="5" bestFit="1" customWidth="1"/>
    <col min="11" max="11" width="20.44140625" style="5" customWidth="1"/>
    <col min="12" max="13" width="9.33203125" style="5" bestFit="1" customWidth="1"/>
    <col min="14" max="15" width="7.88671875" style="5" bestFit="1" customWidth="1"/>
    <col min="16" max="16" width="4.44140625" style="5" bestFit="1" customWidth="1"/>
    <col min="17" max="17" width="2.44140625" style="5" bestFit="1" customWidth="1"/>
    <col min="18" max="21" width="12.5546875" style="5" bestFit="1" customWidth="1"/>
    <col min="22" max="22" width="5.44140625" style="5" bestFit="1" customWidth="1"/>
    <col min="23" max="27" width="2.44140625" style="5" bestFit="1" customWidth="1"/>
    <col min="28" max="28" width="8.77734375" style="5"/>
    <col min="29" max="29" width="5.44140625" style="5" bestFit="1" customWidth="1"/>
    <col min="30" max="34" width="2.44140625" style="5" bestFit="1" customWidth="1"/>
    <col min="35" max="16384" width="8.77734375" style="5"/>
  </cols>
  <sheetData>
    <row r="1" spans="1:14" x14ac:dyDescent="0.25">
      <c r="E1" s="6" t="s">
        <v>12</v>
      </c>
      <c r="K1" s="12" t="s">
        <v>17</v>
      </c>
    </row>
    <row r="2" spans="1:14" ht="17.25" customHeight="1" x14ac:dyDescent="0.25">
      <c r="E2" s="5" t="s">
        <v>15</v>
      </c>
      <c r="K2" s="5" t="s">
        <v>15</v>
      </c>
    </row>
    <row r="3" spans="1:14" x14ac:dyDescent="0.25">
      <c r="E3" s="5" t="s">
        <v>16</v>
      </c>
      <c r="K3" s="5" t="s">
        <v>16</v>
      </c>
    </row>
    <row r="4" spans="1:14" x14ac:dyDescent="0.25">
      <c r="A4" s="7" t="s">
        <v>131</v>
      </c>
      <c r="B4" s="5" t="s">
        <v>13</v>
      </c>
      <c r="E4" s="5" t="s">
        <v>0</v>
      </c>
      <c r="F4" s="5" t="s">
        <v>1</v>
      </c>
      <c r="G4" s="5" t="s">
        <v>2</v>
      </c>
      <c r="H4" s="5" t="s">
        <v>3</v>
      </c>
      <c r="I4" s="5" t="s">
        <v>4</v>
      </c>
      <c r="K4" s="5" t="s">
        <v>1</v>
      </c>
      <c r="L4" s="5" t="s">
        <v>2</v>
      </c>
      <c r="M4" s="5" t="s">
        <v>3</v>
      </c>
      <c r="N4" s="5" t="s">
        <v>4</v>
      </c>
    </row>
    <row r="5" spans="1:14" x14ac:dyDescent="0.25">
      <c r="A5" s="7">
        <v>42849</v>
      </c>
      <c r="B5" s="5">
        <v>1</v>
      </c>
      <c r="E5" s="5">
        <v>5.2</v>
      </c>
    </row>
    <row r="6" spans="1:14" x14ac:dyDescent="0.25">
      <c r="B6" s="8">
        <v>2</v>
      </c>
      <c r="E6" s="5">
        <v>9.4</v>
      </c>
    </row>
    <row r="7" spans="1:14" x14ac:dyDescent="0.25">
      <c r="B7" s="5">
        <v>3</v>
      </c>
      <c r="E7" s="5">
        <v>5.7</v>
      </c>
    </row>
    <row r="8" spans="1:14" x14ac:dyDescent="0.25">
      <c r="B8" s="5">
        <v>4</v>
      </c>
      <c r="E8" s="5">
        <v>7</v>
      </c>
    </row>
    <row r="9" spans="1:14" x14ac:dyDescent="0.25">
      <c r="B9" s="5">
        <v>5</v>
      </c>
      <c r="E9" s="5">
        <v>7.8</v>
      </c>
    </row>
    <row r="10" spans="1:14" x14ac:dyDescent="0.25">
      <c r="B10" s="5">
        <v>6</v>
      </c>
      <c r="E10" s="5">
        <v>10.199999999999999</v>
      </c>
    </row>
    <row r="11" spans="1:14" x14ac:dyDescent="0.25">
      <c r="A11" s="7">
        <v>42865</v>
      </c>
      <c r="B11" s="5">
        <v>1</v>
      </c>
      <c r="C11" s="10"/>
      <c r="D11" s="10"/>
      <c r="E11" s="10"/>
      <c r="F11" s="10"/>
      <c r="G11" s="10"/>
      <c r="H11" s="10">
        <v>20</v>
      </c>
      <c r="I11" s="10">
        <v>18</v>
      </c>
      <c r="J11" s="10"/>
      <c r="K11" s="10"/>
      <c r="L11" s="10"/>
      <c r="M11" s="10">
        <v>28</v>
      </c>
      <c r="N11" s="10">
        <v>22</v>
      </c>
    </row>
    <row r="12" spans="1:14" x14ac:dyDescent="0.25">
      <c r="B12" s="8">
        <v>2</v>
      </c>
      <c r="C12" s="10"/>
      <c r="D12" s="10"/>
      <c r="E12" s="10">
        <v>12</v>
      </c>
      <c r="F12" s="10">
        <v>13</v>
      </c>
      <c r="G12" s="10">
        <v>13</v>
      </c>
      <c r="H12" s="10">
        <v>15</v>
      </c>
      <c r="I12" s="10">
        <v>16</v>
      </c>
      <c r="J12" s="10"/>
      <c r="K12" s="10">
        <v>15</v>
      </c>
      <c r="L12" s="10">
        <v>14</v>
      </c>
      <c r="M12" s="10">
        <v>16</v>
      </c>
      <c r="N12" s="10">
        <v>19</v>
      </c>
    </row>
    <row r="13" spans="1:14" x14ac:dyDescent="0.25">
      <c r="B13" s="5">
        <v>3</v>
      </c>
      <c r="C13" s="10"/>
      <c r="D13" s="10"/>
      <c r="E13" s="10">
        <v>15</v>
      </c>
      <c r="F13" s="10">
        <v>14</v>
      </c>
      <c r="G13" s="10">
        <v>16</v>
      </c>
      <c r="H13" s="10">
        <v>15</v>
      </c>
      <c r="I13" s="10">
        <v>15</v>
      </c>
      <c r="J13" s="10"/>
      <c r="K13" s="10">
        <v>16</v>
      </c>
      <c r="L13" s="10">
        <v>14</v>
      </c>
      <c r="M13" s="10">
        <v>13</v>
      </c>
      <c r="N13" s="10">
        <v>17</v>
      </c>
    </row>
    <row r="14" spans="1:14" x14ac:dyDescent="0.25">
      <c r="B14" s="5">
        <v>4</v>
      </c>
      <c r="C14" s="10"/>
      <c r="D14" s="10"/>
      <c r="E14" s="10">
        <v>25</v>
      </c>
      <c r="F14" s="10">
        <v>21</v>
      </c>
      <c r="G14" s="10">
        <v>16</v>
      </c>
      <c r="H14" s="10">
        <v>21</v>
      </c>
      <c r="I14" s="10">
        <v>22</v>
      </c>
      <c r="J14" s="10"/>
      <c r="K14" s="10">
        <v>22</v>
      </c>
      <c r="L14" s="10">
        <v>25</v>
      </c>
      <c r="M14" s="10">
        <v>20</v>
      </c>
      <c r="N14" s="10">
        <v>19</v>
      </c>
    </row>
    <row r="15" spans="1:14" x14ac:dyDescent="0.25">
      <c r="B15" s="5">
        <v>5</v>
      </c>
      <c r="C15" s="10"/>
      <c r="D15" s="10"/>
      <c r="E15" s="10">
        <v>15</v>
      </c>
      <c r="F15" s="10">
        <v>19</v>
      </c>
      <c r="G15" s="10">
        <v>19</v>
      </c>
      <c r="H15" s="10">
        <v>20</v>
      </c>
      <c r="I15" s="10">
        <v>20</v>
      </c>
      <c r="J15" s="10"/>
      <c r="K15" s="10">
        <v>21</v>
      </c>
      <c r="L15" s="10">
        <v>19</v>
      </c>
      <c r="M15" s="10">
        <v>24</v>
      </c>
      <c r="N15" s="10">
        <v>24</v>
      </c>
    </row>
    <row r="16" spans="1:14" x14ac:dyDescent="0.25">
      <c r="B16" s="5">
        <v>6</v>
      </c>
      <c r="C16" s="10"/>
      <c r="D16" s="10"/>
      <c r="E16" s="10">
        <v>12</v>
      </c>
      <c r="F16" s="10">
        <v>22</v>
      </c>
      <c r="G16" s="10">
        <v>25</v>
      </c>
      <c r="H16" s="10">
        <v>16</v>
      </c>
      <c r="I16" s="10">
        <v>17</v>
      </c>
      <c r="J16" s="10"/>
      <c r="K16" s="10">
        <v>25</v>
      </c>
      <c r="L16" s="10">
        <v>21</v>
      </c>
      <c r="M16" s="10">
        <v>16</v>
      </c>
      <c r="N16" s="10">
        <v>20</v>
      </c>
    </row>
    <row r="17" spans="1:14" x14ac:dyDescent="0.25">
      <c r="A17" s="7">
        <v>42865</v>
      </c>
      <c r="B17" s="5" t="s">
        <v>5</v>
      </c>
      <c r="C17" s="10"/>
      <c r="D17" s="10"/>
      <c r="E17" s="10">
        <v>15.8</v>
      </c>
      <c r="F17" s="10">
        <v>17.8</v>
      </c>
      <c r="G17" s="10">
        <v>17.8</v>
      </c>
      <c r="H17" s="10">
        <v>17.833333333333332</v>
      </c>
      <c r="I17" s="10">
        <v>18</v>
      </c>
      <c r="J17" s="10"/>
      <c r="K17" s="10">
        <v>19.8</v>
      </c>
      <c r="L17" s="10">
        <v>18.600000000000001</v>
      </c>
      <c r="M17" s="10">
        <v>19.5</v>
      </c>
      <c r="N17" s="10">
        <v>20.166666666666668</v>
      </c>
    </row>
    <row r="18" spans="1:14" x14ac:dyDescent="0.25">
      <c r="B18" s="5" t="s">
        <v>6</v>
      </c>
      <c r="C18" s="10"/>
      <c r="D18" s="10"/>
      <c r="E18" s="10">
        <v>2.3958297101421873</v>
      </c>
      <c r="F18" s="10">
        <v>1.8275666882497057</v>
      </c>
      <c r="G18" s="10">
        <v>2.03469899493758</v>
      </c>
      <c r="H18" s="10">
        <v>1.1377365443917331</v>
      </c>
      <c r="I18" s="10">
        <v>1.0645812948447542</v>
      </c>
      <c r="J18" s="10"/>
      <c r="K18" s="10">
        <v>1.8814887722226772</v>
      </c>
      <c r="L18" s="10">
        <v>2.1118712081942883</v>
      </c>
      <c r="M18" s="10">
        <v>2.3057898140695015</v>
      </c>
      <c r="N18" s="10">
        <v>1.0137937550497058</v>
      </c>
    </row>
    <row r="19" spans="1:14" x14ac:dyDescent="0.25">
      <c r="A19" s="7">
        <v>42897</v>
      </c>
      <c r="B19" s="5">
        <v>1</v>
      </c>
      <c r="C19" s="10"/>
      <c r="D19" s="10"/>
      <c r="E19" s="10">
        <v>29.444444444444443</v>
      </c>
      <c r="F19" s="10">
        <v>33.769230769230766</v>
      </c>
      <c r="G19" s="10">
        <v>46.454545454545453</v>
      </c>
      <c r="H19" s="10">
        <v>29.833333333333332</v>
      </c>
      <c r="I19" s="10">
        <v>26.142857142857142</v>
      </c>
      <c r="J19" s="10"/>
      <c r="K19" s="10">
        <v>36.769230769230766</v>
      </c>
      <c r="L19" s="10">
        <v>35.4</v>
      </c>
      <c r="M19" s="10">
        <v>51.285714285714285</v>
      </c>
      <c r="N19" s="10">
        <v>36.285714285714285</v>
      </c>
    </row>
    <row r="20" spans="1:14" x14ac:dyDescent="0.25">
      <c r="B20" s="5">
        <v>2</v>
      </c>
      <c r="C20" s="10"/>
      <c r="D20" s="10"/>
      <c r="E20" s="10">
        <v>19</v>
      </c>
      <c r="F20" s="10">
        <v>24.636363636363637</v>
      </c>
      <c r="G20" s="10">
        <v>21.5</v>
      </c>
      <c r="H20" s="10">
        <v>32.4</v>
      </c>
      <c r="I20" s="10">
        <v>26.857142857142858</v>
      </c>
      <c r="J20" s="10"/>
      <c r="K20" s="10">
        <v>24.181818181818183</v>
      </c>
      <c r="L20" s="10">
        <v>24</v>
      </c>
      <c r="M20" s="10">
        <v>23.333333333333332</v>
      </c>
      <c r="N20" s="10">
        <v>24.666666666666668</v>
      </c>
    </row>
    <row r="21" spans="1:14" x14ac:dyDescent="0.25">
      <c r="B21" s="5">
        <v>3</v>
      </c>
      <c r="C21" s="10"/>
      <c r="D21" s="10"/>
      <c r="E21" s="10">
        <v>18.555555555555557</v>
      </c>
      <c r="F21" s="10">
        <v>22.875</v>
      </c>
      <c r="G21" s="10">
        <v>33.875</v>
      </c>
      <c r="H21" s="10">
        <v>21.2</v>
      </c>
      <c r="I21" s="10">
        <v>23.714285714285715</v>
      </c>
      <c r="J21" s="10"/>
      <c r="K21" s="10">
        <v>27</v>
      </c>
      <c r="L21" s="10">
        <v>22.333333333333332</v>
      </c>
      <c r="M21" s="10">
        <v>17</v>
      </c>
      <c r="N21" s="10">
        <v>29</v>
      </c>
    </row>
    <row r="22" spans="1:14" x14ac:dyDescent="0.25">
      <c r="B22" s="5">
        <v>4</v>
      </c>
      <c r="C22" s="10"/>
      <c r="D22" s="10"/>
      <c r="E22" s="10">
        <v>30.333333333333332</v>
      </c>
      <c r="F22" s="10">
        <v>31.5</v>
      </c>
      <c r="G22" s="10">
        <v>27</v>
      </c>
      <c r="H22" s="10">
        <v>36.222222222222221</v>
      </c>
      <c r="I22" s="10">
        <v>41.714285714285715</v>
      </c>
      <c r="J22" s="10"/>
      <c r="K22" s="10">
        <v>35</v>
      </c>
      <c r="L22" s="10">
        <v>45.571428571428569</v>
      </c>
      <c r="M22" s="10">
        <v>38.200000000000003</v>
      </c>
      <c r="N22" s="10">
        <v>29.5</v>
      </c>
    </row>
    <row r="23" spans="1:14" x14ac:dyDescent="0.25">
      <c r="B23" s="5">
        <v>5</v>
      </c>
      <c r="C23" s="10"/>
      <c r="D23" s="10"/>
      <c r="E23" s="10">
        <v>18.25</v>
      </c>
      <c r="F23" s="10">
        <v>23.285714285714285</v>
      </c>
      <c r="G23" s="10">
        <v>31.5</v>
      </c>
      <c r="H23" s="10">
        <v>35.142857142857146</v>
      </c>
      <c r="I23" s="10">
        <v>30.666666666666668</v>
      </c>
      <c r="J23" s="10"/>
      <c r="K23" s="10">
        <v>25.625</v>
      </c>
      <c r="L23" s="10">
        <v>18.375</v>
      </c>
      <c r="M23" s="10">
        <v>47.285714285714285</v>
      </c>
      <c r="N23" s="10">
        <v>31.4</v>
      </c>
    </row>
    <row r="24" spans="1:14" x14ac:dyDescent="0.25">
      <c r="B24" s="5">
        <v>6</v>
      </c>
      <c r="C24" s="10"/>
      <c r="D24" s="10"/>
      <c r="E24" s="10">
        <v>25.90909090909091</v>
      </c>
      <c r="F24" s="10">
        <v>34.6</v>
      </c>
      <c r="G24" s="10">
        <v>38.444444444444443</v>
      </c>
      <c r="H24" s="10">
        <v>21.75</v>
      </c>
      <c r="I24" s="10">
        <v>20</v>
      </c>
      <c r="J24" s="10"/>
      <c r="K24" s="10">
        <v>35.299999999999997</v>
      </c>
      <c r="L24" s="10">
        <v>37</v>
      </c>
      <c r="M24" s="10">
        <v>21.625</v>
      </c>
      <c r="N24" s="10">
        <v>17.428571428571427</v>
      </c>
    </row>
    <row r="25" spans="1:14" x14ac:dyDescent="0.25">
      <c r="A25" s="7">
        <v>42897</v>
      </c>
      <c r="B25" s="5" t="s">
        <v>5</v>
      </c>
      <c r="C25" s="10"/>
      <c r="D25" s="10"/>
      <c r="E25" s="10">
        <v>23.582070707070709</v>
      </c>
      <c r="F25" s="10">
        <v>28.444384781884779</v>
      </c>
      <c r="G25" s="10">
        <v>33.128998316498318</v>
      </c>
      <c r="H25" s="10">
        <v>29.424735449735451</v>
      </c>
      <c r="I25" s="10">
        <v>28.182539682539684</v>
      </c>
      <c r="J25" s="10"/>
      <c r="K25" s="10">
        <v>30.646008158508163</v>
      </c>
      <c r="L25" s="10">
        <v>30.446626984126983</v>
      </c>
      <c r="M25" s="10">
        <v>33.121626984126983</v>
      </c>
      <c r="N25" s="10">
        <v>28.046825396825394</v>
      </c>
    </row>
    <row r="26" spans="1:14" x14ac:dyDescent="0.25">
      <c r="B26" s="5" t="s">
        <v>6</v>
      </c>
      <c r="C26" s="10"/>
      <c r="D26" s="10"/>
      <c r="E26" s="10">
        <v>2.3097922017953443</v>
      </c>
      <c r="F26" s="10">
        <v>2.218958622455665</v>
      </c>
      <c r="G26" s="10">
        <v>3.5675974656301253</v>
      </c>
      <c r="H26" s="10">
        <v>2.6737597182967119</v>
      </c>
      <c r="I26" s="10">
        <v>3.066568485726644</v>
      </c>
      <c r="J26" s="10"/>
      <c r="K26" s="10">
        <v>2.2978278919548107</v>
      </c>
      <c r="L26" s="10">
        <v>4.2792169710324988</v>
      </c>
      <c r="M26" s="10">
        <v>5.8998172013960808</v>
      </c>
      <c r="N26" s="10">
        <v>2.6224423646014334</v>
      </c>
    </row>
    <row r="27" spans="1:14" x14ac:dyDescent="0.25">
      <c r="A27" s="7">
        <v>42924</v>
      </c>
      <c r="B27" s="5">
        <v>1</v>
      </c>
      <c r="C27" s="10"/>
      <c r="D27" s="10"/>
      <c r="E27" s="10"/>
      <c r="F27" s="10"/>
      <c r="G27" s="10"/>
      <c r="H27" s="10">
        <v>25</v>
      </c>
      <c r="I27" s="10"/>
      <c r="J27" s="10"/>
      <c r="K27" s="10"/>
      <c r="L27" s="10"/>
      <c r="M27" s="10"/>
      <c r="N27" s="10"/>
    </row>
    <row r="28" spans="1:14" x14ac:dyDescent="0.25">
      <c r="B28" s="5">
        <v>2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</row>
    <row r="29" spans="1:14" x14ac:dyDescent="0.25">
      <c r="B29" s="5">
        <v>3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</row>
    <row r="30" spans="1:14" x14ac:dyDescent="0.25">
      <c r="B30" s="5">
        <v>4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</row>
    <row r="31" spans="1:14" x14ac:dyDescent="0.25">
      <c r="B31" s="5">
        <v>5</v>
      </c>
      <c r="C31" s="10"/>
      <c r="D31" s="10"/>
      <c r="E31" s="10">
        <v>23.125</v>
      </c>
      <c r="F31" s="10">
        <v>12.5</v>
      </c>
      <c r="G31" s="10"/>
      <c r="H31" s="10"/>
      <c r="I31" s="10"/>
      <c r="J31" s="10"/>
      <c r="K31" s="10">
        <v>35.75</v>
      </c>
      <c r="L31" s="10">
        <v>15.666666666666666</v>
      </c>
      <c r="M31" s="10">
        <v>67.666666666666671</v>
      </c>
      <c r="N31" s="10">
        <v>13.6</v>
      </c>
    </row>
    <row r="32" spans="1:14" x14ac:dyDescent="0.25">
      <c r="B32" s="5">
        <v>6</v>
      </c>
      <c r="C32" s="10"/>
      <c r="D32" s="10"/>
      <c r="E32" s="10">
        <v>49.166666666666664</v>
      </c>
      <c r="F32" s="10">
        <v>27.5</v>
      </c>
      <c r="G32" s="10">
        <v>16.5</v>
      </c>
      <c r="H32" s="10"/>
      <c r="I32" s="10"/>
      <c r="J32" s="10"/>
      <c r="K32" s="10">
        <v>53.666666666666664</v>
      </c>
      <c r="L32" s="10">
        <v>27.75</v>
      </c>
      <c r="M32" s="10">
        <v>15.333333333333334</v>
      </c>
      <c r="N32" s="10"/>
    </row>
    <row r="33" spans="1:14" x14ac:dyDescent="0.25">
      <c r="A33" s="7">
        <v>42924</v>
      </c>
      <c r="B33" s="5" t="s">
        <v>5</v>
      </c>
      <c r="C33" s="10"/>
      <c r="D33" s="10"/>
      <c r="E33" s="10">
        <v>36.145833333333329</v>
      </c>
      <c r="F33" s="10">
        <v>20</v>
      </c>
      <c r="G33" s="10">
        <v>16.5</v>
      </c>
      <c r="H33" s="10">
        <v>25</v>
      </c>
      <c r="I33" s="10"/>
      <c r="J33" s="10"/>
      <c r="K33" s="10">
        <v>44.708333333333329</v>
      </c>
      <c r="L33" s="10">
        <v>21.708333333333332</v>
      </c>
      <c r="M33" s="10">
        <v>41.5</v>
      </c>
      <c r="N33" s="10">
        <v>13.6</v>
      </c>
    </row>
    <row r="34" spans="1:14" x14ac:dyDescent="0.25">
      <c r="B34" s="5" t="s">
        <v>6</v>
      </c>
      <c r="C34" s="10"/>
      <c r="D34" s="10"/>
      <c r="E34" s="10">
        <v>13.020833333333337</v>
      </c>
      <c r="F34" s="10">
        <v>7.5</v>
      </c>
      <c r="G34" s="10"/>
      <c r="H34" s="10"/>
      <c r="I34" s="10"/>
      <c r="J34" s="10"/>
      <c r="K34" s="10">
        <v>8.958333333333357</v>
      </c>
      <c r="L34" s="10">
        <v>6.0416666666666687</v>
      </c>
      <c r="M34" s="10">
        <v>26.166666666666671</v>
      </c>
      <c r="N34" s="10"/>
    </row>
    <row r="35" spans="1:14" x14ac:dyDescent="0.25">
      <c r="A35" s="7">
        <v>42951</v>
      </c>
      <c r="B35" s="5">
        <v>1</v>
      </c>
      <c r="C35" s="10"/>
      <c r="D35" s="10"/>
      <c r="E35" s="10">
        <v>62</v>
      </c>
      <c r="F35" s="10"/>
      <c r="G35" s="10"/>
      <c r="H35" s="10"/>
      <c r="I35" s="10"/>
      <c r="J35" s="10"/>
      <c r="K35" s="10"/>
      <c r="L35" s="10">
        <v>69.3</v>
      </c>
      <c r="M35" s="10">
        <v>65.900000000000006</v>
      </c>
      <c r="N35" s="10"/>
    </row>
    <row r="36" spans="1:14" x14ac:dyDescent="0.25">
      <c r="B36" s="5">
        <v>2</v>
      </c>
      <c r="C36" s="10"/>
      <c r="D36" s="10"/>
      <c r="E36" s="10">
        <v>51.5</v>
      </c>
      <c r="F36" s="10"/>
      <c r="G36" s="10"/>
      <c r="H36" s="10"/>
      <c r="I36" s="10"/>
      <c r="J36" s="10"/>
      <c r="K36" s="10">
        <v>63.6</v>
      </c>
      <c r="L36" s="10">
        <v>48.636363636363633</v>
      </c>
      <c r="M36" s="10"/>
      <c r="N36" s="10"/>
    </row>
    <row r="37" spans="1:14" x14ac:dyDescent="0.25">
      <c r="B37" s="5">
        <v>3</v>
      </c>
      <c r="C37" s="10"/>
      <c r="D37" s="10"/>
      <c r="E37" s="10">
        <v>41.5</v>
      </c>
      <c r="F37" s="10"/>
      <c r="G37" s="10"/>
      <c r="H37" s="10"/>
      <c r="I37" s="10"/>
      <c r="J37" s="10"/>
      <c r="K37" s="10">
        <v>51.428571428571431</v>
      </c>
      <c r="L37" s="10">
        <v>38.6</v>
      </c>
      <c r="M37" s="10"/>
      <c r="N37" s="10"/>
    </row>
    <row r="38" spans="1:14" x14ac:dyDescent="0.25">
      <c r="B38" s="5">
        <v>4</v>
      </c>
      <c r="C38" s="10"/>
      <c r="D38" s="10"/>
      <c r="E38" s="10">
        <v>69.5</v>
      </c>
      <c r="F38" s="10"/>
      <c r="G38" s="10"/>
      <c r="H38" s="10"/>
      <c r="I38" s="10"/>
      <c r="J38" s="10"/>
      <c r="K38" s="10">
        <v>55.4</v>
      </c>
      <c r="L38" s="10">
        <v>69</v>
      </c>
      <c r="M38" s="10">
        <v>34</v>
      </c>
      <c r="N38" s="10"/>
    </row>
    <row r="39" spans="1:14" x14ac:dyDescent="0.25">
      <c r="B39" s="5">
        <v>5</v>
      </c>
      <c r="C39" s="10"/>
      <c r="D39" s="10"/>
      <c r="E39" s="10">
        <v>43.5</v>
      </c>
      <c r="F39" s="10"/>
      <c r="G39" s="10"/>
      <c r="H39" s="10"/>
      <c r="I39" s="10"/>
      <c r="J39" s="10"/>
      <c r="K39" s="10">
        <v>31.333333333333332</v>
      </c>
      <c r="L39" s="10">
        <v>49.1</v>
      </c>
      <c r="M39" s="10">
        <v>45</v>
      </c>
      <c r="N39" s="10"/>
    </row>
    <row r="40" spans="1:14" x14ac:dyDescent="0.25">
      <c r="B40" s="5">
        <v>6</v>
      </c>
      <c r="C40" s="10"/>
      <c r="D40" s="10"/>
      <c r="E40" s="10">
        <v>65.555555555555557</v>
      </c>
      <c r="F40" s="10">
        <v>53.666666666666664</v>
      </c>
      <c r="G40" s="10">
        <v>39</v>
      </c>
      <c r="H40" s="10"/>
      <c r="I40" s="10"/>
      <c r="J40" s="10"/>
      <c r="K40" s="10">
        <v>77.285714285714292</v>
      </c>
      <c r="L40" s="10">
        <v>82</v>
      </c>
      <c r="M40" s="10"/>
      <c r="N40" s="10"/>
    </row>
    <row r="41" spans="1:14" x14ac:dyDescent="0.25">
      <c r="A41" s="7">
        <v>42951</v>
      </c>
      <c r="B41" s="5" t="s">
        <v>5</v>
      </c>
      <c r="C41" s="10"/>
      <c r="D41" s="10"/>
      <c r="E41" s="10">
        <v>55.592592592592588</v>
      </c>
      <c r="F41" s="10">
        <v>53.666666666666664</v>
      </c>
      <c r="G41" s="10">
        <v>39</v>
      </c>
      <c r="H41" s="10">
        <v>0</v>
      </c>
      <c r="I41" s="10">
        <v>0</v>
      </c>
      <c r="J41" s="10"/>
      <c r="K41" s="10">
        <v>55.809523809523817</v>
      </c>
      <c r="L41" s="10">
        <v>59.439393939393938</v>
      </c>
      <c r="M41" s="10">
        <v>48.300000000000004</v>
      </c>
      <c r="N41" s="10">
        <v>0</v>
      </c>
    </row>
    <row r="42" spans="1:14" x14ac:dyDescent="0.25">
      <c r="B42" s="5" t="s">
        <v>6</v>
      </c>
      <c r="C42" s="10"/>
      <c r="D42" s="10"/>
      <c r="E42" s="10">
        <v>4.8142592272042899</v>
      </c>
      <c r="F42" s="10">
        <v>0</v>
      </c>
      <c r="G42" s="10">
        <v>0</v>
      </c>
      <c r="H42" s="10">
        <v>0</v>
      </c>
      <c r="I42" s="10">
        <v>0</v>
      </c>
      <c r="J42" s="10"/>
      <c r="K42" s="10">
        <v>7.5510351289922006</v>
      </c>
      <c r="L42" s="10">
        <v>6.7218711593172458</v>
      </c>
      <c r="M42" s="10">
        <v>9.3553906029269172</v>
      </c>
      <c r="N42" s="10">
        <v>0</v>
      </c>
    </row>
    <row r="43" spans="1:14" x14ac:dyDescent="0.25">
      <c r="A43" s="7">
        <v>42970</v>
      </c>
      <c r="B43" s="5">
        <v>1</v>
      </c>
      <c r="C43" s="10"/>
      <c r="D43" s="10"/>
      <c r="E43" s="10">
        <v>82.6</v>
      </c>
      <c r="F43" s="10"/>
      <c r="G43" s="10"/>
      <c r="H43" s="10"/>
      <c r="I43" s="10"/>
      <c r="J43" s="10"/>
      <c r="K43" s="10"/>
      <c r="L43" s="10"/>
      <c r="M43" s="10"/>
      <c r="N43" s="10"/>
    </row>
    <row r="44" spans="1:14" x14ac:dyDescent="0.25">
      <c r="B44" s="5">
        <v>2</v>
      </c>
      <c r="C44" s="10"/>
      <c r="D44" s="10"/>
      <c r="E44" s="10">
        <v>62.714285714285715</v>
      </c>
      <c r="F44" s="10"/>
      <c r="G44" s="10"/>
      <c r="H44" s="10"/>
      <c r="I44" s="10"/>
      <c r="J44" s="10"/>
      <c r="K44" s="10">
        <v>18.5</v>
      </c>
      <c r="L44" s="10">
        <v>24</v>
      </c>
      <c r="M44" s="10"/>
      <c r="N44" s="10"/>
    </row>
    <row r="45" spans="1:14" x14ac:dyDescent="0.25">
      <c r="B45" s="5">
        <v>3</v>
      </c>
      <c r="C45" s="10"/>
      <c r="D45" s="10"/>
      <c r="E45" s="10">
        <v>53.428571428571431</v>
      </c>
      <c r="F45" s="10"/>
      <c r="G45" s="10"/>
      <c r="H45" s="10"/>
      <c r="I45" s="10"/>
      <c r="J45" s="10"/>
      <c r="K45" s="10"/>
      <c r="L45" s="10">
        <v>18.75</v>
      </c>
      <c r="M45" s="10"/>
      <c r="N45" s="10"/>
    </row>
    <row r="46" spans="1:14" x14ac:dyDescent="0.25">
      <c r="B46" s="5">
        <v>4</v>
      </c>
      <c r="C46" s="10"/>
      <c r="D46" s="10"/>
      <c r="E46" s="10">
        <v>86.666666666666671</v>
      </c>
      <c r="F46" s="10"/>
      <c r="G46" s="10"/>
      <c r="H46" s="10"/>
      <c r="I46" s="10"/>
      <c r="J46" s="10"/>
      <c r="K46" s="10">
        <v>15.5</v>
      </c>
      <c r="L46" s="10"/>
      <c r="M46" s="10"/>
      <c r="N46" s="10"/>
    </row>
    <row r="47" spans="1:14" x14ac:dyDescent="0.25">
      <c r="B47" s="5">
        <v>5</v>
      </c>
      <c r="C47" s="10"/>
      <c r="D47" s="10"/>
      <c r="E47" s="10">
        <v>73.428571428571431</v>
      </c>
      <c r="F47" s="10"/>
      <c r="G47" s="10"/>
      <c r="H47" s="10"/>
      <c r="I47" s="10"/>
      <c r="J47" s="10"/>
      <c r="K47" s="10">
        <v>11.5</v>
      </c>
      <c r="L47" s="10"/>
      <c r="M47" s="10"/>
      <c r="N47" s="10"/>
    </row>
    <row r="48" spans="1:14" x14ac:dyDescent="0.25">
      <c r="B48" s="5">
        <v>6</v>
      </c>
      <c r="C48" s="10"/>
      <c r="D48" s="10"/>
      <c r="E48" s="10">
        <v>96.333333333333329</v>
      </c>
      <c r="F48" s="10">
        <v>24.142857142857142</v>
      </c>
      <c r="G48" s="10">
        <v>16.75</v>
      </c>
      <c r="H48" s="10"/>
      <c r="I48" s="10"/>
      <c r="J48" s="10"/>
      <c r="K48" s="10"/>
      <c r="L48" s="10">
        <v>25.5</v>
      </c>
      <c r="M48" s="10"/>
      <c r="N48" s="10"/>
    </row>
    <row r="49" spans="1:14" x14ac:dyDescent="0.25">
      <c r="A49" s="7">
        <v>42970</v>
      </c>
      <c r="B49" s="5" t="s">
        <v>5</v>
      </c>
      <c r="C49" s="10"/>
      <c r="D49" s="10"/>
      <c r="E49" s="10">
        <v>75.861904761904768</v>
      </c>
      <c r="F49" s="10">
        <v>24.142857142857142</v>
      </c>
      <c r="G49" s="10">
        <v>16.75</v>
      </c>
      <c r="H49" s="10">
        <v>0</v>
      </c>
      <c r="I49" s="10">
        <v>0</v>
      </c>
      <c r="J49" s="10"/>
      <c r="K49" s="10">
        <v>15.166666666666666</v>
      </c>
      <c r="L49" s="10">
        <v>22.75</v>
      </c>
      <c r="M49" s="10">
        <v>0</v>
      </c>
      <c r="N49" s="10">
        <v>0</v>
      </c>
    </row>
    <row r="50" spans="1:14" x14ac:dyDescent="0.25">
      <c r="B50" s="5" t="s">
        <v>6</v>
      </c>
      <c r="C50" s="10"/>
      <c r="D50" s="10"/>
      <c r="E50" s="10">
        <v>6.4891181660484758</v>
      </c>
      <c r="F50" s="10">
        <v>0</v>
      </c>
      <c r="G50" s="10">
        <v>0</v>
      </c>
      <c r="H50" s="10">
        <v>0</v>
      </c>
      <c r="I50" s="10">
        <v>0</v>
      </c>
      <c r="J50" s="10"/>
      <c r="K50" s="10">
        <v>2.027587510099405</v>
      </c>
      <c r="L50" s="10">
        <v>2.0463381929681126</v>
      </c>
      <c r="M50" s="10">
        <v>0</v>
      </c>
      <c r="N50" s="10">
        <v>0</v>
      </c>
    </row>
    <row r="51" spans="1:14" x14ac:dyDescent="0.25">
      <c r="A51" s="7">
        <v>43043</v>
      </c>
      <c r="B51" s="5">
        <v>1</v>
      </c>
      <c r="C51" s="10"/>
      <c r="D51" s="10"/>
      <c r="E51" s="10">
        <v>96.666666666666671</v>
      </c>
      <c r="F51" s="10"/>
      <c r="G51" s="10"/>
      <c r="H51" s="10"/>
      <c r="I51" s="10"/>
      <c r="J51" s="10"/>
      <c r="K51" s="10">
        <v>16</v>
      </c>
      <c r="L51" s="10"/>
      <c r="M51" s="10"/>
      <c r="N51" s="10"/>
    </row>
    <row r="52" spans="1:14" x14ac:dyDescent="0.25">
      <c r="B52" s="5">
        <v>2</v>
      </c>
      <c r="C52" s="10"/>
      <c r="D52" s="10"/>
      <c r="E52" s="10">
        <v>78.666666666666671</v>
      </c>
      <c r="F52" s="10"/>
      <c r="G52" s="10"/>
      <c r="H52" s="10"/>
      <c r="I52" s="10"/>
      <c r="J52" s="10"/>
      <c r="K52" s="10">
        <v>27</v>
      </c>
      <c r="L52" s="10">
        <v>31</v>
      </c>
      <c r="M52" s="10"/>
      <c r="N52" s="10"/>
    </row>
    <row r="53" spans="1:14" x14ac:dyDescent="0.25">
      <c r="B53" s="5">
        <v>3</v>
      </c>
      <c r="C53" s="10"/>
      <c r="D53" s="10"/>
      <c r="E53" s="10">
        <v>81.5</v>
      </c>
      <c r="F53" s="10"/>
      <c r="G53" s="10"/>
      <c r="H53" s="10"/>
      <c r="I53" s="10"/>
      <c r="J53" s="10"/>
      <c r="K53" s="10"/>
      <c r="L53" s="10">
        <v>24</v>
      </c>
      <c r="M53" s="10"/>
      <c r="N53" s="10"/>
    </row>
    <row r="54" spans="1:14" x14ac:dyDescent="0.25">
      <c r="B54" s="5">
        <v>4</v>
      </c>
      <c r="C54" s="10"/>
      <c r="D54" s="10"/>
      <c r="E54" s="10">
        <v>107.8</v>
      </c>
      <c r="F54" s="10"/>
      <c r="G54" s="10"/>
      <c r="H54" s="10"/>
      <c r="I54" s="10"/>
      <c r="J54" s="10"/>
      <c r="K54" s="10">
        <v>18.666666666666668</v>
      </c>
      <c r="L54" s="10"/>
      <c r="M54" s="10"/>
      <c r="N54" s="10"/>
    </row>
    <row r="55" spans="1:14" x14ac:dyDescent="0.25">
      <c r="B55" s="5">
        <v>5</v>
      </c>
      <c r="C55" s="10"/>
      <c r="D55" s="10"/>
      <c r="E55" s="10">
        <v>96.666666666666671</v>
      </c>
      <c r="F55" s="10"/>
      <c r="G55" s="10"/>
      <c r="H55" s="10"/>
      <c r="I55" s="10"/>
      <c r="J55" s="10"/>
      <c r="K55" s="10">
        <v>40.333333333333336</v>
      </c>
      <c r="L55" s="10"/>
      <c r="M55" s="10"/>
      <c r="N55" s="10"/>
    </row>
    <row r="56" spans="1:14" x14ac:dyDescent="0.25">
      <c r="B56" s="5">
        <v>6</v>
      </c>
      <c r="C56" s="10"/>
      <c r="D56" s="10"/>
      <c r="E56" s="10">
        <v>97.333333333333329</v>
      </c>
      <c r="F56" s="10">
        <v>89.8</v>
      </c>
      <c r="G56" s="10">
        <v>63.5</v>
      </c>
      <c r="H56" s="10"/>
      <c r="I56" s="10"/>
      <c r="J56" s="10"/>
      <c r="K56" s="10"/>
      <c r="L56" s="10"/>
      <c r="M56" s="10"/>
      <c r="N56" s="10"/>
    </row>
    <row r="57" spans="1:14" x14ac:dyDescent="0.25">
      <c r="A57" s="7">
        <v>43043</v>
      </c>
      <c r="B57" s="5" t="s">
        <v>5</v>
      </c>
      <c r="C57" s="10"/>
      <c r="D57" s="10"/>
      <c r="E57" s="10">
        <v>93.105555555555569</v>
      </c>
      <c r="F57" s="10">
        <v>89.8</v>
      </c>
      <c r="G57" s="10">
        <v>63.5</v>
      </c>
      <c r="H57" s="10">
        <v>0</v>
      </c>
      <c r="I57" s="10">
        <v>0</v>
      </c>
      <c r="J57" s="10"/>
      <c r="K57" s="10">
        <v>25.5</v>
      </c>
      <c r="L57" s="10">
        <v>27.5</v>
      </c>
      <c r="M57" s="10">
        <v>0</v>
      </c>
      <c r="N57" s="10">
        <v>0</v>
      </c>
    </row>
    <row r="58" spans="1:14" x14ac:dyDescent="0.25">
      <c r="B58" s="5" t="s">
        <v>6</v>
      </c>
      <c r="C58" s="10"/>
      <c r="D58" s="10"/>
      <c r="E58" s="10">
        <v>4.4808267810722837</v>
      </c>
      <c r="F58" s="10">
        <v>0</v>
      </c>
      <c r="G58" s="10">
        <v>0</v>
      </c>
      <c r="H58" s="10">
        <v>0</v>
      </c>
      <c r="I58" s="10">
        <v>0</v>
      </c>
      <c r="J58" s="10"/>
      <c r="K58" s="10">
        <v>5.4713056197936174</v>
      </c>
      <c r="L58" s="10">
        <v>3.4999999999999996</v>
      </c>
      <c r="M58" s="10">
        <v>0</v>
      </c>
      <c r="N58" s="10">
        <v>0</v>
      </c>
    </row>
    <row r="59" spans="1:14" x14ac:dyDescent="0.25">
      <c r="A59" s="7">
        <v>43207</v>
      </c>
      <c r="B59" s="5">
        <v>1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</row>
    <row r="60" spans="1:14" x14ac:dyDescent="0.25">
      <c r="B60" s="5">
        <v>2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</row>
    <row r="61" spans="1:14" x14ac:dyDescent="0.25">
      <c r="B61" s="5">
        <v>3</v>
      </c>
      <c r="C61" s="10"/>
      <c r="D61" s="10"/>
      <c r="E61" s="10">
        <v>11.266666666666666</v>
      </c>
      <c r="F61" s="10"/>
      <c r="G61" s="10"/>
      <c r="H61" s="10"/>
      <c r="I61" s="10"/>
      <c r="J61" s="10"/>
      <c r="K61" s="10">
        <v>8</v>
      </c>
      <c r="L61" s="10"/>
      <c r="M61" s="10"/>
      <c r="N61" s="10"/>
    </row>
    <row r="62" spans="1:14" x14ac:dyDescent="0.25">
      <c r="B62" s="5">
        <v>4</v>
      </c>
      <c r="C62" s="10"/>
      <c r="D62" s="10"/>
      <c r="E62" s="10">
        <v>9.06</v>
      </c>
      <c r="F62" s="10"/>
      <c r="G62" s="10"/>
      <c r="H62" s="10"/>
      <c r="I62" s="10"/>
      <c r="J62" s="10"/>
      <c r="K62" s="10"/>
      <c r="L62" s="10">
        <v>11</v>
      </c>
      <c r="M62" s="10"/>
      <c r="N62" s="10"/>
    </row>
    <row r="63" spans="1:14" x14ac:dyDescent="0.25">
      <c r="B63" s="5">
        <v>5</v>
      </c>
      <c r="C63" s="10"/>
      <c r="D63" s="10"/>
      <c r="E63" s="10">
        <v>13.733333333333334</v>
      </c>
      <c r="F63" s="10"/>
      <c r="G63" s="10"/>
      <c r="H63" s="10"/>
      <c r="I63" s="10"/>
      <c r="J63" s="10"/>
      <c r="K63" s="10">
        <v>6.5749999999999993</v>
      </c>
      <c r="L63" s="10"/>
      <c r="M63" s="10"/>
      <c r="N63" s="10"/>
    </row>
    <row r="64" spans="1:14" x14ac:dyDescent="0.25">
      <c r="B64" s="5">
        <v>6</v>
      </c>
      <c r="C64" s="10"/>
      <c r="D64" s="10"/>
      <c r="E64" s="10">
        <v>8.1800000000000015</v>
      </c>
      <c r="F64" s="10"/>
      <c r="G64" s="10"/>
      <c r="H64" s="10"/>
      <c r="I64" s="10"/>
      <c r="J64" s="10"/>
      <c r="K64" s="10"/>
      <c r="L64" s="10">
        <v>14.549999999999999</v>
      </c>
      <c r="M64" s="10"/>
      <c r="N64" s="10"/>
    </row>
    <row r="65" spans="1:14" x14ac:dyDescent="0.25">
      <c r="A65" s="7">
        <v>43207</v>
      </c>
      <c r="B65" s="5" t="s">
        <v>5</v>
      </c>
      <c r="C65" s="10"/>
      <c r="D65" s="10"/>
      <c r="E65" s="10">
        <v>10.56</v>
      </c>
      <c r="F65" s="10">
        <v>0</v>
      </c>
      <c r="G65" s="10">
        <v>0</v>
      </c>
      <c r="H65" s="10">
        <v>0</v>
      </c>
      <c r="I65" s="10">
        <v>0</v>
      </c>
      <c r="J65" s="10"/>
      <c r="K65" s="10">
        <v>7.2874999999999996</v>
      </c>
      <c r="L65" s="10">
        <v>12.774999999999999</v>
      </c>
      <c r="M65" s="10"/>
      <c r="N65" s="10">
        <v>0</v>
      </c>
    </row>
    <row r="66" spans="1:14" x14ac:dyDescent="0.25">
      <c r="B66" s="5" t="s">
        <v>6</v>
      </c>
      <c r="C66" s="10"/>
      <c r="D66" s="10"/>
      <c r="E66" s="10">
        <v>1.2410956927322416</v>
      </c>
      <c r="F66" s="10">
        <v>0</v>
      </c>
      <c r="G66" s="10">
        <v>0</v>
      </c>
      <c r="H66" s="10">
        <v>0</v>
      </c>
      <c r="I66" s="10">
        <v>0</v>
      </c>
      <c r="J66" s="10"/>
      <c r="K66" s="10">
        <v>0.71250000000000024</v>
      </c>
      <c r="L66" s="10">
        <v>1.7750000000000052</v>
      </c>
      <c r="M66" s="10">
        <v>0</v>
      </c>
      <c r="N66" s="10">
        <v>0</v>
      </c>
    </row>
    <row r="67" spans="1:14" x14ac:dyDescent="0.25">
      <c r="A67" s="7">
        <v>43248</v>
      </c>
      <c r="B67" s="5">
        <v>1</v>
      </c>
      <c r="C67" s="10"/>
      <c r="D67" s="10"/>
      <c r="E67" s="10">
        <v>40.24285714285714</v>
      </c>
      <c r="F67" s="10">
        <v>9.0799999999999983</v>
      </c>
      <c r="G67" s="10"/>
      <c r="H67" s="10">
        <v>0</v>
      </c>
      <c r="I67" s="10">
        <v>0</v>
      </c>
      <c r="J67" s="10"/>
      <c r="K67" s="10">
        <v>40.24285714285714</v>
      </c>
      <c r="L67" s="10">
        <v>16.3</v>
      </c>
      <c r="M67" s="10">
        <v>33.583333333333336</v>
      </c>
      <c r="N67" s="10">
        <v>0</v>
      </c>
    </row>
    <row r="68" spans="1:14" x14ac:dyDescent="0.25">
      <c r="B68" s="5">
        <v>2</v>
      </c>
      <c r="C68" s="10"/>
      <c r="D68" s="10"/>
      <c r="E68" s="10"/>
      <c r="F68" s="10"/>
      <c r="G68" s="10"/>
      <c r="H68" s="10">
        <v>0</v>
      </c>
      <c r="I68" s="10">
        <v>0</v>
      </c>
      <c r="J68" s="10"/>
      <c r="K68" s="10"/>
      <c r="L68" s="10"/>
      <c r="M68" s="10"/>
      <c r="N68" s="10">
        <v>0</v>
      </c>
    </row>
    <row r="69" spans="1:14" x14ac:dyDescent="0.25">
      <c r="B69" s="5">
        <v>3</v>
      </c>
      <c r="C69" s="10"/>
      <c r="D69" s="10"/>
      <c r="E69" s="10"/>
      <c r="F69" s="10"/>
      <c r="G69" s="10"/>
      <c r="H69" s="10">
        <v>0</v>
      </c>
      <c r="I69" s="10">
        <v>0</v>
      </c>
      <c r="J69" s="10"/>
      <c r="K69" s="10"/>
      <c r="L69" s="10">
        <v>6.9749999999999996</v>
      </c>
      <c r="M69" s="10"/>
      <c r="N69" s="10">
        <v>1</v>
      </c>
    </row>
    <row r="70" spans="1:14" x14ac:dyDescent="0.25">
      <c r="B70" s="5">
        <v>4</v>
      </c>
      <c r="C70" s="10"/>
      <c r="D70" s="10"/>
      <c r="E70" s="10"/>
      <c r="F70" s="10"/>
      <c r="G70" s="10"/>
      <c r="H70" s="10">
        <v>0</v>
      </c>
      <c r="I70" s="10">
        <v>0</v>
      </c>
      <c r="J70" s="10"/>
      <c r="K70" s="10"/>
      <c r="L70" s="10"/>
      <c r="M70" s="10"/>
      <c r="N70" s="10">
        <v>0</v>
      </c>
    </row>
    <row r="71" spans="1:14" x14ac:dyDescent="0.25">
      <c r="B71" s="5">
        <v>5</v>
      </c>
      <c r="C71" s="10"/>
      <c r="D71" s="10"/>
      <c r="E71" s="10"/>
      <c r="F71" s="10"/>
      <c r="G71" s="10"/>
      <c r="H71" s="10">
        <v>0</v>
      </c>
      <c r="I71" s="10">
        <v>0</v>
      </c>
      <c r="J71" s="10"/>
      <c r="K71" s="10"/>
      <c r="L71" s="10"/>
      <c r="M71" s="10"/>
      <c r="N71" s="10">
        <v>0</v>
      </c>
    </row>
    <row r="72" spans="1:14" x14ac:dyDescent="0.25">
      <c r="B72" s="5">
        <v>6</v>
      </c>
      <c r="C72" s="10"/>
      <c r="D72" s="10"/>
      <c r="E72" s="10">
        <v>37.228571428571421</v>
      </c>
      <c r="F72" s="10">
        <v>27.522222222222226</v>
      </c>
      <c r="G72" s="10">
        <v>12.3</v>
      </c>
      <c r="H72" s="10">
        <v>0</v>
      </c>
      <c r="I72" s="10">
        <v>0</v>
      </c>
      <c r="J72" s="10"/>
      <c r="K72" s="10">
        <v>27.522222222222226</v>
      </c>
      <c r="L72" s="10"/>
      <c r="M72" s="10">
        <v>26.333333333333332</v>
      </c>
      <c r="N72" s="10">
        <v>3.8</v>
      </c>
    </row>
    <row r="73" spans="1:14" x14ac:dyDescent="0.25">
      <c r="A73" s="7">
        <v>43248</v>
      </c>
      <c r="B73" s="5" t="s">
        <v>5</v>
      </c>
      <c r="C73" s="10"/>
      <c r="D73" s="10"/>
      <c r="E73" s="10">
        <v>38.73571428571428</v>
      </c>
      <c r="F73" s="10">
        <v>18.301111111111112</v>
      </c>
      <c r="G73" s="10">
        <v>12.3</v>
      </c>
      <c r="H73" s="10">
        <v>0</v>
      </c>
      <c r="I73" s="10">
        <v>0</v>
      </c>
      <c r="J73" s="10"/>
      <c r="K73" s="10">
        <v>33.882539682539687</v>
      </c>
      <c r="L73" s="10">
        <v>11.637499999999999</v>
      </c>
      <c r="M73" s="10">
        <v>29.958333333333336</v>
      </c>
      <c r="N73" s="10">
        <v>0.79999999999999993</v>
      </c>
    </row>
    <row r="74" spans="1:14" x14ac:dyDescent="0.25">
      <c r="B74" s="5" t="s">
        <v>6</v>
      </c>
      <c r="C74" s="10"/>
      <c r="D74" s="10"/>
      <c r="E74" s="10">
        <v>1.5071428571428596</v>
      </c>
      <c r="F74" s="10">
        <v>9.2211111111111137</v>
      </c>
      <c r="G74" s="10"/>
      <c r="H74" s="10">
        <v>0</v>
      </c>
      <c r="I74" s="10">
        <v>0</v>
      </c>
      <c r="J74" s="10"/>
      <c r="K74" s="10">
        <v>6.3603174603174333</v>
      </c>
      <c r="L74" s="10">
        <v>4.6625000000000014</v>
      </c>
      <c r="M74" s="10">
        <v>3.624999999999984</v>
      </c>
      <c r="N74" s="10">
        <v>0.62182527020592104</v>
      </c>
    </row>
    <row r="75" spans="1:14" x14ac:dyDescent="0.25">
      <c r="A75" s="7">
        <v>43360</v>
      </c>
      <c r="B75" s="5">
        <v>1</v>
      </c>
      <c r="C75" s="10"/>
      <c r="D75" s="10"/>
      <c r="E75" s="10">
        <v>156.88888888888889</v>
      </c>
      <c r="F75" s="10">
        <v>0</v>
      </c>
      <c r="G75" s="10">
        <v>0</v>
      </c>
      <c r="H75" s="10">
        <v>0</v>
      </c>
      <c r="I75" s="10">
        <v>0</v>
      </c>
      <c r="J75" s="10"/>
      <c r="K75" s="10">
        <v>66.909090909090907</v>
      </c>
      <c r="L75" s="10">
        <v>0</v>
      </c>
      <c r="M75" s="10">
        <v>0</v>
      </c>
      <c r="N75" s="10">
        <v>0</v>
      </c>
    </row>
    <row r="76" spans="1:14" x14ac:dyDescent="0.25">
      <c r="B76" s="5">
        <v>2</v>
      </c>
      <c r="C76" s="10"/>
      <c r="D76" s="10"/>
      <c r="E76" s="10">
        <v>145.9</v>
      </c>
      <c r="F76" s="10">
        <v>0</v>
      </c>
      <c r="G76" s="10">
        <v>0</v>
      </c>
      <c r="H76" s="10">
        <v>0</v>
      </c>
      <c r="I76" s="10">
        <v>0</v>
      </c>
      <c r="J76" s="10"/>
      <c r="K76" s="10">
        <v>76.714285714285708</v>
      </c>
      <c r="L76" s="10">
        <v>0</v>
      </c>
      <c r="M76" s="10">
        <v>0</v>
      </c>
      <c r="N76" s="10">
        <v>0</v>
      </c>
    </row>
    <row r="77" spans="1:14" x14ac:dyDescent="0.25">
      <c r="B77" s="5">
        <v>3</v>
      </c>
      <c r="C77" s="10"/>
      <c r="D77" s="10"/>
      <c r="E77" s="10"/>
      <c r="F77" s="10"/>
      <c r="G77" s="10"/>
      <c r="H77" s="10">
        <v>0</v>
      </c>
      <c r="I77" s="10">
        <v>0</v>
      </c>
      <c r="J77" s="10"/>
      <c r="K77" s="10"/>
      <c r="L77" s="10"/>
      <c r="M77" s="10">
        <v>0</v>
      </c>
      <c r="N77" s="10">
        <v>0</v>
      </c>
    </row>
    <row r="78" spans="1:14" x14ac:dyDescent="0.25">
      <c r="B78" s="5">
        <v>4</v>
      </c>
      <c r="C78" s="10"/>
      <c r="D78" s="10"/>
      <c r="E78" s="10">
        <v>150.69999999999999</v>
      </c>
      <c r="F78" s="10">
        <v>0</v>
      </c>
      <c r="G78" s="10">
        <v>0</v>
      </c>
      <c r="H78" s="10">
        <v>0</v>
      </c>
      <c r="I78" s="10">
        <v>0</v>
      </c>
      <c r="J78" s="10"/>
      <c r="K78" s="10"/>
      <c r="L78" s="10">
        <v>96.8</v>
      </c>
      <c r="M78" s="10">
        <v>0</v>
      </c>
      <c r="N78" s="10">
        <v>0</v>
      </c>
    </row>
    <row r="79" spans="1:14" x14ac:dyDescent="0.25">
      <c r="B79" s="5">
        <v>5</v>
      </c>
      <c r="C79" s="10"/>
      <c r="D79" s="10"/>
      <c r="E79" s="10">
        <v>142.22222222222223</v>
      </c>
      <c r="F79" s="10">
        <v>48.8</v>
      </c>
      <c r="G79" s="10">
        <v>0</v>
      </c>
      <c r="H79" s="10">
        <v>0</v>
      </c>
      <c r="I79" s="10">
        <v>0</v>
      </c>
      <c r="J79" s="10"/>
      <c r="K79" s="10">
        <v>118.5</v>
      </c>
      <c r="L79" s="10">
        <v>0</v>
      </c>
      <c r="M79" s="10">
        <v>0</v>
      </c>
      <c r="N79" s="10">
        <v>0</v>
      </c>
    </row>
    <row r="80" spans="1:14" x14ac:dyDescent="0.25">
      <c r="B80" s="5">
        <v>6</v>
      </c>
      <c r="C80" s="10"/>
      <c r="D80" s="10"/>
      <c r="E80" s="10">
        <v>167.75</v>
      </c>
      <c r="F80" s="10">
        <v>137.11111111111111</v>
      </c>
      <c r="G80" s="10">
        <v>0</v>
      </c>
      <c r="H80" s="10">
        <v>0</v>
      </c>
      <c r="I80" s="10">
        <v>0</v>
      </c>
      <c r="J80" s="10"/>
      <c r="K80" s="10"/>
      <c r="L80" s="10">
        <v>71.625</v>
      </c>
      <c r="M80" s="10">
        <v>0</v>
      </c>
      <c r="N80" s="10">
        <v>0</v>
      </c>
    </row>
    <row r="81" spans="1:14" x14ac:dyDescent="0.25">
      <c r="A81" s="7">
        <v>43360</v>
      </c>
      <c r="B81" s="5" t="s">
        <v>5</v>
      </c>
      <c r="C81" s="10"/>
      <c r="D81" s="10"/>
      <c r="E81" s="10">
        <v>152.69222222222223</v>
      </c>
      <c r="F81" s="10">
        <v>37.182222222222222</v>
      </c>
      <c r="G81" s="10">
        <v>0</v>
      </c>
      <c r="H81" s="10">
        <v>0</v>
      </c>
      <c r="I81" s="10">
        <v>0</v>
      </c>
      <c r="J81" s="10"/>
      <c r="K81" s="10">
        <v>87.374458874458867</v>
      </c>
      <c r="L81" s="10">
        <v>33.685000000000002</v>
      </c>
      <c r="M81" s="10">
        <v>0</v>
      </c>
      <c r="N81" s="10">
        <v>0</v>
      </c>
    </row>
    <row r="82" spans="1:14" x14ac:dyDescent="0.25">
      <c r="B82" s="5" t="s">
        <v>6</v>
      </c>
      <c r="C82" s="10"/>
      <c r="D82" s="10"/>
      <c r="E82" s="10">
        <v>4.4948460196919688</v>
      </c>
      <c r="F82" s="10">
        <v>26.709837647587712</v>
      </c>
      <c r="G82" s="10">
        <v>0</v>
      </c>
      <c r="H82" s="10">
        <v>0</v>
      </c>
      <c r="I82" s="10">
        <v>0</v>
      </c>
      <c r="J82" s="10"/>
      <c r="K82" s="10">
        <v>15.818079782960066</v>
      </c>
      <c r="L82" s="10">
        <v>21.008313235478948</v>
      </c>
      <c r="M82" s="10">
        <v>0</v>
      </c>
      <c r="N82" s="10">
        <v>0</v>
      </c>
    </row>
    <row r="83" spans="1:14" x14ac:dyDescent="0.25">
      <c r="A83" s="7">
        <v>43413</v>
      </c>
      <c r="B83" s="5">
        <v>1</v>
      </c>
      <c r="C83" s="10"/>
      <c r="D83" s="10"/>
      <c r="E83" s="10">
        <v>160.30000000000001</v>
      </c>
      <c r="F83" s="10"/>
      <c r="G83" s="10">
        <v>0</v>
      </c>
      <c r="H83" s="10">
        <v>0</v>
      </c>
      <c r="I83" s="10">
        <v>0</v>
      </c>
      <c r="J83" s="10"/>
      <c r="K83" s="10">
        <v>140.30000000000001</v>
      </c>
      <c r="L83" s="10"/>
      <c r="M83" s="10">
        <v>0</v>
      </c>
      <c r="N83" s="10">
        <v>0</v>
      </c>
    </row>
    <row r="84" spans="1:14" x14ac:dyDescent="0.25">
      <c r="B84" s="5">
        <v>2</v>
      </c>
      <c r="C84" s="10"/>
      <c r="D84" s="10"/>
      <c r="E84" s="10">
        <v>158.9</v>
      </c>
      <c r="F84" s="10"/>
      <c r="G84" s="10">
        <v>0</v>
      </c>
      <c r="H84" s="10">
        <v>0</v>
      </c>
      <c r="I84" s="10">
        <v>0</v>
      </c>
      <c r="J84" s="10"/>
      <c r="K84" s="10">
        <v>138.5</v>
      </c>
      <c r="L84" s="10"/>
      <c r="M84" s="10">
        <v>0</v>
      </c>
      <c r="N84" s="10">
        <v>0</v>
      </c>
    </row>
    <row r="85" spans="1:14" x14ac:dyDescent="0.25">
      <c r="B85" s="5">
        <v>3</v>
      </c>
      <c r="C85" s="10"/>
      <c r="D85" s="10"/>
      <c r="E85" s="10"/>
      <c r="F85" s="10"/>
      <c r="G85" s="10">
        <v>0</v>
      </c>
      <c r="H85" s="10">
        <v>0</v>
      </c>
      <c r="I85" s="10">
        <v>0</v>
      </c>
      <c r="J85" s="10"/>
      <c r="K85" s="10"/>
      <c r="L85" s="10"/>
      <c r="M85" s="10">
        <v>0</v>
      </c>
      <c r="N85" s="10">
        <v>0</v>
      </c>
    </row>
    <row r="86" spans="1:14" x14ac:dyDescent="0.25">
      <c r="B86" s="5">
        <v>4</v>
      </c>
      <c r="C86" s="10"/>
      <c r="D86" s="10"/>
      <c r="E86" s="10"/>
      <c r="F86" s="10"/>
      <c r="G86" s="10">
        <v>0</v>
      </c>
      <c r="H86" s="10">
        <v>0</v>
      </c>
      <c r="I86" s="10">
        <v>0</v>
      </c>
      <c r="J86" s="10"/>
      <c r="K86" s="10"/>
      <c r="L86" s="10">
        <v>145.6</v>
      </c>
      <c r="M86" s="10">
        <v>0</v>
      </c>
      <c r="N86" s="10">
        <v>0</v>
      </c>
    </row>
    <row r="87" spans="1:14" x14ac:dyDescent="0.25">
      <c r="B87" s="5">
        <v>5</v>
      </c>
      <c r="C87" s="10"/>
      <c r="D87" s="10"/>
      <c r="E87" s="10">
        <v>150</v>
      </c>
      <c r="F87" s="10">
        <v>138.1</v>
      </c>
      <c r="G87" s="10">
        <v>0</v>
      </c>
      <c r="H87" s="10">
        <v>0</v>
      </c>
      <c r="I87" s="10">
        <v>0</v>
      </c>
      <c r="J87" s="10"/>
      <c r="K87" s="10">
        <v>146.80000000000001</v>
      </c>
      <c r="L87" s="10"/>
      <c r="M87" s="10">
        <v>0</v>
      </c>
      <c r="N87" s="10">
        <v>0</v>
      </c>
    </row>
    <row r="88" spans="1:14" x14ac:dyDescent="0.25">
      <c r="B88" s="5">
        <v>6</v>
      </c>
      <c r="C88" s="10"/>
      <c r="D88" s="10"/>
      <c r="E88" s="10"/>
      <c r="F88" s="10">
        <v>150.5</v>
      </c>
      <c r="G88" s="10">
        <v>0</v>
      </c>
      <c r="H88" s="10">
        <v>0</v>
      </c>
      <c r="I88" s="10">
        <v>0</v>
      </c>
      <c r="J88" s="10"/>
      <c r="K88" s="10"/>
      <c r="L88" s="10">
        <v>137.30000000000001</v>
      </c>
      <c r="M88" s="10">
        <v>0</v>
      </c>
      <c r="N88" s="10">
        <v>0</v>
      </c>
    </row>
    <row r="89" spans="1:14" x14ac:dyDescent="0.25">
      <c r="A89" s="7">
        <v>43413</v>
      </c>
      <c r="B89" s="5" t="s">
        <v>5</v>
      </c>
      <c r="C89" s="10"/>
      <c r="D89" s="10"/>
      <c r="E89" s="10">
        <v>156.4</v>
      </c>
      <c r="F89" s="10">
        <v>144.30000000000001</v>
      </c>
      <c r="G89" s="10">
        <v>0</v>
      </c>
      <c r="H89" s="10">
        <v>0</v>
      </c>
      <c r="I89" s="10">
        <v>0</v>
      </c>
      <c r="J89" s="10"/>
      <c r="K89" s="10">
        <v>141.86666666666667</v>
      </c>
      <c r="L89" s="10">
        <v>141.44999999999999</v>
      </c>
      <c r="M89" s="10">
        <v>0</v>
      </c>
      <c r="N89" s="10">
        <v>0</v>
      </c>
    </row>
    <row r="90" spans="1:14" x14ac:dyDescent="0.25">
      <c r="B90" s="5" t="s">
        <v>6</v>
      </c>
      <c r="C90" s="10"/>
      <c r="D90" s="10"/>
      <c r="E90" s="10">
        <v>3.2254198693090106</v>
      </c>
      <c r="F90" s="10">
        <v>6.2000000000000028</v>
      </c>
      <c r="G90" s="10">
        <v>0</v>
      </c>
      <c r="H90" s="10">
        <v>0</v>
      </c>
      <c r="I90" s="10">
        <v>0</v>
      </c>
      <c r="J90" s="10"/>
      <c r="K90" s="10">
        <v>2.5208023414072867</v>
      </c>
      <c r="L90" s="10">
        <v>4.1499999999999906</v>
      </c>
      <c r="M90" s="10">
        <v>0</v>
      </c>
      <c r="N90" s="10">
        <v>0</v>
      </c>
    </row>
    <row r="91" spans="1:14" x14ac:dyDescent="0.25"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</row>
    <row r="92" spans="1:14" x14ac:dyDescent="0.25"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</row>
    <row r="93" spans="1:14" x14ac:dyDescent="0.25"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</row>
    <row r="94" spans="1:14" x14ac:dyDescent="0.25"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</row>
    <row r="95" spans="1:14" x14ac:dyDescent="0.25"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</row>
    <row r="96" spans="1:14" x14ac:dyDescent="0.25"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</row>
    <row r="97" spans="3:14" x14ac:dyDescent="0.25"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</row>
    <row r="98" spans="3:14" x14ac:dyDescent="0.25"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</row>
    <row r="99" spans="3:14" x14ac:dyDescent="0.25"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</row>
    <row r="100" spans="3:14" x14ac:dyDescent="0.25"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</row>
    <row r="101" spans="3:14" x14ac:dyDescent="0.25"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</row>
    <row r="102" spans="3:14" x14ac:dyDescent="0.25"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</row>
    <row r="103" spans="3:14" x14ac:dyDescent="0.25"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</row>
    <row r="104" spans="3:14" x14ac:dyDescent="0.25"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</row>
    <row r="105" spans="3:14" x14ac:dyDescent="0.25"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</row>
    <row r="106" spans="3:14" x14ac:dyDescent="0.25"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</row>
    <row r="107" spans="3:14" x14ac:dyDescent="0.25"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</row>
    <row r="108" spans="3:14" x14ac:dyDescent="0.25"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</row>
    <row r="109" spans="3:14" x14ac:dyDescent="0.25"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</row>
    <row r="110" spans="3:14" x14ac:dyDescent="0.25"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</row>
    <row r="111" spans="3:14" x14ac:dyDescent="0.25"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</row>
    <row r="112" spans="3:14" x14ac:dyDescent="0.25"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</row>
    <row r="113" spans="3:14" x14ac:dyDescent="0.25"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</row>
    <row r="114" spans="3:14" x14ac:dyDescent="0.25"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</row>
    <row r="115" spans="3:14" x14ac:dyDescent="0.25"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</row>
    <row r="116" spans="3:14" x14ac:dyDescent="0.25"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</row>
    <row r="117" spans="3:14" x14ac:dyDescent="0.25"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</row>
    <row r="118" spans="3:14" x14ac:dyDescent="0.25"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</row>
    <row r="119" spans="3:14" x14ac:dyDescent="0.25"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</row>
    <row r="120" spans="3:14" x14ac:dyDescent="0.25"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</row>
    <row r="121" spans="3:14" x14ac:dyDescent="0.25"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</row>
    <row r="122" spans="3:14" x14ac:dyDescent="0.25"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</row>
    <row r="123" spans="3:14" x14ac:dyDescent="0.25"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</row>
    <row r="124" spans="3:14" x14ac:dyDescent="0.25"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</row>
    <row r="125" spans="3:14" x14ac:dyDescent="0.25"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</row>
    <row r="126" spans="3:14" x14ac:dyDescent="0.25"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</row>
    <row r="127" spans="3:14" x14ac:dyDescent="0.25"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</row>
    <row r="128" spans="3:14" x14ac:dyDescent="0.25"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</row>
    <row r="129" spans="3:14" x14ac:dyDescent="0.25"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</row>
    <row r="130" spans="3:14" x14ac:dyDescent="0.25"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</row>
    <row r="131" spans="3:14" x14ac:dyDescent="0.25"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</row>
    <row r="132" spans="3:14" x14ac:dyDescent="0.25"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</row>
    <row r="133" spans="3:14" x14ac:dyDescent="0.25"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</row>
    <row r="134" spans="3:14" x14ac:dyDescent="0.25"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</row>
    <row r="135" spans="3:14" x14ac:dyDescent="0.25"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</row>
    <row r="136" spans="3:14" x14ac:dyDescent="0.25"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</row>
    <row r="137" spans="3:14" x14ac:dyDescent="0.25"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</row>
    <row r="138" spans="3:14" x14ac:dyDescent="0.25"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</row>
    <row r="139" spans="3:14" x14ac:dyDescent="0.25"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</row>
    <row r="140" spans="3:14" x14ac:dyDescent="0.25"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</row>
    <row r="141" spans="3:14" x14ac:dyDescent="0.25"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</row>
    <row r="142" spans="3:14" x14ac:dyDescent="0.25"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</row>
    <row r="143" spans="3:14" x14ac:dyDescent="0.25"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</row>
  </sheetData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"/>
  <sheetViews>
    <sheetView workbookViewId="0">
      <pane ySplit="1" topLeftCell="A2" activePane="bottomLeft" state="frozen"/>
      <selection pane="bottomLeft" activeCell="G10" sqref="G10"/>
    </sheetView>
  </sheetViews>
  <sheetFormatPr defaultColWidth="9" defaultRowHeight="13.8" x14ac:dyDescent="0.25"/>
  <cols>
    <col min="1" max="1" width="11" style="17" bestFit="1" customWidth="1"/>
    <col min="2" max="2" width="39.88671875" style="17" bestFit="1" customWidth="1"/>
    <col min="3" max="3" width="10" style="17" customWidth="1"/>
    <col min="4" max="4" width="16.88671875" style="17" bestFit="1" customWidth="1"/>
    <col min="5" max="5" width="12.6640625" style="17" bestFit="1" customWidth="1"/>
    <col min="6" max="6" width="5.77734375" style="17" bestFit="1" customWidth="1"/>
    <col min="7" max="7" width="11.109375" style="17" bestFit="1" customWidth="1"/>
    <col min="8" max="8" width="5.5546875" style="17" bestFit="1" customWidth="1"/>
    <col min="9" max="9" width="6.5546875" style="17" bestFit="1" customWidth="1"/>
    <col min="10" max="10" width="5.5546875" style="17" bestFit="1" customWidth="1"/>
    <col min="11" max="11" width="6" style="17" bestFit="1" customWidth="1"/>
    <col min="12" max="12" width="5.5546875" style="17" bestFit="1" customWidth="1"/>
    <col min="13" max="13" width="5.44140625" style="17" bestFit="1" customWidth="1"/>
    <col min="14" max="14" width="8.21875" style="17" bestFit="1" customWidth="1"/>
    <col min="15" max="15" width="4.5546875" style="17" bestFit="1" customWidth="1"/>
    <col min="16" max="16" width="10.21875" style="17" bestFit="1" customWidth="1"/>
    <col min="17" max="17" width="7.88671875" style="17" bestFit="1" customWidth="1"/>
    <col min="18" max="19" width="9" style="17"/>
    <col min="20" max="20" width="10" style="17" customWidth="1"/>
    <col min="21" max="16384" width="9" style="17"/>
  </cols>
  <sheetData>
    <row r="1" spans="1:24" x14ac:dyDescent="0.25">
      <c r="A1" s="17" t="s">
        <v>66</v>
      </c>
      <c r="B1" s="17" t="s">
        <v>67</v>
      </c>
      <c r="C1" s="17" t="s">
        <v>66</v>
      </c>
      <c r="D1" s="3" t="s">
        <v>63</v>
      </c>
      <c r="E1" s="17" t="s">
        <v>65</v>
      </c>
    </row>
    <row r="2" spans="1:24" ht="15.6" x14ac:dyDescent="0.25">
      <c r="A2" s="79">
        <v>43260</v>
      </c>
    </row>
    <row r="3" spans="1:24" ht="15.6" x14ac:dyDescent="0.25">
      <c r="B3" s="20" t="s">
        <v>68</v>
      </c>
      <c r="C3" s="19" t="s">
        <v>35</v>
      </c>
      <c r="D3" s="17">
        <v>300</v>
      </c>
      <c r="E3" s="21">
        <f>AVERAGE(64,67,65,72,66,63,60,62,54,54)</f>
        <v>62.7</v>
      </c>
      <c r="G3" s="22"/>
      <c r="H3" s="22"/>
      <c r="I3" s="22"/>
      <c r="J3" s="22"/>
    </row>
    <row r="4" spans="1:24" ht="15.6" x14ac:dyDescent="0.25">
      <c r="B4" s="20" t="s">
        <v>68</v>
      </c>
      <c r="C4" s="19" t="s">
        <v>36</v>
      </c>
      <c r="D4" s="17">
        <v>208</v>
      </c>
      <c r="E4" s="21">
        <f>AVERAGE(52,62,43,48,73,47,59,47,42,84,46)</f>
        <v>54.81818181818182</v>
      </c>
      <c r="G4" s="23"/>
      <c r="H4" s="23"/>
      <c r="I4" s="23"/>
      <c r="J4" s="23"/>
    </row>
    <row r="5" spans="1:24" ht="15.6" x14ac:dyDescent="0.25">
      <c r="B5" s="20" t="s">
        <v>68</v>
      </c>
      <c r="C5" s="19" t="s">
        <v>37</v>
      </c>
      <c r="D5" s="17">
        <v>236</v>
      </c>
      <c r="E5" s="21">
        <f>AVERAGE(59,72,44,48,64,45,50,57,73,67,62)</f>
        <v>58.272727272727273</v>
      </c>
    </row>
    <row r="6" spans="1:24" ht="15.6" x14ac:dyDescent="0.25">
      <c r="B6" s="20" t="s">
        <v>69</v>
      </c>
      <c r="C6" s="24" t="s">
        <v>38</v>
      </c>
      <c r="D6" s="17">
        <v>252</v>
      </c>
      <c r="E6" s="21">
        <f>AVERAGE(92,101,76,81,91,93,67,79,82,83)</f>
        <v>84.5</v>
      </c>
      <c r="G6" s="22"/>
      <c r="H6" s="22"/>
      <c r="I6" s="22"/>
      <c r="J6" s="22"/>
    </row>
    <row r="7" spans="1:24" ht="15.6" x14ac:dyDescent="0.25">
      <c r="B7" s="20" t="s">
        <v>69</v>
      </c>
      <c r="C7" s="24" t="s">
        <v>39</v>
      </c>
      <c r="D7" s="17">
        <v>248</v>
      </c>
      <c r="E7" s="21">
        <f>AVERAGE(69,64,77,71,79,70,79,78,62,75)</f>
        <v>72.400000000000006</v>
      </c>
      <c r="G7" s="23"/>
      <c r="H7" s="23"/>
      <c r="I7" s="23"/>
      <c r="J7" s="23"/>
    </row>
    <row r="8" spans="1:24" ht="15.6" x14ac:dyDescent="0.25">
      <c r="B8" s="20" t="s">
        <v>70</v>
      </c>
      <c r="C8" s="25" t="s">
        <v>40</v>
      </c>
      <c r="D8" s="17">
        <v>296</v>
      </c>
      <c r="E8" s="21">
        <f>AVERAGE(82,75,65,77,97,101,76,61,68,63)</f>
        <v>76.5</v>
      </c>
      <c r="G8" s="22"/>
      <c r="H8" s="22"/>
      <c r="I8" s="22"/>
      <c r="J8" s="22"/>
    </row>
    <row r="9" spans="1:24" ht="15.6" x14ac:dyDescent="0.25">
      <c r="B9" s="20" t="s">
        <v>70</v>
      </c>
      <c r="C9" s="25" t="s">
        <v>41</v>
      </c>
      <c r="D9" s="17">
        <v>400</v>
      </c>
      <c r="E9" s="21">
        <f>AVERAGE(102,76,91,70,88,87,72,97,70,68)</f>
        <v>82.1</v>
      </c>
      <c r="G9" s="23"/>
      <c r="H9" s="23"/>
      <c r="I9" s="23"/>
      <c r="J9" s="23"/>
    </row>
    <row r="10" spans="1:24" ht="15.6" x14ac:dyDescent="0.25">
      <c r="B10" s="20" t="s">
        <v>70</v>
      </c>
      <c r="C10" s="25" t="s">
        <v>42</v>
      </c>
      <c r="D10" s="17">
        <v>256</v>
      </c>
      <c r="E10" s="21">
        <f>AVERAGE(72,35,72,59,69,56,54,50,58,47)</f>
        <v>57.2</v>
      </c>
    </row>
    <row r="12" spans="1:24" ht="15.6" x14ac:dyDescent="0.25">
      <c r="A12" s="79">
        <v>43274</v>
      </c>
      <c r="D12" s="18"/>
      <c r="E12" s="18"/>
      <c r="F12" s="18"/>
      <c r="G12" s="18"/>
      <c r="H12" s="18"/>
      <c r="I12" s="18"/>
      <c r="J12" s="26"/>
      <c r="K12" s="78"/>
      <c r="L12" s="78"/>
      <c r="M12" s="27"/>
      <c r="X12" s="27"/>
    </row>
    <row r="13" spans="1:24" ht="15.75" customHeight="1" x14ac:dyDescent="0.25">
      <c r="B13" s="20" t="s">
        <v>71</v>
      </c>
      <c r="C13" s="28" t="s">
        <v>43</v>
      </c>
      <c r="D13" s="29">
        <v>16</v>
      </c>
      <c r="E13" s="23">
        <f>AVERAGE(23,19,18,13,)</f>
        <v>14.6</v>
      </c>
      <c r="G13" s="23"/>
      <c r="H13" s="23"/>
      <c r="I13" s="23"/>
      <c r="J13" s="23"/>
      <c r="K13" s="30"/>
      <c r="L13" s="30"/>
    </row>
    <row r="14" spans="1:24" ht="15.6" x14ac:dyDescent="0.25">
      <c r="B14" s="20" t="s">
        <v>71</v>
      </c>
      <c r="C14" s="28" t="s">
        <v>44</v>
      </c>
      <c r="D14" s="29">
        <v>16</v>
      </c>
      <c r="E14" s="23">
        <f>AVERAGE(34,31)</f>
        <v>32.5</v>
      </c>
      <c r="G14" s="23"/>
      <c r="H14" s="23"/>
      <c r="I14" s="23"/>
      <c r="J14" s="23"/>
    </row>
    <row r="15" spans="1:24" ht="15.6" x14ac:dyDescent="0.25">
      <c r="B15" s="20" t="s">
        <v>71</v>
      </c>
      <c r="C15" s="28" t="s">
        <v>45</v>
      </c>
      <c r="D15" s="29">
        <v>76</v>
      </c>
      <c r="E15" s="23">
        <f>AVERAGE(11,23,19,9,14,26,7,22,18,15,13)</f>
        <v>16.09090909090909</v>
      </c>
      <c r="G15" s="23"/>
      <c r="H15" s="23"/>
      <c r="I15" s="23"/>
      <c r="J15" s="23"/>
      <c r="K15" s="31"/>
      <c r="L15" s="30"/>
    </row>
    <row r="16" spans="1:24" ht="15.6" x14ac:dyDescent="0.25">
      <c r="B16" s="20" t="s">
        <v>72</v>
      </c>
      <c r="C16" s="32" t="s">
        <v>46</v>
      </c>
      <c r="D16" s="17">
        <v>4</v>
      </c>
      <c r="E16" s="30">
        <f>AVERAGE(23)</f>
        <v>23</v>
      </c>
      <c r="G16" s="33"/>
      <c r="H16" s="33"/>
      <c r="I16" s="33"/>
      <c r="J16" s="23"/>
      <c r="K16" s="30"/>
      <c r="L16" s="30"/>
    </row>
    <row r="17" spans="1:22" ht="15.6" x14ac:dyDescent="0.25">
      <c r="B17" s="20" t="s">
        <v>72</v>
      </c>
      <c r="C17" s="32" t="s">
        <v>47</v>
      </c>
      <c r="D17" s="34">
        <v>16</v>
      </c>
      <c r="E17" s="33">
        <f>AVERAGE(19,26,17,24)</f>
        <v>21.5</v>
      </c>
      <c r="G17" s="33"/>
      <c r="H17" s="33"/>
      <c r="I17" s="33"/>
      <c r="J17" s="23"/>
    </row>
    <row r="18" spans="1:22" ht="15.6" x14ac:dyDescent="0.25">
      <c r="B18" s="20" t="s">
        <v>72</v>
      </c>
      <c r="C18" s="35" t="s">
        <v>48</v>
      </c>
      <c r="D18" s="36">
        <v>16</v>
      </c>
      <c r="E18" s="30">
        <f>AVERAGE(10,18,15,21)</f>
        <v>16</v>
      </c>
      <c r="G18" s="33"/>
      <c r="H18" s="23"/>
      <c r="I18" s="23"/>
      <c r="J18" s="23"/>
      <c r="K18" s="30"/>
      <c r="L18" s="30"/>
    </row>
    <row r="19" spans="1:22" ht="15.75" customHeight="1" x14ac:dyDescent="0.25">
      <c r="B19" s="20" t="s">
        <v>72</v>
      </c>
      <c r="C19" s="35" t="s">
        <v>49</v>
      </c>
      <c r="D19" s="17">
        <v>24</v>
      </c>
      <c r="E19" s="37">
        <f>AVERAGE(19,15,16,22,22,24)</f>
        <v>19.666666666666668</v>
      </c>
      <c r="G19" s="33"/>
      <c r="H19" s="23"/>
      <c r="I19" s="23"/>
      <c r="J19" s="23"/>
      <c r="K19" s="30"/>
      <c r="L19" s="30"/>
    </row>
    <row r="20" spans="1:22" ht="15.6" x14ac:dyDescent="0.25">
      <c r="B20" s="20" t="s">
        <v>72</v>
      </c>
      <c r="C20" s="35" t="s">
        <v>50</v>
      </c>
      <c r="D20" s="17">
        <v>52</v>
      </c>
      <c r="E20" s="30">
        <f>AVERAGE(24,31,15,33,21,9,17,28,18,20)</f>
        <v>21.6</v>
      </c>
      <c r="G20" s="38"/>
      <c r="H20" s="37"/>
      <c r="I20" s="37"/>
      <c r="J20" s="37"/>
    </row>
    <row r="21" spans="1:22" ht="15.6" x14ac:dyDescent="0.25">
      <c r="B21" s="20" t="s">
        <v>68</v>
      </c>
      <c r="C21" s="19" t="s">
        <v>35</v>
      </c>
      <c r="D21" s="17">
        <v>0</v>
      </c>
      <c r="E21" s="30">
        <v>0</v>
      </c>
      <c r="F21" s="30"/>
      <c r="G21" s="23"/>
      <c r="H21" s="23"/>
      <c r="I21" s="23"/>
      <c r="J21" s="23"/>
      <c r="K21" s="30"/>
      <c r="L21" s="30"/>
    </row>
    <row r="22" spans="1:22" ht="15.6" x14ac:dyDescent="0.25">
      <c r="B22" s="20" t="s">
        <v>68</v>
      </c>
      <c r="C22" s="19" t="s">
        <v>36</v>
      </c>
      <c r="D22" s="17">
        <v>0</v>
      </c>
      <c r="E22" s="30">
        <v>0</v>
      </c>
      <c r="F22" s="30"/>
      <c r="K22" s="30"/>
      <c r="L22" s="30"/>
    </row>
    <row r="23" spans="1:22" ht="15.75" customHeight="1" x14ac:dyDescent="0.25">
      <c r="B23" s="20" t="s">
        <v>68</v>
      </c>
      <c r="C23" s="19" t="s">
        <v>37</v>
      </c>
      <c r="D23" s="17">
        <v>0</v>
      </c>
      <c r="E23" s="30">
        <v>0</v>
      </c>
      <c r="F23" s="30"/>
      <c r="K23" s="30"/>
      <c r="L23" s="30"/>
    </row>
    <row r="24" spans="1:22" ht="15.6" x14ac:dyDescent="0.25">
      <c r="B24" s="20" t="s">
        <v>69</v>
      </c>
      <c r="C24" s="24" t="s">
        <v>38</v>
      </c>
      <c r="D24" s="17">
        <v>0</v>
      </c>
      <c r="E24" s="30">
        <v>0</v>
      </c>
      <c r="F24" s="30"/>
      <c r="G24" s="23"/>
      <c r="H24" s="23"/>
      <c r="I24" s="23"/>
      <c r="J24" s="23"/>
      <c r="K24" s="30"/>
      <c r="L24" s="30"/>
    </row>
    <row r="25" spans="1:22" ht="15.6" x14ac:dyDescent="0.25">
      <c r="B25" s="20" t="s">
        <v>69</v>
      </c>
      <c r="C25" s="24" t="s">
        <v>39</v>
      </c>
      <c r="D25" s="34">
        <v>0</v>
      </c>
      <c r="E25" s="33">
        <v>0</v>
      </c>
      <c r="F25" s="30"/>
      <c r="G25" s="33"/>
      <c r="H25" s="33"/>
      <c r="I25" s="33"/>
      <c r="J25" s="33"/>
      <c r="K25" s="30"/>
      <c r="L25" s="30"/>
    </row>
    <row r="26" spans="1:22" ht="15.6" x14ac:dyDescent="0.25">
      <c r="B26" s="20" t="s">
        <v>70</v>
      </c>
      <c r="C26" s="25" t="s">
        <v>40</v>
      </c>
      <c r="D26" s="36">
        <v>0</v>
      </c>
      <c r="E26" s="37">
        <v>0</v>
      </c>
      <c r="F26" s="33"/>
      <c r="G26" s="23"/>
      <c r="H26" s="23"/>
      <c r="I26" s="23"/>
      <c r="J26" s="23"/>
      <c r="K26" s="30"/>
      <c r="L26" s="30"/>
    </row>
    <row r="27" spans="1:22" ht="15.6" x14ac:dyDescent="0.25">
      <c r="B27" s="20" t="s">
        <v>70</v>
      </c>
      <c r="C27" s="25" t="s">
        <v>41</v>
      </c>
      <c r="D27" s="17">
        <v>0</v>
      </c>
      <c r="E27" s="30">
        <v>0</v>
      </c>
      <c r="F27" s="30"/>
      <c r="K27" s="30"/>
      <c r="L27" s="30"/>
    </row>
    <row r="28" spans="1:22" ht="15.6" x14ac:dyDescent="0.25">
      <c r="B28" s="20" t="s">
        <v>70</v>
      </c>
      <c r="C28" s="25" t="s">
        <v>42</v>
      </c>
      <c r="D28" s="36">
        <v>0</v>
      </c>
      <c r="E28" s="37">
        <v>0</v>
      </c>
      <c r="F28" s="30"/>
      <c r="G28" s="39"/>
      <c r="H28" s="23"/>
      <c r="I28" s="23"/>
      <c r="J28" s="23"/>
      <c r="K28" s="23"/>
      <c r="L28" s="30"/>
    </row>
    <row r="29" spans="1:22" x14ac:dyDescent="0.25">
      <c r="N29" s="40"/>
      <c r="O29" s="40"/>
      <c r="P29" s="40"/>
      <c r="R29" s="40"/>
      <c r="S29" s="40"/>
      <c r="T29" s="40"/>
      <c r="U29" s="40"/>
      <c r="V29" s="40"/>
    </row>
    <row r="30" spans="1:22" ht="15.6" x14ac:dyDescent="0.25">
      <c r="A30" s="79">
        <v>43306</v>
      </c>
      <c r="D30" s="18"/>
      <c r="E30" s="18"/>
      <c r="F30" s="18"/>
      <c r="G30" s="18"/>
      <c r="H30" s="18"/>
      <c r="I30" s="18"/>
      <c r="J30" s="26"/>
      <c r="K30" s="26"/>
      <c r="L30" s="26"/>
      <c r="R30" s="40"/>
      <c r="S30" s="40"/>
      <c r="V30" s="40"/>
    </row>
    <row r="31" spans="1:22" ht="15.6" customHeight="1" x14ac:dyDescent="0.25">
      <c r="B31" s="20" t="s">
        <v>71</v>
      </c>
      <c r="C31" s="28" t="s">
        <v>43</v>
      </c>
      <c r="D31" s="29">
        <v>20</v>
      </c>
      <c r="E31" s="23">
        <f>AVERAGE(33,30,45,13,30)</f>
        <v>30.2</v>
      </c>
      <c r="G31" s="23"/>
      <c r="H31" s="23"/>
      <c r="I31" s="23"/>
      <c r="J31" s="23"/>
      <c r="K31" s="30"/>
      <c r="L31" s="30"/>
      <c r="T31" s="41"/>
      <c r="V31" s="40"/>
    </row>
    <row r="32" spans="1:22" ht="15.6" x14ac:dyDescent="0.25">
      <c r="B32" s="20" t="s">
        <v>71</v>
      </c>
      <c r="C32" s="28" t="s">
        <v>44</v>
      </c>
      <c r="D32" s="29">
        <v>8</v>
      </c>
      <c r="E32" s="23">
        <f>AVERAGE(42,36)</f>
        <v>39</v>
      </c>
      <c r="G32" s="23"/>
      <c r="H32" s="23"/>
      <c r="I32" s="23"/>
      <c r="J32" s="23"/>
      <c r="V32" s="40"/>
    </row>
    <row r="33" spans="1:27" ht="15.6" x14ac:dyDescent="0.25">
      <c r="B33" s="20" t="s">
        <v>71</v>
      </c>
      <c r="C33" s="28" t="s">
        <v>45</v>
      </c>
      <c r="D33" s="29">
        <v>104</v>
      </c>
      <c r="E33" s="23">
        <f>AVERAGE(21,8,22,17,26,24,13,11,17,18)</f>
        <v>17.7</v>
      </c>
      <c r="G33" s="23"/>
      <c r="H33" s="23"/>
      <c r="I33" s="23"/>
      <c r="J33" s="23"/>
      <c r="K33" s="31"/>
      <c r="L33" s="30"/>
      <c r="V33" s="40"/>
    </row>
    <row r="34" spans="1:27" ht="15.6" x14ac:dyDescent="0.25">
      <c r="B34" s="20" t="s">
        <v>72</v>
      </c>
      <c r="C34" s="32" t="s">
        <v>46</v>
      </c>
      <c r="D34" s="17">
        <v>8</v>
      </c>
      <c r="E34" s="30">
        <f>AVERAGE(51,24)</f>
        <v>37.5</v>
      </c>
      <c r="G34" s="33"/>
      <c r="H34" s="33"/>
      <c r="I34" s="33"/>
      <c r="J34" s="23"/>
      <c r="K34" s="30"/>
      <c r="L34" s="30"/>
      <c r="W34" s="42"/>
      <c r="AA34" s="43"/>
    </row>
    <row r="35" spans="1:27" ht="15.6" x14ac:dyDescent="0.25">
      <c r="B35" s="20" t="s">
        <v>72</v>
      </c>
      <c r="C35" s="32" t="s">
        <v>47</v>
      </c>
      <c r="D35" s="34">
        <v>24</v>
      </c>
      <c r="E35" s="33">
        <f>AVERAGE(41,52,31,36,19,23)</f>
        <v>33.666666666666664</v>
      </c>
      <c r="G35" s="33"/>
      <c r="H35" s="33"/>
      <c r="I35" s="33"/>
      <c r="J35" s="23"/>
      <c r="W35" s="42"/>
      <c r="AA35" s="43"/>
    </row>
    <row r="36" spans="1:27" ht="15.6" x14ac:dyDescent="0.25">
      <c r="B36" s="20" t="s">
        <v>72</v>
      </c>
      <c r="C36" s="35" t="s">
        <v>48</v>
      </c>
      <c r="D36" s="36">
        <v>24</v>
      </c>
      <c r="E36" s="30">
        <f>AVERAGE(25,16,4,8,29,23,17)</f>
        <v>17.428571428571427</v>
      </c>
      <c r="G36" s="33"/>
      <c r="H36" s="23"/>
      <c r="I36" s="23"/>
      <c r="J36" s="23"/>
      <c r="K36" s="30"/>
      <c r="L36" s="30"/>
      <c r="AA36" s="43"/>
    </row>
    <row r="37" spans="1:27" ht="15.6" customHeight="1" x14ac:dyDescent="0.25">
      <c r="B37" s="20" t="s">
        <v>72</v>
      </c>
      <c r="C37" s="35" t="s">
        <v>49</v>
      </c>
      <c r="D37" s="17">
        <v>32</v>
      </c>
      <c r="E37" s="37">
        <f>AVERAGE(13,39,53,36,14,48,52,44)</f>
        <v>37.375</v>
      </c>
      <c r="G37" s="33"/>
      <c r="H37" s="23"/>
      <c r="I37" s="23"/>
      <c r="J37" s="23"/>
      <c r="K37" s="30"/>
      <c r="L37" s="30"/>
      <c r="AA37" s="43"/>
    </row>
    <row r="38" spans="1:27" ht="15.6" x14ac:dyDescent="0.25">
      <c r="B38" s="20" t="s">
        <v>72</v>
      </c>
      <c r="C38" s="35" t="s">
        <v>50</v>
      </c>
      <c r="D38" s="17">
        <v>64</v>
      </c>
      <c r="E38" s="30">
        <f>AVERAGE(64,61,65,24,19,17,16,17,15,19)</f>
        <v>31.7</v>
      </c>
      <c r="G38" s="38"/>
      <c r="H38" s="37"/>
      <c r="I38" s="37"/>
      <c r="J38" s="37"/>
      <c r="AA38" s="43"/>
    </row>
    <row r="39" spans="1:27" ht="15.6" x14ac:dyDescent="0.25">
      <c r="B39" s="20" t="s">
        <v>68</v>
      </c>
      <c r="C39" s="19" t="s">
        <v>35</v>
      </c>
      <c r="D39" s="17">
        <v>0</v>
      </c>
      <c r="E39" s="30">
        <v>0</v>
      </c>
      <c r="F39" s="30"/>
      <c r="G39" s="23"/>
      <c r="H39" s="23"/>
      <c r="I39" s="23"/>
      <c r="J39" s="23"/>
      <c r="K39" s="30"/>
      <c r="L39" s="30"/>
      <c r="AA39" s="43"/>
    </row>
    <row r="40" spans="1:27" ht="15.6" x14ac:dyDescent="0.25">
      <c r="B40" s="20" t="s">
        <v>68</v>
      </c>
      <c r="C40" s="19" t="s">
        <v>36</v>
      </c>
      <c r="D40" s="17">
        <v>0</v>
      </c>
      <c r="E40" s="30">
        <v>0</v>
      </c>
      <c r="F40" s="30"/>
      <c r="K40" s="30"/>
      <c r="L40" s="30"/>
      <c r="AA40" s="43"/>
    </row>
    <row r="41" spans="1:27" ht="15.6" customHeight="1" x14ac:dyDescent="0.25">
      <c r="B41" s="20" t="s">
        <v>68</v>
      </c>
      <c r="C41" s="19" t="s">
        <v>37</v>
      </c>
      <c r="D41" s="17">
        <v>0</v>
      </c>
      <c r="E41" s="30">
        <v>0</v>
      </c>
      <c r="F41" s="30"/>
      <c r="K41" s="30"/>
      <c r="L41" s="30"/>
      <c r="AA41" s="43"/>
    </row>
    <row r="42" spans="1:27" ht="15.6" x14ac:dyDescent="0.25">
      <c r="B42" s="20" t="s">
        <v>69</v>
      </c>
      <c r="C42" s="24" t="s">
        <v>38</v>
      </c>
      <c r="D42" s="17">
        <v>0</v>
      </c>
      <c r="E42" s="30">
        <v>0</v>
      </c>
      <c r="F42" s="30"/>
      <c r="G42" s="23"/>
      <c r="H42" s="23"/>
      <c r="I42" s="23"/>
      <c r="J42" s="23"/>
      <c r="K42" s="30"/>
      <c r="L42" s="30"/>
      <c r="AA42" s="43"/>
    </row>
    <row r="43" spans="1:27" ht="15.6" x14ac:dyDescent="0.25">
      <c r="B43" s="20" t="s">
        <v>69</v>
      </c>
      <c r="C43" s="24" t="s">
        <v>39</v>
      </c>
      <c r="D43" s="34">
        <v>0</v>
      </c>
      <c r="E43" s="33">
        <v>0</v>
      </c>
      <c r="F43" s="30"/>
      <c r="G43" s="33"/>
      <c r="H43" s="33"/>
      <c r="I43" s="33"/>
      <c r="J43" s="33"/>
      <c r="AA43" s="43"/>
    </row>
    <row r="44" spans="1:27" ht="15.6" x14ac:dyDescent="0.25">
      <c r="B44" s="20" t="s">
        <v>70</v>
      </c>
      <c r="C44" s="25" t="s">
        <v>40</v>
      </c>
      <c r="D44" s="36">
        <v>0</v>
      </c>
      <c r="E44" s="37">
        <v>0</v>
      </c>
      <c r="F44" s="33"/>
      <c r="G44" s="23"/>
      <c r="H44" s="23"/>
      <c r="I44" s="23"/>
      <c r="J44" s="23"/>
      <c r="K44" s="30"/>
      <c r="L44" s="30"/>
      <c r="N44" s="40"/>
      <c r="O44" s="40"/>
      <c r="P44" s="40"/>
      <c r="AA44" s="43"/>
    </row>
    <row r="45" spans="1:27" ht="15.6" x14ac:dyDescent="0.25">
      <c r="B45" s="20" t="s">
        <v>70</v>
      </c>
      <c r="C45" s="25" t="s">
        <v>41</v>
      </c>
      <c r="D45" s="17">
        <v>0</v>
      </c>
      <c r="E45" s="30">
        <v>0</v>
      </c>
      <c r="F45" s="30"/>
      <c r="N45" s="40"/>
      <c r="O45" s="40"/>
      <c r="P45" s="40"/>
      <c r="AA45" s="43"/>
    </row>
    <row r="46" spans="1:27" ht="15.6" x14ac:dyDescent="0.25">
      <c r="B46" s="20" t="s">
        <v>70</v>
      </c>
      <c r="C46" s="25" t="s">
        <v>42</v>
      </c>
      <c r="D46" s="36">
        <v>0</v>
      </c>
      <c r="E46" s="37">
        <v>0</v>
      </c>
      <c r="F46" s="30"/>
      <c r="G46" s="39"/>
      <c r="H46" s="23"/>
      <c r="I46" s="23"/>
      <c r="J46" s="23"/>
      <c r="K46" s="23"/>
      <c r="L46" s="30"/>
      <c r="N46" s="40"/>
      <c r="O46" s="40"/>
      <c r="P46" s="40"/>
      <c r="AA46" s="43"/>
    </row>
    <row r="48" spans="1:27" ht="15.6" x14ac:dyDescent="0.25">
      <c r="A48" s="80">
        <v>43337</v>
      </c>
      <c r="D48" s="26"/>
      <c r="E48" s="26"/>
      <c r="F48" s="26"/>
      <c r="G48" s="26"/>
      <c r="H48" s="26"/>
      <c r="I48" s="26"/>
      <c r="J48" s="26"/>
      <c r="K48" s="26"/>
      <c r="L48" s="26"/>
    </row>
    <row r="49" spans="2:12" ht="15.6" customHeight="1" x14ac:dyDescent="0.25">
      <c r="B49" s="20" t="s">
        <v>71</v>
      </c>
      <c r="C49" s="28" t="s">
        <v>43</v>
      </c>
      <c r="D49" s="44">
        <v>28</v>
      </c>
      <c r="E49" s="23">
        <f>AVERAGE(90,50,59,54,22,5,5)</f>
        <v>40.714285714285715</v>
      </c>
      <c r="G49" s="23"/>
      <c r="H49" s="23"/>
      <c r="I49" s="23"/>
      <c r="J49" s="23"/>
      <c r="K49" s="30"/>
      <c r="L49" s="30"/>
    </row>
    <row r="50" spans="2:12" ht="15.6" x14ac:dyDescent="0.25">
      <c r="B50" s="20" t="s">
        <v>71</v>
      </c>
      <c r="C50" s="28" t="s">
        <v>44</v>
      </c>
      <c r="D50" s="44">
        <v>16</v>
      </c>
      <c r="E50" s="39">
        <f>AVERAGE(55,72,20,15)</f>
        <v>40.5</v>
      </c>
      <c r="G50" s="23"/>
      <c r="H50" s="23"/>
      <c r="I50" s="23"/>
      <c r="J50" s="23"/>
    </row>
    <row r="51" spans="2:12" ht="15.6" x14ac:dyDescent="0.25">
      <c r="B51" s="20" t="s">
        <v>71</v>
      </c>
      <c r="C51" s="28" t="s">
        <v>45</v>
      </c>
      <c r="D51" s="44">
        <v>84</v>
      </c>
      <c r="E51" s="39">
        <f>AVERAGE(50,60,29,37,67,30,10,77,25,24)</f>
        <v>40.9</v>
      </c>
      <c r="G51" s="23"/>
      <c r="H51" s="23"/>
      <c r="I51" s="23"/>
      <c r="J51" s="23"/>
      <c r="K51" s="31"/>
      <c r="L51" s="30"/>
    </row>
    <row r="52" spans="2:12" ht="15.6" x14ac:dyDescent="0.25">
      <c r="B52" s="20" t="s">
        <v>72</v>
      </c>
      <c r="C52" s="32" t="s">
        <v>46</v>
      </c>
      <c r="D52" s="44">
        <v>12</v>
      </c>
      <c r="E52" s="39">
        <f>AVERAGE(102,43,26)</f>
        <v>57</v>
      </c>
      <c r="G52" s="33"/>
      <c r="H52" s="33"/>
      <c r="I52" s="33"/>
      <c r="J52" s="23"/>
      <c r="K52" s="30"/>
      <c r="L52" s="30"/>
    </row>
    <row r="53" spans="2:12" ht="15.6" x14ac:dyDescent="0.25">
      <c r="B53" s="20" t="s">
        <v>72</v>
      </c>
      <c r="C53" s="32" t="s">
        <v>51</v>
      </c>
      <c r="D53" s="44">
        <v>16</v>
      </c>
      <c r="E53" s="39">
        <f>AVERAGE(80,76,60,70)</f>
        <v>71.5</v>
      </c>
      <c r="G53" s="33"/>
      <c r="H53" s="33"/>
      <c r="I53" s="33"/>
      <c r="J53" s="23"/>
    </row>
    <row r="54" spans="2:12" ht="15.6" x14ac:dyDescent="0.25">
      <c r="B54" s="20" t="s">
        <v>72</v>
      </c>
      <c r="C54" s="35" t="s">
        <v>52</v>
      </c>
      <c r="D54" s="44">
        <v>24</v>
      </c>
      <c r="E54" s="39">
        <f>AVERAGE(98,47,42,52,84,45)</f>
        <v>61.333333333333336</v>
      </c>
      <c r="G54" s="33"/>
      <c r="H54" s="23"/>
      <c r="I54" s="23"/>
      <c r="J54" s="23"/>
      <c r="K54" s="30"/>
      <c r="L54" s="30"/>
    </row>
    <row r="55" spans="2:12" ht="15.6" customHeight="1" x14ac:dyDescent="0.25">
      <c r="B55" s="20" t="s">
        <v>72</v>
      </c>
      <c r="C55" s="35" t="s">
        <v>53</v>
      </c>
      <c r="D55" s="44">
        <v>48</v>
      </c>
      <c r="E55" s="39">
        <f>AVERAGE(85,100,27,95,65,90,10,5,26,32)</f>
        <v>53.5</v>
      </c>
      <c r="G55" s="33"/>
      <c r="H55" s="23"/>
      <c r="I55" s="23"/>
      <c r="J55" s="23"/>
      <c r="K55" s="30"/>
      <c r="L55" s="30"/>
    </row>
    <row r="56" spans="2:12" ht="15.6" x14ac:dyDescent="0.25">
      <c r="B56" s="20" t="s">
        <v>72</v>
      </c>
      <c r="C56" s="35" t="s">
        <v>54</v>
      </c>
      <c r="D56" s="44">
        <v>84</v>
      </c>
      <c r="E56" s="39">
        <f>AVERAGE(110,114,85,75,109,51,112,90,60,10)</f>
        <v>81.599999999999994</v>
      </c>
      <c r="G56" s="38"/>
      <c r="H56" s="37"/>
      <c r="I56" s="37"/>
      <c r="J56" s="37"/>
    </row>
    <row r="57" spans="2:12" ht="15.6" x14ac:dyDescent="0.25">
      <c r="B57" s="20" t="s">
        <v>68</v>
      </c>
      <c r="C57" s="19" t="s">
        <v>55</v>
      </c>
      <c r="D57" s="29">
        <v>0</v>
      </c>
      <c r="E57" s="45">
        <v>0</v>
      </c>
      <c r="F57" s="39"/>
      <c r="G57" s="23"/>
      <c r="H57" s="23"/>
      <c r="I57" s="23"/>
      <c r="J57" s="23"/>
      <c r="K57" s="30"/>
      <c r="L57" s="30"/>
    </row>
    <row r="58" spans="2:12" ht="15.6" x14ac:dyDescent="0.25">
      <c r="B58" s="20" t="s">
        <v>68</v>
      </c>
      <c r="C58" s="19" t="s">
        <v>36</v>
      </c>
      <c r="D58" s="46">
        <v>0</v>
      </c>
      <c r="E58" s="45">
        <v>0</v>
      </c>
      <c r="F58" s="39"/>
      <c r="K58" s="30"/>
      <c r="L58" s="30"/>
    </row>
    <row r="59" spans="2:12" ht="15.6" customHeight="1" x14ac:dyDescent="0.25">
      <c r="B59" s="20" t="s">
        <v>68</v>
      </c>
      <c r="C59" s="19" t="s">
        <v>37</v>
      </c>
      <c r="D59" s="46">
        <v>0</v>
      </c>
      <c r="E59" s="45">
        <v>0</v>
      </c>
      <c r="F59" s="39"/>
      <c r="K59" s="30"/>
      <c r="L59" s="30"/>
    </row>
    <row r="60" spans="2:12" ht="15.6" x14ac:dyDescent="0.25">
      <c r="B60" s="20" t="s">
        <v>69</v>
      </c>
      <c r="C60" s="24" t="s">
        <v>56</v>
      </c>
      <c r="D60" s="46">
        <v>0</v>
      </c>
      <c r="E60" s="45">
        <v>0</v>
      </c>
      <c r="F60" s="39"/>
      <c r="G60" s="23"/>
      <c r="H60" s="23"/>
      <c r="I60" s="23"/>
      <c r="J60" s="23"/>
      <c r="K60" s="30"/>
      <c r="L60" s="30"/>
    </row>
    <row r="61" spans="2:12" ht="15.6" x14ac:dyDescent="0.25">
      <c r="B61" s="20" t="s">
        <v>69</v>
      </c>
      <c r="C61" s="24" t="s">
        <v>39</v>
      </c>
      <c r="D61" s="46">
        <v>0</v>
      </c>
      <c r="E61" s="45">
        <v>0</v>
      </c>
      <c r="F61" s="39"/>
      <c r="G61" s="33"/>
      <c r="H61" s="33"/>
      <c r="I61" s="33"/>
      <c r="J61" s="33"/>
      <c r="K61" s="30"/>
      <c r="L61" s="30"/>
    </row>
    <row r="62" spans="2:12" ht="15.6" x14ac:dyDescent="0.25">
      <c r="B62" s="20" t="s">
        <v>70</v>
      </c>
      <c r="C62" s="25" t="s">
        <v>57</v>
      </c>
      <c r="D62" s="46">
        <v>0</v>
      </c>
      <c r="E62" s="45">
        <v>0</v>
      </c>
      <c r="F62" s="39"/>
      <c r="G62" s="23"/>
      <c r="H62" s="23"/>
      <c r="I62" s="23"/>
      <c r="J62" s="23"/>
      <c r="K62" s="30"/>
      <c r="L62" s="30"/>
    </row>
    <row r="63" spans="2:12" ht="15.6" x14ac:dyDescent="0.25">
      <c r="B63" s="20" t="s">
        <v>70</v>
      </c>
      <c r="C63" s="25" t="s">
        <v>41</v>
      </c>
      <c r="D63" s="46">
        <v>0</v>
      </c>
      <c r="E63" s="45">
        <v>0</v>
      </c>
      <c r="F63" s="39"/>
      <c r="K63" s="30"/>
      <c r="L63" s="30"/>
    </row>
    <row r="64" spans="2:12" ht="15.6" x14ac:dyDescent="0.25">
      <c r="B64" s="20" t="s">
        <v>70</v>
      </c>
      <c r="C64" s="25" t="s">
        <v>42</v>
      </c>
      <c r="D64" s="46">
        <v>0</v>
      </c>
      <c r="E64" s="45">
        <v>0</v>
      </c>
      <c r="F64" s="39"/>
      <c r="G64" s="39"/>
      <c r="H64" s="23"/>
      <c r="I64" s="23"/>
      <c r="J64" s="23"/>
      <c r="K64" s="23"/>
      <c r="L64" s="30"/>
    </row>
    <row r="66" spans="1:12" ht="15.6" x14ac:dyDescent="0.25">
      <c r="A66" s="80">
        <v>43360</v>
      </c>
      <c r="D66" s="26"/>
      <c r="E66" s="26"/>
      <c r="F66" s="26"/>
      <c r="G66" s="26"/>
      <c r="H66" s="26"/>
      <c r="I66" s="26"/>
      <c r="J66" s="26"/>
      <c r="K66" s="26"/>
      <c r="L66" s="26"/>
    </row>
    <row r="67" spans="1:12" ht="15.6" x14ac:dyDescent="0.25">
      <c r="B67" s="20" t="s">
        <v>71</v>
      </c>
      <c r="C67" s="28" t="s">
        <v>58</v>
      </c>
      <c r="D67" s="44">
        <v>28</v>
      </c>
      <c r="E67" s="23">
        <f>AVERAGE(84,80,79,77,74,45,38)</f>
        <v>68.142857142857139</v>
      </c>
      <c r="G67" s="23"/>
      <c r="H67" s="23"/>
      <c r="I67" s="23"/>
      <c r="J67" s="23"/>
      <c r="K67" s="30"/>
      <c r="L67" s="30"/>
    </row>
    <row r="68" spans="1:12" ht="15.6" x14ac:dyDescent="0.25">
      <c r="B68" s="20" t="s">
        <v>71</v>
      </c>
      <c r="C68" s="28" t="s">
        <v>59</v>
      </c>
      <c r="D68" s="44">
        <v>24</v>
      </c>
      <c r="E68" s="39">
        <f>AVERAGE(111,105,32,12,11,35)</f>
        <v>51</v>
      </c>
      <c r="G68" s="23"/>
      <c r="H68" s="23"/>
      <c r="I68" s="23"/>
      <c r="J68" s="23"/>
    </row>
    <row r="69" spans="1:12" ht="15.6" x14ac:dyDescent="0.25">
      <c r="B69" s="20" t="s">
        <v>71</v>
      </c>
      <c r="C69" s="28" t="s">
        <v>60</v>
      </c>
      <c r="D69" s="44">
        <v>60</v>
      </c>
      <c r="E69" s="39">
        <f>AVERAGE(125,105,110,90,69,76,67)</f>
        <v>91.714285714285708</v>
      </c>
      <c r="G69" s="23"/>
      <c r="H69" s="23"/>
      <c r="I69" s="23"/>
      <c r="J69" s="23"/>
      <c r="K69" s="31"/>
      <c r="L69" s="30"/>
    </row>
    <row r="70" spans="1:12" ht="15.6" x14ac:dyDescent="0.25">
      <c r="B70" s="20" t="s">
        <v>72</v>
      </c>
      <c r="C70" s="32" t="s">
        <v>61</v>
      </c>
      <c r="D70" s="44">
        <v>16</v>
      </c>
      <c r="E70" s="39">
        <f>AVERAGE(135,76,52,30)</f>
        <v>73.25</v>
      </c>
      <c r="G70" s="33"/>
      <c r="H70" s="33"/>
      <c r="I70" s="33"/>
      <c r="J70" s="23"/>
      <c r="K70" s="30"/>
      <c r="L70" s="30"/>
    </row>
    <row r="71" spans="1:12" ht="15.6" x14ac:dyDescent="0.25">
      <c r="B71" s="20" t="s">
        <v>72</v>
      </c>
      <c r="C71" s="32" t="s">
        <v>51</v>
      </c>
      <c r="D71" s="44">
        <v>28</v>
      </c>
      <c r="E71" s="39">
        <f>AVERAGE(84,100,80,10,98,18)</f>
        <v>65</v>
      </c>
      <c r="G71" s="33"/>
      <c r="H71" s="33"/>
      <c r="I71" s="33"/>
      <c r="J71" s="23"/>
    </row>
    <row r="72" spans="1:12" ht="15.6" x14ac:dyDescent="0.25">
      <c r="B72" s="20" t="s">
        <v>72</v>
      </c>
      <c r="C72" s="35" t="s">
        <v>52</v>
      </c>
      <c r="D72" s="44">
        <v>24</v>
      </c>
      <c r="E72" s="39">
        <f>AVERAGE(110,90,100,63,55,70,20)</f>
        <v>72.571428571428569</v>
      </c>
      <c r="G72" s="33"/>
      <c r="H72" s="23"/>
      <c r="I72" s="23"/>
      <c r="J72" s="23"/>
      <c r="K72" s="30"/>
      <c r="L72" s="30"/>
    </row>
    <row r="73" spans="1:12" ht="15.6" x14ac:dyDescent="0.25">
      <c r="B73" s="20" t="s">
        <v>72</v>
      </c>
      <c r="C73" s="35" t="s">
        <v>53</v>
      </c>
      <c r="D73" s="44">
        <v>52</v>
      </c>
      <c r="E73" s="39">
        <f>AVERAGE(125,123,120,82,105,57,87,56,122)</f>
        <v>97.444444444444443</v>
      </c>
      <c r="G73" s="33"/>
      <c r="H73" s="23"/>
      <c r="I73" s="23"/>
      <c r="J73" s="23"/>
      <c r="K73" s="30"/>
      <c r="L73" s="30"/>
    </row>
    <row r="74" spans="1:12" ht="15.6" x14ac:dyDescent="0.25">
      <c r="B74" s="20" t="s">
        <v>72</v>
      </c>
      <c r="C74" s="35" t="s">
        <v>54</v>
      </c>
      <c r="D74" s="44">
        <v>60</v>
      </c>
      <c r="E74" s="39">
        <f>AVERAGE(125,118,155,143,145,150,75,70)</f>
        <v>122.625</v>
      </c>
      <c r="G74" s="38"/>
      <c r="H74" s="37"/>
      <c r="I74" s="37"/>
      <c r="J74" s="37"/>
    </row>
    <row r="75" spans="1:12" ht="15.6" x14ac:dyDescent="0.25">
      <c r="B75" s="20" t="s">
        <v>68</v>
      </c>
      <c r="C75" s="19" t="s">
        <v>55</v>
      </c>
      <c r="D75" s="29">
        <v>0</v>
      </c>
      <c r="E75" s="45">
        <v>0</v>
      </c>
      <c r="F75" s="39"/>
      <c r="G75" s="23"/>
      <c r="H75" s="23"/>
      <c r="I75" s="23"/>
      <c r="J75" s="23"/>
      <c r="K75" s="30"/>
      <c r="L75" s="30"/>
    </row>
    <row r="76" spans="1:12" ht="15.6" x14ac:dyDescent="0.25">
      <c r="B76" s="20" t="s">
        <v>68</v>
      </c>
      <c r="C76" s="19" t="s">
        <v>36</v>
      </c>
      <c r="D76" s="46">
        <v>0</v>
      </c>
      <c r="E76" s="45">
        <v>0</v>
      </c>
      <c r="F76" s="39"/>
      <c r="K76" s="30"/>
      <c r="L76" s="30"/>
    </row>
    <row r="77" spans="1:12" ht="15.6" x14ac:dyDescent="0.25">
      <c r="B77" s="20" t="s">
        <v>68</v>
      </c>
      <c r="C77" s="19" t="s">
        <v>37</v>
      </c>
      <c r="D77" s="46">
        <v>0</v>
      </c>
      <c r="E77" s="45">
        <v>0</v>
      </c>
      <c r="F77" s="39"/>
      <c r="K77" s="30"/>
      <c r="L77" s="30"/>
    </row>
    <row r="78" spans="1:12" ht="15.6" x14ac:dyDescent="0.25">
      <c r="B78" s="20" t="s">
        <v>69</v>
      </c>
      <c r="C78" s="24" t="s">
        <v>56</v>
      </c>
      <c r="D78" s="46">
        <v>0</v>
      </c>
      <c r="E78" s="45">
        <v>0</v>
      </c>
      <c r="F78" s="39"/>
      <c r="G78" s="23"/>
      <c r="H78" s="23"/>
      <c r="I78" s="23"/>
      <c r="J78" s="23"/>
      <c r="K78" s="30"/>
      <c r="L78" s="30"/>
    </row>
    <row r="79" spans="1:12" ht="15.6" x14ac:dyDescent="0.25">
      <c r="B79" s="20" t="s">
        <v>69</v>
      </c>
      <c r="C79" s="24" t="s">
        <v>39</v>
      </c>
      <c r="D79" s="46">
        <v>0</v>
      </c>
      <c r="E79" s="45">
        <v>0</v>
      </c>
      <c r="F79" s="39"/>
      <c r="G79" s="33"/>
      <c r="H79" s="33"/>
      <c r="I79" s="33"/>
      <c r="J79" s="33"/>
      <c r="K79" s="30"/>
      <c r="L79" s="30"/>
    </row>
    <row r="80" spans="1:12" ht="15.6" x14ac:dyDescent="0.25">
      <c r="B80" s="20" t="s">
        <v>70</v>
      </c>
      <c r="C80" s="25" t="s">
        <v>57</v>
      </c>
      <c r="D80" s="46">
        <v>0</v>
      </c>
      <c r="E80" s="45">
        <v>0</v>
      </c>
      <c r="F80" s="39"/>
      <c r="G80" s="23"/>
      <c r="H80" s="23"/>
      <c r="I80" s="23"/>
      <c r="J80" s="23"/>
      <c r="K80" s="30"/>
      <c r="L80" s="30"/>
    </row>
    <row r="81" spans="1:19" ht="15.6" x14ac:dyDescent="0.25">
      <c r="B81" s="20" t="s">
        <v>70</v>
      </c>
      <c r="C81" s="25" t="s">
        <v>41</v>
      </c>
      <c r="D81" s="46">
        <v>0</v>
      </c>
      <c r="E81" s="45">
        <v>0</v>
      </c>
      <c r="F81" s="39"/>
      <c r="K81" s="30"/>
      <c r="L81" s="30"/>
    </row>
    <row r="82" spans="1:19" ht="15.6" x14ac:dyDescent="0.25">
      <c r="B82" s="20" t="s">
        <v>70</v>
      </c>
      <c r="C82" s="25" t="s">
        <v>42</v>
      </c>
      <c r="D82" s="46">
        <v>0</v>
      </c>
      <c r="E82" s="45">
        <v>0</v>
      </c>
      <c r="F82" s="39"/>
      <c r="G82" s="39"/>
      <c r="H82" s="23"/>
      <c r="I82" s="23"/>
      <c r="J82" s="23"/>
      <c r="K82" s="23"/>
      <c r="L82" s="30"/>
    </row>
    <row r="84" spans="1:19" ht="15.6" x14ac:dyDescent="0.25">
      <c r="A84" s="80">
        <v>43413</v>
      </c>
      <c r="D84" s="26"/>
      <c r="E84" s="26"/>
      <c r="F84" s="26"/>
      <c r="G84" s="26"/>
      <c r="H84" s="26"/>
      <c r="I84" s="26"/>
      <c r="J84" s="26"/>
      <c r="K84" s="26"/>
      <c r="L84" s="26"/>
    </row>
    <row r="85" spans="1:19" ht="15.6" x14ac:dyDescent="0.25">
      <c r="B85" s="20" t="s">
        <v>71</v>
      </c>
      <c r="C85" s="28" t="s">
        <v>58</v>
      </c>
      <c r="D85" s="44">
        <v>260</v>
      </c>
      <c r="E85" s="23">
        <f>AVERAGE(81,72,75,45,78,39)</f>
        <v>65</v>
      </c>
      <c r="F85" s="39"/>
      <c r="H85" s="23"/>
      <c r="I85" s="23"/>
      <c r="J85" s="23"/>
      <c r="K85" s="30"/>
      <c r="L85" s="30"/>
      <c r="M85" s="44"/>
      <c r="N85" s="23"/>
      <c r="O85" s="23"/>
      <c r="P85" s="23"/>
      <c r="Q85" s="23"/>
      <c r="R85" s="23"/>
      <c r="S85" s="47"/>
    </row>
    <row r="86" spans="1:19" ht="15.6" x14ac:dyDescent="0.25">
      <c r="B86" s="20" t="s">
        <v>71</v>
      </c>
      <c r="C86" s="28" t="s">
        <v>59</v>
      </c>
      <c r="D86" s="44">
        <v>386.66666666666669</v>
      </c>
      <c r="E86" s="39">
        <f>AVERAGE(118,113,59)</f>
        <v>96.666666666666671</v>
      </c>
      <c r="F86" s="39"/>
      <c r="H86" s="23"/>
      <c r="I86" s="23"/>
      <c r="J86" s="23"/>
      <c r="M86" s="44"/>
      <c r="N86" s="39"/>
      <c r="O86" s="39"/>
      <c r="P86" s="39"/>
      <c r="Q86" s="39"/>
    </row>
    <row r="87" spans="1:19" ht="15.6" x14ac:dyDescent="0.25">
      <c r="B87" s="20" t="s">
        <v>71</v>
      </c>
      <c r="C87" s="28" t="s">
        <v>60</v>
      </c>
      <c r="D87" s="44">
        <v>399.6</v>
      </c>
      <c r="E87" s="39">
        <f>AVERAGE(107,104,88,85,97,133,107,108,102,68)</f>
        <v>99.9</v>
      </c>
      <c r="F87" s="39"/>
      <c r="H87" s="23"/>
      <c r="I87" s="23"/>
      <c r="J87" s="23"/>
      <c r="K87" s="31"/>
      <c r="L87" s="30"/>
      <c r="M87" s="44"/>
      <c r="N87" s="39"/>
      <c r="O87" s="39"/>
      <c r="P87" s="39"/>
      <c r="Q87" s="39"/>
    </row>
    <row r="88" spans="1:19" ht="15.6" x14ac:dyDescent="0.25">
      <c r="B88" s="20" t="s">
        <v>72</v>
      </c>
      <c r="C88" s="32" t="s">
        <v>61</v>
      </c>
      <c r="D88" s="44">
        <v>340</v>
      </c>
      <c r="E88" s="39">
        <f>AVERAGE(141,74,82,43)</f>
        <v>85</v>
      </c>
      <c r="F88" s="39"/>
      <c r="H88" s="33"/>
      <c r="I88" s="33"/>
      <c r="J88" s="23"/>
      <c r="K88" s="30"/>
      <c r="L88" s="30"/>
      <c r="M88" s="44"/>
      <c r="N88" s="23"/>
      <c r="O88" s="23"/>
      <c r="P88" s="23"/>
      <c r="Q88" s="23"/>
      <c r="R88" s="23"/>
      <c r="S88" s="47"/>
    </row>
    <row r="89" spans="1:19" ht="15.6" x14ac:dyDescent="0.25">
      <c r="B89" s="20" t="s">
        <v>72</v>
      </c>
      <c r="C89" s="32" t="s">
        <v>51</v>
      </c>
      <c r="D89" s="44">
        <v>369</v>
      </c>
      <c r="E89" s="39">
        <f>AVERAGE(93,89,86,101)</f>
        <v>92.25</v>
      </c>
      <c r="F89" s="39"/>
      <c r="H89" s="23"/>
      <c r="I89" s="23"/>
      <c r="J89" s="23"/>
      <c r="K89" s="31"/>
      <c r="L89" s="30"/>
      <c r="M89" s="44"/>
      <c r="N89" s="39"/>
      <c r="O89" s="39"/>
      <c r="P89" s="39"/>
      <c r="Q89" s="39"/>
    </row>
    <row r="90" spans="1:19" ht="15.6" x14ac:dyDescent="0.25">
      <c r="B90" s="20" t="s">
        <v>72</v>
      </c>
      <c r="C90" s="35" t="s">
        <v>52</v>
      </c>
      <c r="D90" s="48">
        <v>336.66666666666669</v>
      </c>
      <c r="E90" s="49">
        <f>AVERAGE(67,76,63,114,92,93)</f>
        <v>84.166666666666671</v>
      </c>
      <c r="F90" s="49"/>
      <c r="H90" s="33"/>
      <c r="I90" s="33"/>
      <c r="J90" s="23"/>
      <c r="K90" s="30"/>
      <c r="L90" s="30"/>
      <c r="M90" s="44"/>
      <c r="N90" s="23"/>
      <c r="O90" s="23"/>
      <c r="P90" s="23"/>
      <c r="Q90" s="23"/>
      <c r="R90" s="23"/>
      <c r="S90" s="47"/>
    </row>
    <row r="91" spans="1:19" ht="15.6" x14ac:dyDescent="0.25">
      <c r="B91" s="20" t="s">
        <v>72</v>
      </c>
      <c r="C91" s="35" t="s">
        <v>53</v>
      </c>
      <c r="D91" s="44">
        <v>429.14285714285717</v>
      </c>
      <c r="E91" s="39">
        <f>AVERAGE(112,93,85,142,123,127,69)</f>
        <v>107.28571428571429</v>
      </c>
      <c r="F91" s="39"/>
      <c r="H91" s="23"/>
      <c r="I91" s="23"/>
      <c r="J91" s="23"/>
      <c r="K91" s="31"/>
      <c r="L91" s="30"/>
      <c r="M91" s="44"/>
      <c r="N91" s="39"/>
      <c r="O91" s="39"/>
      <c r="P91" s="39"/>
      <c r="Q91" s="39"/>
    </row>
    <row r="92" spans="1:19" ht="15.6" x14ac:dyDescent="0.25">
      <c r="B92" s="20" t="s">
        <v>72</v>
      </c>
      <c r="C92" s="35" t="s">
        <v>54</v>
      </c>
      <c r="D92" s="44">
        <v>459.33333333333331</v>
      </c>
      <c r="E92" s="39">
        <f>AVERAGE(152,134,142,97,81,83)</f>
        <v>114.83333333333333</v>
      </c>
      <c r="F92" s="39"/>
      <c r="H92" s="37"/>
      <c r="I92" s="37"/>
      <c r="J92" s="37"/>
      <c r="M92" s="44"/>
      <c r="N92" s="39"/>
      <c r="O92" s="39"/>
      <c r="P92" s="39"/>
      <c r="Q92" s="39"/>
    </row>
    <row r="93" spans="1:19" ht="15.6" x14ac:dyDescent="0.25">
      <c r="B93" s="20" t="s">
        <v>68</v>
      </c>
      <c r="C93" s="19" t="s">
        <v>55</v>
      </c>
      <c r="D93" s="29">
        <v>0</v>
      </c>
      <c r="E93" s="45">
        <v>0</v>
      </c>
      <c r="F93" s="39"/>
      <c r="G93" s="23"/>
      <c r="H93" s="23"/>
      <c r="I93" s="23"/>
      <c r="J93" s="23"/>
      <c r="K93" s="30"/>
      <c r="L93" s="30"/>
      <c r="M93" s="29"/>
      <c r="N93" s="45"/>
      <c r="O93" s="45"/>
      <c r="P93" s="45"/>
      <c r="Q93" s="45"/>
    </row>
    <row r="94" spans="1:19" ht="15.6" x14ac:dyDescent="0.25">
      <c r="B94" s="20" t="s">
        <v>68</v>
      </c>
      <c r="C94" s="19" t="s">
        <v>36</v>
      </c>
      <c r="D94" s="46">
        <v>0</v>
      </c>
      <c r="E94" s="45">
        <v>0</v>
      </c>
      <c r="F94" s="39"/>
      <c r="K94" s="30"/>
      <c r="L94" s="30"/>
      <c r="M94" s="46"/>
      <c r="N94" s="45"/>
      <c r="O94" s="45"/>
      <c r="P94" s="45"/>
      <c r="Q94" s="45"/>
    </row>
    <row r="95" spans="1:19" ht="15.6" x14ac:dyDescent="0.25">
      <c r="B95" s="20" t="s">
        <v>68</v>
      </c>
      <c r="C95" s="19" t="s">
        <v>37</v>
      </c>
      <c r="D95" s="46">
        <v>0</v>
      </c>
      <c r="E95" s="45">
        <v>0</v>
      </c>
      <c r="F95" s="39"/>
      <c r="K95" s="30"/>
      <c r="L95" s="30"/>
      <c r="M95" s="46"/>
      <c r="N95" s="45"/>
      <c r="O95" s="45"/>
      <c r="P95" s="45"/>
      <c r="Q95" s="45"/>
    </row>
    <row r="96" spans="1:19" ht="15.6" x14ac:dyDescent="0.25">
      <c r="B96" s="20" t="s">
        <v>69</v>
      </c>
      <c r="C96" s="24" t="s">
        <v>62</v>
      </c>
      <c r="D96" s="46">
        <v>0</v>
      </c>
      <c r="E96" s="45">
        <v>0</v>
      </c>
      <c r="F96" s="39"/>
      <c r="G96" s="23"/>
      <c r="H96" s="23"/>
      <c r="I96" s="23"/>
      <c r="J96" s="23"/>
      <c r="K96" s="30"/>
      <c r="L96" s="30"/>
      <c r="M96" s="46"/>
      <c r="N96" s="45"/>
      <c r="O96" s="45"/>
      <c r="P96" s="45"/>
      <c r="Q96" s="45"/>
    </row>
    <row r="97" spans="2:17" ht="15.6" x14ac:dyDescent="0.25">
      <c r="B97" s="20" t="s">
        <v>69</v>
      </c>
      <c r="C97" s="24" t="s">
        <v>39</v>
      </c>
      <c r="D97" s="46">
        <v>0</v>
      </c>
      <c r="E97" s="45">
        <v>0</v>
      </c>
      <c r="F97" s="39"/>
      <c r="G97" s="33"/>
      <c r="H97" s="33"/>
      <c r="I97" s="33"/>
      <c r="J97" s="33"/>
      <c r="K97" s="30"/>
      <c r="L97" s="30"/>
      <c r="M97" s="46"/>
      <c r="N97" s="45"/>
      <c r="O97" s="45"/>
      <c r="P97" s="45"/>
      <c r="Q97" s="45"/>
    </row>
    <row r="98" spans="2:17" ht="15.6" x14ac:dyDescent="0.25">
      <c r="B98" s="20" t="s">
        <v>70</v>
      </c>
      <c r="C98" s="25" t="s">
        <v>57</v>
      </c>
      <c r="D98" s="46">
        <v>0</v>
      </c>
      <c r="E98" s="45">
        <v>0</v>
      </c>
      <c r="F98" s="39"/>
      <c r="G98" s="23"/>
      <c r="H98" s="23"/>
      <c r="I98" s="23"/>
      <c r="J98" s="23"/>
      <c r="K98" s="30"/>
      <c r="L98" s="30"/>
      <c r="M98" s="46"/>
      <c r="N98" s="45"/>
      <c r="O98" s="45"/>
      <c r="P98" s="45"/>
      <c r="Q98" s="45"/>
    </row>
    <row r="99" spans="2:17" ht="15.6" x14ac:dyDescent="0.25">
      <c r="B99" s="20" t="s">
        <v>70</v>
      </c>
      <c r="C99" s="25" t="s">
        <v>41</v>
      </c>
      <c r="D99" s="46">
        <v>0</v>
      </c>
      <c r="E99" s="45">
        <v>0</v>
      </c>
      <c r="F99" s="39"/>
      <c r="K99" s="30"/>
      <c r="L99" s="30"/>
      <c r="M99" s="46"/>
      <c r="N99" s="45"/>
      <c r="O99" s="45"/>
      <c r="P99" s="45"/>
      <c r="Q99" s="45"/>
    </row>
    <row r="100" spans="2:17" ht="15.6" x14ac:dyDescent="0.25">
      <c r="B100" s="20" t="s">
        <v>70</v>
      </c>
      <c r="C100" s="25" t="s">
        <v>42</v>
      </c>
      <c r="D100" s="46">
        <v>0</v>
      </c>
      <c r="E100" s="45">
        <v>0</v>
      </c>
      <c r="F100" s="39"/>
      <c r="G100" s="39"/>
      <c r="H100" s="23"/>
      <c r="I100" s="23"/>
      <c r="J100" s="23"/>
      <c r="K100" s="23"/>
      <c r="L100" s="30"/>
      <c r="M100" s="46"/>
      <c r="N100" s="45"/>
      <c r="O100" s="45"/>
      <c r="P100" s="45"/>
      <c r="Q100" s="45"/>
    </row>
  </sheetData>
  <mergeCells count="1">
    <mergeCell ref="K12:L12"/>
  </mergeCells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8"/>
  <sheetViews>
    <sheetView workbookViewId="0">
      <pane xSplit="2" ySplit="2" topLeftCell="K3" activePane="bottomRight" state="frozen"/>
      <selection pane="topRight" activeCell="C1" sqref="C1"/>
      <selection pane="bottomLeft" activeCell="A3" sqref="A3"/>
      <selection pane="bottomRight" activeCell="H23" sqref="H23"/>
    </sheetView>
  </sheetViews>
  <sheetFormatPr defaultColWidth="8.77734375" defaultRowHeight="13.8" x14ac:dyDescent="0.25"/>
  <cols>
    <col min="1" max="1" width="14.44140625" style="4" bestFit="1" customWidth="1"/>
    <col min="2" max="16384" width="8.77734375" style="4"/>
  </cols>
  <sheetData>
    <row r="1" spans="1:24" x14ac:dyDescent="0.25">
      <c r="C1" s="16" t="s">
        <v>25</v>
      </c>
      <c r="J1" s="16" t="s">
        <v>25</v>
      </c>
      <c r="P1" s="15" t="s">
        <v>23</v>
      </c>
      <c r="U1" s="15" t="s">
        <v>23</v>
      </c>
    </row>
    <row r="2" spans="1:24" s="5" customFormat="1" x14ac:dyDescent="0.25">
      <c r="A2" s="9" t="s">
        <v>18</v>
      </c>
      <c r="B2" s="13"/>
      <c r="C2" s="13" t="s">
        <v>20</v>
      </c>
      <c r="D2" s="14"/>
      <c r="E2" s="14"/>
      <c r="F2" s="14"/>
      <c r="G2" s="14"/>
      <c r="H2" s="14"/>
      <c r="I2" s="14"/>
      <c r="J2" s="14" t="s">
        <v>19</v>
      </c>
      <c r="K2" s="10"/>
      <c r="L2" s="10"/>
      <c r="M2" s="10"/>
      <c r="N2" s="10"/>
      <c r="O2" s="10"/>
      <c r="P2" s="13" t="s">
        <v>20</v>
      </c>
      <c r="Q2" s="10"/>
      <c r="R2" s="10"/>
      <c r="S2" s="10"/>
      <c r="T2" s="10"/>
      <c r="U2" s="10" t="s">
        <v>24</v>
      </c>
      <c r="V2" s="10"/>
      <c r="W2" s="10"/>
      <c r="X2" s="10"/>
    </row>
    <row r="3" spans="1:24" s="5" customFormat="1" x14ac:dyDescent="0.25">
      <c r="A3" s="7"/>
      <c r="B3" s="5">
        <v>1</v>
      </c>
      <c r="C3" s="10">
        <v>119.30247817758836</v>
      </c>
      <c r="D3" s="10">
        <v>0</v>
      </c>
      <c r="E3" s="10">
        <v>0</v>
      </c>
      <c r="F3" s="10">
        <v>0</v>
      </c>
      <c r="G3" s="10">
        <v>0</v>
      </c>
      <c r="H3" s="10"/>
      <c r="I3" s="10"/>
      <c r="J3" s="10">
        <v>15.6</v>
      </c>
      <c r="K3" s="10"/>
      <c r="L3" s="10"/>
      <c r="M3" s="10"/>
      <c r="N3" s="10"/>
      <c r="O3" s="10"/>
      <c r="P3" s="10">
        <v>0</v>
      </c>
      <c r="Q3" s="10">
        <v>0</v>
      </c>
      <c r="R3" s="10">
        <v>0</v>
      </c>
      <c r="S3" s="10">
        <v>0</v>
      </c>
      <c r="T3" s="10"/>
      <c r="U3" s="10"/>
      <c r="V3" s="10"/>
      <c r="W3" s="10"/>
      <c r="X3" s="10"/>
    </row>
    <row r="4" spans="1:24" s="5" customFormat="1" x14ac:dyDescent="0.25">
      <c r="A4" s="7"/>
      <c r="B4" s="5">
        <v>2</v>
      </c>
      <c r="C4" s="10">
        <v>238.60495635517671</v>
      </c>
      <c r="D4" s="10">
        <v>0</v>
      </c>
      <c r="E4" s="10">
        <v>0</v>
      </c>
      <c r="F4" s="10">
        <v>0</v>
      </c>
      <c r="G4" s="10">
        <v>0</v>
      </c>
      <c r="H4" s="10"/>
      <c r="I4" s="10"/>
      <c r="J4" s="10">
        <v>13.285714285714286</v>
      </c>
      <c r="K4" s="10"/>
      <c r="L4" s="10"/>
      <c r="M4" s="10"/>
      <c r="N4" s="10"/>
      <c r="O4" s="10"/>
      <c r="P4" s="10">
        <v>0</v>
      </c>
      <c r="Q4" s="10">
        <v>0</v>
      </c>
      <c r="R4" s="10">
        <v>0</v>
      </c>
      <c r="S4" s="10">
        <v>0</v>
      </c>
      <c r="T4" s="10"/>
      <c r="U4" s="10"/>
      <c r="V4" s="10"/>
      <c r="W4" s="10"/>
      <c r="X4" s="10"/>
    </row>
    <row r="5" spans="1:24" s="5" customFormat="1" x14ac:dyDescent="0.25">
      <c r="A5" s="7"/>
      <c r="B5" s="5">
        <v>3</v>
      </c>
      <c r="C5" s="10">
        <v>278.37244908103952</v>
      </c>
      <c r="D5" s="10">
        <v>0</v>
      </c>
      <c r="E5" s="10">
        <v>0</v>
      </c>
      <c r="F5" s="10">
        <v>0</v>
      </c>
      <c r="G5" s="10">
        <v>0</v>
      </c>
      <c r="H5" s="10"/>
      <c r="I5" s="10"/>
      <c r="J5" s="10">
        <v>11.833333333333334</v>
      </c>
      <c r="K5" s="10"/>
      <c r="L5" s="10"/>
      <c r="M5" s="10"/>
      <c r="N5" s="10"/>
      <c r="O5" s="10"/>
      <c r="P5" s="10">
        <v>0</v>
      </c>
      <c r="Q5" s="10">
        <v>0</v>
      </c>
      <c r="R5" s="10">
        <v>0</v>
      </c>
      <c r="S5" s="10">
        <v>0</v>
      </c>
      <c r="T5" s="10"/>
      <c r="U5" s="10"/>
      <c r="V5" s="10"/>
      <c r="W5" s="10"/>
      <c r="X5" s="10"/>
    </row>
    <row r="6" spans="1:24" s="5" customFormat="1" x14ac:dyDescent="0.25">
      <c r="A6" s="7"/>
      <c r="B6" s="5">
        <v>4</v>
      </c>
      <c r="C6" s="10">
        <v>251.86078726379765</v>
      </c>
      <c r="D6" s="10">
        <v>0</v>
      </c>
      <c r="E6" s="10">
        <v>0</v>
      </c>
      <c r="F6" s="10">
        <v>0</v>
      </c>
      <c r="G6" s="10">
        <v>0</v>
      </c>
      <c r="H6" s="10"/>
      <c r="I6" s="10"/>
      <c r="J6" s="10">
        <v>19.857142857142858</v>
      </c>
      <c r="K6" s="10"/>
      <c r="L6" s="10"/>
      <c r="M6" s="10"/>
      <c r="N6" s="10"/>
      <c r="O6" s="10"/>
      <c r="P6" s="10">
        <v>0</v>
      </c>
      <c r="Q6" s="10">
        <v>0</v>
      </c>
      <c r="R6" s="10">
        <v>0</v>
      </c>
      <c r="S6" s="10">
        <v>0</v>
      </c>
      <c r="T6" s="10"/>
      <c r="U6" s="10"/>
      <c r="V6" s="10"/>
      <c r="W6" s="10"/>
      <c r="X6" s="10"/>
    </row>
    <row r="7" spans="1:24" s="5" customFormat="1" x14ac:dyDescent="0.25">
      <c r="A7" s="7"/>
      <c r="B7" s="5">
        <v>5</v>
      </c>
      <c r="C7" s="10">
        <v>172.32580181207209</v>
      </c>
      <c r="D7" s="10">
        <v>0</v>
      </c>
      <c r="E7" s="10">
        <v>0</v>
      </c>
      <c r="F7" s="10">
        <v>0</v>
      </c>
      <c r="G7" s="10">
        <v>0</v>
      </c>
      <c r="H7" s="10"/>
      <c r="I7" s="10"/>
      <c r="J7" s="10">
        <v>15.5</v>
      </c>
      <c r="K7" s="10"/>
      <c r="L7" s="10"/>
      <c r="M7" s="10"/>
      <c r="N7" s="10"/>
      <c r="O7" s="10"/>
      <c r="P7" s="10">
        <v>0</v>
      </c>
      <c r="Q7" s="10">
        <v>0</v>
      </c>
      <c r="R7" s="10">
        <v>0</v>
      </c>
      <c r="S7" s="10">
        <v>0</v>
      </c>
      <c r="T7" s="10"/>
      <c r="U7" s="10"/>
      <c r="V7" s="10"/>
      <c r="W7" s="10"/>
      <c r="X7" s="10"/>
    </row>
    <row r="8" spans="1:24" s="5" customFormat="1" x14ac:dyDescent="0.25">
      <c r="A8" s="7"/>
      <c r="B8" s="5">
        <v>6</v>
      </c>
      <c r="C8" s="10">
        <v>212.09329453793487</v>
      </c>
      <c r="D8" s="10">
        <v>39.767492725862787</v>
      </c>
      <c r="E8" s="10">
        <v>13.255830908620929</v>
      </c>
      <c r="F8" s="10">
        <v>0</v>
      </c>
      <c r="G8" s="10">
        <v>0</v>
      </c>
      <c r="H8" s="10"/>
      <c r="I8" s="10"/>
      <c r="J8" s="10">
        <v>19.125</v>
      </c>
      <c r="K8" s="10">
        <v>19</v>
      </c>
      <c r="L8" s="10">
        <v>6</v>
      </c>
      <c r="M8" s="10"/>
      <c r="N8" s="10"/>
      <c r="O8" s="10"/>
      <c r="P8" s="10">
        <v>39.767492725862787</v>
      </c>
      <c r="Q8" s="10">
        <v>0</v>
      </c>
      <c r="R8" s="10">
        <v>0</v>
      </c>
      <c r="S8" s="10">
        <v>0</v>
      </c>
      <c r="T8" s="10"/>
      <c r="U8" s="10">
        <v>21.5</v>
      </c>
      <c r="V8" s="10"/>
      <c r="W8" s="10"/>
      <c r="X8" s="10"/>
    </row>
    <row r="9" spans="1:24" s="5" customFormat="1" x14ac:dyDescent="0.25">
      <c r="A9" s="7"/>
      <c r="B9" s="5" t="s">
        <v>5</v>
      </c>
      <c r="C9" s="10">
        <v>212.0932945379349</v>
      </c>
      <c r="D9" s="10">
        <v>6.6279154543104646</v>
      </c>
      <c r="E9" s="10">
        <v>2.2093051514368214</v>
      </c>
      <c r="F9" s="10">
        <v>0</v>
      </c>
      <c r="G9" s="10">
        <v>0</v>
      </c>
      <c r="H9" s="10"/>
      <c r="I9" s="10"/>
      <c r="J9" s="10">
        <v>15.866865079365079</v>
      </c>
      <c r="K9" s="10">
        <v>19</v>
      </c>
      <c r="L9" s="10">
        <v>6</v>
      </c>
      <c r="M9" s="10">
        <v>0</v>
      </c>
      <c r="N9" s="10">
        <v>0</v>
      </c>
      <c r="O9" s="10"/>
      <c r="P9" s="10">
        <v>6.6279154543104646</v>
      </c>
      <c r="Q9" s="10">
        <v>0</v>
      </c>
      <c r="R9" s="10">
        <v>0</v>
      </c>
      <c r="S9" s="10">
        <v>0</v>
      </c>
      <c r="T9" s="10"/>
      <c r="U9" s="10">
        <v>21.5</v>
      </c>
      <c r="V9" s="10">
        <v>0</v>
      </c>
      <c r="W9" s="10">
        <v>0</v>
      </c>
      <c r="X9" s="10">
        <v>0</v>
      </c>
    </row>
    <row r="10" spans="1:24" s="5" customFormat="1" x14ac:dyDescent="0.25">
      <c r="A10" s="7"/>
      <c r="B10" s="5" t="s">
        <v>6</v>
      </c>
      <c r="C10" s="10">
        <v>23.712751207935288</v>
      </c>
      <c r="D10" s="10">
        <v>6.6279154543104664</v>
      </c>
      <c r="E10" s="10">
        <v>2.2093051514368218</v>
      </c>
      <c r="F10" s="10">
        <v>0</v>
      </c>
      <c r="G10" s="10">
        <v>0</v>
      </c>
      <c r="H10" s="10"/>
      <c r="I10" s="10"/>
      <c r="J10" s="10">
        <v>1.2867955629876389</v>
      </c>
      <c r="K10" s="10">
        <v>0</v>
      </c>
      <c r="L10" s="10">
        <v>0</v>
      </c>
      <c r="M10" s="10">
        <v>0</v>
      </c>
      <c r="N10" s="10">
        <v>0</v>
      </c>
      <c r="O10" s="10"/>
      <c r="P10" s="10">
        <v>6.6279154543104664</v>
      </c>
      <c r="Q10" s="10">
        <v>0</v>
      </c>
      <c r="R10" s="10">
        <v>0</v>
      </c>
      <c r="S10" s="10">
        <v>0</v>
      </c>
      <c r="T10" s="10"/>
      <c r="U10" s="10">
        <v>0</v>
      </c>
      <c r="V10" s="10">
        <v>0</v>
      </c>
      <c r="W10" s="10">
        <v>0</v>
      </c>
      <c r="X10" s="10">
        <v>0</v>
      </c>
    </row>
    <row r="11" spans="1:24" s="5" customFormat="1" x14ac:dyDescent="0.25">
      <c r="A11" s="7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</row>
    <row r="12" spans="1:24" s="5" customFormat="1" x14ac:dyDescent="0.25">
      <c r="A12" s="7" t="s">
        <v>21</v>
      </c>
      <c r="B12" s="5">
        <v>1</v>
      </c>
      <c r="C12" s="10">
        <v>0.5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</row>
    <row r="13" spans="1:24" s="5" customFormat="1" x14ac:dyDescent="0.25">
      <c r="A13" s="7"/>
      <c r="B13" s="5">
        <v>2</v>
      </c>
      <c r="C13" s="10">
        <v>0.40909090909090906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</row>
    <row r="14" spans="1:24" s="5" customFormat="1" x14ac:dyDescent="0.25">
      <c r="A14" s="7"/>
      <c r="B14" s="5">
        <v>3</v>
      </c>
      <c r="C14" s="10">
        <v>0.37500000000000006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</row>
    <row r="15" spans="1:24" s="5" customFormat="1" x14ac:dyDescent="0.25">
      <c r="A15" s="7"/>
      <c r="B15" s="5">
        <v>4</v>
      </c>
      <c r="C15" s="10">
        <v>0.70370370370370372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</row>
    <row r="16" spans="1:24" s="5" customFormat="1" x14ac:dyDescent="0.25">
      <c r="A16" s="7"/>
      <c r="B16" s="5">
        <v>5</v>
      </c>
      <c r="C16" s="10">
        <v>0.32500000000000007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</row>
    <row r="17" spans="1:24" s="5" customFormat="1" x14ac:dyDescent="0.25">
      <c r="A17" s="7"/>
      <c r="B17" s="5">
        <v>6</v>
      </c>
      <c r="C17" s="10">
        <v>0.3902439024390244</v>
      </c>
      <c r="D17" s="10">
        <v>0.25</v>
      </c>
      <c r="E17" s="10">
        <v>0.5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>
        <v>0.25</v>
      </c>
      <c r="Q17" s="10">
        <v>0</v>
      </c>
      <c r="R17" s="10"/>
      <c r="S17" s="10"/>
      <c r="T17" s="10"/>
      <c r="U17" s="10"/>
      <c r="V17" s="10"/>
      <c r="W17" s="10"/>
      <c r="X17" s="10"/>
    </row>
    <row r="18" spans="1:24" s="5" customFormat="1" x14ac:dyDescent="0.25">
      <c r="A18" s="7"/>
      <c r="B18" s="5" t="s">
        <v>5</v>
      </c>
      <c r="C18" s="10">
        <v>0.45050641920560625</v>
      </c>
      <c r="D18" s="10">
        <v>0.25</v>
      </c>
      <c r="E18" s="10">
        <v>0.5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>
        <v>0.25</v>
      </c>
      <c r="Q18" s="10">
        <v>0</v>
      </c>
      <c r="R18" s="10"/>
      <c r="S18" s="10"/>
      <c r="T18" s="10"/>
      <c r="U18" s="10"/>
      <c r="V18" s="10"/>
      <c r="W18" s="10"/>
      <c r="X18" s="10"/>
    </row>
    <row r="19" spans="1:24" s="5" customFormat="1" x14ac:dyDescent="0.25">
      <c r="A19" s="7"/>
      <c r="B19" s="5" t="s">
        <v>6</v>
      </c>
      <c r="C19" s="10">
        <v>5.5784817356586365E-2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</row>
    <row r="20" spans="1:24" x14ac:dyDescent="0.25">
      <c r="C20" s="16" t="s">
        <v>25</v>
      </c>
      <c r="J20" s="16" t="s">
        <v>25</v>
      </c>
      <c r="P20" s="15" t="s">
        <v>23</v>
      </c>
      <c r="U20" s="15" t="s">
        <v>23</v>
      </c>
    </row>
    <row r="21" spans="1:24" s="5" customFormat="1" x14ac:dyDescent="0.25">
      <c r="A21" s="9" t="s">
        <v>22</v>
      </c>
      <c r="B21" s="13"/>
      <c r="C21" s="13" t="s">
        <v>20</v>
      </c>
      <c r="D21" s="14"/>
      <c r="E21" s="14"/>
      <c r="F21" s="14"/>
      <c r="G21" s="14"/>
      <c r="H21" s="14"/>
      <c r="I21" s="14"/>
      <c r="J21" s="14" t="s">
        <v>19</v>
      </c>
      <c r="K21" s="10"/>
      <c r="L21" s="10"/>
      <c r="M21" s="10"/>
      <c r="N21" s="10"/>
      <c r="O21" s="10"/>
      <c r="P21" s="13" t="s">
        <v>20</v>
      </c>
      <c r="Q21" s="10"/>
      <c r="R21" s="10"/>
      <c r="S21" s="10"/>
      <c r="T21" s="10"/>
      <c r="U21" s="10" t="s">
        <v>24</v>
      </c>
      <c r="V21" s="10"/>
      <c r="W21" s="10"/>
      <c r="X21" s="10"/>
    </row>
    <row r="22" spans="1:24" s="5" customFormat="1" x14ac:dyDescent="0.25">
      <c r="A22" s="7"/>
      <c r="B22" s="5">
        <v>1</v>
      </c>
      <c r="C22" s="10">
        <v>198.83746362931393</v>
      </c>
      <c r="D22" s="10">
        <v>0</v>
      </c>
      <c r="E22" s="10">
        <v>0</v>
      </c>
      <c r="F22" s="10">
        <v>0</v>
      </c>
      <c r="G22" s="10">
        <v>0</v>
      </c>
      <c r="H22" s="10"/>
      <c r="I22" s="10"/>
      <c r="J22" s="10">
        <v>18.600000000000001</v>
      </c>
      <c r="K22" s="10"/>
      <c r="L22" s="10"/>
      <c r="M22" s="10"/>
      <c r="N22" s="10"/>
      <c r="O22" s="10"/>
      <c r="P22" s="10">
        <v>331.39577271552321</v>
      </c>
      <c r="Q22" s="10">
        <v>0</v>
      </c>
      <c r="R22" s="10">
        <v>0</v>
      </c>
      <c r="S22" s="10">
        <v>0</v>
      </c>
      <c r="T22" s="10"/>
      <c r="U22" s="10"/>
      <c r="V22" s="10"/>
      <c r="W22" s="10"/>
      <c r="X22" s="10"/>
    </row>
    <row r="23" spans="1:24" s="5" customFormat="1" x14ac:dyDescent="0.25">
      <c r="A23" s="7"/>
      <c r="B23" s="5">
        <v>2</v>
      </c>
      <c r="C23" s="10">
        <v>238.60495635517671</v>
      </c>
      <c r="D23" s="10">
        <v>0</v>
      </c>
      <c r="E23" s="10">
        <v>0</v>
      </c>
      <c r="F23" s="10">
        <v>0</v>
      </c>
      <c r="G23" s="10">
        <v>0</v>
      </c>
      <c r="H23" s="10"/>
      <c r="I23" s="10"/>
      <c r="J23" s="10">
        <v>15.142857142857142</v>
      </c>
      <c r="K23" s="10"/>
      <c r="L23" s="10"/>
      <c r="M23" s="10"/>
      <c r="N23" s="10"/>
      <c r="O23" s="10"/>
      <c r="P23" s="10">
        <v>92.790816360346497</v>
      </c>
      <c r="Q23" s="10">
        <v>0</v>
      </c>
      <c r="R23" s="10">
        <v>0</v>
      </c>
      <c r="S23" s="10">
        <v>0</v>
      </c>
      <c r="T23" s="10"/>
      <c r="U23" s="10"/>
      <c r="V23" s="10"/>
      <c r="W23" s="10"/>
      <c r="X23" s="10"/>
    </row>
    <row r="24" spans="1:24" s="5" customFormat="1" x14ac:dyDescent="0.25">
      <c r="A24" s="7"/>
      <c r="B24" s="5">
        <v>3</v>
      </c>
      <c r="C24" s="10"/>
      <c r="D24" s="10">
        <v>0</v>
      </c>
      <c r="E24" s="10">
        <v>0</v>
      </c>
      <c r="F24" s="10">
        <v>0</v>
      </c>
      <c r="G24" s="10">
        <v>0</v>
      </c>
      <c r="H24" s="10"/>
      <c r="I24" s="10"/>
      <c r="J24" s="10"/>
      <c r="K24" s="10"/>
      <c r="L24" s="10"/>
      <c r="M24" s="10"/>
      <c r="N24" s="10"/>
      <c r="O24" s="10"/>
      <c r="P24" s="10">
        <v>0</v>
      </c>
      <c r="Q24" s="10">
        <v>0</v>
      </c>
      <c r="R24" s="10">
        <v>0</v>
      </c>
      <c r="S24" s="10">
        <v>0</v>
      </c>
      <c r="T24" s="10"/>
      <c r="U24" s="10"/>
      <c r="V24" s="10"/>
      <c r="W24" s="10"/>
      <c r="X24" s="10"/>
    </row>
    <row r="25" spans="1:24" s="5" customFormat="1" x14ac:dyDescent="0.25">
      <c r="A25" s="7"/>
      <c r="B25" s="5">
        <v>4</v>
      </c>
      <c r="C25" s="10"/>
      <c r="D25" s="10">
        <v>0</v>
      </c>
      <c r="E25" s="10">
        <v>0</v>
      </c>
      <c r="F25" s="10">
        <v>0</v>
      </c>
      <c r="G25" s="10">
        <v>0</v>
      </c>
      <c r="H25" s="10"/>
      <c r="I25" s="10"/>
      <c r="J25" s="10"/>
      <c r="K25" s="10"/>
      <c r="L25" s="10"/>
      <c r="M25" s="10"/>
      <c r="N25" s="10"/>
      <c r="O25" s="10"/>
      <c r="P25" s="10">
        <v>0</v>
      </c>
      <c r="Q25" s="10">
        <v>198.83746362931393</v>
      </c>
      <c r="R25" s="10">
        <v>0</v>
      </c>
      <c r="S25" s="10">
        <v>0</v>
      </c>
      <c r="T25" s="10"/>
      <c r="U25" s="10"/>
      <c r="V25" s="10"/>
      <c r="W25" s="10"/>
      <c r="X25" s="10"/>
    </row>
    <row r="26" spans="1:24" s="5" customFormat="1" x14ac:dyDescent="0.25">
      <c r="A26" s="7"/>
      <c r="B26" s="5">
        <v>5</v>
      </c>
      <c r="C26" s="10">
        <v>172.32580181207209</v>
      </c>
      <c r="D26" s="10">
        <v>26.511661817241858</v>
      </c>
      <c r="E26" s="10">
        <v>0</v>
      </c>
      <c r="F26" s="10">
        <v>0</v>
      </c>
      <c r="G26" s="10">
        <v>0</v>
      </c>
      <c r="H26" s="10"/>
      <c r="I26" s="10"/>
      <c r="J26" s="10">
        <v>23</v>
      </c>
      <c r="K26" s="10">
        <v>13.5</v>
      </c>
      <c r="L26" s="10"/>
      <c r="M26" s="10"/>
      <c r="N26" s="10"/>
      <c r="O26" s="10"/>
      <c r="P26" s="10">
        <v>172.32580181207209</v>
      </c>
      <c r="Q26" s="10">
        <v>0</v>
      </c>
      <c r="R26" s="10">
        <v>0</v>
      </c>
      <c r="S26" s="10">
        <v>0</v>
      </c>
      <c r="T26" s="10"/>
      <c r="U26" s="10"/>
      <c r="V26" s="10"/>
      <c r="W26" s="10"/>
      <c r="X26" s="10"/>
    </row>
    <row r="27" spans="1:24" s="5" customFormat="1" x14ac:dyDescent="0.25">
      <c r="A27" s="7"/>
      <c r="B27" s="5">
        <v>6</v>
      </c>
      <c r="C27" s="10"/>
      <c r="D27" s="10">
        <v>66.279154543104639</v>
      </c>
      <c r="E27" s="10">
        <v>0</v>
      </c>
      <c r="F27" s="10">
        <v>0</v>
      </c>
      <c r="G27" s="10">
        <v>0</v>
      </c>
      <c r="H27" s="10"/>
      <c r="I27" s="10"/>
      <c r="J27" s="10"/>
      <c r="K27" s="10">
        <v>19.125</v>
      </c>
      <c r="L27" s="10"/>
      <c r="M27" s="10"/>
      <c r="N27" s="10"/>
      <c r="O27" s="10"/>
      <c r="P27" s="10">
        <v>0</v>
      </c>
      <c r="Q27" s="10">
        <v>0</v>
      </c>
      <c r="R27" s="10">
        <v>0</v>
      </c>
      <c r="S27" s="10">
        <v>0</v>
      </c>
      <c r="T27" s="10"/>
      <c r="U27" s="10">
        <v>21.5</v>
      </c>
      <c r="V27" s="10"/>
      <c r="W27" s="10"/>
      <c r="X27" s="10"/>
    </row>
    <row r="28" spans="1:24" s="5" customFormat="1" x14ac:dyDescent="0.25">
      <c r="A28" s="7"/>
      <c r="B28" s="5" t="s">
        <v>5</v>
      </c>
      <c r="C28" s="10">
        <v>203.2560739321876</v>
      </c>
      <c r="D28" s="10">
        <v>15.46513606005775</v>
      </c>
      <c r="E28" s="10">
        <v>0</v>
      </c>
      <c r="F28" s="10">
        <v>0</v>
      </c>
      <c r="G28" s="10">
        <v>0</v>
      </c>
      <c r="H28" s="10"/>
      <c r="I28" s="10"/>
      <c r="J28" s="10">
        <v>18.914285714285715</v>
      </c>
      <c r="K28" s="10">
        <v>16.3125</v>
      </c>
      <c r="L28" s="10">
        <v>0</v>
      </c>
      <c r="M28" s="10">
        <v>0</v>
      </c>
      <c r="N28" s="10">
        <v>0</v>
      </c>
      <c r="O28" s="10"/>
      <c r="P28" s="10">
        <v>99.418731814656965</v>
      </c>
      <c r="Q28" s="10">
        <v>33.139577271552319</v>
      </c>
      <c r="R28" s="10">
        <v>0</v>
      </c>
      <c r="S28" s="10">
        <v>0</v>
      </c>
      <c r="T28" s="10"/>
      <c r="U28" s="10">
        <v>21.5</v>
      </c>
      <c r="V28" s="10">
        <v>0</v>
      </c>
      <c r="W28" s="10">
        <v>0</v>
      </c>
      <c r="X28" s="10">
        <v>0</v>
      </c>
    </row>
    <row r="29" spans="1:24" s="5" customFormat="1" x14ac:dyDescent="0.25">
      <c r="A29" s="7"/>
      <c r="B29" s="5" t="s">
        <v>6</v>
      </c>
      <c r="C29" s="10">
        <v>19.260275781113819</v>
      </c>
      <c r="D29" s="10">
        <v>11.046525757184108</v>
      </c>
      <c r="E29" s="10">
        <v>0</v>
      </c>
      <c r="F29" s="10">
        <v>0</v>
      </c>
      <c r="G29" s="10">
        <v>0</v>
      </c>
      <c r="H29" s="10"/>
      <c r="I29" s="10"/>
      <c r="J29" s="10">
        <v>2.2735988433934966</v>
      </c>
      <c r="K29" s="10">
        <v>0</v>
      </c>
      <c r="L29" s="10">
        <v>0</v>
      </c>
      <c r="M29" s="10">
        <v>0</v>
      </c>
      <c r="N29" s="10">
        <v>0</v>
      </c>
      <c r="O29" s="10"/>
      <c r="P29" s="10">
        <v>54.413530894102593</v>
      </c>
      <c r="Q29" s="10">
        <v>33.139577271552326</v>
      </c>
      <c r="R29" s="10">
        <v>0</v>
      </c>
      <c r="S29" s="10">
        <v>0</v>
      </c>
      <c r="T29" s="10"/>
      <c r="U29" s="10">
        <v>0</v>
      </c>
      <c r="V29" s="10">
        <v>0</v>
      </c>
      <c r="W29" s="10">
        <v>0</v>
      </c>
      <c r="X29" s="10">
        <v>0</v>
      </c>
    </row>
    <row r="30" spans="1:24" s="5" customFormat="1" x14ac:dyDescent="0.25">
      <c r="A30" s="7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</row>
    <row r="31" spans="1:24" s="5" customFormat="1" x14ac:dyDescent="0.25">
      <c r="A31" s="7" t="s">
        <v>21</v>
      </c>
      <c r="B31" s="5">
        <v>1</v>
      </c>
      <c r="C31" s="10">
        <v>0.52742032792921467</v>
      </c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>
        <v>0.49800796812749004</v>
      </c>
      <c r="Q31" s="10"/>
      <c r="R31" s="10"/>
      <c r="S31" s="10"/>
      <c r="T31" s="10"/>
      <c r="U31" s="10"/>
      <c r="V31" s="10"/>
      <c r="W31" s="10"/>
      <c r="X31" s="10"/>
    </row>
    <row r="32" spans="1:24" s="5" customFormat="1" x14ac:dyDescent="0.25">
      <c r="A32" s="7"/>
      <c r="B32" s="5">
        <v>2</v>
      </c>
      <c r="C32" s="10">
        <v>0.88372206057472857</v>
      </c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>
        <v>0.51851851851851849</v>
      </c>
      <c r="Q32" s="10"/>
      <c r="R32" s="10"/>
      <c r="S32" s="10"/>
      <c r="T32" s="10"/>
      <c r="U32" s="10"/>
      <c r="V32" s="10"/>
      <c r="W32" s="10"/>
      <c r="X32" s="10"/>
    </row>
    <row r="33" spans="1:24" s="5" customFormat="1" x14ac:dyDescent="0.25">
      <c r="A33" s="7"/>
      <c r="B33" s="5">
        <v>3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</row>
    <row r="34" spans="1:24" s="5" customFormat="1" x14ac:dyDescent="0.25">
      <c r="A34" s="7"/>
      <c r="B34" s="5">
        <v>4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>
        <v>0.42735042735042733</v>
      </c>
      <c r="R34" s="10"/>
      <c r="S34" s="10"/>
      <c r="T34" s="10"/>
      <c r="U34" s="10"/>
      <c r="V34" s="10"/>
      <c r="W34" s="10"/>
      <c r="X34" s="10"/>
    </row>
    <row r="35" spans="1:24" s="5" customFormat="1" x14ac:dyDescent="0.25">
      <c r="A35" s="7"/>
      <c r="B35" s="5">
        <v>5</v>
      </c>
      <c r="C35" s="10">
        <v>0.45709761753865275</v>
      </c>
      <c r="D35" s="10">
        <v>0.4708998546579371</v>
      </c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>
        <v>0.50387596899224807</v>
      </c>
      <c r="Q35" s="10"/>
      <c r="R35" s="10"/>
      <c r="S35" s="10"/>
      <c r="T35" s="10"/>
      <c r="U35" s="10"/>
      <c r="V35" s="10"/>
      <c r="W35" s="10"/>
      <c r="X35" s="10"/>
    </row>
    <row r="36" spans="1:24" s="5" customFormat="1" x14ac:dyDescent="0.25">
      <c r="A36" s="7"/>
      <c r="B36" s="5">
        <v>6</v>
      </c>
      <c r="C36" s="10"/>
      <c r="D36" s="10">
        <v>0.42350897471632359</v>
      </c>
      <c r="E36" s="10">
        <v>0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</row>
    <row r="37" spans="1:24" s="5" customFormat="1" x14ac:dyDescent="0.25">
      <c r="A37" s="7"/>
      <c r="B37" s="5" t="s">
        <v>5</v>
      </c>
      <c r="C37" s="10">
        <v>0.62274666868086526</v>
      </c>
      <c r="D37" s="10">
        <v>0.44720441468713035</v>
      </c>
      <c r="E37" s="10">
        <v>0</v>
      </c>
      <c r="F37" s="10">
        <v>0</v>
      </c>
      <c r="G37" s="10">
        <v>0</v>
      </c>
      <c r="H37" s="10"/>
      <c r="I37" s="10"/>
      <c r="J37" s="10"/>
      <c r="K37" s="10"/>
      <c r="L37" s="10"/>
      <c r="M37" s="10"/>
      <c r="N37" s="10"/>
      <c r="O37" s="10"/>
      <c r="P37" s="10">
        <v>0.50680081854608561</v>
      </c>
      <c r="Q37" s="10">
        <v>0.42735042735042733</v>
      </c>
      <c r="R37" s="10">
        <v>0</v>
      </c>
      <c r="S37" s="10">
        <v>0</v>
      </c>
      <c r="T37" s="10"/>
      <c r="U37" s="10"/>
      <c r="V37" s="10"/>
      <c r="W37" s="10"/>
      <c r="X37" s="10"/>
    </row>
    <row r="38" spans="1:24" s="5" customFormat="1" x14ac:dyDescent="0.25">
      <c r="A38" s="7"/>
      <c r="B38" s="5" t="s">
        <v>6</v>
      </c>
      <c r="C38" s="10">
        <v>0.13205735784093411</v>
      </c>
      <c r="D38" s="10">
        <v>2.369543997080675E-2</v>
      </c>
      <c r="E38" s="10"/>
      <c r="F38" s="10">
        <v>0</v>
      </c>
      <c r="G38" s="10">
        <v>0</v>
      </c>
      <c r="H38" s="10"/>
      <c r="I38" s="10"/>
      <c r="J38" s="10"/>
      <c r="K38" s="10"/>
      <c r="L38" s="10"/>
      <c r="M38" s="10"/>
      <c r="N38" s="10"/>
      <c r="O38" s="10"/>
      <c r="P38" s="10">
        <v>6.0988175908713851E-3</v>
      </c>
      <c r="Q38" s="10"/>
      <c r="R38" s="10">
        <v>0</v>
      </c>
      <c r="S38" s="10">
        <v>0</v>
      </c>
      <c r="T38" s="10"/>
      <c r="U38" s="10"/>
      <c r="V38" s="10"/>
      <c r="W38" s="10"/>
      <c r="X38" s="10"/>
    </row>
  </sheetData>
  <phoneticPr fontId="2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workbookViewId="0">
      <selection activeCell="G10" sqref="G10"/>
    </sheetView>
  </sheetViews>
  <sheetFormatPr defaultColWidth="8.77734375" defaultRowHeight="13.8" x14ac:dyDescent="0.25"/>
  <cols>
    <col min="1" max="1" width="9.77734375" style="5" bestFit="1" customWidth="1"/>
    <col min="2" max="16384" width="8.77734375" style="5"/>
  </cols>
  <sheetData>
    <row r="1" spans="1:9" x14ac:dyDescent="0.25">
      <c r="B1" s="1" t="s">
        <v>7</v>
      </c>
    </row>
    <row r="2" spans="1:9" x14ac:dyDescent="0.25">
      <c r="B2" s="5" t="s">
        <v>34</v>
      </c>
      <c r="F2" s="5" t="s">
        <v>130</v>
      </c>
    </row>
    <row r="3" spans="1:9" x14ac:dyDescent="0.25">
      <c r="B3" s="5" t="s">
        <v>33</v>
      </c>
      <c r="C3" s="5" t="s">
        <v>26</v>
      </c>
      <c r="D3" s="5" t="s">
        <v>27</v>
      </c>
      <c r="E3" s="5" t="s">
        <v>28</v>
      </c>
      <c r="F3" s="5" t="s">
        <v>29</v>
      </c>
      <c r="G3" s="5" t="s">
        <v>30</v>
      </c>
      <c r="H3" s="5" t="s">
        <v>31</v>
      </c>
      <c r="I3" s="5" t="s">
        <v>32</v>
      </c>
    </row>
    <row r="4" spans="1:9" x14ac:dyDescent="0.25">
      <c r="A4" s="7">
        <v>42881</v>
      </c>
      <c r="B4" s="8">
        <v>119.30247817758836</v>
      </c>
      <c r="C4" s="8">
        <v>92.790816360346497</v>
      </c>
      <c r="D4" s="8">
        <v>172.32580181207209</v>
      </c>
      <c r="E4" s="8">
        <v>251.86078726379765</v>
      </c>
      <c r="F4" s="8">
        <v>119.30247817758836</v>
      </c>
      <c r="G4" s="8">
        <v>251.86078726379765</v>
      </c>
      <c r="H4" s="8">
        <v>106.04664726896743</v>
      </c>
      <c r="I4" s="8">
        <v>132.55830908620928</v>
      </c>
    </row>
    <row r="5" spans="1:9" x14ac:dyDescent="0.25">
      <c r="A5" s="7">
        <v>42896</v>
      </c>
      <c r="B5" s="8">
        <v>106.04664726896743</v>
      </c>
      <c r="C5" s="8">
        <v>79.534985451725575</v>
      </c>
      <c r="D5" s="8">
        <v>172.32580181207209</v>
      </c>
      <c r="E5" s="8">
        <v>198.83746362931393</v>
      </c>
      <c r="F5" s="8">
        <v>119.30247817758836</v>
      </c>
      <c r="G5" s="8">
        <v>238.60495635517671</v>
      </c>
      <c r="H5" s="8">
        <v>106.04664726896743</v>
      </c>
      <c r="I5" s="8">
        <v>119.30247817758836</v>
      </c>
    </row>
    <row r="6" spans="1:9" x14ac:dyDescent="0.25">
      <c r="A6" s="7">
        <v>42924</v>
      </c>
      <c r="B6" s="8">
        <v>0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</row>
  </sheetData>
  <phoneticPr fontId="2" type="noConversion"/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17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P15" sqref="P15"/>
    </sheetView>
  </sheetViews>
  <sheetFormatPr defaultColWidth="8.77734375" defaultRowHeight="13.8" x14ac:dyDescent="0.25"/>
  <cols>
    <col min="1" max="1" width="9.77734375" style="5" bestFit="1" customWidth="1"/>
    <col min="2" max="2" width="6.6640625" style="5" customWidth="1"/>
    <col min="3" max="6" width="6" style="5" bestFit="1" customWidth="1"/>
    <col min="7" max="7" width="3.44140625" style="5" customWidth="1"/>
    <col min="8" max="8" width="6.109375" style="5" customWidth="1"/>
    <col min="9" max="9" width="6" style="5" bestFit="1" customWidth="1"/>
    <col min="10" max="10" width="7.44140625" style="5" bestFit="1" customWidth="1"/>
    <col min="11" max="11" width="6.44140625" style="5" bestFit="1" customWidth="1"/>
    <col min="12" max="12" width="7.44140625" style="5" bestFit="1" customWidth="1"/>
    <col min="13" max="13" width="8.77734375" style="5"/>
    <col min="14" max="14" width="9.33203125" style="5" customWidth="1"/>
    <col min="15" max="19" width="6" style="5" bestFit="1" customWidth="1"/>
    <col min="20" max="20" width="8.77734375" style="5"/>
    <col min="21" max="24" width="6" style="5" bestFit="1" customWidth="1"/>
    <col min="25" max="16384" width="8.77734375" style="5"/>
  </cols>
  <sheetData>
    <row r="1" spans="1:25" x14ac:dyDescent="0.25">
      <c r="B1" s="55" t="s">
        <v>10</v>
      </c>
      <c r="C1" s="55"/>
      <c r="D1" s="55"/>
      <c r="E1" s="55"/>
      <c r="F1" s="55"/>
      <c r="G1" s="55"/>
      <c r="H1" s="55" t="s">
        <v>10</v>
      </c>
      <c r="I1" s="55"/>
      <c r="J1" s="51"/>
      <c r="L1" s="54"/>
      <c r="M1" s="54"/>
      <c r="N1" s="57" t="s">
        <v>11</v>
      </c>
      <c r="O1" s="54"/>
      <c r="P1" s="54"/>
      <c r="Q1" s="54"/>
      <c r="R1" s="54"/>
      <c r="S1" s="54"/>
      <c r="T1" s="57" t="s">
        <v>11</v>
      </c>
    </row>
    <row r="2" spans="1:25" ht="14.4" x14ac:dyDescent="0.25">
      <c r="A2" s="5" t="s">
        <v>8</v>
      </c>
      <c r="B2" s="5" t="s">
        <v>9</v>
      </c>
      <c r="H2" s="5" t="s">
        <v>79</v>
      </c>
      <c r="N2" s="5" t="s">
        <v>9</v>
      </c>
      <c r="T2" s="5" t="s">
        <v>79</v>
      </c>
    </row>
    <row r="3" spans="1:25" x14ac:dyDescent="0.25">
      <c r="B3" s="5" t="s">
        <v>73</v>
      </c>
      <c r="C3" s="5" t="s">
        <v>74</v>
      </c>
      <c r="D3" s="5" t="s">
        <v>75</v>
      </c>
      <c r="E3" s="5" t="s">
        <v>76</v>
      </c>
      <c r="F3" s="5" t="s">
        <v>77</v>
      </c>
      <c r="H3" s="5" t="s">
        <v>73</v>
      </c>
      <c r="I3" s="5" t="s">
        <v>74</v>
      </c>
      <c r="J3" s="5" t="s">
        <v>75</v>
      </c>
      <c r="K3" s="5" t="s">
        <v>76</v>
      </c>
      <c r="L3" s="5" t="s">
        <v>77</v>
      </c>
      <c r="N3" s="5" t="s">
        <v>73</v>
      </c>
      <c r="O3" s="5" t="s">
        <v>74</v>
      </c>
      <c r="P3" s="5" t="s">
        <v>75</v>
      </c>
      <c r="Q3" s="5" t="s">
        <v>76</v>
      </c>
      <c r="R3" s="5" t="s">
        <v>77</v>
      </c>
      <c r="S3" s="5" t="s">
        <v>81</v>
      </c>
      <c r="T3" s="5" t="s">
        <v>73</v>
      </c>
      <c r="U3" s="5" t="s">
        <v>74</v>
      </c>
      <c r="V3" s="5" t="s">
        <v>75</v>
      </c>
      <c r="W3" s="5" t="s">
        <v>76</v>
      </c>
      <c r="X3" s="5" t="s">
        <v>77</v>
      </c>
      <c r="Y3" s="5" t="s">
        <v>81</v>
      </c>
    </row>
    <row r="4" spans="1:25" x14ac:dyDescent="0.25">
      <c r="A4" s="7">
        <v>42866</v>
      </c>
      <c r="B4" s="5">
        <v>3</v>
      </c>
      <c r="C4" s="5">
        <v>3</v>
      </c>
      <c r="D4" s="5">
        <v>3</v>
      </c>
      <c r="E4" s="5">
        <v>1</v>
      </c>
      <c r="F4" s="5">
        <v>2</v>
      </c>
      <c r="H4" s="5">
        <v>19</v>
      </c>
      <c r="I4" s="5">
        <v>16</v>
      </c>
      <c r="J4" s="5">
        <v>14</v>
      </c>
      <c r="K4" s="5">
        <v>12</v>
      </c>
      <c r="L4" s="5">
        <v>0</v>
      </c>
      <c r="N4" s="5">
        <v>335</v>
      </c>
      <c r="O4" s="5">
        <v>205</v>
      </c>
      <c r="P4" s="5">
        <v>579</v>
      </c>
      <c r="Q4" s="5">
        <v>605</v>
      </c>
      <c r="R4" s="5">
        <v>391</v>
      </c>
      <c r="S4" s="5">
        <v>434</v>
      </c>
      <c r="T4" s="5">
        <v>24</v>
      </c>
      <c r="U4" s="5">
        <v>9</v>
      </c>
      <c r="V4" s="5">
        <v>7</v>
      </c>
      <c r="W4" s="5">
        <v>16</v>
      </c>
      <c r="X4" s="5">
        <v>38</v>
      </c>
      <c r="Y4" s="5">
        <v>8</v>
      </c>
    </row>
    <row r="5" spans="1:25" x14ac:dyDescent="0.25">
      <c r="A5" s="7">
        <v>42879</v>
      </c>
      <c r="B5" s="5">
        <v>4</v>
      </c>
      <c r="C5" s="5">
        <v>3</v>
      </c>
      <c r="D5" s="5">
        <v>6</v>
      </c>
      <c r="E5" s="5">
        <v>1</v>
      </c>
      <c r="F5" s="5">
        <v>2</v>
      </c>
      <c r="H5" s="5">
        <v>12</v>
      </c>
      <c r="I5" s="5">
        <v>13</v>
      </c>
      <c r="J5" s="5">
        <v>11</v>
      </c>
      <c r="K5" s="5">
        <v>13</v>
      </c>
      <c r="L5" s="5">
        <v>0</v>
      </c>
      <c r="N5" s="5">
        <v>247</v>
      </c>
      <c r="O5" s="5">
        <v>401</v>
      </c>
      <c r="P5" s="5">
        <v>504</v>
      </c>
      <c r="Q5" s="5">
        <v>500</v>
      </c>
      <c r="R5" s="5">
        <v>392</v>
      </c>
      <c r="S5" s="5">
        <v>407</v>
      </c>
      <c r="T5" s="5">
        <v>18</v>
      </c>
      <c r="U5" s="5">
        <v>9</v>
      </c>
      <c r="V5" s="5">
        <v>8</v>
      </c>
      <c r="W5" s="5">
        <v>15</v>
      </c>
      <c r="X5" s="5">
        <v>34</v>
      </c>
      <c r="Y5" s="5">
        <v>2</v>
      </c>
    </row>
    <row r="6" spans="1:25" x14ac:dyDescent="0.25">
      <c r="A6" s="7">
        <v>42897</v>
      </c>
      <c r="B6" s="5">
        <v>4</v>
      </c>
      <c r="C6" s="5">
        <v>3</v>
      </c>
      <c r="D6" s="5">
        <v>3</v>
      </c>
      <c r="E6" s="5">
        <v>1</v>
      </c>
      <c r="F6" s="5">
        <v>2</v>
      </c>
      <c r="H6" s="5">
        <v>12</v>
      </c>
      <c r="I6" s="5">
        <v>8</v>
      </c>
      <c r="J6" s="5">
        <v>16</v>
      </c>
      <c r="K6" s="5">
        <v>10</v>
      </c>
      <c r="L6" s="5">
        <v>0</v>
      </c>
      <c r="N6" s="5">
        <v>143</v>
      </c>
      <c r="O6" s="5">
        <v>256</v>
      </c>
      <c r="P6" s="5">
        <v>366</v>
      </c>
      <c r="Q6" s="5">
        <v>296</v>
      </c>
      <c r="R6" s="5">
        <v>388</v>
      </c>
      <c r="S6" s="5">
        <v>320</v>
      </c>
      <c r="T6" s="5">
        <v>11</v>
      </c>
      <c r="U6" s="5">
        <v>9</v>
      </c>
      <c r="V6" s="5">
        <v>7</v>
      </c>
      <c r="W6" s="5">
        <v>18</v>
      </c>
      <c r="X6" s="5">
        <v>35</v>
      </c>
      <c r="Y6" s="5">
        <v>0</v>
      </c>
    </row>
    <row r="7" spans="1:25" x14ac:dyDescent="0.25">
      <c r="A7" s="7">
        <v>42924</v>
      </c>
      <c r="B7" s="5">
        <v>25</v>
      </c>
      <c r="C7" s="5">
        <v>23</v>
      </c>
      <c r="D7" s="5">
        <v>37</v>
      </c>
      <c r="E7" s="5">
        <v>22</v>
      </c>
      <c r="F7" s="5">
        <v>2</v>
      </c>
      <c r="N7" s="11">
        <v>154</v>
      </c>
      <c r="O7" s="11">
        <v>265</v>
      </c>
      <c r="P7" s="11">
        <v>373</v>
      </c>
      <c r="Q7" s="11">
        <v>314</v>
      </c>
      <c r="R7" s="11">
        <v>423</v>
      </c>
      <c r="S7" s="11">
        <v>320</v>
      </c>
    </row>
    <row r="8" spans="1:25" x14ac:dyDescent="0.25">
      <c r="A8" s="7">
        <v>42951</v>
      </c>
      <c r="B8" s="5">
        <v>81</v>
      </c>
      <c r="C8" s="5">
        <v>84</v>
      </c>
      <c r="D8" s="5">
        <v>91</v>
      </c>
      <c r="E8" s="5">
        <v>50</v>
      </c>
      <c r="F8" s="5">
        <v>5</v>
      </c>
      <c r="N8" s="11">
        <v>200</v>
      </c>
      <c r="O8" s="11">
        <v>331</v>
      </c>
      <c r="P8" s="58">
        <v>400</v>
      </c>
      <c r="Q8" s="11">
        <v>310</v>
      </c>
      <c r="R8" s="11">
        <v>284</v>
      </c>
      <c r="S8" s="11">
        <v>241</v>
      </c>
    </row>
    <row r="9" spans="1:25" x14ac:dyDescent="0.25">
      <c r="A9" s="7">
        <v>42973</v>
      </c>
      <c r="B9" s="5">
        <f>46+45+80</f>
        <v>171</v>
      </c>
      <c r="C9" s="5">
        <f>48+36+47+36</f>
        <v>167</v>
      </c>
      <c r="D9" s="5">
        <f>82+95</f>
        <v>177</v>
      </c>
      <c r="E9" s="5">
        <f>64</f>
        <v>64</v>
      </c>
      <c r="F9" s="5">
        <v>20</v>
      </c>
      <c r="N9" s="11">
        <f>SUM(24,27,16,17,14,20,19,18)</f>
        <v>155</v>
      </c>
      <c r="O9" s="11">
        <f>SUM(14,35,38,32,16,44,29,52,38)</f>
        <v>298</v>
      </c>
      <c r="P9" s="11">
        <f>SUM(45,31,66,25,36,29,61,27,31)</f>
        <v>351</v>
      </c>
      <c r="Q9" s="11">
        <f>SUM(35,37,27,18,36,39,26,50,31)</f>
        <v>299</v>
      </c>
      <c r="R9" s="11">
        <f>SUM(160,130)</f>
        <v>290</v>
      </c>
      <c r="S9" s="11">
        <f>SUM(15,15,31,31,24,20,10,28,30)</f>
        <v>204</v>
      </c>
    </row>
    <row r="10" spans="1:25" x14ac:dyDescent="0.25">
      <c r="A10" s="7">
        <v>43043</v>
      </c>
      <c r="B10" s="5">
        <f>89+80+87</f>
        <v>256</v>
      </c>
      <c r="C10" s="5">
        <f>76+88+42</f>
        <v>206</v>
      </c>
      <c r="D10" s="5">
        <f>44+65+113</f>
        <v>222</v>
      </c>
      <c r="E10" s="5">
        <v>180</v>
      </c>
      <c r="F10" s="5">
        <v>52</v>
      </c>
      <c r="N10" s="11">
        <f>102+69</f>
        <v>171</v>
      </c>
      <c r="O10" s="11">
        <f>109+107+162</f>
        <v>378</v>
      </c>
      <c r="P10" s="11">
        <f>156+124+142</f>
        <v>422</v>
      </c>
      <c r="Q10" s="11">
        <f>127+160+93</f>
        <v>380</v>
      </c>
      <c r="R10" s="11">
        <f>99+115+200</f>
        <v>414</v>
      </c>
      <c r="S10" s="11">
        <f>129+108+98</f>
        <v>335</v>
      </c>
    </row>
    <row r="11" spans="1:25" x14ac:dyDescent="0.25">
      <c r="A11" s="7"/>
      <c r="N11" s="11"/>
      <c r="O11" s="11"/>
      <c r="P11" s="11"/>
      <c r="Q11" s="11"/>
      <c r="R11" s="11"/>
      <c r="S11" s="11"/>
    </row>
    <row r="12" spans="1:25" x14ac:dyDescent="0.25">
      <c r="A12" s="7">
        <v>43248</v>
      </c>
      <c r="B12" s="17">
        <v>221</v>
      </c>
      <c r="C12" s="17">
        <v>137</v>
      </c>
      <c r="D12" s="27">
        <v>194</v>
      </c>
      <c r="E12" s="17">
        <v>209</v>
      </c>
      <c r="F12" s="17">
        <v>162</v>
      </c>
      <c r="H12" s="5">
        <f>863/4</f>
        <v>215.75</v>
      </c>
      <c r="I12" s="5">
        <f>692/4</f>
        <v>173</v>
      </c>
      <c r="J12" s="5">
        <f>659/4</f>
        <v>164.75</v>
      </c>
      <c r="K12" s="5">
        <f>958/4</f>
        <v>239.5</v>
      </c>
      <c r="L12" s="5">
        <f>755/4</f>
        <v>188.75</v>
      </c>
      <c r="N12" s="11">
        <v>164</v>
      </c>
      <c r="O12" s="11">
        <v>220</v>
      </c>
      <c r="P12" s="11"/>
      <c r="Q12" s="11"/>
      <c r="R12" s="11">
        <v>165</v>
      </c>
      <c r="S12" s="11"/>
    </row>
    <row r="13" spans="1:25" ht="15.6" x14ac:dyDescent="0.25">
      <c r="A13" s="7">
        <v>43274</v>
      </c>
      <c r="B13" s="50">
        <v>172</v>
      </c>
      <c r="C13" s="50">
        <v>279</v>
      </c>
      <c r="D13" s="50">
        <v>138</v>
      </c>
      <c r="E13" s="50">
        <v>110</v>
      </c>
      <c r="F13" s="50">
        <v>151</v>
      </c>
      <c r="H13" s="50">
        <v>64</v>
      </c>
      <c r="I13" s="50">
        <v>136</v>
      </c>
      <c r="J13" s="53">
        <v>7</v>
      </c>
      <c r="K13" s="53">
        <v>397</v>
      </c>
      <c r="L13" s="53">
        <v>471</v>
      </c>
      <c r="N13" s="11">
        <f>151+49</f>
        <v>200</v>
      </c>
      <c r="O13" s="11">
        <v>351</v>
      </c>
      <c r="P13" s="11"/>
      <c r="Q13" s="11"/>
      <c r="R13" s="11">
        <v>233</v>
      </c>
      <c r="S13" s="11"/>
    </row>
    <row r="14" spans="1:25" x14ac:dyDescent="0.25">
      <c r="A14" s="7">
        <v>43306</v>
      </c>
      <c r="B14" s="27">
        <v>125</v>
      </c>
      <c r="C14" s="27">
        <v>110</v>
      </c>
      <c r="D14" s="27"/>
      <c r="E14" s="27">
        <v>152</v>
      </c>
      <c r="F14" s="4"/>
      <c r="H14" s="27">
        <v>230</v>
      </c>
      <c r="I14" s="27">
        <v>161</v>
      </c>
      <c r="J14" s="27"/>
      <c r="K14" s="27">
        <v>75</v>
      </c>
      <c r="L14" s="4"/>
      <c r="N14" s="11">
        <f>164</f>
        <v>164</v>
      </c>
      <c r="O14" s="11">
        <v>236</v>
      </c>
      <c r="P14" s="11"/>
      <c r="Q14" s="11"/>
      <c r="R14" s="11">
        <v>140</v>
      </c>
      <c r="S14" s="11"/>
    </row>
    <row r="15" spans="1:25" x14ac:dyDescent="0.25">
      <c r="A15" s="7">
        <v>43337</v>
      </c>
      <c r="B15" s="27">
        <v>125</v>
      </c>
      <c r="C15" s="27">
        <v>413</v>
      </c>
      <c r="D15" s="27">
        <v>279</v>
      </c>
      <c r="E15" s="27">
        <v>180</v>
      </c>
      <c r="F15" s="4">
        <v>281</v>
      </c>
      <c r="N15" s="11">
        <v>326</v>
      </c>
      <c r="O15" s="11"/>
      <c r="P15" s="11"/>
      <c r="Q15" s="11"/>
      <c r="R15" s="11">
        <v>225</v>
      </c>
      <c r="S15" s="11"/>
    </row>
    <row r="16" spans="1:25" x14ac:dyDescent="0.25">
      <c r="A16" s="7">
        <v>43360</v>
      </c>
      <c r="B16" s="27"/>
      <c r="C16" s="27"/>
      <c r="D16" s="27">
        <v>288</v>
      </c>
      <c r="E16" s="27"/>
      <c r="F16" s="4">
        <v>311</v>
      </c>
      <c r="N16" s="11">
        <f>120+90+77+101</f>
        <v>388</v>
      </c>
      <c r="O16" s="11">
        <v>395</v>
      </c>
      <c r="P16" s="11">
        <v>287</v>
      </c>
      <c r="Q16" s="11"/>
      <c r="R16" s="11">
        <v>229</v>
      </c>
      <c r="S16" s="11">
        <v>232</v>
      </c>
    </row>
    <row r="17" spans="1:19" x14ac:dyDescent="0.25">
      <c r="A17" s="7">
        <v>43413</v>
      </c>
      <c r="B17" s="27">
        <f>272+93</f>
        <v>365</v>
      </c>
      <c r="C17" s="27">
        <f>188+79</f>
        <v>267</v>
      </c>
      <c r="D17" s="27"/>
      <c r="E17" s="27"/>
      <c r="F17" s="4">
        <f>303+142</f>
        <v>445</v>
      </c>
      <c r="N17" s="11">
        <f>173+145+32+27</f>
        <v>377</v>
      </c>
      <c r="O17" s="11"/>
      <c r="P17" s="11"/>
      <c r="Q17" s="11"/>
      <c r="R17" s="11">
        <f>33+21+105+111</f>
        <v>270</v>
      </c>
      <c r="S17" s="11">
        <f>96+32+118+131</f>
        <v>377</v>
      </c>
    </row>
  </sheetData>
  <phoneticPr fontId="2" type="noConversion"/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17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7" sqref="A7"/>
    </sheetView>
  </sheetViews>
  <sheetFormatPr defaultColWidth="8.77734375" defaultRowHeight="13.8" x14ac:dyDescent="0.25"/>
  <cols>
    <col min="1" max="1" width="10.44140625" style="5" bestFit="1" customWidth="1"/>
    <col min="2" max="6" width="8.77734375" style="5"/>
    <col min="7" max="7" width="7.5546875" style="5" customWidth="1"/>
    <col min="8" max="12" width="8.77734375" style="5"/>
    <col min="13" max="13" width="8.33203125" style="5" customWidth="1"/>
    <col min="14" max="14" width="8.77734375" style="5"/>
    <col min="15" max="19" width="6" style="5" bestFit="1" customWidth="1"/>
    <col min="20" max="20" width="6" style="5" customWidth="1"/>
    <col min="21" max="21" width="8.77734375" style="5"/>
    <col min="22" max="25" width="6" style="5" bestFit="1" customWidth="1"/>
    <col min="26" max="16384" width="8.77734375" style="5"/>
  </cols>
  <sheetData>
    <row r="1" spans="1:27" x14ac:dyDescent="0.25">
      <c r="B1" s="55" t="s">
        <v>10</v>
      </c>
      <c r="C1" s="55"/>
      <c r="D1" s="55"/>
      <c r="E1" s="55"/>
      <c r="F1" s="55"/>
      <c r="G1" s="55"/>
      <c r="H1" s="55" t="s">
        <v>10</v>
      </c>
      <c r="I1" s="55"/>
      <c r="J1" s="51"/>
      <c r="L1" s="54"/>
      <c r="M1" s="54"/>
      <c r="N1" s="57" t="s">
        <v>11</v>
      </c>
      <c r="O1" s="54"/>
      <c r="P1" s="54"/>
      <c r="Q1" s="54"/>
      <c r="R1" s="54"/>
      <c r="S1" s="54"/>
      <c r="T1" s="54"/>
      <c r="U1" s="57" t="s">
        <v>11</v>
      </c>
    </row>
    <row r="2" spans="1:27" ht="14.4" x14ac:dyDescent="0.25">
      <c r="A2" s="5" t="s">
        <v>8</v>
      </c>
      <c r="B2" s="5" t="s">
        <v>78</v>
      </c>
      <c r="H2" s="5" t="s">
        <v>80</v>
      </c>
      <c r="N2" s="5" t="s">
        <v>78</v>
      </c>
      <c r="U2" s="5" t="s">
        <v>80</v>
      </c>
    </row>
    <row r="3" spans="1:27" x14ac:dyDescent="0.25">
      <c r="B3" s="5" t="s">
        <v>73</v>
      </c>
      <c r="C3" s="5" t="s">
        <v>74</v>
      </c>
      <c r="D3" s="5" t="s">
        <v>75</v>
      </c>
      <c r="E3" s="5" t="s">
        <v>76</v>
      </c>
      <c r="F3" s="5" t="s">
        <v>77</v>
      </c>
      <c r="H3" s="5" t="s">
        <v>73</v>
      </c>
      <c r="I3" s="5" t="s">
        <v>74</v>
      </c>
      <c r="J3" s="5" t="s">
        <v>75</v>
      </c>
      <c r="K3" s="5" t="s">
        <v>76</v>
      </c>
      <c r="L3" s="5" t="s">
        <v>77</v>
      </c>
      <c r="N3" s="5" t="s">
        <v>73</v>
      </c>
      <c r="O3" s="5" t="s">
        <v>74</v>
      </c>
      <c r="P3" s="5" t="s">
        <v>75</v>
      </c>
      <c r="Q3" s="5" t="s">
        <v>76</v>
      </c>
      <c r="R3" s="5" t="s">
        <v>77</v>
      </c>
      <c r="S3" s="5" t="s">
        <v>81</v>
      </c>
      <c r="U3" s="5" t="s">
        <v>73</v>
      </c>
      <c r="V3" s="5" t="s">
        <v>74</v>
      </c>
      <c r="W3" s="5" t="s">
        <v>75</v>
      </c>
      <c r="X3" s="5" t="s">
        <v>76</v>
      </c>
      <c r="Y3" s="5" t="s">
        <v>77</v>
      </c>
      <c r="Z3" s="5" t="s">
        <v>81</v>
      </c>
    </row>
    <row r="4" spans="1:27" x14ac:dyDescent="0.25">
      <c r="A4" s="7">
        <v>42866</v>
      </c>
      <c r="B4" s="10">
        <v>5</v>
      </c>
      <c r="C4" s="10">
        <v>5</v>
      </c>
      <c r="D4" s="10">
        <v>3.5</v>
      </c>
      <c r="E4" s="10">
        <v>6</v>
      </c>
      <c r="F4" s="10">
        <v>6</v>
      </c>
      <c r="H4" s="5">
        <v>2</v>
      </c>
      <c r="I4" s="5">
        <v>2</v>
      </c>
      <c r="J4" s="5">
        <v>2</v>
      </c>
      <c r="K4" s="5">
        <v>2</v>
      </c>
      <c r="N4" s="5">
        <f>AVERAGE(20,15,16,12,13)</f>
        <v>15.2</v>
      </c>
      <c r="O4" s="5">
        <f>AVERAGE(25,23,20,28,23)</f>
        <v>23.8</v>
      </c>
      <c r="P4" s="2">
        <f>AVERAGE(14,18,15,12,20,13)</f>
        <v>15.333333333333334</v>
      </c>
      <c r="Q4" s="2">
        <f>AVERAGE(28,27,21,25,22,25)</f>
        <v>24.666666666666668</v>
      </c>
      <c r="R4" s="5">
        <f>AVERAGE(27,20,22,19,22,13)</f>
        <v>20.5</v>
      </c>
      <c r="S4" s="5">
        <f>AVERAGE(30,23,23,20,25,26)</f>
        <v>24.5</v>
      </c>
      <c r="U4" s="5">
        <v>3</v>
      </c>
      <c r="V4" s="5">
        <v>3</v>
      </c>
      <c r="W4" s="5">
        <v>3</v>
      </c>
      <c r="X4" s="5">
        <v>3</v>
      </c>
      <c r="Y4" s="5">
        <v>3</v>
      </c>
      <c r="Z4" s="5">
        <v>2</v>
      </c>
      <c r="AA4" s="10"/>
    </row>
    <row r="5" spans="1:27" x14ac:dyDescent="0.25">
      <c r="A5" s="7">
        <v>42879</v>
      </c>
      <c r="B5" s="10">
        <v>10.25</v>
      </c>
      <c r="C5" s="10">
        <v>8.6666666666666661</v>
      </c>
      <c r="D5" s="10">
        <v>8</v>
      </c>
      <c r="E5" s="10">
        <v>10</v>
      </c>
      <c r="F5" s="10">
        <v>12.5</v>
      </c>
      <c r="H5" s="5">
        <v>5</v>
      </c>
      <c r="I5" s="5">
        <v>3.1666666666666665</v>
      </c>
      <c r="J5" s="5">
        <v>4.5</v>
      </c>
      <c r="K5" s="5">
        <v>1.925</v>
      </c>
      <c r="N5" s="5">
        <f>AVERAGE(33,32,45,40,35,26,35)</f>
        <v>35.142857142857146</v>
      </c>
      <c r="O5" s="5">
        <f>AVERAGE(23,21,28,22,23,22)</f>
        <v>23.166666666666668</v>
      </c>
      <c r="P5" s="5">
        <f>AVERAGE(26,26,25,27,26,24)</f>
        <v>25.666666666666668</v>
      </c>
      <c r="Q5" s="5">
        <f>AVERAGE(24,35,35,26,25,24,21,32)</f>
        <v>27.75</v>
      </c>
      <c r="R5" s="5">
        <f>AVERAGE(24,25,33,32,20,27,36)</f>
        <v>28.142857142857142</v>
      </c>
      <c r="S5" s="5">
        <f>AVERAGE(25,41,22,33,33,37,32)</f>
        <v>31.857142857142858</v>
      </c>
      <c r="U5" s="5">
        <v>3.1142857142857143</v>
      </c>
      <c r="V5" s="5">
        <v>4.333333333333333</v>
      </c>
      <c r="W5" s="5">
        <v>4.166666666666667</v>
      </c>
      <c r="X5" s="5">
        <v>3.8285714285714287</v>
      </c>
      <c r="Y5" s="5">
        <v>4.7625000000000002</v>
      </c>
      <c r="Z5" s="5">
        <v>2</v>
      </c>
      <c r="AA5" s="10"/>
    </row>
    <row r="6" spans="1:27" x14ac:dyDescent="0.25">
      <c r="A6" s="7">
        <v>42897</v>
      </c>
      <c r="B6" s="10">
        <v>14</v>
      </c>
      <c r="C6" s="10">
        <v>11.333333333333334</v>
      </c>
      <c r="D6" s="10">
        <v>15.5</v>
      </c>
      <c r="E6" s="10">
        <v>17.5</v>
      </c>
      <c r="F6" s="10">
        <v>20</v>
      </c>
      <c r="H6" s="5">
        <v>6.4</v>
      </c>
      <c r="I6" s="5">
        <v>6</v>
      </c>
      <c r="J6" s="5">
        <v>8</v>
      </c>
      <c r="K6" s="5">
        <v>6.2</v>
      </c>
      <c r="N6" s="5">
        <f>AVERAGE(55,32,33,52,30,27,35)</f>
        <v>37.714285714285715</v>
      </c>
      <c r="O6" s="5">
        <f>AVERAGE(20,30,21,19,24,18,20,25,25,20,18,19,25,30)</f>
        <v>22.428571428571427</v>
      </c>
      <c r="P6" s="5">
        <f>AVERAGE(40,35,30,30,28,27,25,34,40,25,33,20,25)</f>
        <v>30.153846153846153</v>
      </c>
      <c r="Q6" s="5">
        <f>AVERAGE(35,33,31,40,35,48,54,50)</f>
        <v>40.75</v>
      </c>
      <c r="R6" s="5">
        <f>AVERAGE(40,35,41,32,37,25,26,42,30,37,42,34,43,26,30,28)</f>
        <v>34.25</v>
      </c>
      <c r="S6" s="5">
        <f>AVERAGE(45,36,51,40,40,48,40,42,40,38,49,50,49,32,31,40,34,45)</f>
        <v>41.666666666666664</v>
      </c>
      <c r="U6" s="5">
        <v>4.5999999999999996</v>
      </c>
      <c r="V6" s="5">
        <v>4.5</v>
      </c>
      <c r="W6" s="5">
        <v>5</v>
      </c>
      <c r="X6" s="5">
        <v>5.8888888888888893</v>
      </c>
      <c r="Y6" s="5">
        <v>8.9</v>
      </c>
      <c r="AA6" s="10"/>
    </row>
    <row r="7" spans="1:27" x14ac:dyDescent="0.25">
      <c r="A7" s="7">
        <v>42924</v>
      </c>
      <c r="B7" s="5">
        <v>20.7</v>
      </c>
      <c r="C7" s="5">
        <v>19.100000000000001</v>
      </c>
      <c r="D7" s="5">
        <v>22.555555555555557</v>
      </c>
      <c r="E7" s="5">
        <v>16</v>
      </c>
      <c r="F7" s="5">
        <v>44.5</v>
      </c>
      <c r="N7" s="5">
        <f>AVERAGE(48,46,58,60,37,50,45,50,40,30,38)</f>
        <v>45.636363636363633</v>
      </c>
      <c r="O7" s="5">
        <f>AVERAGE(45,50,40,30,30,35,20,34,40,25,35,30)</f>
        <v>34.5</v>
      </c>
      <c r="P7" s="5">
        <f>AVERAGE(65,70,55,60,55,60,40,45,58,30,40,57)</f>
        <v>52.916666666666664</v>
      </c>
      <c r="Q7" s="5">
        <f>AVERAGE(60,50,80,70,85,50,45,45,60,50,60)</f>
        <v>59.545454545454547</v>
      </c>
      <c r="R7" s="5">
        <f>AVERAGE(80,75,65,40,45,50,60,40,60,60,56,45,60)</f>
        <v>56.615384615384613</v>
      </c>
      <c r="S7" s="5">
        <f>AVERAGE(75,45,50,65,55,60,65,42,76,40,60,60)</f>
        <v>57.75</v>
      </c>
      <c r="AA7" s="10"/>
    </row>
    <row r="8" spans="1:27" x14ac:dyDescent="0.25">
      <c r="A8" s="7">
        <v>42951</v>
      </c>
      <c r="B8" s="5">
        <v>42.5</v>
      </c>
      <c r="C8" s="5">
        <v>25.5</v>
      </c>
      <c r="D8" s="5">
        <v>38.200000000000003</v>
      </c>
      <c r="E8" s="5">
        <v>29.4</v>
      </c>
      <c r="F8" s="5">
        <v>65</v>
      </c>
      <c r="N8" s="5">
        <f>AVERAGE(65,67,65,70,82,70,69,64,73,69)</f>
        <v>69.400000000000006</v>
      </c>
      <c r="O8" s="5">
        <f>AVERAGE(54,38,49,48,52,58,57,46,44,42)</f>
        <v>48.8</v>
      </c>
      <c r="P8" s="5">
        <f>AVERAGE(66,73,64,66,76,67,82,63,60,70)</f>
        <v>68.7</v>
      </c>
      <c r="Q8" s="5">
        <f>AVERAGE(56,54,63,71,67,72,63,64,76,80)</f>
        <v>66.599999999999994</v>
      </c>
      <c r="R8" s="5">
        <f>AVERAGE(96,90,83,71,99,85,93,103,87,95)</f>
        <v>90.2</v>
      </c>
      <c r="S8" s="5">
        <f>AVERAGE(75,83,80,81,86,90,90,77,78,100)</f>
        <v>84</v>
      </c>
      <c r="AA8" s="10"/>
    </row>
    <row r="9" spans="1:27" x14ac:dyDescent="0.25">
      <c r="A9" s="7">
        <v>42973</v>
      </c>
      <c r="B9" s="5">
        <v>58</v>
      </c>
      <c r="C9" s="5">
        <v>47.81818181818182</v>
      </c>
      <c r="D9" s="5">
        <v>70.555555555555557</v>
      </c>
      <c r="E9" s="5">
        <v>30.625</v>
      </c>
      <c r="F9" s="2">
        <v>55.444444444444443</v>
      </c>
      <c r="N9" s="5">
        <f>AVERAGE(110,93,67,79,33,74,86)</f>
        <v>77.428571428571431</v>
      </c>
      <c r="O9" s="5">
        <f>AVERAGE(110,100,82,64,54,50,30,15,98,100,115,115)</f>
        <v>77.75</v>
      </c>
      <c r="P9" s="5">
        <f>AVERAGE(147,132,137,135,132,123,115,75,70,63,69,67,65)</f>
        <v>102.30769230769231</v>
      </c>
      <c r="Q9" s="5">
        <f>AVERAGE(130,127,132,130,133,128,112,138,92,97,86,89,70)</f>
        <v>112.61538461538461</v>
      </c>
      <c r="R9" s="5">
        <f>AVERAGE(135,144,137,133,110,115,120,118,119,91,90,98,80)</f>
        <v>114.61538461538461</v>
      </c>
      <c r="S9" s="5">
        <f>AVERAGE(139,116,96,70,91,62,80,53)</f>
        <v>88.375</v>
      </c>
      <c r="AA9" s="10"/>
    </row>
    <row r="10" spans="1:27" x14ac:dyDescent="0.25">
      <c r="A10" s="7">
        <v>43043</v>
      </c>
      <c r="B10" s="5">
        <v>86.222222222222229</v>
      </c>
      <c r="C10" s="5">
        <v>71.909090909090907</v>
      </c>
      <c r="D10" s="5">
        <v>87.375</v>
      </c>
      <c r="E10" s="5">
        <v>64.777777777777771</v>
      </c>
      <c r="F10" s="5">
        <v>83</v>
      </c>
      <c r="N10" s="5">
        <f>AVERAGE(108,130,107,105,112,106,119,131,122,89,74,66,64)</f>
        <v>102.53846153846153</v>
      </c>
      <c r="O10" s="5">
        <f>AVERAGE(90,106,112,106,49,82,84,87,111,116,82,89)</f>
        <v>92.833333333333329</v>
      </c>
      <c r="P10" s="5">
        <f>AVERAGE(145,150,139,136,147,110,114,89,122,90)</f>
        <v>124.2</v>
      </c>
      <c r="Q10" s="5">
        <f>AVERAGE(129,143,133,93,74,111,85,107,93,114,85,107,93,114,85)</f>
        <v>104.4</v>
      </c>
      <c r="R10" s="5">
        <f>AVERAGE(134,146,113,127,132,89,87,112,118,118,96,68,129)</f>
        <v>113</v>
      </c>
      <c r="S10" s="5">
        <f>AVERAGE(130,135,133,136,94,72,86,74,59,54)</f>
        <v>97.3</v>
      </c>
      <c r="AA10" s="10"/>
    </row>
    <row r="11" spans="1:27" x14ac:dyDescent="0.25">
      <c r="A11" s="7"/>
      <c r="AA11" s="10"/>
    </row>
    <row r="12" spans="1:27" x14ac:dyDescent="0.25">
      <c r="A12" s="7">
        <v>43248</v>
      </c>
      <c r="B12" s="17">
        <v>34.372727272727282</v>
      </c>
      <c r="C12" s="17">
        <v>38.672727272727272</v>
      </c>
      <c r="D12" s="17">
        <v>35.081818181818186</v>
      </c>
      <c r="E12" s="17">
        <v>39.633333333333347</v>
      </c>
      <c r="F12" s="17">
        <v>30.749999999999996</v>
      </c>
      <c r="H12" s="17">
        <v>7.8000000000000007</v>
      </c>
      <c r="I12" s="17">
        <v>7.4666666666666668</v>
      </c>
      <c r="J12" s="17">
        <v>7.5333333333333332</v>
      </c>
      <c r="K12" s="17">
        <v>8.0749999999999993</v>
      </c>
      <c r="L12" s="17">
        <v>7.2111111111111104</v>
      </c>
      <c r="N12" s="5">
        <v>39.383333333333333</v>
      </c>
      <c r="O12" s="5">
        <v>39.363333333333337</v>
      </c>
      <c r="R12" s="5">
        <v>45.938095238095237</v>
      </c>
      <c r="U12" s="5">
        <v>8.8000000000000007</v>
      </c>
      <c r="V12" s="5">
        <v>7.31111111111111</v>
      </c>
      <c r="W12" s="5">
        <v>7.1555555555555603</v>
      </c>
      <c r="X12" s="5">
        <v>7.7777777777777803</v>
      </c>
      <c r="Y12" s="5">
        <v>6.9222222222222198</v>
      </c>
      <c r="AA12" s="10"/>
    </row>
    <row r="13" spans="1:27" x14ac:dyDescent="0.25">
      <c r="A13" s="7">
        <v>43274</v>
      </c>
      <c r="B13" s="52">
        <v>49.5</v>
      </c>
      <c r="C13" s="52">
        <v>55.5</v>
      </c>
      <c r="D13" s="52">
        <v>69.45</v>
      </c>
      <c r="E13" s="52">
        <v>58</v>
      </c>
      <c r="F13" s="52">
        <v>51</v>
      </c>
      <c r="H13" s="52">
        <v>11.4</v>
      </c>
      <c r="I13" s="52">
        <v>11.8</v>
      </c>
      <c r="J13" s="52">
        <v>9.5714285714285712</v>
      </c>
      <c r="K13" s="52">
        <v>11.5</v>
      </c>
      <c r="L13" s="52">
        <v>10.649999999999999</v>
      </c>
      <c r="N13" s="5">
        <f>AVERAGE(65,77,92,49,72,55,63,67)</f>
        <v>67.5</v>
      </c>
      <c r="O13" s="5">
        <f>AVERAGE(76,69,60,94,62,57)</f>
        <v>69.666666666666671</v>
      </c>
      <c r="R13" s="5">
        <f>AVERAGE(84,103,80,73,78,66,63)</f>
        <v>78.142857142857139</v>
      </c>
      <c r="U13" s="5">
        <v>10.81</v>
      </c>
      <c r="V13" s="5">
        <v>10.33</v>
      </c>
      <c r="W13" s="5">
        <v>10.56</v>
      </c>
      <c r="X13" s="5">
        <v>11.2</v>
      </c>
      <c r="Y13" s="5">
        <v>11.56</v>
      </c>
      <c r="Z13" s="5">
        <v>15</v>
      </c>
      <c r="AA13" s="10"/>
    </row>
    <row r="14" spans="1:27" x14ac:dyDescent="0.25">
      <c r="A14" s="7">
        <v>43306</v>
      </c>
      <c r="B14" s="4">
        <v>83.142857142857139</v>
      </c>
      <c r="C14" s="4">
        <v>80.714285714285708</v>
      </c>
      <c r="D14" s="4"/>
      <c r="E14" s="4">
        <v>96.8</v>
      </c>
      <c r="F14" s="4"/>
      <c r="H14" s="4">
        <v>23.285714285714285</v>
      </c>
      <c r="I14" s="4">
        <v>22.285714285714285</v>
      </c>
      <c r="J14" s="4"/>
      <c r="K14" s="4">
        <v>30.9</v>
      </c>
      <c r="L14" s="4"/>
      <c r="N14" s="5">
        <f>AVERAGE(101,98,96,100,94,99)</f>
        <v>98</v>
      </c>
      <c r="O14" s="5">
        <f>AVERAGE(102,96,91,83,104)</f>
        <v>95.2</v>
      </c>
      <c r="R14" s="5">
        <f>AVERAGE(105,97,92,127,121,112,120,113,102,92)</f>
        <v>108.1</v>
      </c>
      <c r="U14" s="5">
        <v>28</v>
      </c>
      <c r="V14" s="5">
        <v>24.888888888888889</v>
      </c>
      <c r="Y14" s="5">
        <v>19.100000000000001</v>
      </c>
      <c r="AA14" s="10"/>
    </row>
    <row r="15" spans="1:27" x14ac:dyDescent="0.25">
      <c r="A15" s="7">
        <v>43337</v>
      </c>
      <c r="B15" s="4">
        <v>114.57142857142857</v>
      </c>
      <c r="C15" s="4">
        <v>117.33333333333333</v>
      </c>
      <c r="D15" s="4">
        <v>120</v>
      </c>
      <c r="E15" s="4">
        <v>139</v>
      </c>
      <c r="F15" s="4">
        <v>125.625</v>
      </c>
      <c r="N15" s="5">
        <f>AVERAGE(125,120,110,100,127,92)</f>
        <v>112.33333333333333</v>
      </c>
      <c r="R15" s="5">
        <f>AVERAGE(135,115,130,140,119,127)</f>
        <v>127.66666666666667</v>
      </c>
      <c r="AA15" s="10"/>
    </row>
    <row r="16" spans="1:27" x14ac:dyDescent="0.25">
      <c r="A16" s="7">
        <v>43360</v>
      </c>
      <c r="B16" s="4"/>
      <c r="C16" s="4"/>
      <c r="D16" s="4">
        <v>130</v>
      </c>
      <c r="E16" s="4"/>
      <c r="F16" s="4">
        <v>140.88888888888889</v>
      </c>
      <c r="N16" s="5">
        <f>AVERAGE(145,128,132,134,135,140,130,126,115,155)</f>
        <v>134</v>
      </c>
      <c r="O16" s="5">
        <f>AVERAGE(125,118,145,145,135,130,132,125,131,120)</f>
        <v>130.6</v>
      </c>
      <c r="P16" s="5">
        <f>AVERAGE(175,173,174,160,155,148,140,135,133,130)</f>
        <v>152.30000000000001</v>
      </c>
      <c r="R16" s="5">
        <f>AVERAGE(160,150,145,140,138,136,150,155,120,110)</f>
        <v>140.4</v>
      </c>
      <c r="S16" s="5">
        <f>AVERAGE(150,145,140,138,145,130,135,125,105,160)</f>
        <v>137.30000000000001</v>
      </c>
      <c r="AA16" s="10"/>
    </row>
    <row r="17" spans="1:27" x14ac:dyDescent="0.25">
      <c r="A17" s="7">
        <v>43413</v>
      </c>
      <c r="B17" s="4">
        <v>131.80000000000001</v>
      </c>
      <c r="C17" s="4">
        <v>135.77777777777777</v>
      </c>
      <c r="D17" s="4"/>
      <c r="E17" s="4"/>
      <c r="F17" s="4">
        <v>151.66666666666666</v>
      </c>
      <c r="N17" s="5">
        <f>AVERAGE(112,128,125,121,119,139,142)</f>
        <v>126.57142857142857</v>
      </c>
      <c r="R17" s="5">
        <f>AVERAGE(151,153,155,138,136,145,143,161)</f>
        <v>147.75</v>
      </c>
      <c r="S17" s="5">
        <f>AVERAGE(151,135,148,147,148,150,157)</f>
        <v>148</v>
      </c>
      <c r="AA17" s="10"/>
    </row>
  </sheetData>
  <phoneticPr fontId="2" type="noConversion"/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17"/>
  <sheetViews>
    <sheetView topLeftCell="A4" workbookViewId="0">
      <selection activeCell="E12" sqref="E12"/>
    </sheetView>
  </sheetViews>
  <sheetFormatPr defaultColWidth="8.77734375" defaultRowHeight="13.8" x14ac:dyDescent="0.25"/>
  <cols>
    <col min="1" max="1" width="38.44140625" style="5" bestFit="1" customWidth="1"/>
    <col min="2" max="16384" width="8.77734375" style="5"/>
  </cols>
  <sheetData>
    <row r="3" spans="1:6" x14ac:dyDescent="0.25">
      <c r="A3" s="6">
        <v>2017</v>
      </c>
      <c r="B3" s="5" t="s">
        <v>73</v>
      </c>
      <c r="C3" s="5" t="s">
        <v>74</v>
      </c>
      <c r="D3" s="5" t="s">
        <v>75</v>
      </c>
      <c r="E3" s="5" t="s">
        <v>76</v>
      </c>
      <c r="F3" s="5" t="s">
        <v>77</v>
      </c>
    </row>
    <row r="4" spans="1:6" x14ac:dyDescent="0.25">
      <c r="A4" s="5" t="s">
        <v>86</v>
      </c>
      <c r="B4" s="5">
        <v>59</v>
      </c>
      <c r="C4" s="5">
        <v>43</v>
      </c>
      <c r="D4" s="5">
        <v>56</v>
      </c>
      <c r="E4" s="5">
        <v>12</v>
      </c>
      <c r="F4" s="5">
        <v>7</v>
      </c>
    </row>
    <row r="5" spans="1:6" ht="14.4" x14ac:dyDescent="0.25">
      <c r="A5" s="5" t="s">
        <v>84</v>
      </c>
      <c r="B5" s="5">
        <v>17.333333333333332</v>
      </c>
      <c r="C5" s="5">
        <v>15.777777777777779</v>
      </c>
      <c r="D5" s="5">
        <v>16.5</v>
      </c>
      <c r="E5" s="5">
        <v>18.8</v>
      </c>
      <c r="F5" s="5">
        <v>17.333333333333332</v>
      </c>
    </row>
    <row r="6" spans="1:6" x14ac:dyDescent="0.25">
      <c r="A6" s="5" t="s">
        <v>83</v>
      </c>
      <c r="B6" s="5">
        <v>0.23046875</v>
      </c>
      <c r="C6" s="5">
        <v>0.20873786407766989</v>
      </c>
      <c r="D6" s="5">
        <v>0.25225225225225223</v>
      </c>
      <c r="E6" s="5">
        <v>6.6666666666666666E-2</v>
      </c>
      <c r="F6" s="5">
        <v>0.13461538461538461</v>
      </c>
    </row>
    <row r="7" spans="1:6" x14ac:dyDescent="0.25">
      <c r="A7" s="5" t="s">
        <v>87</v>
      </c>
      <c r="B7" s="5">
        <v>114</v>
      </c>
      <c r="C7" s="5">
        <v>152</v>
      </c>
      <c r="D7" s="5">
        <v>180</v>
      </c>
      <c r="E7" s="5">
        <v>182</v>
      </c>
      <c r="F7" s="5">
        <v>180</v>
      </c>
    </row>
    <row r="8" spans="1:6" x14ac:dyDescent="0.25">
      <c r="A8" s="5" t="s">
        <v>85</v>
      </c>
      <c r="B8" s="5">
        <v>0.60962566844919786</v>
      </c>
      <c r="C8" s="5">
        <v>0.33702882483370289</v>
      </c>
      <c r="D8" s="5">
        <v>0.4580152671755725</v>
      </c>
      <c r="E8" s="5">
        <v>0.50555555555555554</v>
      </c>
      <c r="F8" s="5">
        <v>0.51282051282051277</v>
      </c>
    </row>
    <row r="9" spans="1:6" x14ac:dyDescent="0.25">
      <c r="A9" s="5" t="s">
        <v>82</v>
      </c>
      <c r="B9" s="5">
        <v>22.222222222222221</v>
      </c>
      <c r="C9" s="5">
        <v>16.555555555555557</v>
      </c>
      <c r="D9" s="5">
        <v>19.142857142857142</v>
      </c>
      <c r="E9" s="5">
        <v>20.90909090909091</v>
      </c>
      <c r="F9" s="5">
        <v>20.399999999999999</v>
      </c>
    </row>
    <row r="11" spans="1:6" x14ac:dyDescent="0.25">
      <c r="A11" s="6">
        <v>2018</v>
      </c>
      <c r="B11" s="5" t="s">
        <v>73</v>
      </c>
      <c r="C11" s="5" t="s">
        <v>74</v>
      </c>
      <c r="D11" s="5" t="s">
        <v>75</v>
      </c>
      <c r="E11" s="5" t="s">
        <v>76</v>
      </c>
      <c r="F11" s="5" t="s">
        <v>77</v>
      </c>
    </row>
    <row r="12" spans="1:6" x14ac:dyDescent="0.25">
      <c r="A12" s="5" t="s">
        <v>86</v>
      </c>
      <c r="B12" s="5">
        <v>141</v>
      </c>
      <c r="C12" s="5">
        <v>127</v>
      </c>
      <c r="F12" s="5">
        <v>138</v>
      </c>
    </row>
    <row r="13" spans="1:6" ht="14.4" x14ac:dyDescent="0.25">
      <c r="A13" s="5" t="s">
        <v>84</v>
      </c>
      <c r="B13" s="5">
        <v>22.166666666666668</v>
      </c>
      <c r="C13" s="5">
        <v>21.833333333333332</v>
      </c>
      <c r="F13" s="5">
        <v>25.857142857142858</v>
      </c>
    </row>
    <row r="14" spans="1:6" x14ac:dyDescent="0.25">
      <c r="A14" s="5" t="s">
        <v>83</v>
      </c>
      <c r="B14" s="5">
        <v>0.38630136986301372</v>
      </c>
      <c r="C14" s="5">
        <v>0.47565543071161048</v>
      </c>
      <c r="F14" s="5">
        <v>0.31011235955056182</v>
      </c>
    </row>
    <row r="15" spans="1:6" x14ac:dyDescent="0.25">
      <c r="A15" s="5" t="s">
        <v>87</v>
      </c>
      <c r="B15" s="5">
        <v>117</v>
      </c>
      <c r="C15" s="5">
        <v>73</v>
      </c>
      <c r="F15" s="5">
        <v>106</v>
      </c>
    </row>
    <row r="16" spans="1:6" x14ac:dyDescent="0.25">
      <c r="A16" s="5" t="s">
        <v>85</v>
      </c>
      <c r="B16" s="5">
        <v>0.31034482758620691</v>
      </c>
      <c r="C16" s="5">
        <v>0.27037037037037037</v>
      </c>
      <c r="F16" s="5">
        <v>0.28116710875331563</v>
      </c>
    </row>
    <row r="17" spans="1:6" x14ac:dyDescent="0.25">
      <c r="A17" s="5" t="s">
        <v>82</v>
      </c>
      <c r="B17" s="5">
        <v>22.125</v>
      </c>
      <c r="C17" s="5">
        <v>23.142857142857142</v>
      </c>
      <c r="F17" s="5">
        <v>21.166666666666668</v>
      </c>
    </row>
  </sheetData>
  <phoneticPr fontId="2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114"/>
  <sheetViews>
    <sheetView workbookViewId="0">
      <pane xSplit="2" ySplit="2" topLeftCell="C3" activePane="bottomRight" state="frozen"/>
      <selection pane="topRight" activeCell="D1" sqref="D1"/>
      <selection pane="bottomLeft" activeCell="A4" sqref="A4"/>
      <selection pane="bottomRight" activeCell="J21" sqref="J21"/>
    </sheetView>
  </sheetViews>
  <sheetFormatPr defaultColWidth="9" defaultRowHeight="14.4" x14ac:dyDescent="0.25"/>
  <cols>
    <col min="1" max="1" width="13.6640625" style="61" bestFit="1" customWidth="1"/>
    <col min="3" max="4" width="9.109375" style="61" bestFit="1" customWidth="1"/>
    <col min="5" max="5" width="5.6640625" style="61" customWidth="1"/>
    <col min="6" max="6" width="9.44140625" style="74" customWidth="1"/>
    <col min="7" max="8" width="9.109375" style="61" bestFit="1" customWidth="1"/>
    <col min="9" max="9" width="5.44140625" style="61" customWidth="1"/>
    <col min="10" max="10" width="9.77734375" style="74" bestFit="1" customWidth="1"/>
    <col min="11" max="12" width="9.109375" style="61" bestFit="1" customWidth="1"/>
    <col min="13" max="13" width="4.44140625" style="61" customWidth="1"/>
    <col min="14" max="14" width="9.77734375" style="61" bestFit="1" customWidth="1"/>
    <col min="15" max="16" width="9.109375" style="61" bestFit="1" customWidth="1"/>
    <col min="17" max="17" width="4.44140625" style="61" customWidth="1"/>
    <col min="18" max="18" width="9.77734375" style="61" bestFit="1" customWidth="1"/>
    <col min="19" max="19" width="10.6640625" style="61" customWidth="1"/>
    <col min="20" max="20" width="8.21875" style="61" bestFit="1" customWidth="1"/>
    <col min="21" max="21" width="8.21875" style="61" customWidth="1"/>
    <col min="22" max="22" width="12.21875" style="61" customWidth="1"/>
    <col min="23" max="23" width="19.44140625" style="61" customWidth="1"/>
    <col min="24" max="24" width="14.6640625" style="61" customWidth="1"/>
    <col min="25" max="27" width="9.109375" style="61" bestFit="1" customWidth="1"/>
    <col min="28" max="16384" width="9" style="61"/>
  </cols>
  <sheetData>
    <row r="1" spans="1:27" ht="13.8" x14ac:dyDescent="0.25">
      <c r="A1" s="62"/>
      <c r="B1" s="61"/>
      <c r="C1" s="59"/>
      <c r="D1" s="59"/>
      <c r="E1" s="59"/>
      <c r="F1" s="62"/>
      <c r="G1" s="59"/>
      <c r="H1" s="59"/>
      <c r="J1" s="62"/>
      <c r="K1" s="59"/>
      <c r="L1" s="59"/>
      <c r="N1" s="62"/>
      <c r="O1" s="59"/>
      <c r="P1" s="59"/>
      <c r="R1" s="62"/>
      <c r="S1" s="59"/>
      <c r="T1" s="59"/>
      <c r="U1" s="59"/>
      <c r="V1" s="59"/>
      <c r="W1" s="59"/>
      <c r="X1" s="59"/>
    </row>
    <row r="2" spans="1:27" ht="41.4" x14ac:dyDescent="0.25">
      <c r="A2" s="64" t="s">
        <v>102</v>
      </c>
      <c r="B2" s="64" t="s">
        <v>101</v>
      </c>
      <c r="C2" s="59" t="s">
        <v>64</v>
      </c>
      <c r="D2" s="63" t="s">
        <v>103</v>
      </c>
      <c r="E2" s="59"/>
      <c r="F2" s="64">
        <v>43307</v>
      </c>
      <c r="G2" s="59" t="s">
        <v>64</v>
      </c>
      <c r="H2" s="63" t="s">
        <v>103</v>
      </c>
      <c r="J2" s="64">
        <v>43323</v>
      </c>
      <c r="K2" s="59" t="s">
        <v>64</v>
      </c>
      <c r="L2" s="63" t="s">
        <v>103</v>
      </c>
      <c r="N2" s="64">
        <v>43336</v>
      </c>
      <c r="O2" s="59" t="s">
        <v>64</v>
      </c>
      <c r="P2" s="63" t="s">
        <v>103</v>
      </c>
      <c r="R2" s="64">
        <v>43412</v>
      </c>
      <c r="S2" s="59" t="s">
        <v>64</v>
      </c>
      <c r="T2" s="63" t="s">
        <v>103</v>
      </c>
      <c r="U2" s="63"/>
      <c r="V2" s="63"/>
      <c r="W2" s="63"/>
      <c r="X2" s="63"/>
    </row>
    <row r="3" spans="1:27" ht="13.8" x14ac:dyDescent="0.25">
      <c r="A3" s="59" t="s">
        <v>128</v>
      </c>
      <c r="B3" s="61" t="s">
        <v>107</v>
      </c>
      <c r="C3" s="67">
        <v>51.275000000000006</v>
      </c>
      <c r="D3" s="67">
        <v>196</v>
      </c>
      <c r="E3" s="70"/>
      <c r="F3" s="61" t="s">
        <v>107</v>
      </c>
      <c r="G3" s="68">
        <v>46.272727272727273</v>
      </c>
      <c r="H3" s="59">
        <v>264</v>
      </c>
      <c r="J3" s="61" t="s">
        <v>107</v>
      </c>
      <c r="K3" s="68">
        <v>77</v>
      </c>
      <c r="L3" s="59">
        <v>252</v>
      </c>
      <c r="N3" s="61" t="s">
        <v>107</v>
      </c>
      <c r="O3" s="68">
        <v>91.5</v>
      </c>
      <c r="P3" s="59">
        <v>188</v>
      </c>
      <c r="R3" s="61" t="s">
        <v>107</v>
      </c>
      <c r="S3" s="68">
        <v>87.5</v>
      </c>
      <c r="T3" s="59">
        <v>188</v>
      </c>
      <c r="U3" s="59"/>
      <c r="V3" s="59"/>
      <c r="W3" s="59"/>
      <c r="X3" s="68"/>
    </row>
    <row r="4" spans="1:27" ht="13.8" x14ac:dyDescent="0.25">
      <c r="A4" s="76" t="s">
        <v>126</v>
      </c>
      <c r="B4" s="61" t="s">
        <v>108</v>
      </c>
      <c r="C4" s="67">
        <v>50.525000000000006</v>
      </c>
      <c r="D4" s="67">
        <v>252</v>
      </c>
      <c r="E4" s="70"/>
      <c r="F4" s="61" t="s">
        <v>108</v>
      </c>
      <c r="G4" s="68">
        <v>41.727272727272727</v>
      </c>
      <c r="H4" s="59">
        <v>232</v>
      </c>
      <c r="J4" s="61" t="s">
        <v>108</v>
      </c>
      <c r="K4" s="68">
        <v>79.599999999999994</v>
      </c>
      <c r="L4" s="59">
        <v>244</v>
      </c>
      <c r="N4" s="61" t="s">
        <v>108</v>
      </c>
      <c r="O4" s="68">
        <v>80.900000000000006</v>
      </c>
      <c r="P4" s="59">
        <v>148</v>
      </c>
      <c r="R4" s="61" t="s">
        <v>108</v>
      </c>
      <c r="S4" s="68">
        <v>78</v>
      </c>
      <c r="T4" s="59">
        <v>240</v>
      </c>
      <c r="U4" s="59"/>
      <c r="V4" s="59"/>
      <c r="W4" s="59"/>
      <c r="X4" s="68"/>
    </row>
    <row r="5" spans="1:27" ht="13.8" x14ac:dyDescent="0.25">
      <c r="A5" s="59"/>
      <c r="B5" s="61" t="s">
        <v>109</v>
      </c>
      <c r="C5" s="67">
        <v>43.337499999999999</v>
      </c>
      <c r="D5" s="67">
        <v>312</v>
      </c>
      <c r="E5" s="70"/>
      <c r="F5" s="61" t="s">
        <v>109</v>
      </c>
      <c r="G5" s="68">
        <v>46.363636363636367</v>
      </c>
      <c r="H5" s="59">
        <v>128</v>
      </c>
      <c r="J5" s="61" t="s">
        <v>109</v>
      </c>
      <c r="K5" s="68">
        <v>78</v>
      </c>
      <c r="L5" s="59">
        <v>188</v>
      </c>
      <c r="N5" s="61" t="s">
        <v>109</v>
      </c>
      <c r="O5" s="68">
        <v>91.7</v>
      </c>
      <c r="P5" s="59">
        <v>144</v>
      </c>
      <c r="R5" s="61" t="s">
        <v>109</v>
      </c>
      <c r="S5" s="68">
        <v>86.333333333333329</v>
      </c>
      <c r="T5" s="59">
        <v>172</v>
      </c>
      <c r="U5" s="59"/>
      <c r="V5" s="59"/>
      <c r="W5" s="59"/>
      <c r="X5" s="59"/>
    </row>
    <row r="6" spans="1:27" ht="13.8" x14ac:dyDescent="0.25">
      <c r="A6" s="65"/>
      <c r="B6" s="61"/>
      <c r="C6" s="66"/>
      <c r="D6" s="66"/>
      <c r="E6" s="70"/>
      <c r="F6" s="61"/>
      <c r="G6" s="68"/>
      <c r="H6" s="59"/>
      <c r="J6" s="61"/>
      <c r="K6" s="68"/>
      <c r="L6" s="59"/>
      <c r="O6" s="68"/>
      <c r="P6" s="59"/>
      <c r="S6" s="68"/>
      <c r="T6" s="59"/>
      <c r="U6" s="59"/>
      <c r="V6" s="59"/>
      <c r="W6" s="59"/>
      <c r="X6" s="59"/>
    </row>
    <row r="7" spans="1:27" ht="13.8" x14ac:dyDescent="0.25">
      <c r="A7" s="59" t="s">
        <v>127</v>
      </c>
      <c r="B7" s="61" t="s">
        <v>110</v>
      </c>
      <c r="C7" s="67">
        <v>50.612500000000004</v>
      </c>
      <c r="D7" s="67">
        <v>216</v>
      </c>
      <c r="E7" s="70"/>
      <c r="F7" s="61" t="s">
        <v>110</v>
      </c>
      <c r="G7" s="68">
        <v>42</v>
      </c>
      <c r="H7" s="59">
        <v>232</v>
      </c>
      <c r="J7" s="61" t="s">
        <v>110</v>
      </c>
      <c r="K7" s="68">
        <v>65.8</v>
      </c>
      <c r="L7" s="59">
        <v>168</v>
      </c>
      <c r="N7" s="61" t="s">
        <v>110</v>
      </c>
      <c r="O7" s="68">
        <v>65.8</v>
      </c>
      <c r="P7" s="59">
        <v>168</v>
      </c>
      <c r="R7" s="61" t="s">
        <v>110</v>
      </c>
      <c r="S7" s="68">
        <v>72.166666666666671</v>
      </c>
      <c r="T7" s="59">
        <v>204</v>
      </c>
      <c r="U7" s="59"/>
      <c r="V7" s="69"/>
      <c r="W7" s="59"/>
      <c r="X7" s="59"/>
    </row>
    <row r="8" spans="1:27" ht="13.8" x14ac:dyDescent="0.25">
      <c r="A8" s="76" t="s">
        <v>126</v>
      </c>
      <c r="B8" s="61" t="s">
        <v>111</v>
      </c>
      <c r="C8" s="67">
        <v>44.512500000000003</v>
      </c>
      <c r="D8" s="67">
        <v>308</v>
      </c>
      <c r="E8" s="70"/>
      <c r="F8" s="61" t="s">
        <v>111</v>
      </c>
      <c r="G8" s="68">
        <v>48</v>
      </c>
      <c r="H8" s="59">
        <v>188</v>
      </c>
      <c r="J8" s="61" t="s">
        <v>111</v>
      </c>
      <c r="K8" s="68">
        <v>61.3</v>
      </c>
      <c r="L8" s="59">
        <v>120</v>
      </c>
      <c r="N8" s="61" t="s">
        <v>111</v>
      </c>
      <c r="O8" s="68">
        <v>61.3</v>
      </c>
      <c r="P8" s="59">
        <v>120</v>
      </c>
      <c r="R8" s="61" t="s">
        <v>111</v>
      </c>
      <c r="S8" s="68">
        <v>72.5</v>
      </c>
      <c r="T8" s="59">
        <v>164</v>
      </c>
      <c r="U8" s="59"/>
      <c r="V8" s="69"/>
      <c r="W8" s="59"/>
      <c r="X8" s="59"/>
    </row>
    <row r="9" spans="1:27" ht="13.8" x14ac:dyDescent="0.25">
      <c r="A9" s="59"/>
      <c r="B9" s="61" t="s">
        <v>112</v>
      </c>
      <c r="C9" s="67">
        <v>50.075000000000003</v>
      </c>
      <c r="D9" s="67">
        <v>204</v>
      </c>
      <c r="E9" s="59"/>
      <c r="F9" s="61" t="s">
        <v>112</v>
      </c>
      <c r="G9" s="68">
        <v>53.909090909090907</v>
      </c>
      <c r="H9" s="59">
        <v>296</v>
      </c>
      <c r="J9" s="61" t="s">
        <v>112</v>
      </c>
      <c r="K9" s="68">
        <v>80.5</v>
      </c>
      <c r="L9" s="59">
        <v>160</v>
      </c>
      <c r="N9" s="61" t="s">
        <v>112</v>
      </c>
      <c r="O9" s="68">
        <v>80.5</v>
      </c>
      <c r="P9" s="59">
        <v>160</v>
      </c>
      <c r="R9" s="61" t="s">
        <v>112</v>
      </c>
      <c r="S9" s="68">
        <v>76</v>
      </c>
      <c r="T9" s="59">
        <v>180</v>
      </c>
      <c r="U9" s="59"/>
      <c r="V9" s="69"/>
      <c r="W9" s="59"/>
      <c r="X9" s="59"/>
    </row>
    <row r="10" spans="1:27" ht="13.8" x14ac:dyDescent="0.25">
      <c r="A10" s="59"/>
      <c r="B10" s="61"/>
      <c r="C10" s="67"/>
      <c r="D10" s="67"/>
      <c r="E10" s="59"/>
      <c r="F10" s="61"/>
      <c r="G10" s="68"/>
      <c r="H10" s="59"/>
      <c r="J10" s="61"/>
      <c r="K10" s="68"/>
      <c r="L10" s="59"/>
      <c r="O10" s="68"/>
      <c r="P10" s="59"/>
      <c r="S10" s="68"/>
      <c r="T10" s="59"/>
      <c r="U10" s="59"/>
      <c r="V10" s="59"/>
      <c r="W10" s="59"/>
      <c r="X10" s="59"/>
    </row>
    <row r="11" spans="1:27" ht="13.8" x14ac:dyDescent="0.25">
      <c r="A11" s="56" t="s">
        <v>125</v>
      </c>
      <c r="B11" s="61" t="s">
        <v>113</v>
      </c>
      <c r="C11" s="73">
        <v>57.5</v>
      </c>
      <c r="D11" s="67">
        <v>208</v>
      </c>
      <c r="E11" s="59"/>
      <c r="F11" s="61" t="s">
        <v>113</v>
      </c>
      <c r="G11" s="68">
        <v>33.666666666666664</v>
      </c>
      <c r="H11" s="59">
        <v>24</v>
      </c>
      <c r="J11" s="61" t="s">
        <v>113</v>
      </c>
      <c r="K11" s="68">
        <v>80</v>
      </c>
      <c r="L11" s="59">
        <v>36</v>
      </c>
      <c r="N11" s="61" t="s">
        <v>113</v>
      </c>
      <c r="O11" s="68">
        <v>48.857142857142854</v>
      </c>
      <c r="P11" s="59">
        <v>28</v>
      </c>
      <c r="R11" s="61" t="s">
        <v>113</v>
      </c>
      <c r="S11" s="68">
        <v>61.666666666666664</v>
      </c>
      <c r="T11" s="59">
        <v>84</v>
      </c>
      <c r="U11" s="59"/>
      <c r="V11" s="59"/>
      <c r="W11" s="59"/>
      <c r="X11" s="59"/>
    </row>
    <row r="12" spans="1:27" ht="13.8" x14ac:dyDescent="0.25">
      <c r="A12" s="76" t="s">
        <v>122</v>
      </c>
      <c r="B12" s="61" t="s">
        <v>114</v>
      </c>
      <c r="C12" s="73">
        <v>58.8125</v>
      </c>
      <c r="D12" s="67">
        <v>236</v>
      </c>
      <c r="E12" s="59"/>
      <c r="F12" s="61" t="s">
        <v>114</v>
      </c>
      <c r="G12" s="68">
        <v>43</v>
      </c>
      <c r="H12" s="59">
        <v>4</v>
      </c>
      <c r="J12" s="61" t="s">
        <v>114</v>
      </c>
      <c r="K12" s="68">
        <v>84.3</v>
      </c>
      <c r="L12" s="59"/>
      <c r="N12" s="61" t="s">
        <v>114</v>
      </c>
      <c r="O12" s="68">
        <v>55.7</v>
      </c>
      <c r="P12" s="59">
        <v>84</v>
      </c>
      <c r="R12" s="61" t="s">
        <v>114</v>
      </c>
      <c r="S12" s="68">
        <v>76.5</v>
      </c>
      <c r="T12" s="59">
        <v>80</v>
      </c>
      <c r="U12" s="59"/>
      <c r="V12" s="59"/>
      <c r="W12" s="59"/>
      <c r="X12" s="59"/>
    </row>
    <row r="13" spans="1:27" ht="13.8" x14ac:dyDescent="0.25">
      <c r="A13" s="56"/>
      <c r="B13" s="61" t="s">
        <v>115</v>
      </c>
      <c r="C13" s="73">
        <v>49.875</v>
      </c>
      <c r="D13" s="67">
        <v>276</v>
      </c>
      <c r="E13" s="59"/>
      <c r="F13" s="61" t="s">
        <v>115</v>
      </c>
      <c r="G13" s="68">
        <v>26.142857142857142</v>
      </c>
      <c r="H13" s="59">
        <v>28</v>
      </c>
      <c r="J13" s="61" t="s">
        <v>115</v>
      </c>
      <c r="K13" s="68">
        <v>81.099999999999994</v>
      </c>
      <c r="L13" s="59">
        <v>92</v>
      </c>
      <c r="N13" s="61" t="s">
        <v>115</v>
      </c>
      <c r="O13" s="68">
        <v>63.75</v>
      </c>
      <c r="P13" s="59">
        <v>16</v>
      </c>
      <c r="R13" s="61" t="s">
        <v>115</v>
      </c>
      <c r="S13" s="68">
        <v>86.75</v>
      </c>
      <c r="T13" s="59">
        <v>132</v>
      </c>
      <c r="U13" s="59"/>
      <c r="V13" s="59"/>
      <c r="W13" s="59"/>
      <c r="X13" s="59"/>
    </row>
    <row r="14" spans="1:27" ht="13.8" x14ac:dyDescent="0.25">
      <c r="A14" s="56"/>
      <c r="B14" s="61"/>
      <c r="C14" s="67"/>
      <c r="D14" s="59"/>
      <c r="E14" s="59"/>
      <c r="F14" s="61"/>
      <c r="G14" s="68"/>
      <c r="H14" s="59"/>
      <c r="J14" s="61"/>
      <c r="K14" s="68"/>
      <c r="L14" s="59"/>
      <c r="O14" s="68"/>
      <c r="P14" s="59"/>
      <c r="Y14" s="3"/>
      <c r="Z14" s="3"/>
      <c r="AA14" s="3"/>
    </row>
    <row r="15" spans="1:27" ht="13.8" x14ac:dyDescent="0.25">
      <c r="A15" s="56" t="s">
        <v>124</v>
      </c>
      <c r="B15" s="61" t="s">
        <v>116</v>
      </c>
      <c r="C15" s="73">
        <v>48.75</v>
      </c>
      <c r="D15" s="67">
        <v>268</v>
      </c>
      <c r="E15" s="59"/>
      <c r="F15" s="61" t="s">
        <v>116</v>
      </c>
      <c r="G15" s="68"/>
      <c r="H15" s="59">
        <v>0</v>
      </c>
      <c r="J15" s="61" t="s">
        <v>116</v>
      </c>
      <c r="K15" s="59"/>
      <c r="L15" s="59">
        <v>0</v>
      </c>
      <c r="N15" s="61" t="s">
        <v>116</v>
      </c>
      <c r="O15" s="59">
        <v>44</v>
      </c>
      <c r="P15" s="59">
        <v>16</v>
      </c>
      <c r="R15" s="61" t="s">
        <v>116</v>
      </c>
      <c r="S15" s="59"/>
      <c r="T15" s="59">
        <v>0</v>
      </c>
      <c r="U15" s="59"/>
      <c r="V15" s="59"/>
      <c r="W15" s="59"/>
      <c r="X15" s="59"/>
      <c r="Y15" s="3"/>
      <c r="Z15" s="3"/>
      <c r="AA15" s="3"/>
    </row>
    <row r="16" spans="1:27" ht="13.8" x14ac:dyDescent="0.25">
      <c r="A16" s="76" t="s">
        <v>122</v>
      </c>
      <c r="B16" s="61" t="s">
        <v>117</v>
      </c>
      <c r="C16" s="73">
        <v>46.75</v>
      </c>
      <c r="D16" s="67">
        <v>196</v>
      </c>
      <c r="E16" s="59"/>
      <c r="F16" s="61" t="s">
        <v>117</v>
      </c>
      <c r="G16" s="68">
        <v>41.5</v>
      </c>
      <c r="H16" s="59">
        <v>8</v>
      </c>
      <c r="J16" s="61" t="s">
        <v>117</v>
      </c>
      <c r="K16" s="61">
        <v>49</v>
      </c>
      <c r="L16" s="59">
        <v>12</v>
      </c>
      <c r="N16" s="61" t="s">
        <v>117</v>
      </c>
      <c r="P16" s="59">
        <v>0</v>
      </c>
      <c r="R16" s="61" t="s">
        <v>117</v>
      </c>
      <c r="S16" s="61">
        <v>61</v>
      </c>
      <c r="T16" s="59">
        <v>8</v>
      </c>
      <c r="U16" s="59"/>
      <c r="V16" s="59"/>
      <c r="W16" s="59"/>
      <c r="X16" s="59"/>
      <c r="Y16" s="3"/>
      <c r="Z16" s="3"/>
      <c r="AA16" s="3"/>
    </row>
    <row r="17" spans="1:27" ht="13.8" x14ac:dyDescent="0.25">
      <c r="A17" s="56"/>
      <c r="B17" s="61" t="s">
        <v>118</v>
      </c>
      <c r="C17" s="73">
        <v>42.75</v>
      </c>
      <c r="D17" s="67">
        <v>288</v>
      </c>
      <c r="E17" s="59"/>
      <c r="F17" s="61" t="s">
        <v>118</v>
      </c>
      <c r="G17" s="68">
        <v>52</v>
      </c>
      <c r="H17" s="59">
        <v>4</v>
      </c>
      <c r="J17" s="61" t="s">
        <v>118</v>
      </c>
      <c r="L17" s="59">
        <v>0</v>
      </c>
      <c r="N17" s="61" t="s">
        <v>118</v>
      </c>
      <c r="O17" s="61">
        <v>49.4</v>
      </c>
      <c r="P17" s="59">
        <v>20</v>
      </c>
      <c r="R17" s="61" t="s">
        <v>118</v>
      </c>
      <c r="S17" s="61">
        <v>71.5</v>
      </c>
      <c r="T17" s="59">
        <v>8</v>
      </c>
      <c r="U17" s="59"/>
      <c r="V17" s="59"/>
      <c r="W17" s="59"/>
      <c r="X17" s="59"/>
      <c r="Y17" s="3"/>
      <c r="Z17" s="3"/>
      <c r="AA17" s="3"/>
    </row>
    <row r="18" spans="1:27" ht="13.8" x14ac:dyDescent="0.25">
      <c r="B18" s="61"/>
      <c r="E18" s="59"/>
      <c r="F18" s="61"/>
      <c r="G18" s="68"/>
      <c r="H18" s="59"/>
      <c r="J18" s="61"/>
      <c r="T18" s="59"/>
      <c r="U18" s="59"/>
      <c r="V18" s="59"/>
      <c r="W18" s="59"/>
      <c r="X18" s="59"/>
      <c r="Y18" s="3"/>
      <c r="Z18" s="3"/>
      <c r="AA18" s="3"/>
    </row>
    <row r="19" spans="1:27" ht="13.8" x14ac:dyDescent="0.25">
      <c r="A19" s="56" t="s">
        <v>123</v>
      </c>
      <c r="B19" s="61" t="s">
        <v>119</v>
      </c>
      <c r="C19" s="73">
        <v>25.875</v>
      </c>
      <c r="D19" s="67">
        <v>392</v>
      </c>
      <c r="E19" s="59"/>
      <c r="F19" s="61" t="s">
        <v>119</v>
      </c>
      <c r="G19" s="68"/>
      <c r="H19" s="59">
        <v>0</v>
      </c>
      <c r="J19" s="61" t="s">
        <v>119</v>
      </c>
      <c r="L19" s="59">
        <v>0</v>
      </c>
      <c r="N19" s="61" t="s">
        <v>119</v>
      </c>
      <c r="P19" s="59">
        <v>0</v>
      </c>
      <c r="R19" s="61" t="s">
        <v>119</v>
      </c>
      <c r="S19" s="61">
        <v>62.5</v>
      </c>
      <c r="T19" s="59">
        <v>0.8</v>
      </c>
      <c r="U19" s="59"/>
      <c r="V19" s="59"/>
      <c r="W19" s="59"/>
      <c r="X19" s="59"/>
      <c r="Y19" s="3"/>
      <c r="Z19" s="3"/>
      <c r="AA19" s="3"/>
    </row>
    <row r="20" spans="1:27" ht="13.8" x14ac:dyDescent="0.25">
      <c r="A20" s="76" t="s">
        <v>122</v>
      </c>
      <c r="B20" s="61" t="s">
        <v>120</v>
      </c>
      <c r="C20" s="73">
        <v>45.375</v>
      </c>
      <c r="D20" s="67">
        <v>180</v>
      </c>
      <c r="E20" s="59"/>
      <c r="F20" s="61" t="s">
        <v>120</v>
      </c>
      <c r="G20" s="68"/>
      <c r="H20" s="59">
        <v>0</v>
      </c>
      <c r="J20" s="61" t="s">
        <v>120</v>
      </c>
      <c r="K20" s="61">
        <v>42</v>
      </c>
      <c r="L20" s="59">
        <v>3.2</v>
      </c>
      <c r="N20" s="61" t="s">
        <v>120</v>
      </c>
      <c r="O20" s="61">
        <v>35</v>
      </c>
      <c r="P20" s="59">
        <v>4</v>
      </c>
      <c r="R20" s="61" t="s">
        <v>120</v>
      </c>
      <c r="S20" s="61">
        <v>45</v>
      </c>
      <c r="T20" s="59">
        <v>1</v>
      </c>
      <c r="U20" s="59"/>
      <c r="V20" s="59"/>
      <c r="W20" s="59"/>
      <c r="X20" s="59"/>
      <c r="Y20" s="3"/>
      <c r="Z20" s="3"/>
      <c r="AA20" s="3"/>
    </row>
    <row r="21" spans="1:27" ht="13.8" x14ac:dyDescent="0.25">
      <c r="A21" s="59"/>
      <c r="B21" s="61" t="s">
        <v>121</v>
      </c>
      <c r="C21" s="73">
        <v>40.25</v>
      </c>
      <c r="D21" s="67">
        <v>276</v>
      </c>
      <c r="E21" s="59"/>
      <c r="F21" s="61" t="s">
        <v>121</v>
      </c>
      <c r="G21" s="68">
        <v>20</v>
      </c>
      <c r="H21" s="59">
        <v>0.8</v>
      </c>
      <c r="J21" s="61" t="s">
        <v>121</v>
      </c>
      <c r="L21" s="59">
        <v>0</v>
      </c>
      <c r="N21" s="61" t="s">
        <v>121</v>
      </c>
      <c r="O21" s="61">
        <v>41.5</v>
      </c>
      <c r="P21" s="59">
        <v>4.8</v>
      </c>
      <c r="R21" s="61" t="s">
        <v>121</v>
      </c>
      <c r="S21" s="71">
        <v>58.333333333333336</v>
      </c>
      <c r="T21" s="59">
        <v>2</v>
      </c>
      <c r="U21" s="59"/>
      <c r="V21" s="59"/>
      <c r="W21" s="59"/>
      <c r="X21" s="59"/>
      <c r="Y21" s="3"/>
      <c r="Z21" s="3"/>
      <c r="AA21" s="3"/>
    </row>
    <row r="22" spans="1:27" ht="13.8" x14ac:dyDescent="0.25">
      <c r="B22" s="61"/>
      <c r="E22" s="59"/>
      <c r="F22" s="75"/>
      <c r="G22" s="68"/>
      <c r="H22" s="59"/>
      <c r="J22" s="61"/>
      <c r="Y22" s="3"/>
      <c r="Z22" s="3"/>
      <c r="AA22" s="3"/>
    </row>
    <row r="23" spans="1:27" ht="13.8" x14ac:dyDescent="0.25">
      <c r="A23" s="56" t="s">
        <v>129</v>
      </c>
      <c r="B23" s="75" t="s">
        <v>88</v>
      </c>
      <c r="C23" s="77">
        <v>34.326000000000001</v>
      </c>
      <c r="D23" s="67">
        <v>252</v>
      </c>
      <c r="E23" s="59"/>
      <c r="F23" s="75" t="s">
        <v>88</v>
      </c>
      <c r="G23" s="68">
        <v>67.400000000000006</v>
      </c>
      <c r="H23" s="59">
        <v>336</v>
      </c>
      <c r="J23" s="75" t="s">
        <v>88</v>
      </c>
      <c r="K23" s="61">
        <v>88.2</v>
      </c>
      <c r="L23" s="59">
        <v>368</v>
      </c>
      <c r="N23" s="75" t="s">
        <v>88</v>
      </c>
      <c r="O23" s="61">
        <v>120.9</v>
      </c>
      <c r="P23" s="59">
        <v>168</v>
      </c>
      <c r="R23" s="75" t="s">
        <v>88</v>
      </c>
      <c r="S23" s="61">
        <v>126</v>
      </c>
      <c r="T23" s="59">
        <v>208</v>
      </c>
      <c r="U23" s="59"/>
      <c r="V23" s="59"/>
      <c r="W23" s="59"/>
      <c r="X23" s="72"/>
      <c r="Y23" s="3"/>
      <c r="Z23" s="3"/>
      <c r="AA23" s="3"/>
    </row>
    <row r="24" spans="1:27" ht="13.8" x14ac:dyDescent="0.25">
      <c r="A24" s="59"/>
      <c r="B24" s="75" t="s">
        <v>93</v>
      </c>
      <c r="C24" s="67">
        <v>47.258000000000003</v>
      </c>
      <c r="D24" s="67">
        <v>220</v>
      </c>
      <c r="E24" s="59"/>
      <c r="F24" s="75" t="s">
        <v>93</v>
      </c>
      <c r="G24" s="68">
        <v>72.8</v>
      </c>
      <c r="H24" s="59">
        <v>160</v>
      </c>
      <c r="J24" s="75" t="s">
        <v>93</v>
      </c>
      <c r="K24" s="61">
        <v>86.5</v>
      </c>
      <c r="L24" s="59">
        <v>188</v>
      </c>
      <c r="N24" s="75" t="s">
        <v>93</v>
      </c>
      <c r="O24" s="61">
        <v>93.1</v>
      </c>
      <c r="P24" s="59">
        <v>232</v>
      </c>
      <c r="R24" s="75" t="s">
        <v>89</v>
      </c>
      <c r="S24" s="71">
        <v>129.66666666666666</v>
      </c>
      <c r="T24" s="59">
        <v>216</v>
      </c>
      <c r="U24" s="59"/>
      <c r="V24" s="59"/>
      <c r="W24" s="59"/>
      <c r="X24" s="72"/>
      <c r="Y24" s="3"/>
      <c r="Z24" s="3"/>
      <c r="AA24" s="3"/>
    </row>
    <row r="25" spans="1:27" ht="13.8" x14ac:dyDescent="0.25">
      <c r="A25" s="59"/>
      <c r="B25" s="75" t="s">
        <v>94</v>
      </c>
      <c r="C25" s="67">
        <v>41.125</v>
      </c>
      <c r="D25" s="67">
        <v>296</v>
      </c>
      <c r="E25" s="59"/>
      <c r="F25" s="75" t="s">
        <v>94</v>
      </c>
      <c r="G25" s="68">
        <v>78.3</v>
      </c>
      <c r="H25" s="59">
        <v>212</v>
      </c>
      <c r="J25" s="75" t="s">
        <v>94</v>
      </c>
      <c r="K25" s="61">
        <v>95.4</v>
      </c>
      <c r="L25" s="59">
        <v>248</v>
      </c>
      <c r="M25" s="75"/>
      <c r="N25" s="75" t="s">
        <v>94</v>
      </c>
      <c r="O25" s="61">
        <v>96.3</v>
      </c>
      <c r="P25" s="59">
        <v>180</v>
      </c>
      <c r="R25" s="75" t="s">
        <v>90</v>
      </c>
      <c r="S25" s="61">
        <v>150.19999999999999</v>
      </c>
      <c r="T25" s="59">
        <v>260</v>
      </c>
      <c r="U25" s="59"/>
      <c r="V25" s="59"/>
      <c r="W25" s="59"/>
      <c r="X25" s="72"/>
      <c r="Y25" s="3"/>
      <c r="Z25" s="3"/>
      <c r="AA25" s="3"/>
    </row>
    <row r="26" spans="1:27" ht="13.8" x14ac:dyDescent="0.25">
      <c r="B26" s="61"/>
      <c r="E26" s="59"/>
      <c r="F26" s="75" t="s">
        <v>89</v>
      </c>
      <c r="G26" s="68">
        <v>88.2</v>
      </c>
      <c r="H26" s="59">
        <v>236</v>
      </c>
      <c r="J26" s="75" t="s">
        <v>89</v>
      </c>
      <c r="K26" s="61">
        <v>99</v>
      </c>
      <c r="L26" s="59">
        <v>424</v>
      </c>
      <c r="M26" s="75"/>
      <c r="N26" s="75" t="s">
        <v>89</v>
      </c>
      <c r="O26" s="61">
        <v>101.1</v>
      </c>
      <c r="P26" s="59">
        <v>264</v>
      </c>
      <c r="R26" s="75" t="s">
        <v>91</v>
      </c>
      <c r="S26" s="61">
        <v>134</v>
      </c>
      <c r="T26" s="59">
        <v>236</v>
      </c>
      <c r="U26" s="59"/>
      <c r="V26" s="59"/>
      <c r="W26" s="59"/>
      <c r="X26" s="72"/>
      <c r="Y26" s="3"/>
      <c r="Z26" s="3"/>
      <c r="AA26" s="3"/>
    </row>
    <row r="27" spans="1:27" ht="13.8" x14ac:dyDescent="0.25">
      <c r="A27" s="59"/>
      <c r="B27" s="61"/>
      <c r="C27" s="67"/>
      <c r="D27" s="59"/>
      <c r="E27" s="59"/>
      <c r="F27" s="75" t="s">
        <v>95</v>
      </c>
      <c r="G27" s="68">
        <v>81.5</v>
      </c>
      <c r="H27" s="59">
        <v>188</v>
      </c>
      <c r="J27" s="75" t="s">
        <v>95</v>
      </c>
      <c r="K27" s="61">
        <v>92.9</v>
      </c>
      <c r="L27" s="59">
        <v>204</v>
      </c>
      <c r="M27" s="75"/>
      <c r="N27" s="75" t="s">
        <v>95</v>
      </c>
      <c r="O27" s="61">
        <v>103.2</v>
      </c>
      <c r="P27" s="59">
        <v>168</v>
      </c>
      <c r="R27" s="75" t="s">
        <v>92</v>
      </c>
      <c r="S27" s="61">
        <v>123.8</v>
      </c>
      <c r="T27" s="59">
        <v>272</v>
      </c>
      <c r="U27" s="59"/>
      <c r="V27" s="59"/>
      <c r="W27" s="59"/>
      <c r="X27" s="59"/>
      <c r="Y27" s="3"/>
      <c r="Z27" s="3"/>
      <c r="AA27" s="3"/>
    </row>
    <row r="28" spans="1:27" ht="13.8" x14ac:dyDescent="0.25">
      <c r="A28" s="59"/>
      <c r="B28" s="61"/>
      <c r="C28" s="67"/>
      <c r="D28" s="67"/>
      <c r="E28" s="59"/>
      <c r="F28" s="75" t="s">
        <v>96</v>
      </c>
      <c r="G28" s="68">
        <v>68.5</v>
      </c>
      <c r="H28" s="59">
        <v>176</v>
      </c>
      <c r="J28" s="75" t="s">
        <v>96</v>
      </c>
      <c r="K28" s="61">
        <v>80.599999999999994</v>
      </c>
      <c r="L28" s="59">
        <v>156</v>
      </c>
      <c r="M28" s="75"/>
      <c r="N28" s="75" t="s">
        <v>96</v>
      </c>
      <c r="O28" s="61">
        <v>110.9</v>
      </c>
      <c r="P28" s="59">
        <v>192</v>
      </c>
      <c r="Y28" s="3"/>
      <c r="Z28" s="3"/>
      <c r="AA28" s="3"/>
    </row>
    <row r="29" spans="1:27" ht="13.8" x14ac:dyDescent="0.25">
      <c r="A29" s="59"/>
      <c r="B29" s="61"/>
      <c r="C29" s="67"/>
      <c r="D29" s="67"/>
      <c r="E29" s="59"/>
      <c r="F29" s="75" t="s">
        <v>97</v>
      </c>
      <c r="G29" s="68">
        <v>76.599999999999994</v>
      </c>
      <c r="H29" s="59">
        <v>124</v>
      </c>
      <c r="J29" s="75" t="s">
        <v>97</v>
      </c>
      <c r="K29" s="61">
        <v>81.5</v>
      </c>
      <c r="L29" s="59">
        <v>164</v>
      </c>
      <c r="M29" s="75"/>
      <c r="N29" s="75" t="s">
        <v>97</v>
      </c>
      <c r="O29" s="61">
        <v>90.8</v>
      </c>
      <c r="P29" s="59">
        <v>212</v>
      </c>
      <c r="Y29" s="3"/>
      <c r="Z29" s="3"/>
      <c r="AA29" s="3"/>
    </row>
    <row r="30" spans="1:27" ht="13.8" x14ac:dyDescent="0.25">
      <c r="A30" s="59"/>
      <c r="B30" s="61"/>
      <c r="C30" s="67"/>
      <c r="D30" s="67"/>
      <c r="E30" s="59"/>
      <c r="F30" s="75" t="s">
        <v>98</v>
      </c>
      <c r="G30" s="68">
        <v>68.8</v>
      </c>
      <c r="H30" s="59">
        <v>240</v>
      </c>
      <c r="J30" s="75" t="s">
        <v>98</v>
      </c>
      <c r="K30" s="61">
        <v>86.2</v>
      </c>
      <c r="L30" s="59">
        <v>272</v>
      </c>
      <c r="N30" s="75" t="s">
        <v>98</v>
      </c>
      <c r="O30" s="61">
        <v>107.9</v>
      </c>
      <c r="P30" s="59">
        <v>184</v>
      </c>
      <c r="Y30" s="3"/>
      <c r="Z30" s="3"/>
      <c r="AA30" s="3"/>
    </row>
    <row r="31" spans="1:27" ht="13.8" x14ac:dyDescent="0.25">
      <c r="A31" s="59"/>
      <c r="B31" s="61"/>
      <c r="C31" s="67"/>
      <c r="D31" s="67"/>
      <c r="E31" s="59"/>
      <c r="F31" s="75" t="s">
        <v>99</v>
      </c>
      <c r="G31" s="68">
        <v>67.3</v>
      </c>
      <c r="H31" s="59">
        <v>256</v>
      </c>
      <c r="J31" s="75" t="s">
        <v>99</v>
      </c>
      <c r="K31" s="61">
        <v>83.4</v>
      </c>
      <c r="L31" s="59">
        <v>236</v>
      </c>
      <c r="N31" s="75" t="s">
        <v>99</v>
      </c>
      <c r="O31" s="61">
        <v>98.3</v>
      </c>
      <c r="P31" s="59">
        <v>240</v>
      </c>
      <c r="Y31" s="3"/>
      <c r="Z31" s="3"/>
      <c r="AA31" s="3"/>
    </row>
    <row r="32" spans="1:27" ht="13.8" x14ac:dyDescent="0.25">
      <c r="A32" s="59"/>
      <c r="B32" s="61"/>
      <c r="C32" s="59"/>
      <c r="D32" s="59"/>
      <c r="E32" s="59"/>
      <c r="F32" s="75" t="s">
        <v>100</v>
      </c>
      <c r="G32" s="68">
        <v>85.6</v>
      </c>
      <c r="H32" s="59">
        <v>144</v>
      </c>
      <c r="J32" s="75" t="s">
        <v>100</v>
      </c>
      <c r="K32" s="61">
        <v>90.8</v>
      </c>
      <c r="L32" s="59">
        <v>132</v>
      </c>
      <c r="N32" s="75" t="s">
        <v>100</v>
      </c>
      <c r="O32" s="61">
        <v>92.1</v>
      </c>
      <c r="P32" s="59">
        <v>236</v>
      </c>
      <c r="Y32" s="3"/>
      <c r="Z32" s="3"/>
      <c r="AA32" s="3"/>
    </row>
    <row r="33" spans="1:27" ht="13.8" x14ac:dyDescent="0.25">
      <c r="A33" s="59"/>
      <c r="B33" s="61"/>
      <c r="C33" s="59"/>
      <c r="D33" s="59"/>
      <c r="E33" s="70"/>
      <c r="F33" s="75" t="s">
        <v>91</v>
      </c>
      <c r="G33" s="68">
        <v>68</v>
      </c>
      <c r="H33" s="59">
        <v>180</v>
      </c>
      <c r="J33" s="75" t="s">
        <v>91</v>
      </c>
      <c r="K33" s="61">
        <v>85.2</v>
      </c>
      <c r="L33" s="59">
        <v>196</v>
      </c>
      <c r="N33" s="75" t="s">
        <v>91</v>
      </c>
      <c r="O33" s="61">
        <v>95.6</v>
      </c>
      <c r="P33" s="59">
        <v>168</v>
      </c>
      <c r="Y33" s="3"/>
      <c r="Z33" s="3"/>
      <c r="AA33" s="3"/>
    </row>
    <row r="34" spans="1:27" ht="13.8" x14ac:dyDescent="0.25">
      <c r="A34" s="59"/>
      <c r="B34" s="61"/>
      <c r="C34" s="59"/>
      <c r="D34" s="59"/>
      <c r="E34" s="70"/>
      <c r="F34" s="75" t="s">
        <v>92</v>
      </c>
      <c r="G34" s="68">
        <v>91.1</v>
      </c>
      <c r="H34" s="59">
        <v>216</v>
      </c>
      <c r="J34" s="75" t="s">
        <v>92</v>
      </c>
      <c r="K34" s="61">
        <v>90.9</v>
      </c>
      <c r="L34" s="59">
        <v>228</v>
      </c>
      <c r="N34" s="75" t="s">
        <v>92</v>
      </c>
      <c r="O34" s="61">
        <v>102.3</v>
      </c>
      <c r="P34" s="59">
        <v>224</v>
      </c>
      <c r="Y34" s="3"/>
      <c r="Z34" s="3"/>
      <c r="AA34" s="3"/>
    </row>
    <row r="35" spans="1:27" ht="13.8" x14ac:dyDescent="0.25">
      <c r="A35" s="59"/>
      <c r="B35" s="61"/>
      <c r="C35" s="59"/>
      <c r="D35" s="59"/>
      <c r="E35" s="70"/>
      <c r="F35" s="60"/>
      <c r="G35" s="59"/>
      <c r="H35" s="59"/>
      <c r="J35" s="61"/>
      <c r="Y35" s="3"/>
      <c r="Z35" s="3"/>
      <c r="AA35" s="3"/>
    </row>
    <row r="36" spans="1:27" ht="13.8" x14ac:dyDescent="0.25">
      <c r="A36" s="59"/>
      <c r="B36" s="61"/>
      <c r="C36" s="59"/>
      <c r="D36" s="59"/>
      <c r="E36" s="70"/>
      <c r="F36" s="60"/>
      <c r="G36" s="59"/>
      <c r="H36" s="59"/>
      <c r="J36" s="61"/>
      <c r="Y36" s="3"/>
      <c r="Z36" s="3"/>
      <c r="AA36" s="3"/>
    </row>
    <row r="37" spans="1:27" ht="13.8" x14ac:dyDescent="0.25">
      <c r="A37" s="59"/>
      <c r="B37" s="61"/>
      <c r="C37" s="59"/>
      <c r="D37" s="59"/>
      <c r="E37" s="59"/>
      <c r="F37" s="60"/>
      <c r="G37" s="59"/>
      <c r="H37" s="59"/>
      <c r="J37" s="61"/>
      <c r="Y37" s="3"/>
      <c r="Z37" s="3"/>
      <c r="AA37" s="3"/>
    </row>
    <row r="38" spans="1:27" ht="13.8" x14ac:dyDescent="0.25">
      <c r="A38" s="59"/>
      <c r="B38" s="61"/>
      <c r="C38" s="59"/>
      <c r="D38" s="59"/>
      <c r="E38" s="59"/>
      <c r="F38" s="60"/>
      <c r="G38" s="59"/>
      <c r="H38" s="59"/>
      <c r="J38" s="61"/>
      <c r="Y38" s="3"/>
      <c r="Z38" s="3"/>
      <c r="AA38" s="3"/>
    </row>
    <row r="39" spans="1:27" ht="13.8" x14ac:dyDescent="0.25">
      <c r="A39" s="59"/>
      <c r="B39" s="61"/>
      <c r="C39" s="59"/>
      <c r="D39" s="59"/>
      <c r="E39" s="70"/>
      <c r="F39" s="60"/>
      <c r="G39" s="59"/>
      <c r="H39" s="59"/>
      <c r="J39" s="61"/>
      <c r="Y39" s="3"/>
      <c r="Z39" s="3"/>
      <c r="AA39" s="3"/>
    </row>
    <row r="40" spans="1:27" ht="13.8" x14ac:dyDescent="0.25">
      <c r="A40" s="59"/>
      <c r="B40" s="61"/>
      <c r="C40" s="59"/>
      <c r="D40" s="59"/>
      <c r="E40" s="59"/>
      <c r="F40" s="60"/>
      <c r="G40" s="59"/>
      <c r="H40" s="59"/>
      <c r="J40" s="61"/>
      <c r="Y40" s="3"/>
      <c r="Z40" s="3"/>
      <c r="AA40" s="3"/>
    </row>
    <row r="41" spans="1:27" ht="13.8" x14ac:dyDescent="0.25">
      <c r="A41" s="59"/>
      <c r="B41" s="61"/>
      <c r="C41" s="59"/>
      <c r="D41" s="59"/>
      <c r="E41" s="59"/>
      <c r="F41" s="60"/>
      <c r="G41" s="59"/>
      <c r="H41" s="59"/>
      <c r="J41" s="61"/>
      <c r="Y41" s="3"/>
      <c r="Z41" s="3"/>
      <c r="AA41" s="3"/>
    </row>
    <row r="42" spans="1:27" ht="13.8" x14ac:dyDescent="0.25">
      <c r="A42" s="59"/>
      <c r="B42" s="61"/>
      <c r="C42" s="59"/>
      <c r="D42" s="59"/>
      <c r="E42" s="59"/>
      <c r="F42" s="60"/>
      <c r="G42" s="59"/>
      <c r="H42" s="59"/>
      <c r="J42" s="61"/>
      <c r="Y42" s="3"/>
      <c r="Z42" s="3"/>
      <c r="AA42" s="3"/>
    </row>
    <row r="43" spans="1:27" ht="13.8" x14ac:dyDescent="0.25">
      <c r="A43" s="59"/>
      <c r="B43" s="61"/>
      <c r="C43" s="59"/>
      <c r="D43" s="59"/>
      <c r="E43" s="59"/>
      <c r="F43" s="60"/>
      <c r="G43" s="59"/>
      <c r="H43" s="59"/>
      <c r="J43" s="61"/>
      <c r="Y43" s="3"/>
      <c r="Z43" s="3"/>
      <c r="AA43" s="3"/>
    </row>
    <row r="44" spans="1:27" ht="13.8" x14ac:dyDescent="0.25">
      <c r="A44" s="59"/>
      <c r="B44" s="61"/>
      <c r="C44" s="59"/>
      <c r="D44" s="59"/>
      <c r="E44" s="59"/>
      <c r="F44" s="60"/>
      <c r="G44" s="59"/>
      <c r="H44" s="59"/>
      <c r="J44" s="61"/>
    </row>
    <row r="45" spans="1:27" ht="13.8" x14ac:dyDescent="0.25">
      <c r="A45" s="59"/>
      <c r="B45" s="61"/>
      <c r="C45" s="59"/>
      <c r="D45" s="59"/>
      <c r="E45" s="59"/>
      <c r="F45" s="60"/>
      <c r="G45" s="59"/>
      <c r="H45" s="59"/>
      <c r="J45" s="61"/>
    </row>
    <row r="46" spans="1:27" ht="13.8" x14ac:dyDescent="0.25">
      <c r="A46" s="59"/>
      <c r="B46" s="61"/>
      <c r="C46" s="59"/>
      <c r="D46" s="59"/>
      <c r="E46" s="59"/>
      <c r="F46" s="60"/>
      <c r="G46" s="59"/>
      <c r="H46" s="59"/>
      <c r="J46" s="61"/>
    </row>
    <row r="47" spans="1:27" ht="13.8" x14ac:dyDescent="0.25">
      <c r="A47" s="59"/>
      <c r="B47" s="61"/>
      <c r="C47" s="59"/>
      <c r="D47" s="59"/>
      <c r="E47" s="59"/>
      <c r="F47" s="60"/>
      <c r="G47" s="59"/>
      <c r="H47" s="59"/>
      <c r="J47" s="61"/>
    </row>
    <row r="48" spans="1:27" ht="13.8" x14ac:dyDescent="0.25">
      <c r="A48" s="59"/>
      <c r="B48" s="61"/>
      <c r="C48" s="59"/>
      <c r="D48" s="59"/>
      <c r="E48" s="59"/>
      <c r="F48" s="60"/>
      <c r="G48" s="59"/>
      <c r="H48" s="59"/>
      <c r="J48" s="61"/>
    </row>
    <row r="49" spans="1:10" ht="13.8" x14ac:dyDescent="0.25">
      <c r="A49" s="59"/>
      <c r="B49" s="61"/>
      <c r="C49" s="59"/>
      <c r="D49" s="59"/>
      <c r="E49" s="59"/>
      <c r="F49" s="60"/>
      <c r="G49" s="59"/>
      <c r="H49" s="59"/>
      <c r="J49" s="61"/>
    </row>
    <row r="50" spans="1:10" ht="13.8" x14ac:dyDescent="0.25">
      <c r="A50" s="59"/>
      <c r="B50" s="61"/>
      <c r="C50" s="59"/>
      <c r="D50" s="59"/>
      <c r="E50" s="59"/>
      <c r="F50" s="60"/>
      <c r="G50" s="59"/>
      <c r="H50" s="59"/>
      <c r="J50" s="61"/>
    </row>
    <row r="51" spans="1:10" ht="13.8" x14ac:dyDescent="0.25">
      <c r="A51" s="59"/>
      <c r="B51" s="61"/>
      <c r="C51" s="59"/>
      <c r="D51" s="59"/>
      <c r="E51" s="59"/>
      <c r="F51" s="60"/>
      <c r="G51" s="59"/>
      <c r="H51" s="59"/>
      <c r="J51" s="61"/>
    </row>
    <row r="52" spans="1:10" ht="13.8" x14ac:dyDescent="0.25">
      <c r="A52" s="59"/>
      <c r="B52" s="61"/>
      <c r="C52" s="59"/>
      <c r="D52" s="59"/>
      <c r="E52" s="59"/>
      <c r="F52" s="60"/>
      <c r="G52" s="59"/>
      <c r="H52" s="59"/>
    </row>
    <row r="53" spans="1:10" ht="13.8" x14ac:dyDescent="0.25">
      <c r="A53" s="59"/>
      <c r="B53" s="61"/>
      <c r="C53" s="59"/>
      <c r="D53" s="59"/>
      <c r="E53" s="59"/>
      <c r="F53" s="60"/>
      <c r="G53" s="59"/>
      <c r="H53" s="59"/>
    </row>
    <row r="54" spans="1:10" ht="13.8" x14ac:dyDescent="0.25">
      <c r="A54" s="59"/>
      <c r="B54" s="61"/>
      <c r="C54" s="59"/>
      <c r="D54" s="59"/>
      <c r="E54" s="59"/>
      <c r="F54" s="60"/>
      <c r="G54" s="59"/>
      <c r="H54" s="59"/>
    </row>
    <row r="55" spans="1:10" ht="13.8" x14ac:dyDescent="0.25">
      <c r="A55" s="59"/>
      <c r="B55" s="61"/>
      <c r="C55" s="59"/>
      <c r="D55" s="59"/>
      <c r="E55" s="59"/>
      <c r="F55" s="60"/>
      <c r="G55" s="59"/>
      <c r="H55" s="59"/>
    </row>
    <row r="56" spans="1:10" ht="13.8" x14ac:dyDescent="0.25">
      <c r="A56" s="59"/>
      <c r="B56" s="61"/>
      <c r="C56" s="59"/>
      <c r="D56" s="59"/>
      <c r="E56" s="59"/>
      <c r="F56" s="60"/>
      <c r="G56" s="59"/>
      <c r="H56" s="59"/>
    </row>
    <row r="57" spans="1:10" ht="13.8" x14ac:dyDescent="0.25">
      <c r="A57" s="59"/>
      <c r="B57" s="61"/>
      <c r="C57" s="59"/>
      <c r="D57" s="59"/>
      <c r="E57" s="59"/>
      <c r="F57" s="60"/>
      <c r="G57" s="59"/>
      <c r="H57" s="59"/>
    </row>
    <row r="58" spans="1:10" ht="13.8" x14ac:dyDescent="0.25">
      <c r="A58" s="59"/>
      <c r="B58" s="61"/>
      <c r="C58" s="59"/>
      <c r="D58" s="59"/>
      <c r="E58" s="59"/>
      <c r="F58" s="60"/>
      <c r="G58" s="59"/>
      <c r="H58" s="59"/>
    </row>
    <row r="59" spans="1:10" ht="13.8" x14ac:dyDescent="0.25">
      <c r="A59" s="59"/>
      <c r="B59" s="61"/>
      <c r="C59" s="59"/>
      <c r="D59" s="59"/>
      <c r="E59" s="59"/>
      <c r="F59" s="60"/>
      <c r="G59" s="59"/>
      <c r="H59" s="59"/>
    </row>
    <row r="60" spans="1:10" ht="13.8" x14ac:dyDescent="0.25">
      <c r="A60" s="59"/>
      <c r="B60" s="61"/>
      <c r="C60" s="59"/>
      <c r="D60" s="59"/>
      <c r="E60" s="59"/>
      <c r="F60" s="60"/>
      <c r="G60" s="59"/>
      <c r="H60" s="59"/>
    </row>
    <row r="61" spans="1:10" ht="13.8" x14ac:dyDescent="0.25">
      <c r="A61" s="59"/>
      <c r="B61" s="61"/>
      <c r="C61" s="59"/>
      <c r="D61" s="59"/>
      <c r="E61" s="59"/>
      <c r="F61" s="60"/>
      <c r="G61" s="59"/>
      <c r="H61" s="59"/>
    </row>
    <row r="62" spans="1:10" ht="13.8" x14ac:dyDescent="0.25">
      <c r="A62" s="59"/>
      <c r="B62" s="61"/>
      <c r="C62" s="59"/>
      <c r="D62" s="59"/>
      <c r="E62" s="59"/>
      <c r="F62" s="60"/>
      <c r="G62" s="59"/>
      <c r="H62" s="59"/>
    </row>
    <row r="63" spans="1:10" ht="13.8" x14ac:dyDescent="0.25">
      <c r="A63" s="59"/>
      <c r="B63" s="61"/>
      <c r="C63" s="59"/>
      <c r="D63" s="59"/>
      <c r="E63" s="59"/>
      <c r="F63" s="60"/>
      <c r="G63" s="59"/>
      <c r="H63" s="59"/>
    </row>
    <row r="64" spans="1:10" ht="13.8" x14ac:dyDescent="0.25">
      <c r="A64" s="59"/>
      <c r="B64" s="61"/>
      <c r="C64" s="59"/>
      <c r="D64" s="59"/>
      <c r="E64" s="59"/>
      <c r="F64" s="60"/>
      <c r="G64" s="59"/>
      <c r="H64" s="59"/>
    </row>
    <row r="65" spans="1:8" ht="13.8" x14ac:dyDescent="0.25">
      <c r="A65" s="59"/>
      <c r="B65" s="61"/>
      <c r="C65" s="59"/>
      <c r="D65" s="59"/>
      <c r="E65" s="59"/>
      <c r="F65" s="60"/>
      <c r="G65" s="59"/>
      <c r="H65" s="59"/>
    </row>
    <row r="66" spans="1:8" ht="13.8" x14ac:dyDescent="0.25">
      <c r="A66" s="59"/>
      <c r="B66" s="61"/>
      <c r="C66" s="59"/>
      <c r="D66" s="59"/>
      <c r="E66" s="59"/>
      <c r="F66" s="60"/>
      <c r="G66" s="59"/>
      <c r="H66" s="59"/>
    </row>
    <row r="67" spans="1:8" ht="13.8" x14ac:dyDescent="0.25">
      <c r="A67" s="59"/>
      <c r="B67" s="61"/>
      <c r="C67" s="59"/>
      <c r="D67" s="59"/>
      <c r="E67" s="59"/>
      <c r="F67" s="60"/>
      <c r="G67" s="59"/>
      <c r="H67" s="59"/>
    </row>
    <row r="68" spans="1:8" ht="13.8" x14ac:dyDescent="0.25">
      <c r="A68" s="59"/>
      <c r="B68" s="61"/>
      <c r="C68" s="59"/>
      <c r="D68" s="59"/>
      <c r="E68" s="59"/>
      <c r="F68" s="60"/>
      <c r="G68" s="59"/>
      <c r="H68" s="59"/>
    </row>
    <row r="69" spans="1:8" ht="13.8" x14ac:dyDescent="0.25">
      <c r="A69" s="59"/>
      <c r="B69" s="61"/>
      <c r="C69" s="59"/>
      <c r="D69" s="59"/>
      <c r="E69" s="59"/>
      <c r="F69" s="60"/>
      <c r="G69" s="59"/>
      <c r="H69" s="59"/>
    </row>
    <row r="70" spans="1:8" ht="13.8" x14ac:dyDescent="0.25">
      <c r="A70" s="59"/>
      <c r="B70" s="61"/>
      <c r="C70" s="59"/>
      <c r="D70" s="59"/>
      <c r="E70" s="59"/>
      <c r="F70" s="60"/>
      <c r="G70" s="59"/>
      <c r="H70" s="59"/>
    </row>
    <row r="71" spans="1:8" ht="13.8" x14ac:dyDescent="0.25">
      <c r="A71" s="59"/>
      <c r="B71" s="61"/>
      <c r="C71" s="59"/>
      <c r="D71" s="59"/>
      <c r="E71" s="59"/>
      <c r="F71" s="60"/>
      <c r="G71" s="59"/>
      <c r="H71" s="59"/>
    </row>
    <row r="72" spans="1:8" ht="13.8" x14ac:dyDescent="0.25">
      <c r="A72" s="59"/>
      <c r="B72" s="61"/>
      <c r="C72" s="59"/>
      <c r="D72" s="59"/>
      <c r="E72" s="59"/>
      <c r="F72" s="60"/>
      <c r="G72" s="59"/>
      <c r="H72" s="59"/>
    </row>
    <row r="73" spans="1:8" ht="13.8" x14ac:dyDescent="0.25">
      <c r="A73" s="59"/>
      <c r="B73" s="61"/>
      <c r="C73" s="59"/>
      <c r="D73" s="59"/>
      <c r="E73" s="59"/>
      <c r="F73" s="60"/>
      <c r="G73" s="59"/>
      <c r="H73" s="59"/>
    </row>
    <row r="74" spans="1:8" ht="13.8" x14ac:dyDescent="0.25">
      <c r="A74" s="59"/>
      <c r="B74" s="61"/>
      <c r="C74" s="59"/>
      <c r="D74" s="59"/>
      <c r="E74" s="59"/>
      <c r="F74" s="60"/>
      <c r="G74" s="59"/>
      <c r="H74" s="59"/>
    </row>
    <row r="75" spans="1:8" ht="13.8" x14ac:dyDescent="0.25">
      <c r="A75" s="59"/>
      <c r="B75" s="61"/>
      <c r="C75" s="59"/>
      <c r="D75" s="59"/>
      <c r="E75" s="59"/>
      <c r="F75" s="60"/>
      <c r="G75" s="59"/>
      <c r="H75" s="59"/>
    </row>
    <row r="76" spans="1:8" ht="13.8" x14ac:dyDescent="0.25">
      <c r="A76" s="59"/>
      <c r="B76" s="61"/>
      <c r="C76" s="59"/>
      <c r="D76" s="59"/>
      <c r="E76" s="59"/>
      <c r="F76" s="60"/>
      <c r="G76" s="59"/>
      <c r="H76" s="59"/>
    </row>
    <row r="77" spans="1:8" ht="13.8" x14ac:dyDescent="0.25">
      <c r="A77" s="59"/>
      <c r="B77" s="61"/>
      <c r="C77" s="59"/>
      <c r="D77" s="59"/>
      <c r="E77" s="59"/>
      <c r="F77" s="60"/>
      <c r="G77" s="59"/>
      <c r="H77" s="59"/>
    </row>
    <row r="78" spans="1:8" ht="13.8" x14ac:dyDescent="0.25">
      <c r="A78" s="59"/>
      <c r="B78" s="61"/>
      <c r="C78" s="59"/>
      <c r="D78" s="59"/>
      <c r="E78" s="59"/>
      <c r="F78" s="60"/>
      <c r="G78" s="59"/>
      <c r="H78" s="59"/>
    </row>
    <row r="79" spans="1:8" ht="13.8" x14ac:dyDescent="0.25">
      <c r="A79" s="59"/>
      <c r="B79" s="61"/>
      <c r="C79" s="59"/>
      <c r="D79" s="59"/>
      <c r="E79" s="59"/>
      <c r="F79" s="60"/>
      <c r="G79" s="59"/>
      <c r="H79" s="59"/>
    </row>
    <row r="80" spans="1:8" ht="13.8" x14ac:dyDescent="0.25">
      <c r="A80" s="59"/>
      <c r="B80" s="61"/>
      <c r="C80" s="59"/>
      <c r="D80" s="59"/>
      <c r="E80" s="59"/>
      <c r="F80" s="60"/>
      <c r="G80" s="59"/>
      <c r="H80" s="59"/>
    </row>
    <row r="81" spans="1:8" ht="13.8" x14ac:dyDescent="0.25">
      <c r="A81" s="59"/>
      <c r="B81" s="61"/>
      <c r="C81" s="59"/>
      <c r="D81" s="59"/>
      <c r="E81" s="59"/>
      <c r="F81" s="60"/>
      <c r="G81" s="59"/>
      <c r="H81" s="59"/>
    </row>
    <row r="82" spans="1:8" ht="13.8" x14ac:dyDescent="0.25">
      <c r="A82" s="59"/>
      <c r="B82" s="61"/>
      <c r="C82" s="59"/>
      <c r="D82" s="59"/>
      <c r="E82" s="59"/>
      <c r="F82" s="60"/>
      <c r="G82" s="59"/>
      <c r="H82" s="59"/>
    </row>
    <row r="83" spans="1:8" ht="13.8" x14ac:dyDescent="0.25">
      <c r="A83" s="59"/>
      <c r="B83" s="61"/>
      <c r="C83" s="59"/>
      <c r="D83" s="59"/>
      <c r="E83" s="59"/>
      <c r="F83" s="60"/>
      <c r="G83" s="59"/>
      <c r="H83" s="59"/>
    </row>
    <row r="84" spans="1:8" ht="13.8" x14ac:dyDescent="0.25">
      <c r="A84" s="59"/>
      <c r="B84" s="61"/>
      <c r="C84" s="59"/>
      <c r="D84" s="59"/>
      <c r="E84" s="59"/>
      <c r="F84" s="60"/>
      <c r="G84" s="59"/>
      <c r="H84" s="59"/>
    </row>
    <row r="85" spans="1:8" ht="13.8" x14ac:dyDescent="0.25">
      <c r="A85" s="59"/>
      <c r="B85" s="61"/>
      <c r="C85" s="59"/>
      <c r="D85" s="59"/>
      <c r="E85" s="59"/>
      <c r="F85" s="60"/>
      <c r="G85" s="59"/>
      <c r="H85" s="59"/>
    </row>
    <row r="86" spans="1:8" ht="13.8" x14ac:dyDescent="0.25">
      <c r="A86" s="59"/>
      <c r="B86" s="61"/>
      <c r="C86" s="59"/>
      <c r="D86" s="59"/>
      <c r="E86" s="59"/>
      <c r="F86" s="60"/>
      <c r="G86" s="59"/>
      <c r="H86" s="59"/>
    </row>
    <row r="87" spans="1:8" ht="13.8" x14ac:dyDescent="0.25">
      <c r="A87" s="59"/>
      <c r="B87" s="61"/>
      <c r="C87" s="59"/>
      <c r="D87" s="59"/>
      <c r="E87" s="59"/>
      <c r="F87" s="60"/>
      <c r="G87" s="59"/>
      <c r="H87" s="59"/>
    </row>
    <row r="88" spans="1:8" ht="13.8" x14ac:dyDescent="0.25">
      <c r="A88" s="59"/>
      <c r="B88" s="61"/>
      <c r="C88" s="59"/>
      <c r="D88" s="59"/>
      <c r="E88" s="59"/>
      <c r="F88" s="60"/>
      <c r="G88" s="59"/>
      <c r="H88" s="59"/>
    </row>
    <row r="89" spans="1:8" ht="13.8" x14ac:dyDescent="0.25">
      <c r="A89" s="59"/>
      <c r="B89" s="61"/>
      <c r="C89" s="59"/>
      <c r="D89" s="59"/>
      <c r="E89" s="59"/>
      <c r="F89" s="60"/>
      <c r="G89" s="59"/>
      <c r="H89" s="59"/>
    </row>
    <row r="90" spans="1:8" ht="13.8" x14ac:dyDescent="0.25">
      <c r="A90" s="59"/>
      <c r="B90" s="61"/>
      <c r="C90" s="59"/>
      <c r="D90" s="59"/>
      <c r="E90" s="59"/>
      <c r="F90" s="60"/>
      <c r="G90" s="59"/>
      <c r="H90" s="59"/>
    </row>
    <row r="91" spans="1:8" ht="13.8" x14ac:dyDescent="0.25">
      <c r="A91" s="59"/>
      <c r="B91" s="61"/>
      <c r="C91" s="59"/>
      <c r="D91" s="59"/>
      <c r="E91" s="59"/>
      <c r="F91" s="60"/>
      <c r="G91" s="59"/>
      <c r="H91" s="59"/>
    </row>
    <row r="92" spans="1:8" ht="13.8" x14ac:dyDescent="0.25">
      <c r="A92" s="59"/>
      <c r="B92" s="61"/>
      <c r="C92" s="59"/>
      <c r="D92" s="59"/>
      <c r="E92" s="59"/>
      <c r="F92" s="60"/>
      <c r="G92" s="59"/>
      <c r="H92" s="59"/>
    </row>
    <row r="93" spans="1:8" ht="13.8" x14ac:dyDescent="0.25">
      <c r="A93" s="59"/>
      <c r="B93" s="61"/>
      <c r="C93" s="59"/>
      <c r="D93" s="59"/>
      <c r="E93" s="59"/>
      <c r="F93" s="60"/>
      <c r="G93" s="59"/>
      <c r="H93" s="59"/>
    </row>
    <row r="94" spans="1:8" ht="13.8" x14ac:dyDescent="0.25">
      <c r="A94" s="59"/>
      <c r="B94" s="61"/>
      <c r="C94" s="59"/>
      <c r="D94" s="59"/>
      <c r="E94" s="59"/>
      <c r="G94" s="59"/>
      <c r="H94" s="59"/>
    </row>
    <row r="95" spans="1:8" ht="13.8" x14ac:dyDescent="0.25">
      <c r="A95" s="59"/>
      <c r="B95" s="61"/>
      <c r="C95" s="59"/>
      <c r="D95" s="59"/>
      <c r="E95" s="59"/>
      <c r="G95" s="59"/>
      <c r="H95" s="59"/>
    </row>
    <row r="96" spans="1:8" ht="13.8" x14ac:dyDescent="0.25">
      <c r="A96" s="59"/>
      <c r="B96" s="61"/>
      <c r="C96" s="59"/>
      <c r="D96" s="59"/>
      <c r="E96" s="59"/>
      <c r="G96" s="59"/>
      <c r="H96" s="59"/>
    </row>
    <row r="97" spans="1:8" ht="13.8" x14ac:dyDescent="0.25">
      <c r="A97" s="59"/>
      <c r="B97" s="61"/>
      <c r="C97" s="59"/>
      <c r="D97" s="59"/>
      <c r="E97" s="59"/>
      <c r="G97" s="59"/>
      <c r="H97" s="59"/>
    </row>
    <row r="98" spans="1:8" ht="13.8" x14ac:dyDescent="0.25">
      <c r="A98" s="59"/>
      <c r="B98" s="61"/>
      <c r="C98" s="59"/>
      <c r="D98" s="59"/>
      <c r="E98" s="59"/>
    </row>
    <row r="99" spans="1:8" ht="13.8" x14ac:dyDescent="0.25">
      <c r="A99" s="59"/>
      <c r="B99" s="61"/>
      <c r="C99" s="59"/>
      <c r="D99" s="59"/>
      <c r="E99" s="59"/>
    </row>
    <row r="100" spans="1:8" ht="13.8" x14ac:dyDescent="0.25">
      <c r="A100" s="59"/>
      <c r="B100" s="61"/>
      <c r="C100" s="59"/>
      <c r="D100" s="59"/>
      <c r="E100" s="59"/>
    </row>
    <row r="101" spans="1:8" ht="13.8" x14ac:dyDescent="0.25">
      <c r="A101" s="59"/>
      <c r="B101" s="61"/>
      <c r="C101" s="59"/>
      <c r="D101" s="59"/>
      <c r="E101" s="59"/>
    </row>
    <row r="102" spans="1:8" ht="13.8" x14ac:dyDescent="0.25">
      <c r="A102" s="59"/>
      <c r="B102" s="61"/>
      <c r="C102" s="59"/>
      <c r="D102" s="59"/>
      <c r="E102" s="59"/>
    </row>
    <row r="103" spans="1:8" ht="13.8" x14ac:dyDescent="0.25">
      <c r="A103" s="59"/>
      <c r="B103" s="61"/>
      <c r="C103" s="59"/>
      <c r="D103" s="59"/>
      <c r="E103" s="59"/>
    </row>
    <row r="104" spans="1:8" ht="13.8" x14ac:dyDescent="0.25">
      <c r="A104" s="59"/>
      <c r="B104" s="61"/>
      <c r="C104" s="59"/>
      <c r="D104" s="59"/>
      <c r="E104" s="59"/>
    </row>
    <row r="105" spans="1:8" ht="13.8" x14ac:dyDescent="0.25">
      <c r="A105" s="59"/>
      <c r="B105" s="61"/>
      <c r="C105" s="59"/>
      <c r="D105" s="59"/>
      <c r="E105" s="59"/>
    </row>
    <row r="106" spans="1:8" ht="13.8" x14ac:dyDescent="0.25">
      <c r="A106" s="59"/>
      <c r="B106" s="61"/>
      <c r="C106" s="59"/>
      <c r="D106" s="59"/>
      <c r="E106" s="59"/>
    </row>
    <row r="107" spans="1:8" ht="13.8" x14ac:dyDescent="0.25">
      <c r="A107" s="59"/>
      <c r="B107" s="61"/>
      <c r="C107" s="59"/>
      <c r="D107" s="59"/>
      <c r="E107" s="59"/>
    </row>
    <row r="108" spans="1:8" ht="13.8" x14ac:dyDescent="0.25">
      <c r="A108" s="59"/>
      <c r="B108" s="61"/>
      <c r="C108" s="59"/>
      <c r="D108" s="59"/>
      <c r="E108" s="59"/>
    </row>
    <row r="109" spans="1:8" ht="13.8" x14ac:dyDescent="0.25">
      <c r="A109" s="59"/>
      <c r="B109" s="61"/>
      <c r="C109" s="59"/>
      <c r="D109" s="59"/>
      <c r="E109" s="59"/>
    </row>
    <row r="110" spans="1:8" ht="13.8" x14ac:dyDescent="0.25">
      <c r="A110" s="59"/>
      <c r="B110" s="61"/>
      <c r="C110" s="59"/>
      <c r="D110" s="59"/>
      <c r="E110" s="59"/>
    </row>
    <row r="111" spans="1:8" ht="13.8" x14ac:dyDescent="0.25">
      <c r="A111" s="59"/>
      <c r="B111" s="61"/>
      <c r="C111" s="59"/>
      <c r="D111" s="59"/>
      <c r="E111" s="59"/>
    </row>
    <row r="112" spans="1:8" ht="13.8" x14ac:dyDescent="0.25">
      <c r="A112" s="59"/>
      <c r="B112" s="61"/>
      <c r="C112" s="59"/>
      <c r="D112" s="59"/>
      <c r="E112" s="59"/>
    </row>
    <row r="113" spans="1:5" ht="13.8" x14ac:dyDescent="0.25">
      <c r="A113" s="59"/>
      <c r="B113" s="61"/>
      <c r="C113" s="59"/>
      <c r="D113" s="59"/>
      <c r="E113" s="59"/>
    </row>
    <row r="114" spans="1:5" ht="13.8" x14ac:dyDescent="0.25">
      <c r="A114" s="59"/>
      <c r="B114" s="61"/>
      <c r="C114" s="59"/>
      <c r="D114" s="59"/>
      <c r="E114" s="59"/>
    </row>
  </sheetData>
  <phoneticPr fontId="2" type="noConversion"/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Fig2</vt:lpstr>
      <vt:lpstr>Fig3</vt:lpstr>
      <vt:lpstr>Fig4</vt:lpstr>
      <vt:lpstr>Fig5</vt:lpstr>
      <vt:lpstr>Fig6</vt:lpstr>
      <vt:lpstr>Fig7</vt:lpstr>
      <vt:lpstr>Fig8</vt:lpstr>
      <vt:lpstr>Fig9</vt:lpstr>
      <vt:lpstr>Fig10</vt:lpstr>
      <vt:lpstr>Fig 11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2019-07-22T21:45:37Z</dcterms:modified>
</cp:coreProperties>
</file>