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TICULO HISTOMORFOMETRIA\PeerJ\"/>
    </mc:Choice>
  </mc:AlternateContent>
  <bookViews>
    <workbookView xWindow="0" yWindow="0" windowWidth="21600" windowHeight="9735"/>
  </bookViews>
  <sheets>
    <sheet name="Muestras " sheetId="1" r:id="rId1"/>
  </sheets>
  <definedNames>
    <definedName name="_xlnm._FilterDatabase" localSheetId="0" hidden="1">'Muestras '!$B$1:$B$43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8" i="1" l="1"/>
  <c r="T49" i="1"/>
  <c r="T50" i="1"/>
  <c r="T51" i="1"/>
  <c r="T52" i="1"/>
  <c r="T47" i="1"/>
  <c r="S48" i="1"/>
  <c r="S49" i="1"/>
  <c r="S50" i="1"/>
  <c r="S51" i="1"/>
  <c r="S52" i="1"/>
  <c r="S47" i="1"/>
  <c r="H48" i="1"/>
  <c r="H49" i="1"/>
  <c r="H50" i="1"/>
  <c r="H51" i="1"/>
  <c r="H52" i="1"/>
  <c r="H53" i="1"/>
  <c r="H54" i="1"/>
  <c r="H55" i="1"/>
  <c r="H56" i="1"/>
  <c r="H57" i="1"/>
  <c r="H47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G4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K138" i="1" l="1"/>
  <c r="K137" i="1"/>
  <c r="K136" i="1"/>
  <c r="J138" i="1"/>
  <c r="J137" i="1"/>
  <c r="J136" i="1"/>
  <c r="I138" i="1"/>
  <c r="I137" i="1"/>
  <c r="H138" i="1"/>
  <c r="H137" i="1"/>
  <c r="H136" i="1"/>
  <c r="G138" i="1"/>
  <c r="G137" i="1"/>
  <c r="G136" i="1"/>
  <c r="F138" i="1"/>
  <c r="F137" i="1"/>
  <c r="F136" i="1"/>
  <c r="E138" i="1"/>
  <c r="E137" i="1"/>
  <c r="D138" i="1"/>
  <c r="D137" i="1"/>
  <c r="D136" i="1"/>
  <c r="M3" i="1" l="1"/>
  <c r="K42" i="1"/>
  <c r="J42" i="1"/>
  <c r="N2" i="1" s="1"/>
  <c r="I42" i="1"/>
  <c r="P2" i="1" s="1"/>
  <c r="X48" i="1"/>
  <c r="W49" i="1"/>
  <c r="V48" i="1"/>
  <c r="V47" i="1"/>
  <c r="N49" i="1"/>
  <c r="X49" i="1" s="1"/>
  <c r="B48" i="1"/>
  <c r="Q69" i="1"/>
  <c r="U48" i="1" s="1"/>
  <c r="R69" i="1"/>
  <c r="W47" i="1" s="1"/>
  <c r="P69" i="1"/>
  <c r="E67" i="1"/>
  <c r="J47" i="1" s="1"/>
  <c r="F67" i="1"/>
  <c r="K47" i="1" s="1"/>
  <c r="D67" i="1"/>
  <c r="I136" i="1" l="1"/>
  <c r="E136" i="1"/>
  <c r="Q3" i="1"/>
  <c r="M4" i="1"/>
  <c r="M5" i="1" s="1"/>
  <c r="M6" i="1" s="1"/>
  <c r="N6" i="1" s="1"/>
  <c r="O2" i="1"/>
  <c r="O3" i="1"/>
  <c r="N3" i="1"/>
  <c r="Q2" i="1"/>
  <c r="P3" i="1"/>
  <c r="L47" i="1"/>
  <c r="W48" i="1"/>
  <c r="X47" i="1"/>
  <c r="L48" i="1"/>
  <c r="G48" i="1"/>
  <c r="I47" i="1"/>
  <c r="K48" i="1"/>
  <c r="V49" i="1"/>
  <c r="B49" i="1"/>
  <c r="N50" i="1"/>
  <c r="I48" i="1"/>
  <c r="U47" i="1"/>
  <c r="U49" i="1"/>
  <c r="J48" i="1"/>
  <c r="P6" i="1" l="1"/>
  <c r="P4" i="1"/>
  <c r="O4" i="1"/>
  <c r="O6" i="1"/>
  <c r="Q4" i="1"/>
  <c r="P5" i="1"/>
  <c r="O5" i="1"/>
  <c r="N5" i="1"/>
  <c r="N4" i="1"/>
  <c r="Q5" i="1"/>
  <c r="Q6" i="1"/>
  <c r="X50" i="1"/>
  <c r="W50" i="1"/>
  <c r="N51" i="1"/>
  <c r="V50" i="1"/>
  <c r="U50" i="1"/>
  <c r="B50" i="1"/>
  <c r="K49" i="1"/>
  <c r="G49" i="1"/>
  <c r="J49" i="1"/>
  <c r="L49" i="1"/>
  <c r="I49" i="1"/>
  <c r="W51" i="1" l="1"/>
  <c r="X51" i="1"/>
  <c r="B51" i="1"/>
  <c r="J50" i="1"/>
  <c r="L50" i="1"/>
  <c r="K50" i="1"/>
  <c r="G50" i="1"/>
  <c r="I50" i="1"/>
  <c r="N52" i="1"/>
  <c r="V51" i="1"/>
  <c r="U51" i="1"/>
  <c r="X52" i="1" l="1"/>
  <c r="W52" i="1"/>
  <c r="B52" i="1"/>
  <c r="I51" i="1"/>
  <c r="K51" i="1"/>
  <c r="G51" i="1"/>
  <c r="L51" i="1"/>
  <c r="J51" i="1"/>
  <c r="U52" i="1"/>
  <c r="V52" i="1"/>
  <c r="B53" i="1" l="1"/>
  <c r="L52" i="1"/>
  <c r="K52" i="1"/>
  <c r="G52" i="1"/>
  <c r="I52" i="1"/>
  <c r="J52" i="1"/>
  <c r="B54" i="1" l="1"/>
  <c r="K53" i="1"/>
  <c r="G53" i="1"/>
  <c r="I53" i="1"/>
  <c r="L53" i="1"/>
  <c r="J53" i="1"/>
  <c r="B55" i="1" l="1"/>
  <c r="J54" i="1"/>
  <c r="L54" i="1"/>
  <c r="I54" i="1"/>
  <c r="K54" i="1"/>
  <c r="G54" i="1"/>
  <c r="B56" i="1" l="1"/>
  <c r="I55" i="1"/>
  <c r="G55" i="1"/>
  <c r="L55" i="1"/>
  <c r="J55" i="1"/>
  <c r="K55" i="1"/>
  <c r="B57" i="1" l="1"/>
  <c r="L56" i="1"/>
  <c r="J56" i="1"/>
  <c r="I56" i="1"/>
  <c r="K56" i="1"/>
  <c r="G56" i="1"/>
  <c r="K57" i="1" l="1"/>
  <c r="G57" i="1"/>
  <c r="J57" i="1"/>
  <c r="L57" i="1"/>
  <c r="I57" i="1"/>
</calcChain>
</file>

<file path=xl/sharedStrings.xml><?xml version="1.0" encoding="utf-8"?>
<sst xmlns="http://schemas.openxmlformats.org/spreadsheetml/2006/main" count="322" uniqueCount="112">
  <si>
    <t>Folio</t>
  </si>
  <si>
    <t>Fecha de extracción dental</t>
  </si>
  <si>
    <t>10829-17</t>
  </si>
  <si>
    <t>vertical</t>
  </si>
  <si>
    <t>234-18</t>
  </si>
  <si>
    <t>6493-17</t>
  </si>
  <si>
    <t>560-17</t>
  </si>
  <si>
    <t>9620-17</t>
  </si>
  <si>
    <t>624-18</t>
  </si>
  <si>
    <t>11207-17</t>
  </si>
  <si>
    <t>17-18</t>
  </si>
  <si>
    <t>5617-16</t>
  </si>
  <si>
    <t>1066-18</t>
  </si>
  <si>
    <t>1293-18</t>
  </si>
  <si>
    <t>1347-18</t>
  </si>
  <si>
    <t>10568-17</t>
  </si>
  <si>
    <t>8561-16</t>
  </si>
  <si>
    <t>237-12</t>
  </si>
  <si>
    <t>1204-18</t>
  </si>
  <si>
    <t>6253-15</t>
  </si>
  <si>
    <t>1600-18</t>
  </si>
  <si>
    <t>1007-18</t>
  </si>
  <si>
    <t>10389-17</t>
  </si>
  <si>
    <t>2427-18</t>
  </si>
  <si>
    <t>2318-18</t>
  </si>
  <si>
    <t>2543-18</t>
  </si>
  <si>
    <t>1067-10</t>
  </si>
  <si>
    <t>1222-16</t>
  </si>
  <si>
    <t>2478-12</t>
  </si>
  <si>
    <t>Cuenta</t>
  </si>
  <si>
    <t>ANÁLISIS DE VARIANZA</t>
  </si>
  <si>
    <t>Suma de cuadrados</t>
  </si>
  <si>
    <t>Grados de libertad</t>
  </si>
  <si>
    <t>Promedio de los cuadrados</t>
  </si>
  <si>
    <t>F</t>
  </si>
  <si>
    <t>Probabilidad</t>
  </si>
  <si>
    <t>Total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</si>
  <si>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</si>
  <si>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</si>
  <si>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</si>
  <si>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</si>
  <si>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</si>
  <si>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</si>
  <si>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</si>
  <si>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Regresión</t>
  </si>
  <si>
    <t>Residuos</t>
  </si>
  <si>
    <t>Intercepción</t>
  </si>
  <si>
    <t>Valor crítico de F</t>
  </si>
  <si>
    <t>Coeficientes</t>
  </si>
  <si>
    <t>Estadístico t</t>
  </si>
  <si>
    <t>Inferior 95%</t>
  </si>
  <si>
    <t>Superior 95%</t>
  </si>
  <si>
    <t>Inferior 95.0%</t>
  </si>
  <si>
    <t>Superior 95.0%</t>
  </si>
  <si>
    <t>Variable X 1</t>
  </si>
  <si>
    <t>Resultados de datos de probabilidad</t>
  </si>
  <si>
    <t>Percentil</t>
  </si>
  <si>
    <t>Y</t>
  </si>
  <si>
    <t>R2</t>
  </si>
  <si>
    <t>peso</t>
  </si>
  <si>
    <t>Weight (g)</t>
  </si>
  <si>
    <t>Lenght (mm)</t>
  </si>
  <si>
    <t>Windth (mm)</t>
  </si>
  <si>
    <t>Female</t>
  </si>
  <si>
    <t>Male</t>
  </si>
  <si>
    <t>Average</t>
  </si>
  <si>
    <t>Age</t>
  </si>
  <si>
    <t>Weigth (mg)</t>
  </si>
  <si>
    <t>Length (mm)</t>
  </si>
  <si>
    <t>Width (mm)</t>
  </si>
  <si>
    <t>Weigth max</t>
  </si>
  <si>
    <t>Lenght max</t>
  </si>
  <si>
    <t>Width max</t>
  </si>
  <si>
    <t>Weight max</t>
  </si>
  <si>
    <t>Weight (mg)</t>
  </si>
  <si>
    <t>Length max</t>
  </si>
  <si>
    <t>MALE</t>
  </si>
  <si>
    <t>FEMALE</t>
  </si>
  <si>
    <t>SUMMARY</t>
  </si>
  <si>
    <t>Groups</t>
  </si>
  <si>
    <t>Sum</t>
  </si>
  <si>
    <t>Variance</t>
  </si>
  <si>
    <t xml:space="preserve">Groups </t>
  </si>
  <si>
    <t>Origin of the variations</t>
  </si>
  <si>
    <t>Sum of squares</t>
  </si>
  <si>
    <t>Probability</t>
  </si>
  <si>
    <t>Critical value for F</t>
  </si>
  <si>
    <t>Between groups</t>
  </si>
  <si>
    <t>Within groups</t>
  </si>
  <si>
    <t>Average of the squares</t>
  </si>
  <si>
    <t>SD</t>
  </si>
  <si>
    <t>Parameters</t>
  </si>
  <si>
    <t>PREMOLAR</t>
  </si>
  <si>
    <t>THIRD MOLAR</t>
  </si>
  <si>
    <t>SUPERNUMERARY</t>
  </si>
  <si>
    <t>LOWER CENTRAL INCISOR DECIDUOS</t>
  </si>
  <si>
    <t>Tooth type</t>
  </si>
  <si>
    <t>Medical records</t>
  </si>
  <si>
    <t>Gender</t>
  </si>
  <si>
    <t>Date of obtaining the pulp</t>
  </si>
  <si>
    <t>Tooth cutting technique</t>
  </si>
  <si>
    <t>Length of the dental pulp (mm)</t>
  </si>
  <si>
    <t>Width of the dental pulp (mm)</t>
  </si>
  <si>
    <t>Integrity of the pulp obtained</t>
  </si>
  <si>
    <t>Weight of the dental pulp (g)</t>
  </si>
  <si>
    <t>Complete</t>
  </si>
  <si>
    <t>959-18</t>
  </si>
  <si>
    <t xml:space="preserve">One-factor analysis of variance </t>
  </si>
  <si>
    <t>Age (years)</t>
  </si>
  <si>
    <t>ANALYSIS OF VARIANCE</t>
  </si>
  <si>
    <t>Degrees of freedom</t>
  </si>
  <si>
    <t>F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</si>
</sst>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.0000_-;\-* #,##0.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1" xfId="0" applyNumberFormat="1" applyBorder="1"/>
    <xf numFmtId="2" fontId="0" fillId="0" borderId="1" xfId="0" applyNumberFormat="1" applyBorder="1"/>
    <xf numFmtId="43" fontId="0" fillId="0" borderId="1" xfId="1" applyFont="1" applyBorder="1"/>
    <xf numFmtId="164" fontId="0" fillId="0" borderId="0" xfId="0" applyNumberFormat="1"/>
    <xf numFmtId="0" fontId="0" fillId="0" borderId="1" xfId="1" applyNumberFormat="1" applyFont="1" applyBorder="1"/>
    <xf numFmtId="0" fontId="2" fillId="0" borderId="3" xfId="0" applyFont="1" applyFill="1" applyBorder="1" applyAlignment="1">
      <alignment horizontal="centerContinuous"/>
    </xf>
    <xf numFmtId="0" fontId="0" fillId="0" borderId="4" xfId="0" applyFill="1" applyBorder="1"/>
    <xf numFmtId="164" fontId="0" fillId="0" borderId="4" xfId="1" applyNumberFormat="1" applyFont="1" applyFill="1" applyBorder="1"/>
    <xf numFmtId="164" fontId="0" fillId="0" borderId="4" xfId="0" applyNumberFormat="1" applyFill="1" applyBorder="1"/>
    <xf numFmtId="0" fontId="3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0123382404516"/>
          <c:y val="5.3820063376996942E-2"/>
          <c:w val="0.80191503520715124"/>
          <c:h val="0.7510334450688160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'Muestras '!$C$47:$C$65</c:f>
              <c:numCache>
                <c:formatCode>General</c:formatCode>
                <c:ptCount val="19"/>
                <c:pt idx="0">
                  <c:v>6</c:v>
                </c:pt>
                <c:pt idx="1">
                  <c:v>18</c:v>
                </c:pt>
                <c:pt idx="2">
                  <c:v>18</c:v>
                </c:pt>
                <c:pt idx="3">
                  <c:v>5</c:v>
                </c:pt>
                <c:pt idx="4">
                  <c:v>11</c:v>
                </c:pt>
                <c:pt idx="5">
                  <c:v>5</c:v>
                </c:pt>
                <c:pt idx="6">
                  <c:v>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15</c:v>
                </c:pt>
                <c:pt idx="12">
                  <c:v>15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19</c:v>
                </c:pt>
                <c:pt idx="17">
                  <c:v>25</c:v>
                </c:pt>
                <c:pt idx="18">
                  <c:v>25</c:v>
                </c:pt>
              </c:numCache>
            </c:numRef>
          </c:xVal>
          <c:yVal>
            <c:numRef>
              <c:f>'Muestras '!$D$47:$D$65</c:f>
              <c:numCache>
                <c:formatCode>General</c:formatCode>
                <c:ptCount val="19"/>
                <c:pt idx="0" formatCode="_(* #,##0.00_);_(* \(#,##0.00\);_(* &quot;-&quot;??_);_(@_)">
                  <c:v>2</c:v>
                </c:pt>
                <c:pt idx="1">
                  <c:v>8.8000000000000007</c:v>
                </c:pt>
                <c:pt idx="2">
                  <c:v>12.7</c:v>
                </c:pt>
                <c:pt idx="3">
                  <c:v>24</c:v>
                </c:pt>
                <c:pt idx="4">
                  <c:v>5.4</c:v>
                </c:pt>
                <c:pt idx="5">
                  <c:v>0.8</c:v>
                </c:pt>
                <c:pt idx="6">
                  <c:v>10.5</c:v>
                </c:pt>
                <c:pt idx="7">
                  <c:v>107</c:v>
                </c:pt>
                <c:pt idx="8">
                  <c:v>2.1</c:v>
                </c:pt>
                <c:pt idx="9">
                  <c:v>5.7</c:v>
                </c:pt>
                <c:pt idx="10">
                  <c:v>1.7</c:v>
                </c:pt>
                <c:pt idx="11">
                  <c:v>5.1000000000000005</c:v>
                </c:pt>
                <c:pt idx="12">
                  <c:v>9.6</c:v>
                </c:pt>
                <c:pt idx="13">
                  <c:v>3.3</c:v>
                </c:pt>
                <c:pt idx="14">
                  <c:v>3.5</c:v>
                </c:pt>
                <c:pt idx="15">
                  <c:v>7.9</c:v>
                </c:pt>
                <c:pt idx="16">
                  <c:v>30.900000000000002</c:v>
                </c:pt>
                <c:pt idx="17">
                  <c:v>17.2</c:v>
                </c:pt>
                <c:pt idx="18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9E-FF4F-8AAE-58EF6B0F745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'Muestras '!$B$47:$B$57</c:f>
              <c:numCache>
                <c:formatCode>General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  <c:pt idx="10">
                  <c:v>25</c:v>
                </c:pt>
              </c:numCache>
            </c:numRef>
          </c:xVal>
          <c:yVal>
            <c:numRef>
              <c:f>'Muestras '!$G$47:$G$57</c:f>
              <c:numCache>
                <c:formatCode>General</c:formatCode>
                <c:ptCount val="11"/>
                <c:pt idx="0">
                  <c:v>-16.542788428567519</c:v>
                </c:pt>
                <c:pt idx="1">
                  <c:v>-23.202888428567523</c:v>
                </c:pt>
                <c:pt idx="2">
                  <c:v>-23.201288428567523</c:v>
                </c:pt>
                <c:pt idx="3">
                  <c:v>-23.199688428567523</c:v>
                </c:pt>
                <c:pt idx="4">
                  <c:v>-23.19808842856752</c:v>
                </c:pt>
                <c:pt idx="5">
                  <c:v>-23.19648842856752</c:v>
                </c:pt>
                <c:pt idx="6">
                  <c:v>-23.19488842856752</c:v>
                </c:pt>
                <c:pt idx="7">
                  <c:v>-23.19328842856752</c:v>
                </c:pt>
                <c:pt idx="8">
                  <c:v>-23.19168842856752</c:v>
                </c:pt>
                <c:pt idx="9">
                  <c:v>-23.19008842856752</c:v>
                </c:pt>
                <c:pt idx="10">
                  <c:v>-23.188488428567521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9E-FF4F-8AAE-58EF6B0F7458}"/>
            </c:ext>
          </c:extLst>
        </c:ser>
        <c:ser>
          <c:idx val="2"/>
          <c:order val="2"/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'!$B$47:$B$57</c:f>
              <c:numCache>
                <c:formatCode>General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  <c:pt idx="10">
                  <c:v>25</c:v>
                </c:pt>
              </c:numCache>
            </c:numRef>
          </c:xVal>
          <c:yVal>
            <c:numRef>
              <c:f>'Muestras '!$H$47:$H$57</c:f>
              <c:numCache>
                <c:formatCode>General</c:formatCode>
                <c:ptCount val="11"/>
                <c:pt idx="0">
                  <c:v>29.879388428567523</c:v>
                </c:pt>
                <c:pt idx="1">
                  <c:v>31.520588428567521</c:v>
                </c:pt>
                <c:pt idx="2">
                  <c:v>33.161788428567519</c:v>
                </c:pt>
                <c:pt idx="3">
                  <c:v>34.802988428567524</c:v>
                </c:pt>
                <c:pt idx="4">
                  <c:v>36.444188428567521</c:v>
                </c:pt>
                <c:pt idx="5">
                  <c:v>38.085388428567519</c:v>
                </c:pt>
                <c:pt idx="6">
                  <c:v>39.726588428567524</c:v>
                </c:pt>
                <c:pt idx="7">
                  <c:v>41.367788428567522</c:v>
                </c:pt>
                <c:pt idx="8">
                  <c:v>43.00898842856752</c:v>
                </c:pt>
                <c:pt idx="9">
                  <c:v>44.650188428567517</c:v>
                </c:pt>
                <c:pt idx="10">
                  <c:v>46.291388428567522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BA-CD48-B8D1-CD82FEEC5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067080"/>
        <c:axId val="531596376"/>
      </c:scatterChart>
      <c:valAx>
        <c:axId val="409067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b="1">
                    <a:solidFill>
                      <a:schemeClr val="tx1"/>
                    </a:solidFill>
                  </a:rPr>
                  <a:t>Age</a:t>
                </a:r>
                <a:r>
                  <a:rPr lang="es-ES_tradnl" b="1" baseline="0">
                    <a:solidFill>
                      <a:schemeClr val="tx1"/>
                    </a:solidFill>
                  </a:rPr>
                  <a:t> [years]</a:t>
                </a:r>
                <a:endParaRPr lang="es-ES_tradnl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1596376"/>
        <c:crosses val="autoZero"/>
        <c:crossBetween val="midCat"/>
      </c:valAx>
      <c:valAx>
        <c:axId val="53159637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b="1">
                    <a:solidFill>
                      <a:schemeClr val="tx1"/>
                    </a:solidFill>
                  </a:rPr>
                  <a:t>Weight [mg]</a:t>
                </a:r>
              </a:p>
            </c:rich>
          </c:tx>
          <c:layout>
            <c:manualLayout>
              <c:xMode val="edge"/>
              <c:yMode val="edge"/>
              <c:x val="1.6335128913029795E-2"/>
              <c:y val="0.314904358141867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.0_-;\-* #,##0.0_-;_-* &quot;-&quot;?_-;_-@_-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90670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'Muestras '!$E$2:$E$41</c:f>
              <c:numCache>
                <c:formatCode>General</c:formatCode>
                <c:ptCount val="40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23</c:v>
                </c:pt>
                <c:pt idx="7">
                  <c:v>23</c:v>
                </c:pt>
                <c:pt idx="8">
                  <c:v>18</c:v>
                </c:pt>
                <c:pt idx="9">
                  <c:v>5</c:v>
                </c:pt>
                <c:pt idx="10">
                  <c:v>11</c:v>
                </c:pt>
                <c:pt idx="11">
                  <c:v>13</c:v>
                </c:pt>
                <c:pt idx="12">
                  <c:v>13</c:v>
                </c:pt>
                <c:pt idx="13">
                  <c:v>5</c:v>
                </c:pt>
                <c:pt idx="14">
                  <c:v>21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12</c:v>
                </c:pt>
                <c:pt idx="21">
                  <c:v>24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5</c:v>
                </c:pt>
                <c:pt idx="27">
                  <c:v>10</c:v>
                </c:pt>
                <c:pt idx="28">
                  <c:v>21</c:v>
                </c:pt>
                <c:pt idx="29">
                  <c:v>15</c:v>
                </c:pt>
                <c:pt idx="30">
                  <c:v>15</c:v>
                </c:pt>
                <c:pt idx="31">
                  <c:v>22</c:v>
                </c:pt>
                <c:pt idx="32">
                  <c:v>22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19</c:v>
                </c:pt>
                <c:pt idx="37">
                  <c:v>22</c:v>
                </c:pt>
                <c:pt idx="38">
                  <c:v>25</c:v>
                </c:pt>
                <c:pt idx="39">
                  <c:v>25</c:v>
                </c:pt>
              </c:numCache>
            </c:numRef>
          </c:xVal>
          <c:yVal>
            <c:numRef>
              <c:f>'Muestras '!$J$2:$J$41</c:f>
              <c:numCache>
                <c:formatCode>General</c:formatCode>
                <c:ptCount val="40"/>
                <c:pt idx="0">
                  <c:v>5</c:v>
                </c:pt>
                <c:pt idx="1">
                  <c:v>3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5</c:v>
                </c:pt>
                <c:pt idx="8">
                  <c:v>8</c:v>
                </c:pt>
                <c:pt idx="9">
                  <c:v>12</c:v>
                </c:pt>
                <c:pt idx="10">
                  <c:v>7</c:v>
                </c:pt>
                <c:pt idx="11">
                  <c:v>12</c:v>
                </c:pt>
                <c:pt idx="12">
                  <c:v>8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12</c:v>
                </c:pt>
                <c:pt idx="23">
                  <c:v>4</c:v>
                </c:pt>
                <c:pt idx="24">
                  <c:v>12</c:v>
                </c:pt>
                <c:pt idx="25">
                  <c:v>6</c:v>
                </c:pt>
                <c:pt idx="26">
                  <c:v>3</c:v>
                </c:pt>
                <c:pt idx="27">
                  <c:v>13</c:v>
                </c:pt>
                <c:pt idx="28">
                  <c:v>8</c:v>
                </c:pt>
                <c:pt idx="29">
                  <c:v>10</c:v>
                </c:pt>
                <c:pt idx="30">
                  <c:v>11</c:v>
                </c:pt>
                <c:pt idx="31">
                  <c:v>6</c:v>
                </c:pt>
                <c:pt idx="32">
                  <c:v>7</c:v>
                </c:pt>
                <c:pt idx="33">
                  <c:v>5</c:v>
                </c:pt>
                <c:pt idx="34">
                  <c:v>4</c:v>
                </c:pt>
                <c:pt idx="35">
                  <c:v>11</c:v>
                </c:pt>
                <c:pt idx="36">
                  <c:v>14</c:v>
                </c:pt>
                <c:pt idx="37">
                  <c:v>11</c:v>
                </c:pt>
                <c:pt idx="38">
                  <c:v>10</c:v>
                </c:pt>
                <c:pt idx="39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C6-214E-988E-713142089E0A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'!$M$2:$M$6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'Muestras '!$N$2:$N$6</c:f>
              <c:numCache>
                <c:formatCode>General</c:formatCode>
                <c:ptCount val="5"/>
                <c:pt idx="0">
                  <c:v>9.6170438933713456</c:v>
                </c:pt>
                <c:pt idx="1">
                  <c:v>10.350043893371344</c:v>
                </c:pt>
                <c:pt idx="2">
                  <c:v>11.083043893371345</c:v>
                </c:pt>
                <c:pt idx="3">
                  <c:v>11.816043893371345</c:v>
                </c:pt>
                <c:pt idx="4">
                  <c:v>12.549043893371344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C6-214E-988E-713142089E0A}"/>
            </c:ext>
          </c:extLst>
        </c:ser>
        <c:ser>
          <c:idx val="2"/>
          <c:order val="2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'!$M$2:$M$6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'Muestras '!$O$2:$O$6</c:f>
              <c:numCache>
                <c:formatCode>General</c:formatCode>
                <c:ptCount val="5"/>
                <c:pt idx="0">
                  <c:v>3.0565561066286553</c:v>
                </c:pt>
                <c:pt idx="1">
                  <c:v>3.7895561066286549</c:v>
                </c:pt>
                <c:pt idx="2">
                  <c:v>4.5225561066286541</c:v>
                </c:pt>
                <c:pt idx="3">
                  <c:v>5.2555561066286547</c:v>
                </c:pt>
                <c:pt idx="4">
                  <c:v>5.9885561066286535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C6-214E-988E-713142089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730496"/>
        <c:axId val="535730888"/>
      </c:scatterChart>
      <c:valAx>
        <c:axId val="535730496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730888"/>
        <c:crosses val="autoZero"/>
        <c:crossBetween val="midCat"/>
      </c:valAx>
      <c:valAx>
        <c:axId val="535730888"/>
        <c:scaling>
          <c:orientation val="minMax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73049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8319685039370077"/>
                  <c:y val="-0.540715952172645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'Muestras '!$E$2:$E$41</c:f>
              <c:numCache>
                <c:formatCode>General</c:formatCode>
                <c:ptCount val="40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23</c:v>
                </c:pt>
                <c:pt idx="7">
                  <c:v>23</c:v>
                </c:pt>
                <c:pt idx="8">
                  <c:v>18</c:v>
                </c:pt>
                <c:pt idx="9">
                  <c:v>5</c:v>
                </c:pt>
                <c:pt idx="10">
                  <c:v>11</c:v>
                </c:pt>
                <c:pt idx="11">
                  <c:v>13</c:v>
                </c:pt>
                <c:pt idx="12">
                  <c:v>13</c:v>
                </c:pt>
                <c:pt idx="13">
                  <c:v>5</c:v>
                </c:pt>
                <c:pt idx="14">
                  <c:v>21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12</c:v>
                </c:pt>
                <c:pt idx="21">
                  <c:v>24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5</c:v>
                </c:pt>
                <c:pt idx="27">
                  <c:v>10</c:v>
                </c:pt>
                <c:pt idx="28">
                  <c:v>21</c:v>
                </c:pt>
                <c:pt idx="29">
                  <c:v>15</c:v>
                </c:pt>
                <c:pt idx="30">
                  <c:v>15</c:v>
                </c:pt>
                <c:pt idx="31">
                  <c:v>22</c:v>
                </c:pt>
                <c:pt idx="32">
                  <c:v>22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19</c:v>
                </c:pt>
                <c:pt idx="37">
                  <c:v>22</c:v>
                </c:pt>
                <c:pt idx="38">
                  <c:v>25</c:v>
                </c:pt>
                <c:pt idx="39">
                  <c:v>25</c:v>
                </c:pt>
              </c:numCache>
            </c:numRef>
          </c:xVal>
          <c:yVal>
            <c:numRef>
              <c:f>'Muestras '!$I$2:$I$41</c:f>
              <c:numCache>
                <c:formatCode>General</c:formatCode>
                <c:ptCount val="40"/>
                <c:pt idx="0">
                  <c:v>3.5999999999999999E-3</c:v>
                </c:pt>
                <c:pt idx="1">
                  <c:v>2E-3</c:v>
                </c:pt>
                <c:pt idx="2">
                  <c:v>1.2200000000000001E-2</c:v>
                </c:pt>
                <c:pt idx="3">
                  <c:v>8.8000000000000005E-3</c:v>
                </c:pt>
                <c:pt idx="4">
                  <c:v>2.9499999999999998E-2</c:v>
                </c:pt>
                <c:pt idx="5">
                  <c:v>1.5599999999999999E-2</c:v>
                </c:pt>
                <c:pt idx="6">
                  <c:v>9.1999999999999998E-3</c:v>
                </c:pt>
                <c:pt idx="7">
                  <c:v>1.4E-2</c:v>
                </c:pt>
                <c:pt idx="8">
                  <c:v>1.2699999999999999E-2</c:v>
                </c:pt>
                <c:pt idx="9">
                  <c:v>2.4E-2</c:v>
                </c:pt>
                <c:pt idx="10">
                  <c:v>5.4000000000000003E-3</c:v>
                </c:pt>
                <c:pt idx="11">
                  <c:v>9.5999999999999992E-3</c:v>
                </c:pt>
                <c:pt idx="12">
                  <c:v>6.4000000000000003E-3</c:v>
                </c:pt>
                <c:pt idx="13">
                  <c:v>4.0000000000000002E-4</c:v>
                </c:pt>
                <c:pt idx="14">
                  <c:v>1.35E-2</c:v>
                </c:pt>
                <c:pt idx="15">
                  <c:v>2.2000000000000001E-3</c:v>
                </c:pt>
                <c:pt idx="16">
                  <c:v>1.1999999999999999E-3</c:v>
                </c:pt>
                <c:pt idx="17">
                  <c:v>2.3E-3</c:v>
                </c:pt>
                <c:pt idx="18">
                  <c:v>8.0000000000000004E-4</c:v>
                </c:pt>
                <c:pt idx="19">
                  <c:v>1.0500000000000001E-2</c:v>
                </c:pt>
                <c:pt idx="20">
                  <c:v>3.0000000000000001E-3</c:v>
                </c:pt>
                <c:pt idx="21">
                  <c:v>3.0999999999999999E-3</c:v>
                </c:pt>
                <c:pt idx="22">
                  <c:v>0.107</c:v>
                </c:pt>
                <c:pt idx="23">
                  <c:v>2.0999999999999999E-3</c:v>
                </c:pt>
                <c:pt idx="24">
                  <c:v>5.7000000000000002E-3</c:v>
                </c:pt>
                <c:pt idx="25">
                  <c:v>1.6999999999999999E-3</c:v>
                </c:pt>
                <c:pt idx="26">
                  <c:v>4.0000000000000002E-4</c:v>
                </c:pt>
                <c:pt idx="27">
                  <c:v>1.14E-2</c:v>
                </c:pt>
                <c:pt idx="28">
                  <c:v>0.01</c:v>
                </c:pt>
                <c:pt idx="29">
                  <c:v>5.1000000000000004E-3</c:v>
                </c:pt>
                <c:pt idx="30">
                  <c:v>9.5999999999999992E-3</c:v>
                </c:pt>
                <c:pt idx="31">
                  <c:v>6.1000000000000004E-3</c:v>
                </c:pt>
                <c:pt idx="32">
                  <c:v>4.8999999999999998E-3</c:v>
                </c:pt>
                <c:pt idx="33">
                  <c:v>3.3E-3</c:v>
                </c:pt>
                <c:pt idx="34">
                  <c:v>3.5000000000000001E-3</c:v>
                </c:pt>
                <c:pt idx="35">
                  <c:v>7.9000000000000008E-3</c:v>
                </c:pt>
                <c:pt idx="36">
                  <c:v>3.09E-2</c:v>
                </c:pt>
                <c:pt idx="37">
                  <c:v>1.0500000000000001E-2</c:v>
                </c:pt>
                <c:pt idx="38">
                  <c:v>1.72E-2</c:v>
                </c:pt>
                <c:pt idx="39">
                  <c:v>8.0000000000000002E-3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E7-E74D-BF66-7B53470E9CEF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'!$M$2:$M$6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'Muestras '!$P$2:$P$6</c:f>
              <c:numCache>
                <c:formatCode>General</c:formatCode>
                <c:ptCount val="5"/>
                <c:pt idx="0">
                  <c:v>2.2179500692010936E-2</c:v>
                </c:pt>
                <c:pt idx="1">
                  <c:v>2.5179500692010935E-2</c:v>
                </c:pt>
                <c:pt idx="2">
                  <c:v>2.8179500692010938E-2</c:v>
                </c:pt>
                <c:pt idx="3">
                  <c:v>3.1179500692010934E-2</c:v>
                </c:pt>
                <c:pt idx="4">
                  <c:v>3.4179500692010936E-2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E7-E74D-BF66-7B53470E9CEF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'Muestras '!$M$2:$M$6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'Muestras '!$Q$2:$Q$6</c:f>
              <c:numCache>
                <c:formatCode>General</c:formatCode>
                <c:ptCount val="5"/>
                <c:pt idx="0">
                  <c:v>-1.1779500692010936E-2</c:v>
                </c:pt>
                <c:pt idx="1">
                  <c:v>-8.7795006920109372E-3</c:v>
                </c:pt>
                <c:pt idx="2">
                  <c:v>-5.7795006920109363E-3</c:v>
                </c:pt>
                <c:pt idx="3">
                  <c:v>-2.7795006920109371E-3</c:v>
                </c:pt>
                <c:pt idx="4">
                  <c:v>2.2049930798906381E-4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AE7-E74D-BF66-7B53470E9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731672"/>
        <c:axId val="535732064"/>
      </c:scatterChart>
      <c:valAx>
        <c:axId val="53573167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732064"/>
        <c:crosses val="autoZero"/>
        <c:crossBetween val="midCat"/>
      </c:valAx>
      <c:valAx>
        <c:axId val="535732064"/>
        <c:scaling>
          <c:orientation val="minMax"/>
          <c:min val="0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731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614337643888273"/>
                  <c:y val="-0.269373723512608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'Muestras '!$E$2:$E$41</c:f>
              <c:numCache>
                <c:formatCode>General</c:formatCode>
                <c:ptCount val="40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23</c:v>
                </c:pt>
                <c:pt idx="7">
                  <c:v>23</c:v>
                </c:pt>
                <c:pt idx="8">
                  <c:v>18</c:v>
                </c:pt>
                <c:pt idx="9">
                  <c:v>5</c:v>
                </c:pt>
                <c:pt idx="10">
                  <c:v>11</c:v>
                </c:pt>
                <c:pt idx="11">
                  <c:v>13</c:v>
                </c:pt>
                <c:pt idx="12">
                  <c:v>13</c:v>
                </c:pt>
                <c:pt idx="13">
                  <c:v>5</c:v>
                </c:pt>
                <c:pt idx="14">
                  <c:v>21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12</c:v>
                </c:pt>
                <c:pt idx="21">
                  <c:v>24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5</c:v>
                </c:pt>
                <c:pt idx="27">
                  <c:v>10</c:v>
                </c:pt>
                <c:pt idx="28">
                  <c:v>21</c:v>
                </c:pt>
                <c:pt idx="29">
                  <c:v>15</c:v>
                </c:pt>
                <c:pt idx="30">
                  <c:v>15</c:v>
                </c:pt>
                <c:pt idx="31">
                  <c:v>22</c:v>
                </c:pt>
                <c:pt idx="32">
                  <c:v>22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19</c:v>
                </c:pt>
                <c:pt idx="37">
                  <c:v>22</c:v>
                </c:pt>
                <c:pt idx="38">
                  <c:v>25</c:v>
                </c:pt>
                <c:pt idx="39">
                  <c:v>25</c:v>
                </c:pt>
              </c:numCache>
            </c:numRef>
          </c:xVal>
          <c:yVal>
            <c:numRef>
              <c:f>'Muestras '!$K$2:$K$41</c:f>
              <c:numCache>
                <c:formatCode>General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D1-1148-8C88-211862C66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738856"/>
        <c:axId val="534739248"/>
      </c:scatterChart>
      <c:valAx>
        <c:axId val="534738856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4739248"/>
        <c:crosses val="autoZero"/>
        <c:crossBetween val="midCat"/>
      </c:valAx>
      <c:valAx>
        <c:axId val="534739248"/>
        <c:scaling>
          <c:orientation val="minMax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47388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'Muestras '!$C$47:$C$65</c:f>
              <c:numCache>
                <c:formatCode>General</c:formatCode>
                <c:ptCount val="19"/>
                <c:pt idx="0">
                  <c:v>6</c:v>
                </c:pt>
                <c:pt idx="1">
                  <c:v>18</c:v>
                </c:pt>
                <c:pt idx="2">
                  <c:v>18</c:v>
                </c:pt>
                <c:pt idx="3">
                  <c:v>5</c:v>
                </c:pt>
                <c:pt idx="4">
                  <c:v>11</c:v>
                </c:pt>
                <c:pt idx="5">
                  <c:v>5</c:v>
                </c:pt>
                <c:pt idx="6">
                  <c:v>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15</c:v>
                </c:pt>
                <c:pt idx="12">
                  <c:v>15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19</c:v>
                </c:pt>
                <c:pt idx="17">
                  <c:v>25</c:v>
                </c:pt>
                <c:pt idx="18">
                  <c:v>25</c:v>
                </c:pt>
              </c:numCache>
            </c:numRef>
          </c:xVal>
          <c:yVal>
            <c:numRef>
              <c:f>'Muestras '!$E$47:$E$65</c:f>
              <c:numCache>
                <c:formatCode>0.00</c:formatCode>
                <c:ptCount val="19"/>
                <c:pt idx="0">
                  <c:v>3</c:v>
                </c:pt>
                <c:pt idx="1">
                  <c:v>10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3</c:v>
                </c:pt>
                <c:pt idx="6">
                  <c:v>6</c:v>
                </c:pt>
                <c:pt idx="7">
                  <c:v>12</c:v>
                </c:pt>
                <c:pt idx="8">
                  <c:v>4</c:v>
                </c:pt>
                <c:pt idx="9">
                  <c:v>12</c:v>
                </c:pt>
                <c:pt idx="10">
                  <c:v>6</c:v>
                </c:pt>
                <c:pt idx="11">
                  <c:v>10</c:v>
                </c:pt>
                <c:pt idx="12">
                  <c:v>11</c:v>
                </c:pt>
                <c:pt idx="13">
                  <c:v>5</c:v>
                </c:pt>
                <c:pt idx="14">
                  <c:v>4</c:v>
                </c:pt>
                <c:pt idx="15">
                  <c:v>11</c:v>
                </c:pt>
                <c:pt idx="16">
                  <c:v>14</c:v>
                </c:pt>
                <c:pt idx="17">
                  <c:v>10</c:v>
                </c:pt>
                <c:pt idx="18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0A-204F-B7B1-95F5A2B42E3E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'!$B$47:$B$57</c:f>
              <c:numCache>
                <c:formatCode>General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  <c:pt idx="10">
                  <c:v>25</c:v>
                </c:pt>
              </c:numCache>
            </c:numRef>
          </c:xVal>
          <c:yVal>
            <c:numRef>
              <c:f>'Muestras '!$I$47:$I$57</c:f>
              <c:numCache>
                <c:formatCode>General</c:formatCode>
                <c:ptCount val="11"/>
                <c:pt idx="0">
                  <c:v>3.1432968220477933</c:v>
                </c:pt>
                <c:pt idx="1">
                  <c:v>3.4750968220477936</c:v>
                </c:pt>
                <c:pt idx="2">
                  <c:v>3.8068968220477939</c:v>
                </c:pt>
                <c:pt idx="3">
                  <c:v>4.1386968220477929</c:v>
                </c:pt>
                <c:pt idx="4">
                  <c:v>4.4704968220477941</c:v>
                </c:pt>
                <c:pt idx="5">
                  <c:v>4.8022968220477935</c:v>
                </c:pt>
                <c:pt idx="6">
                  <c:v>5.1340968220477929</c:v>
                </c:pt>
                <c:pt idx="7">
                  <c:v>5.4658968220477941</c:v>
                </c:pt>
                <c:pt idx="8">
                  <c:v>5.7976968220477936</c:v>
                </c:pt>
                <c:pt idx="9">
                  <c:v>6.129496822047793</c:v>
                </c:pt>
                <c:pt idx="10">
                  <c:v>6.4612968220477942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0A-204F-B7B1-95F5A2B42E3E}"/>
            </c:ext>
          </c:extLst>
        </c:ser>
        <c:ser>
          <c:idx val="2"/>
          <c:order val="2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'!$B$47:$B$57</c:f>
              <c:numCache>
                <c:formatCode>General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  <c:pt idx="10">
                  <c:v>25</c:v>
                </c:pt>
              </c:numCache>
            </c:numRef>
          </c:xVal>
          <c:yVal>
            <c:numRef>
              <c:f>'Muestras '!$J$47:$J$57</c:f>
              <c:numCache>
                <c:formatCode>General</c:formatCode>
                <c:ptCount val="11"/>
                <c:pt idx="0">
                  <c:v>9.9943031779522062</c:v>
                </c:pt>
                <c:pt idx="1">
                  <c:v>10.326103177952206</c:v>
                </c:pt>
                <c:pt idx="2">
                  <c:v>10.657903177952207</c:v>
                </c:pt>
                <c:pt idx="3">
                  <c:v>10.989703177952206</c:v>
                </c:pt>
                <c:pt idx="4">
                  <c:v>11.321503177952206</c:v>
                </c:pt>
                <c:pt idx="5">
                  <c:v>11.653303177952207</c:v>
                </c:pt>
                <c:pt idx="6">
                  <c:v>11.985103177952206</c:v>
                </c:pt>
                <c:pt idx="7">
                  <c:v>12.316903177952208</c:v>
                </c:pt>
                <c:pt idx="8">
                  <c:v>12.648703177952207</c:v>
                </c:pt>
                <c:pt idx="9">
                  <c:v>12.980503177952206</c:v>
                </c:pt>
                <c:pt idx="10">
                  <c:v>13.312303177952208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C0A-204F-B7B1-95F5A2B42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596768"/>
        <c:axId val="532779944"/>
      </c:scatterChart>
      <c:valAx>
        <c:axId val="531596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Age [years]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779944"/>
        <c:crosses val="autoZero"/>
        <c:crossBetween val="midCat"/>
      </c:valAx>
      <c:valAx>
        <c:axId val="5327799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Lenght [mm]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15967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'Muestras '!$C$47:$C$65</c:f>
              <c:numCache>
                <c:formatCode>General</c:formatCode>
                <c:ptCount val="19"/>
                <c:pt idx="0">
                  <c:v>6</c:v>
                </c:pt>
                <c:pt idx="1">
                  <c:v>18</c:v>
                </c:pt>
                <c:pt idx="2">
                  <c:v>18</c:v>
                </c:pt>
                <c:pt idx="3">
                  <c:v>5</c:v>
                </c:pt>
                <c:pt idx="4">
                  <c:v>11</c:v>
                </c:pt>
                <c:pt idx="5">
                  <c:v>5</c:v>
                </c:pt>
                <c:pt idx="6">
                  <c:v>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15</c:v>
                </c:pt>
                <c:pt idx="12">
                  <c:v>15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19</c:v>
                </c:pt>
                <c:pt idx="17">
                  <c:v>25</c:v>
                </c:pt>
                <c:pt idx="18">
                  <c:v>25</c:v>
                </c:pt>
              </c:numCache>
            </c:numRef>
          </c:xVal>
          <c:yVal>
            <c:numRef>
              <c:f>'Muestras '!$F$47:$F$65</c:f>
              <c:numCache>
                <c:formatCode>0.00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C8-E246-B629-A3920C266CCB}"/>
            </c:ext>
          </c:extLst>
        </c:ser>
        <c:ser>
          <c:idx val="1"/>
          <c:order val="1"/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'!$B$47:$B$57</c:f>
              <c:numCache>
                <c:formatCode>General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  <c:pt idx="10">
                  <c:v>25</c:v>
                </c:pt>
              </c:numCache>
            </c:numRef>
          </c:xVal>
          <c:yVal>
            <c:numRef>
              <c:f>'Muestras '!$K$47:$K$57</c:f>
              <c:numCache>
                <c:formatCode>General</c:formatCode>
                <c:ptCount val="11"/>
                <c:pt idx="0">
                  <c:v>2.3138399181540188</c:v>
                </c:pt>
                <c:pt idx="1">
                  <c:v>2.4430399181540192</c:v>
                </c:pt>
                <c:pt idx="2">
                  <c:v>2.5722399181540192</c:v>
                </c:pt>
                <c:pt idx="3">
                  <c:v>2.7014399181540192</c:v>
                </c:pt>
                <c:pt idx="4">
                  <c:v>2.8306399181540192</c:v>
                </c:pt>
                <c:pt idx="5">
                  <c:v>2.9598399181540191</c:v>
                </c:pt>
                <c:pt idx="6">
                  <c:v>3.0890399181540191</c:v>
                </c:pt>
                <c:pt idx="7">
                  <c:v>3.2182399181540191</c:v>
                </c:pt>
                <c:pt idx="8">
                  <c:v>3.3474399181540191</c:v>
                </c:pt>
                <c:pt idx="9">
                  <c:v>3.4766399181540191</c:v>
                </c:pt>
                <c:pt idx="10">
                  <c:v>3.6058399181540195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0C8-E246-B629-A3920C266CCB}"/>
            </c:ext>
          </c:extLst>
        </c:ser>
        <c:ser>
          <c:idx val="2"/>
          <c:order val="2"/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'!$B$47:$B$57</c:f>
              <c:numCache>
                <c:formatCode>General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23</c:v>
                </c:pt>
                <c:pt idx="10">
                  <c:v>25</c:v>
                </c:pt>
              </c:numCache>
            </c:numRef>
          </c:xVal>
          <c:yVal>
            <c:numRef>
              <c:f>'Muestras '!$L$47:$L$57</c:f>
              <c:numCache>
                <c:formatCode>General</c:formatCode>
                <c:ptCount val="11"/>
                <c:pt idx="0">
                  <c:v>0.424960081845981</c:v>
                </c:pt>
                <c:pt idx="1">
                  <c:v>0.5541600818459812</c:v>
                </c:pt>
                <c:pt idx="2">
                  <c:v>0.68336008184598118</c:v>
                </c:pt>
                <c:pt idx="3">
                  <c:v>0.81256008184598116</c:v>
                </c:pt>
                <c:pt idx="4">
                  <c:v>0.94176008184598115</c:v>
                </c:pt>
                <c:pt idx="5">
                  <c:v>1.070960081845981</c:v>
                </c:pt>
                <c:pt idx="6">
                  <c:v>1.200160081845981</c:v>
                </c:pt>
                <c:pt idx="7">
                  <c:v>1.329360081845981</c:v>
                </c:pt>
                <c:pt idx="8">
                  <c:v>1.458560081845981</c:v>
                </c:pt>
                <c:pt idx="9">
                  <c:v>1.5877600818459809</c:v>
                </c:pt>
                <c:pt idx="10">
                  <c:v>1.7169600818459814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0C8-E246-B629-A3920C26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778768"/>
        <c:axId val="532778376"/>
      </c:scatterChart>
      <c:valAx>
        <c:axId val="532778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Age [5-25 years]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778376"/>
        <c:crosses val="autoZero"/>
        <c:crossBetween val="midCat"/>
      </c:valAx>
      <c:valAx>
        <c:axId val="532778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Width [mm]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7787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'Muestras '!$O$47:$O$67</c:f>
              <c:numCache>
                <c:formatCode>General</c:formatCode>
                <c:ptCount val="21"/>
                <c:pt idx="0">
                  <c:v>5</c:v>
                </c:pt>
                <c:pt idx="1">
                  <c:v>14</c:v>
                </c:pt>
                <c:pt idx="2">
                  <c:v>17</c:v>
                </c:pt>
                <c:pt idx="3">
                  <c:v>17</c:v>
                </c:pt>
                <c:pt idx="4">
                  <c:v>23</c:v>
                </c:pt>
                <c:pt idx="5">
                  <c:v>23</c:v>
                </c:pt>
                <c:pt idx="6">
                  <c:v>13</c:v>
                </c:pt>
                <c:pt idx="7">
                  <c:v>13</c:v>
                </c:pt>
                <c:pt idx="8">
                  <c:v>5</c:v>
                </c:pt>
                <c:pt idx="9">
                  <c:v>21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12</c:v>
                </c:pt>
                <c:pt idx="14">
                  <c:v>24</c:v>
                </c:pt>
                <c:pt idx="15">
                  <c:v>5</c:v>
                </c:pt>
                <c:pt idx="16">
                  <c:v>10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</c:numCache>
            </c:numRef>
          </c:xVal>
          <c:yVal>
            <c:numRef>
              <c:f>'Muestras '!$P$47:$P$67</c:f>
              <c:numCache>
                <c:formatCode>General</c:formatCode>
                <c:ptCount val="21"/>
                <c:pt idx="0">
                  <c:v>3.6</c:v>
                </c:pt>
                <c:pt idx="1">
                  <c:v>12.200000000000001</c:v>
                </c:pt>
                <c:pt idx="2">
                  <c:v>29.5</c:v>
                </c:pt>
                <c:pt idx="3">
                  <c:v>15.6</c:v>
                </c:pt>
                <c:pt idx="4">
                  <c:v>9.1999999999999993</c:v>
                </c:pt>
                <c:pt idx="5">
                  <c:v>14</c:v>
                </c:pt>
                <c:pt idx="6">
                  <c:v>9.6</c:v>
                </c:pt>
                <c:pt idx="7">
                  <c:v>6.4</c:v>
                </c:pt>
                <c:pt idx="8">
                  <c:v>0.4</c:v>
                </c:pt>
                <c:pt idx="9">
                  <c:v>13.5</c:v>
                </c:pt>
                <c:pt idx="10">
                  <c:v>2.2000000000000002</c:v>
                </c:pt>
                <c:pt idx="11">
                  <c:v>1.2</c:v>
                </c:pt>
                <c:pt idx="12">
                  <c:v>2.2999999999999998</c:v>
                </c:pt>
                <c:pt idx="13">
                  <c:v>3</c:v>
                </c:pt>
                <c:pt idx="14">
                  <c:v>3.1</c:v>
                </c:pt>
                <c:pt idx="15">
                  <c:v>0.4</c:v>
                </c:pt>
                <c:pt idx="16">
                  <c:v>11.4</c:v>
                </c:pt>
                <c:pt idx="17">
                  <c:v>10</c:v>
                </c:pt>
                <c:pt idx="18">
                  <c:v>6.1000000000000005</c:v>
                </c:pt>
                <c:pt idx="19">
                  <c:v>4.8999999999999995</c:v>
                </c:pt>
                <c:pt idx="20">
                  <c:v>10.5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C8-4544-9CC2-C714ECC511A9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'!$N$47:$N$53</c:f>
              <c:numCache>
                <c:formatCode>General</c:formatCode>
                <c:ptCount val="7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'Muestras '!$S$47:$S$53</c:f>
              <c:numCache>
                <c:formatCode>General</c:formatCode>
                <c:ptCount val="7"/>
                <c:pt idx="0">
                  <c:v>-2.9308538623861047</c:v>
                </c:pt>
                <c:pt idx="1">
                  <c:v>-1.8166038623861054</c:v>
                </c:pt>
                <c:pt idx="2">
                  <c:v>-0.7023538623861052</c:v>
                </c:pt>
                <c:pt idx="3">
                  <c:v>1.5261461376138952</c:v>
                </c:pt>
                <c:pt idx="4">
                  <c:v>3.7546461376138955</c:v>
                </c:pt>
                <c:pt idx="5">
                  <c:v>5.9831461376138959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C8-4544-9CC2-C714ECC511A9}"/>
            </c:ext>
          </c:extLst>
        </c:ser>
        <c:ser>
          <c:idx val="2"/>
          <c:order val="2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'!$N$47:$N$52</c:f>
              <c:numCache>
                <c:formatCode>General</c:formatCode>
                <c:ptCount val="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'Muestras '!$T$47:$T$52</c:f>
              <c:numCache>
                <c:formatCode>General</c:formatCode>
                <c:ptCount val="6"/>
                <c:pt idx="0">
                  <c:v>10.462053862386105</c:v>
                </c:pt>
                <c:pt idx="1">
                  <c:v>11.576303862386105</c:v>
                </c:pt>
                <c:pt idx="2">
                  <c:v>12.690553862386103</c:v>
                </c:pt>
                <c:pt idx="3">
                  <c:v>14.919053862386104</c:v>
                </c:pt>
                <c:pt idx="4">
                  <c:v>17.147553862386104</c:v>
                </c:pt>
                <c:pt idx="5">
                  <c:v>19.376053862386104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C57-4242-92F0-0B1A0C335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127008"/>
        <c:axId val="422127792"/>
      </c:scatterChart>
      <c:valAx>
        <c:axId val="422127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b="1">
                    <a:solidFill>
                      <a:schemeClr val="tx1"/>
                    </a:solidFill>
                  </a:rPr>
                  <a:t>Age</a:t>
                </a:r>
                <a:r>
                  <a:rPr lang="es-ES_tradnl" b="1" baseline="0">
                    <a:solidFill>
                      <a:schemeClr val="tx1"/>
                    </a:solidFill>
                  </a:rPr>
                  <a:t> [years]</a:t>
                </a:r>
                <a:endParaRPr lang="es-ES_tradnl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127792"/>
        <c:crosses val="autoZero"/>
        <c:crossBetween val="midCat"/>
      </c:valAx>
      <c:valAx>
        <c:axId val="422127792"/>
        <c:scaling>
          <c:orientation val="minMax"/>
          <c:max val="1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Weight [mg]</a:t>
                </a:r>
              </a:p>
            </c:rich>
          </c:tx>
          <c:layout>
            <c:manualLayout>
              <c:xMode val="edge"/>
              <c:yMode val="edge"/>
              <c:x val="1.9534533165308513E-2"/>
              <c:y val="0.29761832544074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12700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'Muestras '!$O$47:$O$67</c:f>
              <c:numCache>
                <c:formatCode>General</c:formatCode>
                <c:ptCount val="21"/>
                <c:pt idx="0">
                  <c:v>5</c:v>
                </c:pt>
                <c:pt idx="1">
                  <c:v>14</c:v>
                </c:pt>
                <c:pt idx="2">
                  <c:v>17</c:v>
                </c:pt>
                <c:pt idx="3">
                  <c:v>17</c:v>
                </c:pt>
                <c:pt idx="4">
                  <c:v>23</c:v>
                </c:pt>
                <c:pt idx="5">
                  <c:v>23</c:v>
                </c:pt>
                <c:pt idx="6">
                  <c:v>13</c:v>
                </c:pt>
                <c:pt idx="7">
                  <c:v>13</c:v>
                </c:pt>
                <c:pt idx="8">
                  <c:v>5</c:v>
                </c:pt>
                <c:pt idx="9">
                  <c:v>21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12</c:v>
                </c:pt>
                <c:pt idx="14">
                  <c:v>24</c:v>
                </c:pt>
                <c:pt idx="15">
                  <c:v>5</c:v>
                </c:pt>
                <c:pt idx="16">
                  <c:v>10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</c:numCache>
            </c:numRef>
          </c:xVal>
          <c:yVal>
            <c:numRef>
              <c:f>'Muestras '!$Q$47:$Q$67</c:f>
              <c:numCache>
                <c:formatCode>General</c:formatCode>
                <c:ptCount val="21"/>
                <c:pt idx="0">
                  <c:v>5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5</c:v>
                </c:pt>
                <c:pt idx="6">
                  <c:v>12</c:v>
                </c:pt>
                <c:pt idx="7">
                  <c:v>8</c:v>
                </c:pt>
                <c:pt idx="8">
                  <c:v>3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13</c:v>
                </c:pt>
                <c:pt idx="17">
                  <c:v>8</c:v>
                </c:pt>
                <c:pt idx="18">
                  <c:v>6</c:v>
                </c:pt>
                <c:pt idx="19">
                  <c:v>7</c:v>
                </c:pt>
                <c:pt idx="20">
                  <c:v>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08-5A4E-B7EA-7E9C4D3E94F0}"/>
            </c:ext>
          </c:extLst>
        </c:ser>
        <c:ser>
          <c:idx val="1"/>
          <c:order val="1"/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'!$N$47:$N$52</c:f>
              <c:numCache>
                <c:formatCode>General</c:formatCode>
                <c:ptCount val="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'Muestras '!$U$47:$U$52</c:f>
              <c:numCache>
                <c:formatCode>General</c:formatCode>
                <c:ptCount val="6"/>
                <c:pt idx="0">
                  <c:v>9.2053616655141841</c:v>
                </c:pt>
                <c:pt idx="1">
                  <c:v>9.5391116655141843</c:v>
                </c:pt>
                <c:pt idx="2">
                  <c:v>9.8728616655141828</c:v>
                </c:pt>
                <c:pt idx="3">
                  <c:v>10.540361665514183</c:v>
                </c:pt>
                <c:pt idx="4">
                  <c:v>11.207861665514184</c:v>
                </c:pt>
                <c:pt idx="5">
                  <c:v>11.875361665514184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08-5A4E-B7EA-7E9C4D3E94F0}"/>
            </c:ext>
          </c:extLst>
        </c:ser>
        <c:ser>
          <c:idx val="2"/>
          <c:order val="2"/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'!$N$47:$N$52</c:f>
              <c:numCache>
                <c:formatCode>General</c:formatCode>
                <c:ptCount val="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'Muestras '!$V$47:$V$52</c:f>
              <c:numCache>
                <c:formatCode>General</c:formatCode>
                <c:ptCount val="6"/>
                <c:pt idx="0">
                  <c:v>2.9878383344858168</c:v>
                </c:pt>
                <c:pt idx="1">
                  <c:v>3.3215883344858161</c:v>
                </c:pt>
                <c:pt idx="2">
                  <c:v>3.6553383344858164</c:v>
                </c:pt>
                <c:pt idx="3">
                  <c:v>4.3228383344858159</c:v>
                </c:pt>
                <c:pt idx="4">
                  <c:v>4.9903383344858163</c:v>
                </c:pt>
                <c:pt idx="5">
                  <c:v>5.6578383344858167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508-5A4E-B7EA-7E9C4D3E9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418456"/>
        <c:axId val="422418848"/>
      </c:scatterChart>
      <c:valAx>
        <c:axId val="42241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Age [years]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418848"/>
        <c:crosses val="autoZero"/>
        <c:crossBetween val="midCat"/>
      </c:valAx>
      <c:valAx>
        <c:axId val="422418848"/>
        <c:scaling>
          <c:orientation val="minMax"/>
          <c:max val="1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Lenght [mm]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4184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'Muestras '!$O$47:$O$67</c:f>
              <c:numCache>
                <c:formatCode>General</c:formatCode>
                <c:ptCount val="21"/>
                <c:pt idx="0">
                  <c:v>5</c:v>
                </c:pt>
                <c:pt idx="1">
                  <c:v>14</c:v>
                </c:pt>
                <c:pt idx="2">
                  <c:v>17</c:v>
                </c:pt>
                <c:pt idx="3">
                  <c:v>17</c:v>
                </c:pt>
                <c:pt idx="4">
                  <c:v>23</c:v>
                </c:pt>
                <c:pt idx="5">
                  <c:v>23</c:v>
                </c:pt>
                <c:pt idx="6">
                  <c:v>13</c:v>
                </c:pt>
                <c:pt idx="7">
                  <c:v>13</c:v>
                </c:pt>
                <c:pt idx="8">
                  <c:v>5</c:v>
                </c:pt>
                <c:pt idx="9">
                  <c:v>21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12</c:v>
                </c:pt>
                <c:pt idx="14">
                  <c:v>24</c:v>
                </c:pt>
                <c:pt idx="15">
                  <c:v>5</c:v>
                </c:pt>
                <c:pt idx="16">
                  <c:v>10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</c:numCache>
            </c:numRef>
          </c:xVal>
          <c:yVal>
            <c:numRef>
              <c:f>'Muestras '!$R$47:$R$67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03-E140-BEC5-B127CE1A41C8}"/>
            </c:ext>
          </c:extLst>
        </c:ser>
        <c:ser>
          <c:idx val="1"/>
          <c:order val="1"/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'!$N$47:$N$52</c:f>
              <c:numCache>
                <c:formatCode>General</c:formatCode>
                <c:ptCount val="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'Muestras '!$W$47:$W$52</c:f>
              <c:numCache>
                <c:formatCode>General</c:formatCode>
                <c:ptCount val="6"/>
                <c:pt idx="0">
                  <c:v>2.0243231602822096</c:v>
                </c:pt>
                <c:pt idx="1">
                  <c:v>2.1668231602822097</c:v>
                </c:pt>
                <c:pt idx="2">
                  <c:v>2.3093231602822097</c:v>
                </c:pt>
                <c:pt idx="3">
                  <c:v>2.5943231602822094</c:v>
                </c:pt>
                <c:pt idx="4">
                  <c:v>2.8793231602822096</c:v>
                </c:pt>
                <c:pt idx="5">
                  <c:v>3.1643231602822097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03-E140-BEC5-B127CE1A41C8}"/>
            </c:ext>
          </c:extLst>
        </c:ser>
        <c:ser>
          <c:idx val="2"/>
          <c:order val="2"/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'!$N$47:$N$52</c:f>
              <c:numCache>
                <c:formatCode>General</c:formatCode>
                <c:ptCount val="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'Muestras '!$X$47:$X$52</c:f>
              <c:numCache>
                <c:formatCode>General</c:formatCode>
                <c:ptCount val="6"/>
                <c:pt idx="0">
                  <c:v>0.40247683971779047</c:v>
                </c:pt>
                <c:pt idx="1">
                  <c:v>0.54497683971779054</c:v>
                </c:pt>
                <c:pt idx="2">
                  <c:v>0.68747683971779061</c:v>
                </c:pt>
                <c:pt idx="3">
                  <c:v>0.97247683971779031</c:v>
                </c:pt>
                <c:pt idx="4">
                  <c:v>1.2574768397177905</c:v>
                </c:pt>
                <c:pt idx="5">
                  <c:v>1.5424768397177906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03-E140-BEC5-B127CE1A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419632"/>
        <c:axId val="532639672"/>
      </c:scatterChart>
      <c:valAx>
        <c:axId val="42241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b="1">
                    <a:solidFill>
                      <a:schemeClr val="tx1"/>
                    </a:solidFill>
                  </a:rPr>
                  <a:t>Age</a:t>
                </a:r>
                <a:r>
                  <a:rPr lang="es-ES_tradnl" b="1" baseline="0">
                    <a:solidFill>
                      <a:schemeClr val="tx1"/>
                    </a:solidFill>
                  </a:rPr>
                  <a:t> [5-25 years]</a:t>
                </a:r>
                <a:endParaRPr lang="es-ES_tradnl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639672"/>
        <c:crosses val="autoZero"/>
        <c:crossBetween val="midCat"/>
      </c:valAx>
      <c:valAx>
        <c:axId val="532639672"/>
        <c:scaling>
          <c:orientation val="minMax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4196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'Muestras '!$E$2:$E$41</c:f>
              <c:numCache>
                <c:formatCode>General</c:formatCode>
                <c:ptCount val="40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23</c:v>
                </c:pt>
                <c:pt idx="7">
                  <c:v>23</c:v>
                </c:pt>
                <c:pt idx="8">
                  <c:v>18</c:v>
                </c:pt>
                <c:pt idx="9">
                  <c:v>5</c:v>
                </c:pt>
                <c:pt idx="10">
                  <c:v>11</c:v>
                </c:pt>
                <c:pt idx="11">
                  <c:v>13</c:v>
                </c:pt>
                <c:pt idx="12">
                  <c:v>13</c:v>
                </c:pt>
                <c:pt idx="13">
                  <c:v>5</c:v>
                </c:pt>
                <c:pt idx="14">
                  <c:v>21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12</c:v>
                </c:pt>
                <c:pt idx="21">
                  <c:v>24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5</c:v>
                </c:pt>
                <c:pt idx="27">
                  <c:v>10</c:v>
                </c:pt>
                <c:pt idx="28">
                  <c:v>21</c:v>
                </c:pt>
                <c:pt idx="29">
                  <c:v>15</c:v>
                </c:pt>
                <c:pt idx="30">
                  <c:v>15</c:v>
                </c:pt>
                <c:pt idx="31">
                  <c:v>22</c:v>
                </c:pt>
                <c:pt idx="32">
                  <c:v>22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19</c:v>
                </c:pt>
                <c:pt idx="37">
                  <c:v>22</c:v>
                </c:pt>
                <c:pt idx="38">
                  <c:v>25</c:v>
                </c:pt>
                <c:pt idx="39">
                  <c:v>25</c:v>
                </c:pt>
              </c:numCache>
            </c:numRef>
          </c:xVal>
          <c:yVal>
            <c:numRef>
              <c:f>'Muestras '!$J$2:$J$41</c:f>
              <c:numCache>
                <c:formatCode>General</c:formatCode>
                <c:ptCount val="40"/>
                <c:pt idx="0">
                  <c:v>5</c:v>
                </c:pt>
                <c:pt idx="1">
                  <c:v>3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5</c:v>
                </c:pt>
                <c:pt idx="8">
                  <c:v>8</c:v>
                </c:pt>
                <c:pt idx="9">
                  <c:v>12</c:v>
                </c:pt>
                <c:pt idx="10">
                  <c:v>7</c:v>
                </c:pt>
                <c:pt idx="11">
                  <c:v>12</c:v>
                </c:pt>
                <c:pt idx="12">
                  <c:v>8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12</c:v>
                </c:pt>
                <c:pt idx="23">
                  <c:v>4</c:v>
                </c:pt>
                <c:pt idx="24">
                  <c:v>12</c:v>
                </c:pt>
                <c:pt idx="25">
                  <c:v>6</c:v>
                </c:pt>
                <c:pt idx="26">
                  <c:v>3</c:v>
                </c:pt>
                <c:pt idx="27">
                  <c:v>13</c:v>
                </c:pt>
                <c:pt idx="28">
                  <c:v>8</c:v>
                </c:pt>
                <c:pt idx="29">
                  <c:v>10</c:v>
                </c:pt>
                <c:pt idx="30">
                  <c:v>11</c:v>
                </c:pt>
                <c:pt idx="31">
                  <c:v>6</c:v>
                </c:pt>
                <c:pt idx="32">
                  <c:v>7</c:v>
                </c:pt>
                <c:pt idx="33">
                  <c:v>5</c:v>
                </c:pt>
                <c:pt idx="34">
                  <c:v>4</c:v>
                </c:pt>
                <c:pt idx="35">
                  <c:v>11</c:v>
                </c:pt>
                <c:pt idx="36">
                  <c:v>14</c:v>
                </c:pt>
                <c:pt idx="37">
                  <c:v>11</c:v>
                </c:pt>
                <c:pt idx="38">
                  <c:v>10</c:v>
                </c:pt>
                <c:pt idx="39">
                  <c:v>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73-2545-8416-8C24D800BC38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'!$M$2:$M$6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'Muestras '!$N$2:$N$6</c:f>
              <c:numCache>
                <c:formatCode>General</c:formatCode>
                <c:ptCount val="5"/>
                <c:pt idx="0">
                  <c:v>9.6170438933713456</c:v>
                </c:pt>
                <c:pt idx="1">
                  <c:v>10.350043893371344</c:v>
                </c:pt>
                <c:pt idx="2">
                  <c:v>11.083043893371345</c:v>
                </c:pt>
                <c:pt idx="3">
                  <c:v>11.816043893371345</c:v>
                </c:pt>
                <c:pt idx="4">
                  <c:v>12.549043893371344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773-2545-8416-8C24D800BC38}"/>
            </c:ext>
          </c:extLst>
        </c:ser>
        <c:ser>
          <c:idx val="2"/>
          <c:order val="2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'!$M$2:$M$6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'Muestras '!$O$2:$O$6</c:f>
              <c:numCache>
                <c:formatCode>General</c:formatCode>
                <c:ptCount val="5"/>
                <c:pt idx="0">
                  <c:v>3.0565561066286553</c:v>
                </c:pt>
                <c:pt idx="1">
                  <c:v>3.7895561066286549</c:v>
                </c:pt>
                <c:pt idx="2">
                  <c:v>4.5225561066286541</c:v>
                </c:pt>
                <c:pt idx="3">
                  <c:v>5.2555561066286547</c:v>
                </c:pt>
                <c:pt idx="4">
                  <c:v>5.9885561066286535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773-2545-8416-8C24D800B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640456"/>
        <c:axId val="532640848"/>
      </c:scatterChart>
      <c:valAx>
        <c:axId val="532640456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640848"/>
        <c:crosses val="autoZero"/>
        <c:crossBetween val="midCat"/>
      </c:valAx>
      <c:valAx>
        <c:axId val="532640848"/>
        <c:scaling>
          <c:orientation val="minMax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6404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8319685039370077"/>
                  <c:y val="-0.540715952172645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'Muestras '!$E$2:$E$41</c:f>
              <c:numCache>
                <c:formatCode>General</c:formatCode>
                <c:ptCount val="40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23</c:v>
                </c:pt>
                <c:pt idx="7">
                  <c:v>23</c:v>
                </c:pt>
                <c:pt idx="8">
                  <c:v>18</c:v>
                </c:pt>
                <c:pt idx="9">
                  <c:v>5</c:v>
                </c:pt>
                <c:pt idx="10">
                  <c:v>11</c:v>
                </c:pt>
                <c:pt idx="11">
                  <c:v>13</c:v>
                </c:pt>
                <c:pt idx="12">
                  <c:v>13</c:v>
                </c:pt>
                <c:pt idx="13">
                  <c:v>5</c:v>
                </c:pt>
                <c:pt idx="14">
                  <c:v>21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12</c:v>
                </c:pt>
                <c:pt idx="21">
                  <c:v>24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5</c:v>
                </c:pt>
                <c:pt idx="27">
                  <c:v>10</c:v>
                </c:pt>
                <c:pt idx="28">
                  <c:v>21</c:v>
                </c:pt>
                <c:pt idx="29">
                  <c:v>15</c:v>
                </c:pt>
                <c:pt idx="30">
                  <c:v>15</c:v>
                </c:pt>
                <c:pt idx="31">
                  <c:v>22</c:v>
                </c:pt>
                <c:pt idx="32">
                  <c:v>22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19</c:v>
                </c:pt>
                <c:pt idx="37">
                  <c:v>22</c:v>
                </c:pt>
                <c:pt idx="38">
                  <c:v>25</c:v>
                </c:pt>
                <c:pt idx="39">
                  <c:v>25</c:v>
                </c:pt>
              </c:numCache>
            </c:numRef>
          </c:xVal>
          <c:yVal>
            <c:numRef>
              <c:f>'Muestras '!$I$2:$I$41</c:f>
              <c:numCache>
                <c:formatCode>General</c:formatCode>
                <c:ptCount val="40"/>
                <c:pt idx="0">
                  <c:v>3.5999999999999999E-3</c:v>
                </c:pt>
                <c:pt idx="1">
                  <c:v>2E-3</c:v>
                </c:pt>
                <c:pt idx="2">
                  <c:v>1.2200000000000001E-2</c:v>
                </c:pt>
                <c:pt idx="3">
                  <c:v>8.8000000000000005E-3</c:v>
                </c:pt>
                <c:pt idx="4">
                  <c:v>2.9499999999999998E-2</c:v>
                </c:pt>
                <c:pt idx="5">
                  <c:v>1.5599999999999999E-2</c:v>
                </c:pt>
                <c:pt idx="6">
                  <c:v>9.1999999999999998E-3</c:v>
                </c:pt>
                <c:pt idx="7">
                  <c:v>1.4E-2</c:v>
                </c:pt>
                <c:pt idx="8">
                  <c:v>1.2699999999999999E-2</c:v>
                </c:pt>
                <c:pt idx="9">
                  <c:v>2.4E-2</c:v>
                </c:pt>
                <c:pt idx="10">
                  <c:v>5.4000000000000003E-3</c:v>
                </c:pt>
                <c:pt idx="11">
                  <c:v>9.5999999999999992E-3</c:v>
                </c:pt>
                <c:pt idx="12">
                  <c:v>6.4000000000000003E-3</c:v>
                </c:pt>
                <c:pt idx="13">
                  <c:v>4.0000000000000002E-4</c:v>
                </c:pt>
                <c:pt idx="14">
                  <c:v>1.35E-2</c:v>
                </c:pt>
                <c:pt idx="15">
                  <c:v>2.2000000000000001E-3</c:v>
                </c:pt>
                <c:pt idx="16">
                  <c:v>1.1999999999999999E-3</c:v>
                </c:pt>
                <c:pt idx="17">
                  <c:v>2.3E-3</c:v>
                </c:pt>
                <c:pt idx="18">
                  <c:v>8.0000000000000004E-4</c:v>
                </c:pt>
                <c:pt idx="19">
                  <c:v>1.0500000000000001E-2</c:v>
                </c:pt>
                <c:pt idx="20">
                  <c:v>3.0000000000000001E-3</c:v>
                </c:pt>
                <c:pt idx="21">
                  <c:v>3.0999999999999999E-3</c:v>
                </c:pt>
                <c:pt idx="22">
                  <c:v>0.107</c:v>
                </c:pt>
                <c:pt idx="23">
                  <c:v>2.0999999999999999E-3</c:v>
                </c:pt>
                <c:pt idx="24">
                  <c:v>5.7000000000000002E-3</c:v>
                </c:pt>
                <c:pt idx="25">
                  <c:v>1.6999999999999999E-3</c:v>
                </c:pt>
                <c:pt idx="26">
                  <c:v>4.0000000000000002E-4</c:v>
                </c:pt>
                <c:pt idx="27">
                  <c:v>1.14E-2</c:v>
                </c:pt>
                <c:pt idx="28">
                  <c:v>0.01</c:v>
                </c:pt>
                <c:pt idx="29">
                  <c:v>5.1000000000000004E-3</c:v>
                </c:pt>
                <c:pt idx="30">
                  <c:v>9.5999999999999992E-3</c:v>
                </c:pt>
                <c:pt idx="31">
                  <c:v>6.1000000000000004E-3</c:v>
                </c:pt>
                <c:pt idx="32">
                  <c:v>4.8999999999999998E-3</c:v>
                </c:pt>
                <c:pt idx="33">
                  <c:v>3.3E-3</c:v>
                </c:pt>
                <c:pt idx="34">
                  <c:v>3.5000000000000001E-3</c:v>
                </c:pt>
                <c:pt idx="35">
                  <c:v>7.9000000000000008E-3</c:v>
                </c:pt>
                <c:pt idx="36">
                  <c:v>3.09E-2</c:v>
                </c:pt>
                <c:pt idx="37">
                  <c:v>1.0500000000000001E-2</c:v>
                </c:pt>
                <c:pt idx="38">
                  <c:v>1.72E-2</c:v>
                </c:pt>
                <c:pt idx="39">
                  <c:v>8.0000000000000002E-3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74-7D4F-B72E-A381DA82946A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'Muestras '!$M$2:$M$6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'Muestras '!$P$2:$P$6</c:f>
              <c:numCache>
                <c:formatCode>General</c:formatCode>
                <c:ptCount val="5"/>
                <c:pt idx="0">
                  <c:v>2.2179500692010936E-2</c:v>
                </c:pt>
                <c:pt idx="1">
                  <c:v>2.5179500692010935E-2</c:v>
                </c:pt>
                <c:pt idx="2">
                  <c:v>2.8179500692010938E-2</c:v>
                </c:pt>
                <c:pt idx="3">
                  <c:v>3.1179500692010934E-2</c:v>
                </c:pt>
                <c:pt idx="4">
                  <c:v>3.4179500692010936E-2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74-7D4F-B72E-A381DA82946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'Muestras '!$M$2:$M$6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'Muestras '!$Q$2:$Q$6</c:f>
              <c:numCache>
                <c:formatCode>General</c:formatCode>
                <c:ptCount val="5"/>
                <c:pt idx="0">
                  <c:v>-1.1779500692010936E-2</c:v>
                </c:pt>
                <c:pt idx="1">
                  <c:v>-8.7795006920109372E-3</c:v>
                </c:pt>
                <c:pt idx="2">
                  <c:v>-5.7795006920109363E-3</c:v>
                </c:pt>
                <c:pt idx="3">
                  <c:v>-2.7795006920109371E-3</c:v>
                </c:pt>
                <c:pt idx="4">
                  <c:v>2.2049930798906381E-4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E74-7D4F-B72E-A381DA829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418064"/>
        <c:axId val="531206944"/>
      </c:scatterChart>
      <c:valAx>
        <c:axId val="422418064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1206944"/>
        <c:crosses val="autoZero"/>
        <c:crossBetween val="midCat"/>
      </c:valAx>
      <c:valAx>
        <c:axId val="531206944"/>
        <c:scaling>
          <c:orientation val="minMax"/>
          <c:min val="0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24180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614337643888273"/>
                  <c:y val="-0.269373723512608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'Muestras '!$E$2:$E$41</c:f>
              <c:numCache>
                <c:formatCode>General</c:formatCode>
                <c:ptCount val="40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23</c:v>
                </c:pt>
                <c:pt idx="7">
                  <c:v>23</c:v>
                </c:pt>
                <c:pt idx="8">
                  <c:v>18</c:v>
                </c:pt>
                <c:pt idx="9">
                  <c:v>5</c:v>
                </c:pt>
                <c:pt idx="10">
                  <c:v>11</c:v>
                </c:pt>
                <c:pt idx="11">
                  <c:v>13</c:v>
                </c:pt>
                <c:pt idx="12">
                  <c:v>13</c:v>
                </c:pt>
                <c:pt idx="13">
                  <c:v>5</c:v>
                </c:pt>
                <c:pt idx="14">
                  <c:v>21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12</c:v>
                </c:pt>
                <c:pt idx="21">
                  <c:v>24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5</c:v>
                </c:pt>
                <c:pt idx="27">
                  <c:v>10</c:v>
                </c:pt>
                <c:pt idx="28">
                  <c:v>21</c:v>
                </c:pt>
                <c:pt idx="29">
                  <c:v>15</c:v>
                </c:pt>
                <c:pt idx="30">
                  <c:v>15</c:v>
                </c:pt>
                <c:pt idx="31">
                  <c:v>22</c:v>
                </c:pt>
                <c:pt idx="32">
                  <c:v>22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19</c:v>
                </c:pt>
                <c:pt idx="37">
                  <c:v>22</c:v>
                </c:pt>
                <c:pt idx="38">
                  <c:v>25</c:v>
                </c:pt>
                <c:pt idx="39">
                  <c:v>25</c:v>
                </c:pt>
              </c:numCache>
            </c:numRef>
          </c:xVal>
          <c:yVal>
            <c:numRef>
              <c:f>'Muestras '!$K$2:$K$41</c:f>
              <c:numCache>
                <c:formatCode>General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B4-B14B-AFA1-533152FC5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207728"/>
        <c:axId val="531208120"/>
      </c:scatterChart>
      <c:valAx>
        <c:axId val="53120772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1208120"/>
        <c:crosses val="autoZero"/>
        <c:crossBetween val="midCat"/>
      </c:valAx>
      <c:valAx>
        <c:axId val="531208120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12077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9171</xdr:colOff>
      <xdr:row>67</xdr:row>
      <xdr:rowOff>189089</xdr:rowOff>
    </xdr:from>
    <xdr:to>
      <xdr:col>6</xdr:col>
      <xdr:colOff>100894</xdr:colOff>
      <xdr:row>81</xdr:row>
      <xdr:rowOff>91440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8E094F9-5819-E147-8E1D-A4E01E8129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</xdr:colOff>
      <xdr:row>81</xdr:row>
      <xdr:rowOff>111760</xdr:rowOff>
    </xdr:from>
    <xdr:to>
      <xdr:col>6</xdr:col>
      <xdr:colOff>106680</xdr:colOff>
      <xdr:row>95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9E211D0E-2137-6143-A75A-52FC81DC56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5080</xdr:colOff>
      <xdr:row>95</xdr:row>
      <xdr:rowOff>162560</xdr:rowOff>
    </xdr:from>
    <xdr:to>
      <xdr:col>6</xdr:col>
      <xdr:colOff>106680</xdr:colOff>
      <xdr:row>110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781A17A8-2737-0349-9ADF-1BDF33B2A3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210206</xdr:colOff>
      <xdr:row>68</xdr:row>
      <xdr:rowOff>7883</xdr:rowOff>
    </xdr:from>
    <xdr:to>
      <xdr:col>11</xdr:col>
      <xdr:colOff>621862</xdr:colOff>
      <xdr:row>81</xdr:row>
      <xdr:rowOff>110067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AEA9AEB5-C892-1143-8CB2-93E7D38E04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191761</xdr:colOff>
      <xdr:row>81</xdr:row>
      <xdr:rowOff>115919</xdr:rowOff>
    </xdr:from>
    <xdr:to>
      <xdr:col>11</xdr:col>
      <xdr:colOff>609510</xdr:colOff>
      <xdr:row>95</xdr:row>
      <xdr:rowOff>78812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49573798-463F-0843-B9B8-14BD2DF9A0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194094</xdr:colOff>
      <xdr:row>95</xdr:row>
      <xdr:rowOff>144014</xdr:rowOff>
    </xdr:from>
    <xdr:to>
      <xdr:col>11</xdr:col>
      <xdr:colOff>632604</xdr:colOff>
      <xdr:row>110</xdr:row>
      <xdr:rowOff>11742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76E8E9C0-535B-8247-84F0-5567CF116D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809238</xdr:colOff>
      <xdr:row>15</xdr:row>
      <xdr:rowOff>59472</xdr:rowOff>
    </xdr:from>
    <xdr:to>
      <xdr:col>24</xdr:col>
      <xdr:colOff>428238</xdr:colOff>
      <xdr:row>29</xdr:row>
      <xdr:rowOff>131026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D23BF242-1189-054A-A824-CEEFDB3FB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800101</xdr:colOff>
      <xdr:row>0</xdr:row>
      <xdr:rowOff>552295</xdr:rowOff>
    </xdr:from>
    <xdr:to>
      <xdr:col>24</xdr:col>
      <xdr:colOff>419101</xdr:colOff>
      <xdr:row>15</xdr:row>
      <xdr:rowOff>28187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1BCACF7E-01D6-A645-B600-C0E868805F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13938</xdr:colOff>
      <xdr:row>29</xdr:row>
      <xdr:rowOff>161693</xdr:rowOff>
    </xdr:from>
    <xdr:to>
      <xdr:col>24</xdr:col>
      <xdr:colOff>481670</xdr:colOff>
      <xdr:row>44</xdr:row>
      <xdr:rowOff>117088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CD4501C-C823-E846-A29B-3E610EA04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690705</xdr:colOff>
      <xdr:row>84</xdr:row>
      <xdr:rowOff>3028</xdr:rowOff>
    </xdr:from>
    <xdr:to>
      <xdr:col>17</xdr:col>
      <xdr:colOff>210927</xdr:colOff>
      <xdr:row>98</xdr:row>
      <xdr:rowOff>74581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DD0D0743-DD38-E544-A2E0-3F1489DDC9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681568</xdr:colOff>
      <xdr:row>69</xdr:row>
      <xdr:rowOff>86628</xdr:rowOff>
    </xdr:from>
    <xdr:to>
      <xdr:col>17</xdr:col>
      <xdr:colOff>201790</xdr:colOff>
      <xdr:row>83</xdr:row>
      <xdr:rowOff>169299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FA316097-93BD-8C42-83B6-3949845F8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727960</xdr:colOff>
      <xdr:row>98</xdr:row>
      <xdr:rowOff>105248</xdr:rowOff>
    </xdr:from>
    <xdr:to>
      <xdr:col>17</xdr:col>
      <xdr:colOff>264359</xdr:colOff>
      <xdr:row>113</xdr:row>
      <xdr:rowOff>60644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BFF04C9C-C66D-F04A-B913-43799E709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tabSelected="1" topLeftCell="B1" zoomScaleNormal="100" workbookViewId="0">
      <selection activeCell="N124" sqref="N124"/>
    </sheetView>
  </sheetViews>
  <sheetFormatPr baseColWidth="10" defaultRowHeight="15" x14ac:dyDescent="0.25"/>
  <cols>
    <col min="1" max="1" width="0" hidden="1" customWidth="1"/>
    <col min="2" max="2" width="26.5703125" customWidth="1"/>
    <col min="3" max="4" width="10.85546875" customWidth="1"/>
    <col min="5" max="5" width="11" bestFit="1" customWidth="1"/>
    <col min="6" max="6" width="9.28515625" bestFit="1" customWidth="1"/>
    <col min="7" max="7" width="10.85546875" customWidth="1"/>
    <col min="8" max="8" width="12.28515625" bestFit="1" customWidth="1"/>
    <col min="10" max="10" width="12.5703125" customWidth="1"/>
    <col min="11" max="11" width="11" bestFit="1" customWidth="1"/>
    <col min="12" max="12" width="12.28515625" bestFit="1" customWidth="1"/>
    <col min="13" max="13" width="11" bestFit="1" customWidth="1"/>
    <col min="14" max="14" width="11.85546875" bestFit="1" customWidth="1"/>
    <col min="15" max="15" width="11" bestFit="1" customWidth="1"/>
  </cols>
  <sheetData>
    <row r="1" spans="1:17" ht="45" x14ac:dyDescent="0.25">
      <c r="A1" s="3" t="s">
        <v>1</v>
      </c>
      <c r="B1" s="31" t="s">
        <v>96</v>
      </c>
      <c r="C1" s="31" t="s">
        <v>0</v>
      </c>
      <c r="D1" s="31" t="s">
        <v>97</v>
      </c>
      <c r="E1" s="31" t="s">
        <v>66</v>
      </c>
      <c r="F1" s="31" t="s">
        <v>98</v>
      </c>
      <c r="G1" s="31" t="s">
        <v>99</v>
      </c>
      <c r="H1" s="31" t="s">
        <v>100</v>
      </c>
      <c r="I1" s="31" t="s">
        <v>104</v>
      </c>
      <c r="J1" s="31" t="s">
        <v>101</v>
      </c>
      <c r="K1" s="31" t="s">
        <v>102</v>
      </c>
      <c r="L1" s="31" t="s">
        <v>103</v>
      </c>
    </row>
    <row r="2" spans="1:17" ht="32.25" customHeight="1" x14ac:dyDescent="0.25">
      <c r="A2" s="2">
        <v>43047</v>
      </c>
      <c r="B2" s="30" t="s">
        <v>95</v>
      </c>
      <c r="C2" s="21">
        <v>5</v>
      </c>
      <c r="D2" s="21" t="s">
        <v>2</v>
      </c>
      <c r="E2" s="21">
        <v>5</v>
      </c>
      <c r="F2" s="21" t="s">
        <v>63</v>
      </c>
      <c r="G2" s="2">
        <v>43047</v>
      </c>
      <c r="H2" s="1" t="s">
        <v>3</v>
      </c>
      <c r="I2" s="32">
        <v>3.5999999999999999E-3</v>
      </c>
      <c r="J2" s="21">
        <v>5</v>
      </c>
      <c r="K2" s="21">
        <v>1</v>
      </c>
      <c r="L2" s="1" t="s">
        <v>105</v>
      </c>
      <c r="M2" s="13">
        <v>5</v>
      </c>
      <c r="N2">
        <f>((0.1466*M2)+5.6038)+$J$42</f>
        <v>9.6170438933713456</v>
      </c>
      <c r="O2">
        <f>((0.1466*M2)+5.6038)-$J$42</f>
        <v>3.0565561066286553</v>
      </c>
      <c r="P2">
        <f>((0.0006*M2)+0.0022)+$I$42</f>
        <v>2.2179500692010936E-2</v>
      </c>
      <c r="Q2">
        <f>((0.0006*M2)+0.0022)-$I$42</f>
        <v>-1.1779500692010936E-2</v>
      </c>
    </row>
    <row r="3" spans="1:17" ht="30" x14ac:dyDescent="0.25">
      <c r="A3" s="2">
        <v>43116</v>
      </c>
      <c r="B3" s="30" t="s">
        <v>95</v>
      </c>
      <c r="C3" s="21">
        <v>9</v>
      </c>
      <c r="D3" s="21" t="s">
        <v>4</v>
      </c>
      <c r="E3" s="21">
        <v>6</v>
      </c>
      <c r="F3" s="21" t="s">
        <v>64</v>
      </c>
      <c r="G3" s="2">
        <v>43117</v>
      </c>
      <c r="H3" s="1" t="s">
        <v>3</v>
      </c>
      <c r="I3" s="32">
        <v>2E-3</v>
      </c>
      <c r="J3" s="21">
        <v>3</v>
      </c>
      <c r="K3" s="21">
        <v>1</v>
      </c>
      <c r="L3" s="1" t="s">
        <v>105</v>
      </c>
      <c r="M3">
        <f>5+M2</f>
        <v>10</v>
      </c>
      <c r="N3">
        <f t="shared" ref="N3:N6" si="0">((0.1466*M3)+5.6038)+$J$42</f>
        <v>10.350043893371344</v>
      </c>
      <c r="O3">
        <f t="shared" ref="O3:O5" si="1">((0.1466*M3)+5.6038)-$J$42</f>
        <v>3.7895561066286549</v>
      </c>
      <c r="P3">
        <f t="shared" ref="P3:P6" si="2">((0.0006*M3)+0.0022)+$I$42</f>
        <v>2.5179500692010935E-2</v>
      </c>
      <c r="Q3">
        <f t="shared" ref="Q3:Q6" si="3">((0.0006*M3)+0.0022)-$I$42</f>
        <v>-8.7795006920109372E-3</v>
      </c>
    </row>
    <row r="4" spans="1:17" x14ac:dyDescent="0.25">
      <c r="A4" s="2">
        <v>43117</v>
      </c>
      <c r="B4" s="29" t="s">
        <v>92</v>
      </c>
      <c r="C4" s="21">
        <v>10</v>
      </c>
      <c r="D4" s="21" t="s">
        <v>5</v>
      </c>
      <c r="E4" s="21">
        <v>14</v>
      </c>
      <c r="F4" s="21" t="s">
        <v>63</v>
      </c>
      <c r="G4" s="2">
        <v>43118</v>
      </c>
      <c r="H4" s="1" t="s">
        <v>3</v>
      </c>
      <c r="I4" s="32">
        <v>1.2200000000000001E-2</v>
      </c>
      <c r="J4" s="21">
        <v>10</v>
      </c>
      <c r="K4" s="21">
        <v>2</v>
      </c>
      <c r="L4" s="1" t="s">
        <v>105</v>
      </c>
      <c r="M4">
        <f t="shared" ref="M4:M6" si="4">5+M3</f>
        <v>15</v>
      </c>
      <c r="N4">
        <f t="shared" si="0"/>
        <v>11.083043893371345</v>
      </c>
      <c r="O4">
        <f t="shared" si="1"/>
        <v>4.5225561066286541</v>
      </c>
      <c r="P4">
        <f t="shared" si="2"/>
        <v>2.8179500692010938E-2</v>
      </c>
      <c r="Q4">
        <f t="shared" si="3"/>
        <v>-5.7795006920109363E-3</v>
      </c>
    </row>
    <row r="5" spans="1:17" x14ac:dyDescent="0.25">
      <c r="A5" s="2">
        <v>43118</v>
      </c>
      <c r="B5" s="29" t="s">
        <v>92</v>
      </c>
      <c r="C5" s="21">
        <v>11</v>
      </c>
      <c r="D5" s="21" t="s">
        <v>6</v>
      </c>
      <c r="E5" s="21">
        <v>18</v>
      </c>
      <c r="F5" s="21" t="s">
        <v>64</v>
      </c>
      <c r="G5" s="2">
        <v>43118</v>
      </c>
      <c r="H5" s="1" t="s">
        <v>3</v>
      </c>
      <c r="I5" s="32">
        <v>8.8000000000000005E-3</v>
      </c>
      <c r="J5" s="21">
        <v>10</v>
      </c>
      <c r="K5" s="21">
        <v>2</v>
      </c>
      <c r="L5" s="1" t="s">
        <v>105</v>
      </c>
      <c r="M5">
        <f t="shared" si="4"/>
        <v>20</v>
      </c>
      <c r="N5">
        <f t="shared" si="0"/>
        <v>11.816043893371345</v>
      </c>
      <c r="O5">
        <f t="shared" si="1"/>
        <v>5.2555561066286547</v>
      </c>
      <c r="P5">
        <f t="shared" si="2"/>
        <v>3.1179500692010934E-2</v>
      </c>
      <c r="Q5">
        <f t="shared" si="3"/>
        <v>-2.7795006920109371E-3</v>
      </c>
    </row>
    <row r="6" spans="1:17" x14ac:dyDescent="0.25">
      <c r="A6" s="2">
        <v>43123</v>
      </c>
      <c r="B6" s="29" t="s">
        <v>93</v>
      </c>
      <c r="C6" s="21">
        <v>12</v>
      </c>
      <c r="D6" s="21" t="s">
        <v>7</v>
      </c>
      <c r="E6" s="21">
        <v>17</v>
      </c>
      <c r="F6" s="21" t="s">
        <v>63</v>
      </c>
      <c r="G6" s="2">
        <v>43124</v>
      </c>
      <c r="H6" s="1" t="s">
        <v>3</v>
      </c>
      <c r="I6" s="32">
        <v>2.9499999999999998E-2</v>
      </c>
      <c r="J6" s="21">
        <v>12</v>
      </c>
      <c r="K6" s="21">
        <v>3</v>
      </c>
      <c r="L6" s="1" t="s">
        <v>105</v>
      </c>
      <c r="M6">
        <f t="shared" si="4"/>
        <v>25</v>
      </c>
      <c r="N6">
        <f t="shared" si="0"/>
        <v>12.549043893371344</v>
      </c>
      <c r="O6">
        <f>((0.1466*M6)+5.6038)-$J$42</f>
        <v>5.9885561066286535</v>
      </c>
      <c r="P6">
        <f t="shared" si="2"/>
        <v>3.4179500692010936E-2</v>
      </c>
      <c r="Q6">
        <f t="shared" si="3"/>
        <v>2.2049930798906381E-4</v>
      </c>
    </row>
    <row r="7" spans="1:17" x14ac:dyDescent="0.25">
      <c r="A7" s="2">
        <v>43123</v>
      </c>
      <c r="B7" s="29" t="s">
        <v>93</v>
      </c>
      <c r="C7" s="21">
        <v>13</v>
      </c>
      <c r="D7" s="21" t="s">
        <v>7</v>
      </c>
      <c r="E7" s="21">
        <v>17</v>
      </c>
      <c r="F7" s="21" t="s">
        <v>63</v>
      </c>
      <c r="G7" s="2">
        <v>43124</v>
      </c>
      <c r="H7" s="1" t="s">
        <v>3</v>
      </c>
      <c r="I7" s="32">
        <v>1.5599999999999999E-2</v>
      </c>
      <c r="J7" s="21">
        <v>12</v>
      </c>
      <c r="K7" s="21">
        <v>3</v>
      </c>
      <c r="L7" s="1" t="s">
        <v>105</v>
      </c>
    </row>
    <row r="8" spans="1:17" x14ac:dyDescent="0.25">
      <c r="A8" s="2">
        <v>43124</v>
      </c>
      <c r="B8" s="29" t="s">
        <v>93</v>
      </c>
      <c r="C8" s="21">
        <v>14</v>
      </c>
      <c r="D8" s="21" t="s">
        <v>8</v>
      </c>
      <c r="E8" s="21">
        <v>23</v>
      </c>
      <c r="F8" s="21" t="s">
        <v>63</v>
      </c>
      <c r="G8" s="2">
        <v>43124</v>
      </c>
      <c r="H8" s="1" t="s">
        <v>3</v>
      </c>
      <c r="I8" s="32">
        <v>9.1999999999999998E-3</v>
      </c>
      <c r="J8" s="21">
        <v>8</v>
      </c>
      <c r="K8" s="21">
        <v>2</v>
      </c>
      <c r="L8" s="1" t="s">
        <v>105</v>
      </c>
    </row>
    <row r="9" spans="1:17" x14ac:dyDescent="0.25">
      <c r="A9" s="2">
        <v>43124</v>
      </c>
      <c r="B9" s="29" t="s">
        <v>93</v>
      </c>
      <c r="C9" s="21">
        <v>15</v>
      </c>
      <c r="D9" s="21" t="s">
        <v>8</v>
      </c>
      <c r="E9" s="21">
        <v>23</v>
      </c>
      <c r="F9" s="21" t="s">
        <v>63</v>
      </c>
      <c r="G9" s="2">
        <v>43124</v>
      </c>
      <c r="H9" s="1" t="s">
        <v>3</v>
      </c>
      <c r="I9" s="32">
        <v>1.4E-2</v>
      </c>
      <c r="J9" s="21">
        <v>5</v>
      </c>
      <c r="K9" s="21">
        <v>2</v>
      </c>
      <c r="L9" s="1" t="s">
        <v>105</v>
      </c>
    </row>
    <row r="10" spans="1:17" x14ac:dyDescent="0.25">
      <c r="A10" s="2">
        <v>43125</v>
      </c>
      <c r="B10" s="29" t="s">
        <v>92</v>
      </c>
      <c r="C10" s="21">
        <v>16</v>
      </c>
      <c r="D10" s="21" t="s">
        <v>6</v>
      </c>
      <c r="E10" s="21">
        <v>18</v>
      </c>
      <c r="F10" s="21" t="s">
        <v>64</v>
      </c>
      <c r="G10" s="2">
        <v>43126</v>
      </c>
      <c r="H10" s="1" t="s">
        <v>3</v>
      </c>
      <c r="I10" s="32">
        <v>1.2699999999999999E-2</v>
      </c>
      <c r="J10" s="21">
        <v>8</v>
      </c>
      <c r="K10" s="21">
        <v>2</v>
      </c>
      <c r="L10" s="1" t="s">
        <v>105</v>
      </c>
    </row>
    <row r="11" spans="1:17" x14ac:dyDescent="0.25">
      <c r="A11" s="2">
        <v>43130</v>
      </c>
      <c r="B11" s="29" t="s">
        <v>94</v>
      </c>
      <c r="C11" s="21">
        <v>17</v>
      </c>
      <c r="D11" s="21" t="s">
        <v>9</v>
      </c>
      <c r="E11" s="21">
        <v>5</v>
      </c>
      <c r="F11" s="21" t="s">
        <v>64</v>
      </c>
      <c r="G11" s="2">
        <v>43131</v>
      </c>
      <c r="H11" s="1" t="s">
        <v>3</v>
      </c>
      <c r="I11" s="32">
        <v>2.4E-2</v>
      </c>
      <c r="J11" s="21">
        <v>12</v>
      </c>
      <c r="K11" s="21">
        <v>3</v>
      </c>
      <c r="L11" s="1" t="s">
        <v>105</v>
      </c>
    </row>
    <row r="12" spans="1:17" x14ac:dyDescent="0.25">
      <c r="A12" s="2">
        <v>43130</v>
      </c>
      <c r="B12" s="29" t="s">
        <v>94</v>
      </c>
      <c r="C12" s="21">
        <v>18</v>
      </c>
      <c r="D12" s="21" t="s">
        <v>10</v>
      </c>
      <c r="E12" s="21">
        <v>11</v>
      </c>
      <c r="F12" s="21" t="s">
        <v>64</v>
      </c>
      <c r="G12" s="2">
        <v>43131</v>
      </c>
      <c r="H12" s="1" t="s">
        <v>3</v>
      </c>
      <c r="I12" s="32">
        <v>5.4000000000000003E-3</v>
      </c>
      <c r="J12" s="21">
        <v>7</v>
      </c>
      <c r="K12" s="21">
        <v>2</v>
      </c>
      <c r="L12" s="1" t="s">
        <v>105</v>
      </c>
    </row>
    <row r="13" spans="1:17" x14ac:dyDescent="0.25">
      <c r="A13" s="2">
        <v>43131</v>
      </c>
      <c r="B13" s="29" t="s">
        <v>92</v>
      </c>
      <c r="C13" s="21">
        <v>19</v>
      </c>
      <c r="D13" s="21" t="s">
        <v>11</v>
      </c>
      <c r="E13" s="21">
        <v>13</v>
      </c>
      <c r="F13" s="21" t="s">
        <v>63</v>
      </c>
      <c r="G13" s="2">
        <v>43131</v>
      </c>
      <c r="H13" s="1" t="s">
        <v>3</v>
      </c>
      <c r="I13" s="32">
        <v>9.5999999999999992E-3</v>
      </c>
      <c r="J13" s="21">
        <v>12</v>
      </c>
      <c r="K13" s="21">
        <v>2</v>
      </c>
      <c r="L13" s="1" t="s">
        <v>105</v>
      </c>
    </row>
    <row r="14" spans="1:17" x14ac:dyDescent="0.25">
      <c r="A14" s="2">
        <v>43131</v>
      </c>
      <c r="B14" s="29" t="s">
        <v>92</v>
      </c>
      <c r="C14" s="21">
        <v>20</v>
      </c>
      <c r="D14" s="21" t="s">
        <v>11</v>
      </c>
      <c r="E14" s="21">
        <v>13</v>
      </c>
      <c r="F14" s="21" t="s">
        <v>63</v>
      </c>
      <c r="G14" s="2">
        <v>43131</v>
      </c>
      <c r="H14" s="1" t="s">
        <v>3</v>
      </c>
      <c r="I14" s="32">
        <v>6.4000000000000003E-3</v>
      </c>
      <c r="J14" s="21">
        <v>8</v>
      </c>
      <c r="K14" s="21">
        <v>2</v>
      </c>
      <c r="L14" s="1" t="s">
        <v>105</v>
      </c>
    </row>
    <row r="15" spans="1:17" ht="30" x14ac:dyDescent="0.25">
      <c r="A15" s="2">
        <v>43131</v>
      </c>
      <c r="B15" s="30" t="s">
        <v>95</v>
      </c>
      <c r="C15" s="21">
        <v>21</v>
      </c>
      <c r="D15" s="21" t="s">
        <v>12</v>
      </c>
      <c r="E15" s="21">
        <v>5</v>
      </c>
      <c r="F15" s="21" t="s">
        <v>63</v>
      </c>
      <c r="G15" s="2">
        <v>43132</v>
      </c>
      <c r="H15" s="1" t="s">
        <v>3</v>
      </c>
      <c r="I15" s="32">
        <v>4.0000000000000002E-4</v>
      </c>
      <c r="J15" s="21">
        <v>3</v>
      </c>
      <c r="K15" s="21">
        <v>1</v>
      </c>
      <c r="L15" s="1" t="s">
        <v>105</v>
      </c>
    </row>
    <row r="16" spans="1:17" x14ac:dyDescent="0.25">
      <c r="A16" s="2">
        <v>43133</v>
      </c>
      <c r="B16" s="29" t="s">
        <v>93</v>
      </c>
      <c r="C16" s="21">
        <v>22</v>
      </c>
      <c r="D16" s="21" t="s">
        <v>13</v>
      </c>
      <c r="E16" s="21">
        <v>21</v>
      </c>
      <c r="F16" s="21" t="s">
        <v>63</v>
      </c>
      <c r="G16" s="2">
        <v>43133</v>
      </c>
      <c r="H16" s="1" t="s">
        <v>3</v>
      </c>
      <c r="I16" s="32">
        <v>1.35E-2</v>
      </c>
      <c r="J16" s="21">
        <v>8</v>
      </c>
      <c r="K16" s="21">
        <v>4</v>
      </c>
      <c r="L16" s="1" t="s">
        <v>105</v>
      </c>
    </row>
    <row r="17" spans="1:12" ht="30" x14ac:dyDescent="0.25">
      <c r="A17" s="2">
        <v>43134</v>
      </c>
      <c r="B17" s="30" t="s">
        <v>95</v>
      </c>
      <c r="C17" s="21">
        <v>23</v>
      </c>
      <c r="D17" s="21" t="s">
        <v>106</v>
      </c>
      <c r="E17" s="21">
        <v>6</v>
      </c>
      <c r="F17" s="21" t="s">
        <v>63</v>
      </c>
      <c r="G17" s="2">
        <v>43136</v>
      </c>
      <c r="H17" s="1" t="s">
        <v>3</v>
      </c>
      <c r="I17" s="32">
        <v>2.2000000000000001E-3</v>
      </c>
      <c r="J17" s="21">
        <v>5</v>
      </c>
      <c r="K17" s="21">
        <v>1</v>
      </c>
      <c r="L17" s="1" t="s">
        <v>105</v>
      </c>
    </row>
    <row r="18" spans="1:12" ht="30" x14ac:dyDescent="0.25">
      <c r="A18" s="2">
        <v>43134</v>
      </c>
      <c r="B18" s="30" t="s">
        <v>95</v>
      </c>
      <c r="C18" s="21">
        <v>24</v>
      </c>
      <c r="D18" s="21" t="s">
        <v>106</v>
      </c>
      <c r="E18" s="21">
        <v>6</v>
      </c>
      <c r="F18" s="21" t="s">
        <v>63</v>
      </c>
      <c r="G18" s="2">
        <v>43136</v>
      </c>
      <c r="H18" s="1" t="s">
        <v>3</v>
      </c>
      <c r="I18" s="32">
        <v>1.1999999999999999E-3</v>
      </c>
      <c r="J18" s="21">
        <v>5</v>
      </c>
      <c r="K18" s="21">
        <v>1</v>
      </c>
      <c r="L18" s="1" t="s">
        <v>105</v>
      </c>
    </row>
    <row r="19" spans="1:12" ht="30" x14ac:dyDescent="0.25">
      <c r="A19" s="2">
        <v>43134</v>
      </c>
      <c r="B19" s="30" t="s">
        <v>95</v>
      </c>
      <c r="C19" s="21">
        <v>25</v>
      </c>
      <c r="D19" s="21" t="s">
        <v>2</v>
      </c>
      <c r="E19" s="21">
        <v>6</v>
      </c>
      <c r="F19" s="21" t="s">
        <v>63</v>
      </c>
      <c r="G19" s="2">
        <v>43136</v>
      </c>
      <c r="H19" s="1" t="s">
        <v>3</v>
      </c>
      <c r="I19" s="32">
        <v>2.3E-3</v>
      </c>
      <c r="J19" s="21">
        <v>5</v>
      </c>
      <c r="K19" s="21">
        <v>1</v>
      </c>
      <c r="L19" s="1" t="s">
        <v>105</v>
      </c>
    </row>
    <row r="20" spans="1:12" ht="30" x14ac:dyDescent="0.25">
      <c r="A20" s="2">
        <v>43137</v>
      </c>
      <c r="B20" s="30" t="s">
        <v>95</v>
      </c>
      <c r="C20" s="21">
        <v>26</v>
      </c>
      <c r="D20" s="21" t="s">
        <v>14</v>
      </c>
      <c r="E20" s="21">
        <v>5</v>
      </c>
      <c r="F20" s="21" t="s">
        <v>64</v>
      </c>
      <c r="G20" s="2">
        <v>43138</v>
      </c>
      <c r="H20" s="1" t="s">
        <v>3</v>
      </c>
      <c r="I20" s="32">
        <v>8.0000000000000004E-4</v>
      </c>
      <c r="J20" s="21">
        <v>3</v>
      </c>
      <c r="K20" s="21">
        <v>1</v>
      </c>
      <c r="L20" s="1" t="s">
        <v>105</v>
      </c>
    </row>
    <row r="21" spans="1:12" x14ac:dyDescent="0.25">
      <c r="A21" s="2">
        <v>43137</v>
      </c>
      <c r="B21" s="29" t="s">
        <v>94</v>
      </c>
      <c r="C21" s="21">
        <v>28</v>
      </c>
      <c r="D21" s="21" t="s">
        <v>15</v>
      </c>
      <c r="E21" s="21">
        <v>5</v>
      </c>
      <c r="F21" s="21" t="s">
        <v>64</v>
      </c>
      <c r="G21" s="2">
        <v>43138</v>
      </c>
      <c r="H21" s="1" t="s">
        <v>3</v>
      </c>
      <c r="I21" s="32">
        <v>1.0500000000000001E-2</v>
      </c>
      <c r="J21" s="21">
        <v>6</v>
      </c>
      <c r="K21" s="21">
        <v>2</v>
      </c>
      <c r="L21" s="1" t="s">
        <v>105</v>
      </c>
    </row>
    <row r="22" spans="1:12" x14ac:dyDescent="0.25">
      <c r="A22" s="2">
        <v>43137</v>
      </c>
      <c r="B22" s="29" t="s">
        <v>94</v>
      </c>
      <c r="C22" s="21">
        <v>29</v>
      </c>
      <c r="D22" s="21" t="s">
        <v>16</v>
      </c>
      <c r="E22" s="21">
        <v>12</v>
      </c>
      <c r="F22" s="21" t="s">
        <v>63</v>
      </c>
      <c r="G22" s="2">
        <v>43138</v>
      </c>
      <c r="H22" s="1" t="s">
        <v>3</v>
      </c>
      <c r="I22" s="32">
        <v>3.0000000000000001E-3</v>
      </c>
      <c r="J22" s="21">
        <v>5</v>
      </c>
      <c r="K22" s="21">
        <v>1</v>
      </c>
      <c r="L22" s="1" t="s">
        <v>105</v>
      </c>
    </row>
    <row r="23" spans="1:12" x14ac:dyDescent="0.25">
      <c r="A23" s="2">
        <v>43137</v>
      </c>
      <c r="B23" s="29" t="s">
        <v>92</v>
      </c>
      <c r="C23" s="21">
        <v>30</v>
      </c>
      <c r="D23" s="21" t="s">
        <v>17</v>
      </c>
      <c r="E23" s="21">
        <v>24</v>
      </c>
      <c r="F23" s="21" t="s">
        <v>63</v>
      </c>
      <c r="G23" s="2">
        <v>43138</v>
      </c>
      <c r="H23" s="1" t="s">
        <v>3</v>
      </c>
      <c r="I23" s="32">
        <v>3.0999999999999999E-3</v>
      </c>
      <c r="J23" s="21">
        <v>4</v>
      </c>
      <c r="K23" s="21">
        <v>1</v>
      </c>
      <c r="L23" s="1" t="s">
        <v>105</v>
      </c>
    </row>
    <row r="24" spans="1:12" x14ac:dyDescent="0.25">
      <c r="A24" s="2">
        <v>43138</v>
      </c>
      <c r="B24" s="29" t="s">
        <v>94</v>
      </c>
      <c r="C24" s="21">
        <v>32</v>
      </c>
      <c r="D24" s="21" t="s">
        <v>18</v>
      </c>
      <c r="E24" s="21">
        <v>20</v>
      </c>
      <c r="F24" s="21" t="s">
        <v>64</v>
      </c>
      <c r="G24" s="2">
        <v>43139</v>
      </c>
      <c r="H24" s="1" t="s">
        <v>3</v>
      </c>
      <c r="I24" s="32">
        <v>0.107</v>
      </c>
      <c r="J24" s="21">
        <v>12</v>
      </c>
      <c r="K24" s="21">
        <v>2</v>
      </c>
      <c r="L24" s="1" t="s">
        <v>105</v>
      </c>
    </row>
    <row r="25" spans="1:12" x14ac:dyDescent="0.25">
      <c r="A25" s="2">
        <v>43138</v>
      </c>
      <c r="B25" s="29" t="s">
        <v>94</v>
      </c>
      <c r="C25" s="21">
        <v>33</v>
      </c>
      <c r="D25" s="21" t="s">
        <v>18</v>
      </c>
      <c r="E25" s="21">
        <v>20</v>
      </c>
      <c r="F25" s="21" t="s">
        <v>64</v>
      </c>
      <c r="G25" s="2">
        <v>43139</v>
      </c>
      <c r="H25" s="1" t="s">
        <v>3</v>
      </c>
      <c r="I25" s="32">
        <v>2.0999999999999999E-3</v>
      </c>
      <c r="J25" s="21">
        <v>4</v>
      </c>
      <c r="K25" s="21">
        <v>1</v>
      </c>
      <c r="L25" s="1" t="s">
        <v>105</v>
      </c>
    </row>
    <row r="26" spans="1:12" x14ac:dyDescent="0.25">
      <c r="A26" s="2">
        <v>43138</v>
      </c>
      <c r="B26" s="29" t="s">
        <v>94</v>
      </c>
      <c r="C26" s="21">
        <v>34</v>
      </c>
      <c r="D26" s="21" t="s">
        <v>18</v>
      </c>
      <c r="E26" s="21">
        <v>20</v>
      </c>
      <c r="F26" s="21" t="s">
        <v>64</v>
      </c>
      <c r="G26" s="2">
        <v>43139</v>
      </c>
      <c r="H26" s="1" t="s">
        <v>3</v>
      </c>
      <c r="I26" s="32">
        <v>5.7000000000000002E-3</v>
      </c>
      <c r="J26" s="21">
        <v>12</v>
      </c>
      <c r="K26" s="21">
        <v>2</v>
      </c>
      <c r="L26" s="1" t="s">
        <v>105</v>
      </c>
    </row>
    <row r="27" spans="1:12" x14ac:dyDescent="0.25">
      <c r="A27" s="2">
        <v>43138</v>
      </c>
      <c r="B27" s="29" t="s">
        <v>94</v>
      </c>
      <c r="C27" s="21">
        <v>35</v>
      </c>
      <c r="D27" s="21" t="s">
        <v>18</v>
      </c>
      <c r="E27" s="21">
        <v>20</v>
      </c>
      <c r="F27" s="21" t="s">
        <v>64</v>
      </c>
      <c r="G27" s="2">
        <v>43139</v>
      </c>
      <c r="H27" s="1" t="s">
        <v>3</v>
      </c>
      <c r="I27" s="32">
        <v>1.6999999999999999E-3</v>
      </c>
      <c r="J27" s="21">
        <v>6</v>
      </c>
      <c r="K27" s="21">
        <v>1</v>
      </c>
      <c r="L27" s="1" t="s">
        <v>105</v>
      </c>
    </row>
    <row r="28" spans="1:12" ht="30" x14ac:dyDescent="0.25">
      <c r="A28" s="2">
        <v>43146</v>
      </c>
      <c r="B28" s="30" t="s">
        <v>95</v>
      </c>
      <c r="C28" s="21">
        <v>36</v>
      </c>
      <c r="D28" s="21" t="s">
        <v>19</v>
      </c>
      <c r="E28" s="21">
        <v>5</v>
      </c>
      <c r="F28" s="21" t="s">
        <v>63</v>
      </c>
      <c r="G28" s="2">
        <v>43147</v>
      </c>
      <c r="H28" s="1" t="s">
        <v>3</v>
      </c>
      <c r="I28" s="32">
        <v>4.0000000000000002E-4</v>
      </c>
      <c r="J28" s="21">
        <v>3</v>
      </c>
      <c r="K28" s="21">
        <v>1</v>
      </c>
      <c r="L28" s="1" t="s">
        <v>105</v>
      </c>
    </row>
    <row r="29" spans="1:12" x14ac:dyDescent="0.25">
      <c r="A29" s="2">
        <v>43151</v>
      </c>
      <c r="B29" s="29" t="s">
        <v>94</v>
      </c>
      <c r="C29" s="21">
        <v>37</v>
      </c>
      <c r="D29" s="21" t="s">
        <v>20</v>
      </c>
      <c r="E29" s="21">
        <v>10</v>
      </c>
      <c r="F29" s="21" t="s">
        <v>63</v>
      </c>
      <c r="G29" s="2">
        <v>43152</v>
      </c>
      <c r="H29" s="1" t="s">
        <v>3</v>
      </c>
      <c r="I29" s="32">
        <v>1.14E-2</v>
      </c>
      <c r="J29" s="21">
        <v>13</v>
      </c>
      <c r="K29" s="21">
        <v>2</v>
      </c>
      <c r="L29" s="1" t="s">
        <v>105</v>
      </c>
    </row>
    <row r="30" spans="1:12" x14ac:dyDescent="0.25">
      <c r="A30" s="2">
        <v>43154</v>
      </c>
      <c r="B30" s="29" t="s">
        <v>93</v>
      </c>
      <c r="C30" s="21">
        <v>38</v>
      </c>
      <c r="D30" s="21" t="s">
        <v>21</v>
      </c>
      <c r="E30" s="21">
        <v>21</v>
      </c>
      <c r="F30" s="21" t="s">
        <v>63</v>
      </c>
      <c r="G30" s="2">
        <v>43155</v>
      </c>
      <c r="H30" s="1" t="s">
        <v>3</v>
      </c>
      <c r="I30" s="32">
        <v>0.01</v>
      </c>
      <c r="J30" s="21">
        <v>8</v>
      </c>
      <c r="K30" s="21">
        <v>2</v>
      </c>
      <c r="L30" s="1" t="s">
        <v>105</v>
      </c>
    </row>
    <row r="31" spans="1:12" x14ac:dyDescent="0.25">
      <c r="A31" s="2">
        <v>43157</v>
      </c>
      <c r="B31" s="29" t="s">
        <v>92</v>
      </c>
      <c r="C31" s="21">
        <v>39</v>
      </c>
      <c r="D31" s="21" t="s">
        <v>17</v>
      </c>
      <c r="E31" s="21">
        <v>15</v>
      </c>
      <c r="F31" s="21" t="s">
        <v>64</v>
      </c>
      <c r="G31" s="2">
        <v>43158</v>
      </c>
      <c r="H31" s="1" t="s">
        <v>3</v>
      </c>
      <c r="I31" s="32">
        <v>5.1000000000000004E-3</v>
      </c>
      <c r="J31" s="21">
        <v>10</v>
      </c>
      <c r="K31" s="21">
        <v>1</v>
      </c>
      <c r="L31" s="1" t="s">
        <v>105</v>
      </c>
    </row>
    <row r="32" spans="1:12" x14ac:dyDescent="0.25">
      <c r="A32" s="2">
        <v>43157</v>
      </c>
      <c r="B32" s="29" t="s">
        <v>92</v>
      </c>
      <c r="C32" s="21">
        <v>40</v>
      </c>
      <c r="D32" s="21" t="s">
        <v>17</v>
      </c>
      <c r="E32" s="21">
        <v>15</v>
      </c>
      <c r="F32" s="21" t="s">
        <v>64</v>
      </c>
      <c r="G32" s="2">
        <v>43158</v>
      </c>
      <c r="H32" s="1" t="s">
        <v>3</v>
      </c>
      <c r="I32" s="32">
        <v>9.5999999999999992E-3</v>
      </c>
      <c r="J32" s="21">
        <v>11</v>
      </c>
      <c r="K32" s="21">
        <v>2</v>
      </c>
      <c r="L32" s="1" t="s">
        <v>105</v>
      </c>
    </row>
    <row r="33" spans="1:24" x14ac:dyDescent="0.25">
      <c r="A33" s="2">
        <v>43159</v>
      </c>
      <c r="B33" s="29" t="s">
        <v>92</v>
      </c>
      <c r="C33" s="21">
        <v>41</v>
      </c>
      <c r="D33" s="21" t="s">
        <v>22</v>
      </c>
      <c r="E33" s="21">
        <v>22</v>
      </c>
      <c r="F33" s="21" t="s">
        <v>63</v>
      </c>
      <c r="G33" s="2">
        <v>43160</v>
      </c>
      <c r="H33" s="1" t="s">
        <v>3</v>
      </c>
      <c r="I33" s="32">
        <v>6.1000000000000004E-3</v>
      </c>
      <c r="J33" s="21">
        <v>6</v>
      </c>
      <c r="K33" s="21">
        <v>1</v>
      </c>
      <c r="L33" s="1" t="s">
        <v>105</v>
      </c>
    </row>
    <row r="34" spans="1:24" x14ac:dyDescent="0.25">
      <c r="A34" s="2">
        <v>43159</v>
      </c>
      <c r="B34" s="29" t="s">
        <v>92</v>
      </c>
      <c r="C34" s="21">
        <v>42</v>
      </c>
      <c r="D34" s="21" t="s">
        <v>22</v>
      </c>
      <c r="E34" s="21">
        <v>22</v>
      </c>
      <c r="F34" s="21" t="s">
        <v>63</v>
      </c>
      <c r="G34" s="2">
        <v>43160</v>
      </c>
      <c r="H34" s="1" t="s">
        <v>3</v>
      </c>
      <c r="I34" s="32">
        <v>4.8999999999999998E-3</v>
      </c>
      <c r="J34" s="21">
        <v>7</v>
      </c>
      <c r="K34" s="21">
        <v>2</v>
      </c>
      <c r="L34" s="1" t="s">
        <v>105</v>
      </c>
    </row>
    <row r="35" spans="1:24" ht="30" x14ac:dyDescent="0.25">
      <c r="A35" s="2">
        <v>43164</v>
      </c>
      <c r="B35" s="30" t="s">
        <v>95</v>
      </c>
      <c r="C35" s="21">
        <v>44</v>
      </c>
      <c r="D35" s="21" t="s">
        <v>23</v>
      </c>
      <c r="E35" s="21">
        <v>5</v>
      </c>
      <c r="F35" s="21" t="s">
        <v>64</v>
      </c>
      <c r="G35" s="2">
        <v>43165</v>
      </c>
      <c r="H35" s="1" t="s">
        <v>3</v>
      </c>
      <c r="I35" s="32">
        <v>3.3E-3</v>
      </c>
      <c r="J35" s="21">
        <v>5</v>
      </c>
      <c r="K35" s="21">
        <v>1</v>
      </c>
      <c r="L35" s="1" t="s">
        <v>105</v>
      </c>
    </row>
    <row r="36" spans="1:24" ht="30" x14ac:dyDescent="0.25">
      <c r="A36" s="2">
        <v>43164</v>
      </c>
      <c r="B36" s="30" t="s">
        <v>95</v>
      </c>
      <c r="C36" s="21">
        <v>45</v>
      </c>
      <c r="D36" s="21" t="s">
        <v>23</v>
      </c>
      <c r="E36" s="21">
        <v>5</v>
      </c>
      <c r="F36" s="21" t="s">
        <v>64</v>
      </c>
      <c r="G36" s="2">
        <v>43165</v>
      </c>
      <c r="H36" s="1" t="s">
        <v>3</v>
      </c>
      <c r="I36" s="32">
        <v>3.5000000000000001E-3</v>
      </c>
      <c r="J36" s="21">
        <v>4</v>
      </c>
      <c r="K36" s="21">
        <v>1</v>
      </c>
      <c r="L36" s="1" t="s">
        <v>105</v>
      </c>
    </row>
    <row r="37" spans="1:24" x14ac:dyDescent="0.25">
      <c r="A37" s="2">
        <v>43168</v>
      </c>
      <c r="B37" s="29" t="s">
        <v>94</v>
      </c>
      <c r="C37" s="21">
        <v>46</v>
      </c>
      <c r="D37" s="21" t="s">
        <v>24</v>
      </c>
      <c r="E37" s="21">
        <v>8</v>
      </c>
      <c r="F37" s="21" t="s">
        <v>64</v>
      </c>
      <c r="G37" s="2">
        <v>43169</v>
      </c>
      <c r="H37" s="1" t="s">
        <v>3</v>
      </c>
      <c r="I37" s="32">
        <v>7.9000000000000008E-3</v>
      </c>
      <c r="J37" s="21">
        <v>11</v>
      </c>
      <c r="K37" s="21">
        <v>2</v>
      </c>
      <c r="L37" s="1" t="s">
        <v>105</v>
      </c>
    </row>
    <row r="38" spans="1:24" x14ac:dyDescent="0.25">
      <c r="A38" s="2">
        <v>43171</v>
      </c>
      <c r="B38" s="29" t="s">
        <v>93</v>
      </c>
      <c r="C38" s="21">
        <v>47</v>
      </c>
      <c r="D38" s="21" t="s">
        <v>25</v>
      </c>
      <c r="E38" s="21">
        <v>19</v>
      </c>
      <c r="F38" s="21" t="s">
        <v>64</v>
      </c>
      <c r="G38" s="2">
        <v>43172</v>
      </c>
      <c r="H38" s="1" t="s">
        <v>3</v>
      </c>
      <c r="I38" s="32">
        <v>3.09E-2</v>
      </c>
      <c r="J38" s="21">
        <v>14</v>
      </c>
      <c r="K38" s="21">
        <v>3</v>
      </c>
      <c r="L38" s="1" t="s">
        <v>105</v>
      </c>
    </row>
    <row r="39" spans="1:24" x14ac:dyDescent="0.25">
      <c r="A39" s="2">
        <v>43175</v>
      </c>
      <c r="B39" s="29" t="s">
        <v>93</v>
      </c>
      <c r="C39" s="21">
        <v>48</v>
      </c>
      <c r="D39" s="21" t="s">
        <v>26</v>
      </c>
      <c r="E39" s="21">
        <v>22</v>
      </c>
      <c r="F39" s="21" t="s">
        <v>63</v>
      </c>
      <c r="G39" s="2">
        <v>43176</v>
      </c>
      <c r="H39" s="1" t="s">
        <v>3</v>
      </c>
      <c r="I39" s="32">
        <v>1.0500000000000001E-2</v>
      </c>
      <c r="J39" s="21">
        <v>11</v>
      </c>
      <c r="K39" s="21">
        <v>2</v>
      </c>
      <c r="L39" s="1" t="s">
        <v>105</v>
      </c>
    </row>
    <row r="40" spans="1:24" x14ac:dyDescent="0.25">
      <c r="A40" s="2">
        <v>43175</v>
      </c>
      <c r="B40" s="29" t="s">
        <v>93</v>
      </c>
      <c r="C40" s="21">
        <v>50</v>
      </c>
      <c r="D40" s="21" t="s">
        <v>27</v>
      </c>
      <c r="E40" s="21">
        <v>25</v>
      </c>
      <c r="F40" s="21" t="s">
        <v>64</v>
      </c>
      <c r="G40" s="2">
        <v>43176</v>
      </c>
      <c r="H40" s="1" t="s">
        <v>3</v>
      </c>
      <c r="I40" s="32">
        <v>1.72E-2</v>
      </c>
      <c r="J40" s="21">
        <v>10</v>
      </c>
      <c r="K40" s="21">
        <v>4</v>
      </c>
      <c r="L40" s="1" t="s">
        <v>105</v>
      </c>
    </row>
    <row r="41" spans="1:24" x14ac:dyDescent="0.25">
      <c r="A41" s="2">
        <v>43175</v>
      </c>
      <c r="B41" s="29" t="s">
        <v>93</v>
      </c>
      <c r="C41" s="21">
        <v>52</v>
      </c>
      <c r="D41" s="21" t="s">
        <v>28</v>
      </c>
      <c r="E41" s="21">
        <v>25</v>
      </c>
      <c r="F41" s="21" t="s">
        <v>64</v>
      </c>
      <c r="G41" s="2">
        <v>43176</v>
      </c>
      <c r="H41" s="1" t="s">
        <v>3</v>
      </c>
      <c r="I41" s="32">
        <v>8.0000000000000002E-3</v>
      </c>
      <c r="J41" s="21">
        <v>5</v>
      </c>
      <c r="K41" s="21">
        <v>4</v>
      </c>
      <c r="L41" s="1" t="s">
        <v>105</v>
      </c>
    </row>
    <row r="42" spans="1:24" x14ac:dyDescent="0.25">
      <c r="H42" s="13" t="s">
        <v>90</v>
      </c>
      <c r="I42">
        <f>_xlfn.STDEV.P(I2:I41)</f>
        <v>1.6979500692010936E-2</v>
      </c>
      <c r="J42">
        <f>_xlfn.STDEV.P(J2:J41)</f>
        <v>3.2802438933713449</v>
      </c>
      <c r="K42">
        <f>_xlfn.STDEV.P(K2:K41)</f>
        <v>0.88175960442741985</v>
      </c>
    </row>
    <row r="43" spans="1:24" x14ac:dyDescent="0.25">
      <c r="H43" s="13" t="s">
        <v>58</v>
      </c>
      <c r="I43">
        <v>6.3100000000000003E-2</v>
      </c>
      <c r="J43">
        <v>9.9900000000000003E-2</v>
      </c>
      <c r="K43">
        <v>0.22850000000000001</v>
      </c>
    </row>
    <row r="45" spans="1:24" x14ac:dyDescent="0.25">
      <c r="C45" s="23" t="s">
        <v>76</v>
      </c>
      <c r="O45" s="23" t="s">
        <v>77</v>
      </c>
    </row>
    <row r="46" spans="1:24" ht="30" x14ac:dyDescent="0.25">
      <c r="C46" s="21" t="s">
        <v>66</v>
      </c>
      <c r="D46" s="22" t="s">
        <v>67</v>
      </c>
      <c r="E46" s="22" t="s">
        <v>68</v>
      </c>
      <c r="F46" s="22" t="s">
        <v>69</v>
      </c>
      <c r="G46" s="20" t="s">
        <v>70</v>
      </c>
      <c r="H46" s="20"/>
      <c r="I46" s="20" t="s">
        <v>71</v>
      </c>
      <c r="J46" s="20"/>
      <c r="K46" s="20" t="s">
        <v>72</v>
      </c>
      <c r="L46" s="19"/>
      <c r="O46" s="22" t="s">
        <v>66</v>
      </c>
      <c r="P46" s="22" t="s">
        <v>74</v>
      </c>
      <c r="Q46" s="22" t="s">
        <v>68</v>
      </c>
      <c r="R46" s="22" t="s">
        <v>69</v>
      </c>
      <c r="S46" t="s">
        <v>73</v>
      </c>
      <c r="U46" s="24" t="s">
        <v>75</v>
      </c>
      <c r="W46" s="20" t="s">
        <v>72</v>
      </c>
    </row>
    <row r="47" spans="1:24" x14ac:dyDescent="0.25">
      <c r="B47">
        <v>5</v>
      </c>
      <c r="C47" s="1">
        <v>6</v>
      </c>
      <c r="D47" s="9">
        <f>0.002*1000</f>
        <v>2</v>
      </c>
      <c r="E47" s="8">
        <v>3</v>
      </c>
      <c r="F47" s="8">
        <v>1</v>
      </c>
      <c r="G47">
        <f>((0.8206*B47)+2.5653)-$D$67</f>
        <v>-16.542788428567519</v>
      </c>
      <c r="H47">
        <f>((0.8206*B47)+2.5653)+$D$67</f>
        <v>29.879388428567523</v>
      </c>
      <c r="I47">
        <f>((0.1659*B47)+5.7393)-$E$67</f>
        <v>3.1432968220477933</v>
      </c>
      <c r="J47">
        <f>((0.1659*B47)+5.7393)+$E$67</f>
        <v>9.9943031779522062</v>
      </c>
      <c r="K47">
        <f>((0.0646*B47)+1.0464)+$F$67</f>
        <v>2.3138399181540188</v>
      </c>
      <c r="L47">
        <f>((0.0646*B47)+1.0464)-$F$67</f>
        <v>0.424960081845981</v>
      </c>
      <c r="N47">
        <v>5</v>
      </c>
      <c r="O47" s="1">
        <v>5</v>
      </c>
      <c r="P47" s="7">
        <f>0.0036*1000</f>
        <v>3.6</v>
      </c>
      <c r="Q47" s="1">
        <v>5</v>
      </c>
      <c r="R47" s="1">
        <v>1</v>
      </c>
      <c r="S47">
        <f>((0.4457*N47)+1.5371)-$P$69</f>
        <v>-2.9308538623861047</v>
      </c>
      <c r="T47">
        <f>((0.4457*N47)+1.5371)+$P$69</f>
        <v>10.462053862386105</v>
      </c>
      <c r="U47">
        <f>((0.1335*N47)+5.4291)+$Q$69</f>
        <v>9.2053616655141841</v>
      </c>
      <c r="V47">
        <f>((0.1335*N47)+5.4291)-$Q$69</f>
        <v>2.9878383344858168</v>
      </c>
      <c r="W47">
        <f>((0.057*N47)+0.9284)+$R$69</f>
        <v>2.0243231602822096</v>
      </c>
      <c r="X47">
        <f>((0.057*N47)+0.9284)-$R$69</f>
        <v>0.40247683971779047</v>
      </c>
    </row>
    <row r="48" spans="1:24" x14ac:dyDescent="0.25">
      <c r="B48">
        <f>2+B47</f>
        <v>7</v>
      </c>
      <c r="C48" s="1">
        <v>18</v>
      </c>
      <c r="D48" s="11">
        <f>0.0088*1000</f>
        <v>8.8000000000000007</v>
      </c>
      <c r="E48" s="8">
        <v>10</v>
      </c>
      <c r="F48" s="8">
        <v>2</v>
      </c>
      <c r="G48">
        <f t="shared" ref="G48:G57" si="5">((0.0008*B48)+0.0026)-$D$67</f>
        <v>-23.202888428567523</v>
      </c>
      <c r="H48">
        <f t="shared" ref="H48:H57" si="6">((0.8206*B48)+2.5653)+$D$67</f>
        <v>31.520588428567521</v>
      </c>
      <c r="I48">
        <f t="shared" ref="I48:I57" si="7">((0.1659*B48)+5.7393)-$E$67</f>
        <v>3.4750968220477936</v>
      </c>
      <c r="J48">
        <f t="shared" ref="J48:J57" si="8">((0.1659*B48)+5.7393)+$E$67</f>
        <v>10.326103177952206</v>
      </c>
      <c r="K48">
        <f t="shared" ref="K48:K57" si="9">((0.0646*B48)+1.0464)+$F$67</f>
        <v>2.4430399181540192</v>
      </c>
      <c r="L48">
        <f t="shared" ref="L48:L57" si="10">((0.0646*B48)+1.0464)-$F$67</f>
        <v>0.5541600818459812</v>
      </c>
      <c r="N48">
        <v>7.5</v>
      </c>
      <c r="O48" s="1">
        <v>14</v>
      </c>
      <c r="P48" s="7">
        <f>0.0122*1000</f>
        <v>12.200000000000001</v>
      </c>
      <c r="Q48" s="1">
        <v>10</v>
      </c>
      <c r="R48" s="1">
        <v>2</v>
      </c>
      <c r="S48">
        <f t="shared" ref="S48:S52" si="11">((0.4457*N48)+1.5371)-$P$69</f>
        <v>-1.8166038623861054</v>
      </c>
      <c r="T48">
        <f t="shared" ref="T48:T52" si="12">((0.4457*N48)+1.5371)+$P$69</f>
        <v>11.576303862386105</v>
      </c>
      <c r="U48">
        <f t="shared" ref="U48:U52" si="13">((0.1335*N48)+5.4291)+$Q$69</f>
        <v>9.5391116655141843</v>
      </c>
      <c r="V48">
        <f t="shared" ref="V48:V52" si="14">((0.1335*N48)+5.4291)-$Q$69</f>
        <v>3.3215883344858161</v>
      </c>
      <c r="W48">
        <f t="shared" ref="W48:W52" si="15">((0.057*N48)+0.9284)+$R$69</f>
        <v>2.1668231602822097</v>
      </c>
      <c r="X48">
        <f t="shared" ref="X48:X52" si="16">((0.057*N48)+0.9284)-$R$69</f>
        <v>0.54497683971779054</v>
      </c>
    </row>
    <row r="49" spans="2:24" x14ac:dyDescent="0.25">
      <c r="B49">
        <f t="shared" ref="B49:B57" si="17">2+B48</f>
        <v>9</v>
      </c>
      <c r="C49" s="1">
        <v>18</v>
      </c>
      <c r="D49" s="11">
        <f>0.0127*1000</f>
        <v>12.7</v>
      </c>
      <c r="E49" s="8">
        <v>8</v>
      </c>
      <c r="F49" s="8">
        <v>2</v>
      </c>
      <c r="G49">
        <f t="shared" si="5"/>
        <v>-23.201288428567523</v>
      </c>
      <c r="H49">
        <f t="shared" si="6"/>
        <v>33.161788428567519</v>
      </c>
      <c r="I49">
        <f t="shared" si="7"/>
        <v>3.8068968220477939</v>
      </c>
      <c r="J49">
        <f t="shared" si="8"/>
        <v>10.657903177952207</v>
      </c>
      <c r="K49">
        <f t="shared" si="9"/>
        <v>2.5722399181540192</v>
      </c>
      <c r="L49">
        <f t="shared" si="10"/>
        <v>0.68336008184598118</v>
      </c>
      <c r="N49">
        <f>5+N47</f>
        <v>10</v>
      </c>
      <c r="O49" s="1">
        <v>17</v>
      </c>
      <c r="P49" s="7">
        <f>0.0295*1000</f>
        <v>29.5</v>
      </c>
      <c r="Q49" s="1">
        <v>12</v>
      </c>
      <c r="R49" s="1">
        <v>3</v>
      </c>
      <c r="S49">
        <f t="shared" si="11"/>
        <v>-0.7023538623861052</v>
      </c>
      <c r="T49">
        <f t="shared" si="12"/>
        <v>12.690553862386103</v>
      </c>
      <c r="U49">
        <f t="shared" si="13"/>
        <v>9.8728616655141828</v>
      </c>
      <c r="V49">
        <f t="shared" si="14"/>
        <v>3.6553383344858164</v>
      </c>
      <c r="W49">
        <f t="shared" si="15"/>
        <v>2.3093231602822097</v>
      </c>
      <c r="X49">
        <f t="shared" si="16"/>
        <v>0.68747683971779061</v>
      </c>
    </row>
    <row r="50" spans="2:24" x14ac:dyDescent="0.25">
      <c r="B50">
        <f t="shared" si="17"/>
        <v>11</v>
      </c>
      <c r="C50" s="1">
        <v>5</v>
      </c>
      <c r="D50" s="11">
        <f>0.024*1000</f>
        <v>24</v>
      </c>
      <c r="E50" s="8">
        <v>12</v>
      </c>
      <c r="F50" s="8">
        <v>3</v>
      </c>
      <c r="G50">
        <f t="shared" si="5"/>
        <v>-23.199688428567523</v>
      </c>
      <c r="H50">
        <f t="shared" si="6"/>
        <v>34.802988428567524</v>
      </c>
      <c r="I50">
        <f t="shared" si="7"/>
        <v>4.1386968220477929</v>
      </c>
      <c r="J50">
        <f t="shared" si="8"/>
        <v>10.989703177952206</v>
      </c>
      <c r="K50">
        <f t="shared" si="9"/>
        <v>2.7014399181540192</v>
      </c>
      <c r="L50">
        <f t="shared" si="10"/>
        <v>0.81256008184598116</v>
      </c>
      <c r="N50">
        <f t="shared" ref="N50:N52" si="18">5+N49</f>
        <v>15</v>
      </c>
      <c r="O50" s="1">
        <v>17</v>
      </c>
      <c r="P50" s="7">
        <f>0.0156*1000</f>
        <v>15.6</v>
      </c>
      <c r="Q50" s="1">
        <v>12</v>
      </c>
      <c r="R50" s="1">
        <v>3</v>
      </c>
      <c r="S50">
        <f t="shared" si="11"/>
        <v>1.5261461376138952</v>
      </c>
      <c r="T50">
        <f t="shared" si="12"/>
        <v>14.919053862386104</v>
      </c>
      <c r="U50">
        <f t="shared" si="13"/>
        <v>10.540361665514183</v>
      </c>
      <c r="V50">
        <f t="shared" si="14"/>
        <v>4.3228383344858159</v>
      </c>
      <c r="W50">
        <f t="shared" si="15"/>
        <v>2.5943231602822094</v>
      </c>
      <c r="X50">
        <f t="shared" si="16"/>
        <v>0.97247683971779031</v>
      </c>
    </row>
    <row r="51" spans="2:24" x14ac:dyDescent="0.25">
      <c r="B51">
        <f t="shared" si="17"/>
        <v>13</v>
      </c>
      <c r="C51" s="1">
        <v>11</v>
      </c>
      <c r="D51" s="11">
        <f>0.0054*1000</f>
        <v>5.4</v>
      </c>
      <c r="E51" s="8">
        <v>7</v>
      </c>
      <c r="F51" s="8">
        <v>2</v>
      </c>
      <c r="G51">
        <f t="shared" si="5"/>
        <v>-23.19808842856752</v>
      </c>
      <c r="H51">
        <f t="shared" si="6"/>
        <v>36.444188428567521</v>
      </c>
      <c r="I51">
        <f t="shared" si="7"/>
        <v>4.4704968220477941</v>
      </c>
      <c r="J51">
        <f t="shared" si="8"/>
        <v>11.321503177952206</v>
      </c>
      <c r="K51">
        <f t="shared" si="9"/>
        <v>2.8306399181540192</v>
      </c>
      <c r="L51">
        <f t="shared" si="10"/>
        <v>0.94176008184598115</v>
      </c>
      <c r="N51">
        <f t="shared" si="18"/>
        <v>20</v>
      </c>
      <c r="O51" s="1">
        <v>23</v>
      </c>
      <c r="P51" s="7">
        <f>0.0092*1000</f>
        <v>9.1999999999999993</v>
      </c>
      <c r="Q51" s="1">
        <v>8</v>
      </c>
      <c r="R51" s="1">
        <v>2</v>
      </c>
      <c r="S51">
        <f t="shared" si="11"/>
        <v>3.7546461376138955</v>
      </c>
      <c r="T51">
        <f t="shared" si="12"/>
        <v>17.147553862386104</v>
      </c>
      <c r="U51">
        <f t="shared" si="13"/>
        <v>11.207861665514184</v>
      </c>
      <c r="V51">
        <f t="shared" si="14"/>
        <v>4.9903383344858163</v>
      </c>
      <c r="W51">
        <f t="shared" si="15"/>
        <v>2.8793231602822096</v>
      </c>
      <c r="X51">
        <f t="shared" si="16"/>
        <v>1.2574768397177905</v>
      </c>
    </row>
    <row r="52" spans="2:24" x14ac:dyDescent="0.25">
      <c r="B52">
        <f t="shared" si="17"/>
        <v>15</v>
      </c>
      <c r="C52" s="1">
        <v>5</v>
      </c>
      <c r="D52" s="11">
        <f>0.0008*1000</f>
        <v>0.8</v>
      </c>
      <c r="E52" s="8">
        <v>3</v>
      </c>
      <c r="F52" s="8">
        <v>1</v>
      </c>
      <c r="G52">
        <f t="shared" si="5"/>
        <v>-23.19648842856752</v>
      </c>
      <c r="H52">
        <f t="shared" si="6"/>
        <v>38.085388428567519</v>
      </c>
      <c r="I52">
        <f t="shared" si="7"/>
        <v>4.8022968220477935</v>
      </c>
      <c r="J52">
        <f t="shared" si="8"/>
        <v>11.653303177952207</v>
      </c>
      <c r="K52">
        <f t="shared" si="9"/>
        <v>2.9598399181540191</v>
      </c>
      <c r="L52">
        <f t="shared" si="10"/>
        <v>1.070960081845981</v>
      </c>
      <c r="N52">
        <f t="shared" si="18"/>
        <v>25</v>
      </c>
      <c r="O52" s="1">
        <v>23</v>
      </c>
      <c r="P52" s="7">
        <f>0.014*1000</f>
        <v>14</v>
      </c>
      <c r="Q52" s="1">
        <v>5</v>
      </c>
      <c r="R52" s="1">
        <v>2</v>
      </c>
      <c r="S52">
        <f t="shared" si="11"/>
        <v>5.9831461376138959</v>
      </c>
      <c r="T52">
        <f t="shared" si="12"/>
        <v>19.376053862386104</v>
      </c>
      <c r="U52">
        <f t="shared" si="13"/>
        <v>11.875361665514184</v>
      </c>
      <c r="V52">
        <f t="shared" si="14"/>
        <v>5.6578383344858167</v>
      </c>
      <c r="W52">
        <f t="shared" si="15"/>
        <v>3.1643231602822097</v>
      </c>
      <c r="X52">
        <f t="shared" si="16"/>
        <v>1.5424768397177906</v>
      </c>
    </row>
    <row r="53" spans="2:24" x14ac:dyDescent="0.25">
      <c r="B53">
        <f t="shared" si="17"/>
        <v>17</v>
      </c>
      <c r="C53" s="1">
        <v>5</v>
      </c>
      <c r="D53" s="11">
        <f>0.0105*1000</f>
        <v>10.5</v>
      </c>
      <c r="E53" s="8">
        <v>6</v>
      </c>
      <c r="F53" s="8">
        <v>2</v>
      </c>
      <c r="G53">
        <f t="shared" si="5"/>
        <v>-23.19488842856752</v>
      </c>
      <c r="H53">
        <f t="shared" si="6"/>
        <v>39.726588428567524</v>
      </c>
      <c r="I53">
        <f t="shared" si="7"/>
        <v>5.1340968220477929</v>
      </c>
      <c r="J53">
        <f t="shared" si="8"/>
        <v>11.985103177952206</v>
      </c>
      <c r="K53">
        <f t="shared" si="9"/>
        <v>3.0890399181540191</v>
      </c>
      <c r="L53">
        <f t="shared" si="10"/>
        <v>1.200160081845981</v>
      </c>
      <c r="O53" s="1">
        <v>13</v>
      </c>
      <c r="P53" s="7">
        <f>0.0096*1000</f>
        <v>9.6</v>
      </c>
      <c r="Q53" s="1">
        <v>12</v>
      </c>
      <c r="R53" s="1">
        <v>2</v>
      </c>
    </row>
    <row r="54" spans="2:24" x14ac:dyDescent="0.25">
      <c r="B54">
        <f t="shared" si="17"/>
        <v>19</v>
      </c>
      <c r="C54" s="1">
        <v>20</v>
      </c>
      <c r="D54" s="11">
        <f>0.107*1000</f>
        <v>107</v>
      </c>
      <c r="E54" s="8">
        <v>12</v>
      </c>
      <c r="F54" s="8">
        <v>2</v>
      </c>
      <c r="G54">
        <f t="shared" si="5"/>
        <v>-23.19328842856752</v>
      </c>
      <c r="H54">
        <f t="shared" si="6"/>
        <v>41.367788428567522</v>
      </c>
      <c r="I54">
        <f t="shared" si="7"/>
        <v>5.4658968220477941</v>
      </c>
      <c r="J54">
        <f t="shared" si="8"/>
        <v>12.316903177952208</v>
      </c>
      <c r="K54">
        <f t="shared" si="9"/>
        <v>3.2182399181540191</v>
      </c>
      <c r="L54">
        <f t="shared" si="10"/>
        <v>1.329360081845981</v>
      </c>
      <c r="O54" s="1">
        <v>13</v>
      </c>
      <c r="P54" s="7">
        <f>0.0064*1000</f>
        <v>6.4</v>
      </c>
      <c r="Q54" s="1">
        <v>8</v>
      </c>
      <c r="R54" s="1">
        <v>2</v>
      </c>
    </row>
    <row r="55" spans="2:24" x14ac:dyDescent="0.25">
      <c r="B55">
        <f t="shared" si="17"/>
        <v>21</v>
      </c>
      <c r="C55" s="1">
        <v>20</v>
      </c>
      <c r="D55" s="11">
        <f>0.0021*1000</f>
        <v>2.1</v>
      </c>
      <c r="E55" s="8">
        <v>4</v>
      </c>
      <c r="F55" s="8">
        <v>1</v>
      </c>
      <c r="G55">
        <f t="shared" si="5"/>
        <v>-23.19168842856752</v>
      </c>
      <c r="H55">
        <f t="shared" si="6"/>
        <v>43.00898842856752</v>
      </c>
      <c r="I55">
        <f t="shared" si="7"/>
        <v>5.7976968220477936</v>
      </c>
      <c r="J55">
        <f t="shared" si="8"/>
        <v>12.648703177952207</v>
      </c>
      <c r="K55">
        <f t="shared" si="9"/>
        <v>3.3474399181540191</v>
      </c>
      <c r="L55">
        <f t="shared" si="10"/>
        <v>1.458560081845981</v>
      </c>
      <c r="O55" s="1">
        <v>5</v>
      </c>
      <c r="P55" s="7">
        <f>0.0004*1000</f>
        <v>0.4</v>
      </c>
      <c r="Q55" s="1">
        <v>3</v>
      </c>
      <c r="R55" s="1">
        <v>1</v>
      </c>
    </row>
    <row r="56" spans="2:24" x14ac:dyDescent="0.25">
      <c r="B56">
        <f t="shared" si="17"/>
        <v>23</v>
      </c>
      <c r="C56" s="1">
        <v>20</v>
      </c>
      <c r="D56" s="11">
        <f>0.0057*1000</f>
        <v>5.7</v>
      </c>
      <c r="E56" s="8">
        <v>12</v>
      </c>
      <c r="F56" s="8">
        <v>2</v>
      </c>
      <c r="G56">
        <f t="shared" si="5"/>
        <v>-23.19008842856752</v>
      </c>
      <c r="H56">
        <f t="shared" si="6"/>
        <v>44.650188428567517</v>
      </c>
      <c r="I56">
        <f t="shared" si="7"/>
        <v>6.129496822047793</v>
      </c>
      <c r="J56">
        <f t="shared" si="8"/>
        <v>12.980503177952206</v>
      </c>
      <c r="K56">
        <f t="shared" si="9"/>
        <v>3.4766399181540191</v>
      </c>
      <c r="L56">
        <f t="shared" si="10"/>
        <v>1.5877600818459809</v>
      </c>
      <c r="O56" s="1">
        <v>21</v>
      </c>
      <c r="P56" s="7">
        <f>0.0135*1000</f>
        <v>13.5</v>
      </c>
      <c r="Q56" s="1">
        <v>8</v>
      </c>
      <c r="R56" s="1">
        <v>4</v>
      </c>
    </row>
    <row r="57" spans="2:24" x14ac:dyDescent="0.25">
      <c r="B57">
        <f t="shared" si="17"/>
        <v>25</v>
      </c>
      <c r="C57" s="1">
        <v>20</v>
      </c>
      <c r="D57" s="11">
        <f>0.0017*1000</f>
        <v>1.7</v>
      </c>
      <c r="E57" s="8">
        <v>6</v>
      </c>
      <c r="F57" s="8">
        <v>1</v>
      </c>
      <c r="G57">
        <f t="shared" si="5"/>
        <v>-23.188488428567521</v>
      </c>
      <c r="H57">
        <f t="shared" si="6"/>
        <v>46.291388428567522</v>
      </c>
      <c r="I57">
        <f t="shared" si="7"/>
        <v>6.4612968220477942</v>
      </c>
      <c r="J57">
        <f t="shared" si="8"/>
        <v>13.312303177952208</v>
      </c>
      <c r="K57">
        <f t="shared" si="9"/>
        <v>3.6058399181540195</v>
      </c>
      <c r="L57">
        <f t="shared" si="10"/>
        <v>1.7169600818459814</v>
      </c>
      <c r="O57" s="1">
        <v>6</v>
      </c>
      <c r="P57" s="7">
        <f>0.0022*1000</f>
        <v>2.2000000000000002</v>
      </c>
      <c r="Q57" s="1">
        <v>5</v>
      </c>
      <c r="R57" s="1">
        <v>1</v>
      </c>
    </row>
    <row r="58" spans="2:24" x14ac:dyDescent="0.25">
      <c r="C58" s="1">
        <v>15</v>
      </c>
      <c r="D58" s="11">
        <f>0.0051*1000</f>
        <v>5.1000000000000005</v>
      </c>
      <c r="E58" s="8">
        <v>10</v>
      </c>
      <c r="F58" s="8">
        <v>1</v>
      </c>
      <c r="O58" s="1">
        <v>6</v>
      </c>
      <c r="P58" s="7">
        <f>0.0012*1000</f>
        <v>1.2</v>
      </c>
      <c r="Q58" s="1">
        <v>5</v>
      </c>
      <c r="R58" s="1">
        <v>1</v>
      </c>
    </row>
    <row r="59" spans="2:24" x14ac:dyDescent="0.25">
      <c r="C59" s="1">
        <v>15</v>
      </c>
      <c r="D59" s="11">
        <f>0.0096*1000</f>
        <v>9.6</v>
      </c>
      <c r="E59" s="8">
        <v>11</v>
      </c>
      <c r="F59" s="8">
        <v>2</v>
      </c>
      <c r="O59" s="1">
        <v>6</v>
      </c>
      <c r="P59" s="7">
        <f>0.0023*1000</f>
        <v>2.2999999999999998</v>
      </c>
      <c r="Q59" s="1">
        <v>5</v>
      </c>
      <c r="R59" s="1">
        <v>1</v>
      </c>
    </row>
    <row r="60" spans="2:24" x14ac:dyDescent="0.25">
      <c r="C60" s="1">
        <v>5</v>
      </c>
      <c r="D60" s="11">
        <f>0.0033*1000</f>
        <v>3.3</v>
      </c>
      <c r="E60" s="8">
        <v>5</v>
      </c>
      <c r="F60" s="8">
        <v>1</v>
      </c>
      <c r="O60" s="1">
        <v>12</v>
      </c>
      <c r="P60" s="7">
        <f>0.003*1000</f>
        <v>3</v>
      </c>
      <c r="Q60" s="1">
        <v>5</v>
      </c>
      <c r="R60" s="1">
        <v>1</v>
      </c>
    </row>
    <row r="61" spans="2:24" x14ac:dyDescent="0.25">
      <c r="C61" s="1">
        <v>5</v>
      </c>
      <c r="D61" s="11">
        <f>0.0035*1000</f>
        <v>3.5</v>
      </c>
      <c r="E61" s="8">
        <v>4</v>
      </c>
      <c r="F61" s="8">
        <v>1</v>
      </c>
      <c r="O61" s="1">
        <v>24</v>
      </c>
      <c r="P61" s="7">
        <f>0.0031*1000</f>
        <v>3.1</v>
      </c>
      <c r="Q61" s="1">
        <v>4</v>
      </c>
      <c r="R61" s="1">
        <v>1</v>
      </c>
    </row>
    <row r="62" spans="2:24" x14ac:dyDescent="0.25">
      <c r="C62" s="1">
        <v>8</v>
      </c>
      <c r="D62" s="11">
        <f>0.0079*1000</f>
        <v>7.9</v>
      </c>
      <c r="E62" s="8">
        <v>11</v>
      </c>
      <c r="F62" s="8">
        <v>2</v>
      </c>
      <c r="O62" s="1">
        <v>5</v>
      </c>
      <c r="P62" s="7">
        <f>0.0004*1000</f>
        <v>0.4</v>
      </c>
      <c r="Q62" s="1">
        <v>3</v>
      </c>
      <c r="R62" s="1">
        <v>1</v>
      </c>
    </row>
    <row r="63" spans="2:24" x14ac:dyDescent="0.25">
      <c r="C63" s="1">
        <v>19</v>
      </c>
      <c r="D63" s="11">
        <f>0.0309*1000</f>
        <v>30.900000000000002</v>
      </c>
      <c r="E63" s="8">
        <v>14</v>
      </c>
      <c r="F63" s="8">
        <v>3</v>
      </c>
      <c r="O63" s="1">
        <v>10</v>
      </c>
      <c r="P63" s="7">
        <f>0.0114*1000</f>
        <v>11.4</v>
      </c>
      <c r="Q63" s="1">
        <v>13</v>
      </c>
      <c r="R63" s="1">
        <v>2</v>
      </c>
    </row>
    <row r="64" spans="2:24" x14ac:dyDescent="0.25">
      <c r="C64" s="1">
        <v>25</v>
      </c>
      <c r="D64" s="11">
        <f>0.0172*1000</f>
        <v>17.2</v>
      </c>
      <c r="E64" s="8">
        <v>10</v>
      </c>
      <c r="F64" s="8">
        <v>4</v>
      </c>
      <c r="O64" s="1">
        <v>21</v>
      </c>
      <c r="P64" s="7">
        <f>0.01*1000</f>
        <v>10</v>
      </c>
      <c r="Q64" s="1">
        <v>8</v>
      </c>
      <c r="R64" s="1">
        <v>2</v>
      </c>
    </row>
    <row r="65" spans="1:26" x14ac:dyDescent="0.25">
      <c r="C65" s="1">
        <v>25</v>
      </c>
      <c r="D65" s="11">
        <f>0.008*1000</f>
        <v>8</v>
      </c>
      <c r="E65" s="8">
        <v>5</v>
      </c>
      <c r="F65" s="8">
        <v>4</v>
      </c>
      <c r="O65" s="1">
        <v>22</v>
      </c>
      <c r="P65" s="7">
        <f>0.0061*1000</f>
        <v>6.1000000000000005</v>
      </c>
      <c r="Q65" s="1">
        <v>6</v>
      </c>
      <c r="R65" s="1">
        <v>1</v>
      </c>
    </row>
    <row r="66" spans="1:26" x14ac:dyDescent="0.25">
      <c r="C66" t="s">
        <v>58</v>
      </c>
      <c r="D66" s="14">
        <f>0.0631</f>
        <v>6.3100000000000003E-2</v>
      </c>
      <c r="E66" s="17">
        <v>0.1183</v>
      </c>
      <c r="F66" s="15">
        <v>0.2361</v>
      </c>
      <c r="O66" s="1">
        <v>22</v>
      </c>
      <c r="P66" s="7">
        <f>0.0049*1000</f>
        <v>4.8999999999999995</v>
      </c>
      <c r="Q66" s="1">
        <v>7</v>
      </c>
      <c r="R66" s="1">
        <v>2</v>
      </c>
    </row>
    <row r="67" spans="1:26" x14ac:dyDescent="0.25">
      <c r="C67" t="s">
        <v>90</v>
      </c>
      <c r="D67" s="10">
        <f>_xlfn.STDEV.P(D47:D65)</f>
        <v>23.211088428567521</v>
      </c>
      <c r="E67" s="10">
        <f t="shared" ref="E67:F67" si="19">_xlfn.STDEV.P(E47:E65)</f>
        <v>3.4255031779522063</v>
      </c>
      <c r="F67" s="10">
        <f t="shared" si="19"/>
        <v>0.94443991815401895</v>
      </c>
      <c r="O67" s="1">
        <v>22</v>
      </c>
      <c r="P67" s="7">
        <f>0.0105*1000</f>
        <v>10.5</v>
      </c>
      <c r="Q67" s="1">
        <v>11</v>
      </c>
      <c r="R67" s="1">
        <v>2</v>
      </c>
    </row>
    <row r="68" spans="1:26" x14ac:dyDescent="0.25">
      <c r="O68" t="s">
        <v>58</v>
      </c>
      <c r="P68" s="16">
        <v>0.21490000000000001</v>
      </c>
      <c r="Q68" s="13">
        <v>8.9499999999999996E-2</v>
      </c>
      <c r="R68" s="18">
        <v>0.2399</v>
      </c>
    </row>
    <row r="69" spans="1:26" x14ac:dyDescent="0.25">
      <c r="A69" t="s">
        <v>59</v>
      </c>
      <c r="O69" t="s">
        <v>90</v>
      </c>
      <c r="P69">
        <f>_xlfn.STDEV.P(P47:P67)</f>
        <v>6.6964538623861047</v>
      </c>
      <c r="Q69">
        <f t="shared" ref="Q69:R69" si="20">_xlfn.STDEV.P(Q47:Q67)</f>
        <v>3.1087616655141836</v>
      </c>
      <c r="R69">
        <f t="shared" si="20"/>
        <v>0.81092316028220957</v>
      </c>
      <c r="U69" t="s">
        <v>37</v>
      </c>
    </row>
    <row r="70" spans="1:26" ht="15.75" thickBot="1" x14ac:dyDescent="0.3"/>
    <row r="71" spans="1:26" x14ac:dyDescent="0.25">
      <c r="U71" s="12" t="s">
        <v>38</v>
      </c>
      <c r="V71" s="12"/>
    </row>
    <row r="72" spans="1:26" x14ac:dyDescent="0.25">
      <c r="U72" s="4" t="s">
        <v>39</v>
      </c>
      <c r="V72" s="4">
        <v>0.25116300030618277</v>
      </c>
    </row>
    <row r="73" spans="1:26" x14ac:dyDescent="0.25">
      <c r="U73" s="4" t="s">
        <v>40</v>
      </c>
      <c r="V73" s="4">
        <v>6.3082852722803576E-2</v>
      </c>
    </row>
    <row r="74" spans="1:26" x14ac:dyDescent="0.25">
      <c r="U74" s="4" t="s">
        <v>41</v>
      </c>
      <c r="V74" s="4">
        <v>7.9700793535567253E-3</v>
      </c>
    </row>
    <row r="75" spans="1:26" x14ac:dyDescent="0.25">
      <c r="U75" s="4" t="s">
        <v>42</v>
      </c>
      <c r="V75" s="4">
        <v>7.2698176723233665</v>
      </c>
    </row>
    <row r="76" spans="1:26" ht="15.75" thickBot="1" x14ac:dyDescent="0.3">
      <c r="U76" s="5" t="s">
        <v>43</v>
      </c>
      <c r="V76" s="5">
        <v>19</v>
      </c>
    </row>
    <row r="78" spans="1:26" ht="15.75" thickBot="1" x14ac:dyDescent="0.3">
      <c r="U78" t="s">
        <v>30</v>
      </c>
    </row>
    <row r="79" spans="1:26" x14ac:dyDescent="0.25">
      <c r="U79" s="6"/>
      <c r="V79" s="6" t="s">
        <v>32</v>
      </c>
      <c r="W79" s="6" t="s">
        <v>31</v>
      </c>
      <c r="X79" s="6" t="s">
        <v>33</v>
      </c>
      <c r="Y79" s="6" t="s">
        <v>34</v>
      </c>
      <c r="Z79" s="6" t="s">
        <v>47</v>
      </c>
    </row>
    <row r="80" spans="1:26" x14ac:dyDescent="0.25">
      <c r="U80" s="4" t="s">
        <v>44</v>
      </c>
      <c r="V80" s="4">
        <v>1</v>
      </c>
      <c r="W80" s="4">
        <v>60.493135611025309</v>
      </c>
      <c r="X80" s="4">
        <v>60.493135611025309</v>
      </c>
      <c r="Y80" s="4">
        <v>1.1446140135274712</v>
      </c>
      <c r="Z80" s="4">
        <v>0.29963538784038052</v>
      </c>
    </row>
    <row r="81" spans="21:29" x14ac:dyDescent="0.25">
      <c r="U81" s="4" t="s">
        <v>45</v>
      </c>
      <c r="V81" s="4">
        <v>17</v>
      </c>
      <c r="W81" s="4">
        <v>898.45423281002718</v>
      </c>
      <c r="X81" s="4">
        <v>52.850248988825129</v>
      </c>
      <c r="Y81" s="4"/>
      <c r="Z81" s="4"/>
    </row>
    <row r="82" spans="21:29" ht="15.75" thickBot="1" x14ac:dyDescent="0.3">
      <c r="U82" s="5" t="s">
        <v>36</v>
      </c>
      <c r="V82" s="5">
        <v>18</v>
      </c>
      <c r="W82" s="5">
        <v>958.94736842105249</v>
      </c>
      <c r="X82" s="5"/>
      <c r="Y82" s="5"/>
      <c r="Z82" s="5"/>
    </row>
    <row r="83" spans="21:29" ht="15.75" thickBot="1" x14ac:dyDescent="0.3"/>
    <row r="84" spans="21:29" x14ac:dyDescent="0.25">
      <c r="U84" s="6"/>
      <c r="V84" s="6" t="s">
        <v>48</v>
      </c>
      <c r="W84" s="6" t="s">
        <v>42</v>
      </c>
      <c r="X84" s="6" t="s">
        <v>49</v>
      </c>
      <c r="Y84" s="6" t="s">
        <v>35</v>
      </c>
      <c r="Z84" s="6" t="s">
        <v>50</v>
      </c>
      <c r="AA84" s="6" t="s">
        <v>51</v>
      </c>
      <c r="AB84" s="6" t="s">
        <v>52</v>
      </c>
      <c r="AC84" s="6" t="s">
        <v>53</v>
      </c>
    </row>
    <row r="85" spans="21:29" x14ac:dyDescent="0.25">
      <c r="U85" s="4" t="s">
        <v>46</v>
      </c>
      <c r="V85" s="4">
        <v>12.870320090830182</v>
      </c>
      <c r="W85" s="4">
        <v>1.9480921562358591</v>
      </c>
      <c r="X85" s="4">
        <v>6.6066279511634916</v>
      </c>
      <c r="Y85" s="4">
        <v>4.4476956917056618E-6</v>
      </c>
      <c r="Z85" s="4">
        <v>8.7602049125488719</v>
      </c>
      <c r="AA85" s="4">
        <v>16.980435269111492</v>
      </c>
      <c r="AB85" s="4">
        <v>8.7602049125488719</v>
      </c>
      <c r="AC85" s="4">
        <v>16.980435269111492</v>
      </c>
    </row>
    <row r="86" spans="21:29" ht="15.75" thickBot="1" x14ac:dyDescent="0.3">
      <c r="U86" s="5" t="s">
        <v>54</v>
      </c>
      <c r="V86" s="5">
        <v>76.874223419333418</v>
      </c>
      <c r="W86" s="5">
        <v>71.854043447120389</v>
      </c>
      <c r="X86" s="5">
        <v>1.0698663531149439</v>
      </c>
      <c r="Y86" s="5">
        <v>0.29963538784038118</v>
      </c>
      <c r="Z86" s="5">
        <v>-74.724556775713154</v>
      </c>
      <c r="AA86" s="5">
        <v>228.47300361437999</v>
      </c>
      <c r="AB86" s="5">
        <v>-74.724556775713154</v>
      </c>
      <c r="AC86" s="5">
        <v>228.47300361437999</v>
      </c>
    </row>
    <row r="90" spans="21:29" x14ac:dyDescent="0.25">
      <c r="U90" t="s">
        <v>55</v>
      </c>
    </row>
    <row r="91" spans="21:29" ht="15.75" thickBot="1" x14ac:dyDescent="0.3"/>
    <row r="92" spans="21:29" x14ac:dyDescent="0.25">
      <c r="U92" s="6" t="s">
        <v>56</v>
      </c>
      <c r="V92" s="6" t="s">
        <v>57</v>
      </c>
    </row>
    <row r="93" spans="21:29" x14ac:dyDescent="0.25">
      <c r="U93" s="4">
        <v>2.6315789473684212</v>
      </c>
      <c r="V93" s="4">
        <v>5</v>
      </c>
    </row>
    <row r="94" spans="21:29" x14ac:dyDescent="0.25">
      <c r="U94" s="4"/>
      <c r="V94" s="4">
        <v>5</v>
      </c>
    </row>
    <row r="95" spans="21:29" x14ac:dyDescent="0.25">
      <c r="U95" s="4"/>
      <c r="V95" s="4">
        <v>5</v>
      </c>
    </row>
    <row r="96" spans="21:29" x14ac:dyDescent="0.25">
      <c r="U96" s="4"/>
      <c r="V96" s="4">
        <v>5</v>
      </c>
    </row>
    <row r="97" spans="21:22" x14ac:dyDescent="0.25">
      <c r="U97" s="4"/>
      <c r="V97" s="4">
        <v>5</v>
      </c>
    </row>
    <row r="98" spans="21:22" x14ac:dyDescent="0.25">
      <c r="U98" s="4"/>
      <c r="V98" s="4">
        <v>6</v>
      </c>
    </row>
    <row r="99" spans="21:22" x14ac:dyDescent="0.25">
      <c r="U99" s="4"/>
      <c r="V99" s="4">
        <v>8</v>
      </c>
    </row>
    <row r="100" spans="21:22" x14ac:dyDescent="0.25">
      <c r="U100" s="4"/>
      <c r="V100" s="4">
        <v>11</v>
      </c>
    </row>
    <row r="101" spans="21:22" x14ac:dyDescent="0.25">
      <c r="U101" s="4"/>
      <c r="V101" s="4">
        <v>15</v>
      </c>
    </row>
    <row r="102" spans="21:22" x14ac:dyDescent="0.25">
      <c r="U102" s="4"/>
      <c r="V102" s="4">
        <v>15</v>
      </c>
    </row>
    <row r="103" spans="21:22" x14ac:dyDescent="0.25">
      <c r="U103" s="4"/>
      <c r="V103" s="4">
        <v>18</v>
      </c>
    </row>
    <row r="104" spans="21:22" x14ac:dyDescent="0.25">
      <c r="U104" s="4"/>
      <c r="V104" s="4">
        <v>18</v>
      </c>
    </row>
    <row r="105" spans="21:22" x14ac:dyDescent="0.25">
      <c r="U105" s="4"/>
      <c r="V105" s="4">
        <v>19</v>
      </c>
    </row>
    <row r="106" spans="21:22" x14ac:dyDescent="0.25">
      <c r="U106" s="4"/>
      <c r="V106" s="4">
        <v>20</v>
      </c>
    </row>
    <row r="107" spans="21:22" x14ac:dyDescent="0.25">
      <c r="U107" s="4"/>
      <c r="V107" s="4">
        <v>20</v>
      </c>
    </row>
    <row r="108" spans="21:22" x14ac:dyDescent="0.25">
      <c r="U108" s="4"/>
      <c r="V108" s="4">
        <v>20</v>
      </c>
    </row>
    <row r="109" spans="21:22" x14ac:dyDescent="0.25">
      <c r="U109" s="4"/>
      <c r="V109" s="4">
        <v>20</v>
      </c>
    </row>
    <row r="110" spans="21:22" x14ac:dyDescent="0.25">
      <c r="U110" s="4"/>
      <c r="V110" s="4">
        <v>25</v>
      </c>
    </row>
    <row r="111" spans="21:22" ht="15.75" thickBot="1" x14ac:dyDescent="0.3">
      <c r="U111" s="5"/>
      <c r="V111" s="5">
        <v>25</v>
      </c>
    </row>
    <row r="113" spans="2:16" ht="15.75" x14ac:dyDescent="0.25">
      <c r="B113" s="36" t="s">
        <v>107</v>
      </c>
    </row>
    <row r="114" spans="2:16" ht="15.75" x14ac:dyDescent="0.25">
      <c r="J114" s="36" t="s">
        <v>107</v>
      </c>
    </row>
    <row r="115" spans="2:16" ht="15.75" thickBot="1" x14ac:dyDescent="0.3">
      <c r="B115" s="23" t="s">
        <v>78</v>
      </c>
      <c r="J115" s="23" t="s">
        <v>78</v>
      </c>
    </row>
    <row r="116" spans="2:16" x14ac:dyDescent="0.25">
      <c r="B116" s="6" t="s">
        <v>79</v>
      </c>
      <c r="C116" s="6" t="s">
        <v>29</v>
      </c>
      <c r="D116" s="6" t="s">
        <v>80</v>
      </c>
      <c r="E116" s="6" t="s">
        <v>65</v>
      </c>
      <c r="F116" s="6" t="s">
        <v>81</v>
      </c>
      <c r="J116" s="6" t="s">
        <v>82</v>
      </c>
      <c r="K116" s="6" t="s">
        <v>29</v>
      </c>
      <c r="L116" s="6" t="s">
        <v>80</v>
      </c>
      <c r="M116" s="6" t="s">
        <v>65</v>
      </c>
      <c r="N116" s="6" t="s">
        <v>81</v>
      </c>
    </row>
    <row r="117" spans="2:16" x14ac:dyDescent="0.25">
      <c r="B117" s="4" t="s">
        <v>108</v>
      </c>
      <c r="C117" s="4">
        <v>19</v>
      </c>
      <c r="D117" s="4">
        <v>265</v>
      </c>
      <c r="E117" s="4">
        <v>13.947368421052632</v>
      </c>
      <c r="F117" s="4">
        <v>53.274853801169584</v>
      </c>
      <c r="J117" s="4" t="s">
        <v>108</v>
      </c>
      <c r="K117" s="4">
        <v>19</v>
      </c>
      <c r="L117" s="4">
        <v>265</v>
      </c>
      <c r="M117" s="4">
        <v>13.947368421052632</v>
      </c>
      <c r="N117" s="4">
        <v>53.274853801169584</v>
      </c>
    </row>
    <row r="118" spans="2:16" x14ac:dyDescent="0.25">
      <c r="B118" s="4" t="s">
        <v>67</v>
      </c>
      <c r="C118" s="4">
        <v>19</v>
      </c>
      <c r="D118" s="4">
        <v>0.26620000000000005</v>
      </c>
      <c r="E118" s="4">
        <v>1.4010526315789477E-2</v>
      </c>
      <c r="F118" s="4">
        <v>5.6868543859649114E-4</v>
      </c>
      <c r="J118" s="4" t="s">
        <v>67</v>
      </c>
      <c r="K118" s="4">
        <v>19</v>
      </c>
      <c r="L118" s="4">
        <v>0.26620000000000005</v>
      </c>
      <c r="M118" s="4">
        <v>1.4010526315789477E-2</v>
      </c>
      <c r="N118" s="4">
        <v>5.6868543859649114E-4</v>
      </c>
    </row>
    <row r="119" spans="2:16" x14ac:dyDescent="0.25">
      <c r="B119" s="4" t="s">
        <v>68</v>
      </c>
      <c r="C119" s="4">
        <v>19</v>
      </c>
      <c r="D119" s="4">
        <v>153</v>
      </c>
      <c r="E119" s="4">
        <v>8.0526315789473681</v>
      </c>
      <c r="F119" s="4">
        <v>12.385964912280706</v>
      </c>
      <c r="J119" s="4" t="s">
        <v>68</v>
      </c>
      <c r="K119" s="4">
        <v>19</v>
      </c>
      <c r="L119" s="4">
        <v>153</v>
      </c>
      <c r="M119" s="4">
        <v>8.0526315789473681</v>
      </c>
      <c r="N119" s="4">
        <v>12.385964912280706</v>
      </c>
    </row>
    <row r="120" spans="2:16" ht="15.75" thickBot="1" x14ac:dyDescent="0.3">
      <c r="B120" s="5" t="s">
        <v>69</v>
      </c>
      <c r="C120" s="5">
        <v>19</v>
      </c>
      <c r="D120" s="5">
        <v>37</v>
      </c>
      <c r="E120" s="5">
        <v>1.9473684210526316</v>
      </c>
      <c r="F120" s="5">
        <v>0.9415204678362572</v>
      </c>
      <c r="J120" s="5" t="s">
        <v>69</v>
      </c>
      <c r="K120" s="5">
        <v>19</v>
      </c>
      <c r="L120" s="5">
        <v>37</v>
      </c>
      <c r="M120" s="5">
        <v>1.9473684210526316</v>
      </c>
      <c r="N120" s="5">
        <v>0.9415204678362572</v>
      </c>
    </row>
    <row r="123" spans="2:16" x14ac:dyDescent="0.25">
      <c r="B123" t="s">
        <v>109</v>
      </c>
      <c r="J123" s="23" t="s">
        <v>109</v>
      </c>
    </row>
    <row r="124" spans="2:16" ht="47.25" customHeight="1" x14ac:dyDescent="0.25">
      <c r="B124" s="28" t="s">
        <v>83</v>
      </c>
      <c r="C124" s="28" t="s">
        <v>84</v>
      </c>
      <c r="D124" s="28" t="s">
        <v>110</v>
      </c>
      <c r="E124" s="28" t="s">
        <v>89</v>
      </c>
      <c r="F124" s="28" t="s">
        <v>111</v>
      </c>
      <c r="G124" s="28" t="s">
        <v>85</v>
      </c>
      <c r="H124" s="28" t="s">
        <v>86</v>
      </c>
      <c r="J124" s="28" t="s">
        <v>83</v>
      </c>
      <c r="K124" s="28" t="s">
        <v>84</v>
      </c>
      <c r="L124" s="28" t="s">
        <v>110</v>
      </c>
      <c r="M124" s="28" t="s">
        <v>89</v>
      </c>
      <c r="N124" s="28" t="s">
        <v>111</v>
      </c>
      <c r="O124" s="28" t="s">
        <v>85</v>
      </c>
      <c r="P124" s="28" t="s">
        <v>86</v>
      </c>
    </row>
    <row r="125" spans="2:16" ht="30" x14ac:dyDescent="0.25">
      <c r="B125" s="25" t="s">
        <v>87</v>
      </c>
      <c r="C125" s="25">
        <v>2272.9601393068424</v>
      </c>
      <c r="D125" s="25">
        <v>3</v>
      </c>
      <c r="E125" s="25">
        <v>757.6533797689475</v>
      </c>
      <c r="F125" s="25">
        <v>45.502720769191619</v>
      </c>
      <c r="G125" s="25">
        <v>1.3234568954183075E-16</v>
      </c>
      <c r="H125" s="25">
        <v>2.7318070103092253</v>
      </c>
      <c r="J125" s="26" t="s">
        <v>87</v>
      </c>
      <c r="K125" s="25">
        <v>2272.9601393068424</v>
      </c>
      <c r="L125" s="25">
        <v>3</v>
      </c>
      <c r="M125" s="25">
        <v>757.6533797689475</v>
      </c>
      <c r="N125" s="25">
        <v>45.502720769191619</v>
      </c>
      <c r="O125" s="25">
        <v>1.3234568954183075E-16</v>
      </c>
      <c r="P125" s="25">
        <v>2.7318070103092253</v>
      </c>
    </row>
    <row r="126" spans="2:16" ht="30" x14ac:dyDescent="0.25">
      <c r="B126" s="25" t="s">
        <v>88</v>
      </c>
      <c r="C126" s="25">
        <v>1198.8523416010526</v>
      </c>
      <c r="D126" s="25">
        <v>72</v>
      </c>
      <c r="E126" s="25">
        <v>16.650726966681287</v>
      </c>
      <c r="F126" s="25"/>
      <c r="G126" s="25"/>
      <c r="H126" s="25"/>
      <c r="J126" s="26" t="s">
        <v>88</v>
      </c>
      <c r="K126" s="25">
        <v>1198.8523416010526</v>
      </c>
      <c r="L126" s="25">
        <v>72</v>
      </c>
      <c r="M126" s="25">
        <v>16.650726966681287</v>
      </c>
      <c r="N126" s="25"/>
      <c r="O126" s="25"/>
      <c r="P126" s="25"/>
    </row>
    <row r="127" spans="2:16" x14ac:dyDescent="0.25"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O127" s="25"/>
      <c r="P127" s="25"/>
    </row>
    <row r="128" spans="2:16" x14ac:dyDescent="0.25">
      <c r="B128" s="25" t="s">
        <v>36</v>
      </c>
      <c r="C128" s="25">
        <v>3471.812480907895</v>
      </c>
      <c r="D128" s="25">
        <v>75</v>
      </c>
      <c r="E128" s="25"/>
      <c r="F128" s="25"/>
      <c r="G128" s="25"/>
      <c r="H128" s="25"/>
      <c r="J128" s="25" t="s">
        <v>36</v>
      </c>
      <c r="K128" s="25">
        <v>3471.812480907895</v>
      </c>
      <c r="L128" s="25">
        <v>75</v>
      </c>
      <c r="M128" s="25"/>
      <c r="N128" s="25"/>
      <c r="O128" s="25"/>
      <c r="P128" s="25"/>
    </row>
    <row r="134" spans="3:11" x14ac:dyDescent="0.25">
      <c r="C134" s="34" t="s">
        <v>91</v>
      </c>
      <c r="D134" s="33" t="s">
        <v>64</v>
      </c>
      <c r="E134" s="33"/>
      <c r="F134" s="33"/>
      <c r="G134" s="33"/>
      <c r="H134" s="33" t="s">
        <v>63</v>
      </c>
      <c r="I134" s="33"/>
      <c r="J134" s="33"/>
      <c r="K134" s="33"/>
    </row>
    <row r="135" spans="3:11" x14ac:dyDescent="0.25">
      <c r="C135" s="35"/>
      <c r="D135" s="21" t="s">
        <v>65</v>
      </c>
      <c r="E135" s="21" t="s">
        <v>90</v>
      </c>
      <c r="F135" s="21" t="s">
        <v>81</v>
      </c>
      <c r="G135" s="21" t="s">
        <v>58</v>
      </c>
      <c r="H135" s="21" t="s">
        <v>65</v>
      </c>
      <c r="I135" s="21" t="s">
        <v>90</v>
      </c>
      <c r="J135" s="21" t="s">
        <v>81</v>
      </c>
      <c r="K135" s="21" t="s">
        <v>58</v>
      </c>
    </row>
    <row r="136" spans="3:11" x14ac:dyDescent="0.25">
      <c r="C136" s="21" t="s">
        <v>60</v>
      </c>
      <c r="D136" s="27">
        <f>AVERAGE(D47:D65)</f>
        <v>14.010526315789473</v>
      </c>
      <c r="E136" s="27">
        <f>D67</f>
        <v>23.211088428567521</v>
      </c>
      <c r="F136" s="27">
        <f>F118</f>
        <v>5.6868543859649114E-4</v>
      </c>
      <c r="G136" s="27">
        <f>D66</f>
        <v>6.3100000000000003E-2</v>
      </c>
      <c r="H136" s="27">
        <f>AVERAGE(P47:P67)</f>
        <v>8.0523809523809522</v>
      </c>
      <c r="I136" s="27">
        <f>P69</f>
        <v>6.6964538623861047</v>
      </c>
      <c r="J136" s="27">
        <f>N118</f>
        <v>5.6868543859649114E-4</v>
      </c>
      <c r="K136" s="27">
        <f>P68</f>
        <v>0.21490000000000001</v>
      </c>
    </row>
    <row r="137" spans="3:11" x14ac:dyDescent="0.25">
      <c r="C137" s="21" t="s">
        <v>61</v>
      </c>
      <c r="D137" s="27">
        <f>AVERAGE(E47:E65)</f>
        <v>8.0526315789473681</v>
      </c>
      <c r="E137" s="27">
        <f>E67</f>
        <v>3.4255031779522063</v>
      </c>
      <c r="F137" s="27">
        <f>F119</f>
        <v>12.385964912280706</v>
      </c>
      <c r="G137" s="27">
        <f>E66</f>
        <v>0.1183</v>
      </c>
      <c r="H137" s="27">
        <f>AVERAGE(Q47:Q67)</f>
        <v>7.3809523809523814</v>
      </c>
      <c r="I137" s="27">
        <f>Q69</f>
        <v>3.1087616655141836</v>
      </c>
      <c r="J137" s="27">
        <f>N119</f>
        <v>12.385964912280706</v>
      </c>
      <c r="K137" s="27">
        <f>Q68</f>
        <v>8.9499999999999996E-2</v>
      </c>
    </row>
    <row r="138" spans="3:11" x14ac:dyDescent="0.25">
      <c r="C138" s="21" t="s">
        <v>62</v>
      </c>
      <c r="D138" s="27">
        <f>AVERAGE(F47:F65)</f>
        <v>1.9473684210526316</v>
      </c>
      <c r="E138" s="27">
        <f>F67</f>
        <v>0.94443991815401895</v>
      </c>
      <c r="F138" s="27">
        <f>F120</f>
        <v>0.9415204678362572</v>
      </c>
      <c r="G138" s="27">
        <f>F66</f>
        <v>0.2361</v>
      </c>
      <c r="H138" s="27">
        <f>AVERAGE(R47:R67)</f>
        <v>1.7619047619047619</v>
      </c>
      <c r="I138" s="27">
        <f>R69</f>
        <v>0.81092316028220957</v>
      </c>
      <c r="J138" s="27">
        <f>N120</f>
        <v>0.9415204678362572</v>
      </c>
      <c r="K138" s="27">
        <f>R68</f>
        <v>0.2399</v>
      </c>
    </row>
  </sheetData>
  <autoFilter ref="B1:B43"/>
  <sortState ref="V93:V111">
    <sortCondition ref="V93"/>
  </sortState>
  <mergeCells count="3">
    <mergeCell ref="D134:G134"/>
    <mergeCell ref="H134:K134"/>
    <mergeCell ref="C134:C1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Muestras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Maritere</dc:creator>
  <cp:lastModifiedBy>Beatriz Rodas Junco</cp:lastModifiedBy>
  <dcterms:created xsi:type="dcterms:W3CDTF">2018-06-13T04:15:57Z</dcterms:created>
  <dcterms:modified xsi:type="dcterms:W3CDTF">2019-05-07T21:28:10Z</dcterms:modified>
</cp:coreProperties>
</file>