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cristianamanullang/Desktop/PeerJ Preparation/"/>
    </mc:Choice>
  </mc:AlternateContent>
  <bookViews>
    <workbookView xWindow="27320" yWindow="2400" windowWidth="25600" windowHeight="200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1" i="1" l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G4" i="1"/>
  <c r="H5" i="1"/>
  <c r="I4" i="1"/>
  <c r="J68" i="1"/>
  <c r="J67" i="1"/>
  <c r="J66" i="1"/>
  <c r="J65" i="1"/>
  <c r="J64" i="1"/>
  <c r="J63" i="1"/>
  <c r="J62" i="1"/>
  <c r="J61" i="1"/>
  <c r="J60" i="1"/>
  <c r="H60" i="1"/>
  <c r="J59" i="1"/>
  <c r="G59" i="1"/>
  <c r="I59" i="1"/>
  <c r="J57" i="1"/>
  <c r="J56" i="1"/>
  <c r="J55" i="1"/>
  <c r="J54" i="1"/>
  <c r="J53" i="1"/>
  <c r="J52" i="1"/>
  <c r="J51" i="1"/>
  <c r="J50" i="1"/>
  <c r="J49" i="1"/>
  <c r="H49" i="1"/>
  <c r="J48" i="1"/>
  <c r="G48" i="1"/>
  <c r="I48" i="1"/>
  <c r="J46" i="1"/>
  <c r="J45" i="1"/>
  <c r="J44" i="1"/>
  <c r="J43" i="1"/>
  <c r="J42" i="1"/>
  <c r="J41" i="1"/>
  <c r="J40" i="1"/>
  <c r="J39" i="1"/>
  <c r="J38" i="1"/>
  <c r="H38" i="1"/>
  <c r="J37" i="1"/>
  <c r="G37" i="1"/>
  <c r="I37" i="1"/>
  <c r="J35" i="1"/>
  <c r="J34" i="1"/>
  <c r="J33" i="1"/>
  <c r="J32" i="1"/>
  <c r="J31" i="1"/>
  <c r="J30" i="1"/>
  <c r="J29" i="1"/>
  <c r="J28" i="1"/>
  <c r="J27" i="1"/>
  <c r="H27" i="1"/>
  <c r="J26" i="1"/>
  <c r="G26" i="1"/>
  <c r="I26" i="1"/>
  <c r="J24" i="1"/>
  <c r="J23" i="1"/>
  <c r="J22" i="1"/>
  <c r="P7" i="1"/>
  <c r="Q7" i="1"/>
  <c r="P9" i="1"/>
  <c r="Q9" i="1"/>
  <c r="R21" i="1"/>
  <c r="U21" i="1"/>
  <c r="P21" i="1"/>
  <c r="N21" i="1"/>
  <c r="J21" i="1"/>
  <c r="J20" i="1"/>
  <c r="J19" i="1"/>
  <c r="Q18" i="1"/>
  <c r="R18" i="1"/>
  <c r="J18" i="1"/>
  <c r="J17" i="1"/>
  <c r="Q16" i="1"/>
  <c r="R16" i="1"/>
  <c r="J16" i="1"/>
  <c r="H16" i="1"/>
  <c r="J15" i="1"/>
  <c r="G15" i="1"/>
  <c r="I15" i="1"/>
  <c r="J13" i="1"/>
  <c r="Q12" i="1"/>
  <c r="T12" i="1"/>
  <c r="O12" i="1"/>
  <c r="M12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<sst xmlns="http://schemas.openxmlformats.org/spreadsheetml/2006/main" count="134" uniqueCount="60">
  <si>
    <t>Bath</t>
    <phoneticPr fontId="0"/>
  </si>
  <si>
    <t>Metrohm pH</t>
    <phoneticPr fontId="0"/>
  </si>
  <si>
    <t>Date</t>
    <phoneticPr fontId="0"/>
  </si>
  <si>
    <t>Sample</t>
    <phoneticPr fontId="0"/>
  </si>
  <si>
    <t>Temp (°C)</t>
    <phoneticPr fontId="0"/>
  </si>
  <si>
    <t>Salinity</t>
    <phoneticPr fontId="0"/>
  </si>
  <si>
    <t>Metrohm (°C)</t>
    <phoneticPr fontId="0"/>
  </si>
  <si>
    <t>mV</t>
    <phoneticPr fontId="0"/>
  </si>
  <si>
    <t>slope (%)</t>
    <phoneticPr fontId="0"/>
  </si>
  <si>
    <r>
      <t>pH</t>
    </r>
    <r>
      <rPr>
        <vertAlign val="subscript"/>
        <sz val="12"/>
        <rFont val="Osaka"/>
        <family val="3"/>
        <charset val="128"/>
      </rPr>
      <t>T</t>
    </r>
  </si>
  <si>
    <r>
      <t>pH(S)</t>
    </r>
    <r>
      <rPr>
        <vertAlign val="subscript"/>
        <sz val="12"/>
        <rFont val="Osaka"/>
        <family val="3"/>
        <charset val="128"/>
      </rPr>
      <t>TRIS</t>
    </r>
  </si>
  <si>
    <r>
      <t>pH(S)</t>
    </r>
    <r>
      <rPr>
        <vertAlign val="subscript"/>
        <sz val="12"/>
        <rFont val="Osaka"/>
        <family val="3"/>
        <charset val="128"/>
      </rPr>
      <t>AMP</t>
    </r>
  </si>
  <si>
    <t>TRIS</t>
    <phoneticPr fontId="0"/>
  </si>
  <si>
    <t>Slope should be better than 95%, iedeally &gt;98%.</t>
    <phoneticPr fontId="0"/>
  </si>
  <si>
    <t>AMP</t>
  </si>
  <si>
    <t>CO2 400A ppm</t>
  </si>
  <si>
    <t>Temp(°C)</t>
    <phoneticPr fontId="0"/>
  </si>
  <si>
    <t>Temp(K)</t>
    <phoneticPr fontId="0"/>
  </si>
  <si>
    <t>pH(S)</t>
    <phoneticPr fontId="0"/>
  </si>
  <si>
    <t>CO2 400B ppm</t>
  </si>
  <si>
    <t>CO2 600A ppm</t>
  </si>
  <si>
    <t>.=(11997+3.7669*E19+0.00178*E19^2)/(F19)-381.3088-0.011634*E19+67.63163*LN(F19)-0.121538*(F19)-LOG10(1-0.00106*E19)</t>
    <phoneticPr fontId="0"/>
  </si>
  <si>
    <t>CO2 600B ppm</t>
  </si>
  <si>
    <t>AMP</t>
    <phoneticPr fontId="0"/>
  </si>
  <si>
    <t>CO2 800A ppm</t>
  </si>
  <si>
    <t>.=(111.35+5.44875*D21)/(E21)+41.6775-0.0155683*D21-6.20815*LN(C21)-LOG10(1-0.00106*D21)</t>
    <phoneticPr fontId="0"/>
  </si>
  <si>
    <t>CO2 800B ppm</t>
  </si>
  <si>
    <t>EMP(TRIS)</t>
    <phoneticPr fontId="0"/>
  </si>
  <si>
    <t>EMP(AMP)</t>
    <phoneticPr fontId="0"/>
  </si>
  <si>
    <t>Eletrode response (s)</t>
    <phoneticPr fontId="0"/>
  </si>
  <si>
    <t>%</t>
    <phoneticPr fontId="0"/>
  </si>
  <si>
    <t>CO2 1000A ppm</t>
  </si>
  <si>
    <t>Example</t>
    <phoneticPr fontId="0"/>
  </si>
  <si>
    <t>CO2 1000B ppm</t>
  </si>
  <si>
    <t>PICES 2007 http://cdiac.ornl.gov/oceans/Handbook_2007.html</t>
    <phoneticPr fontId="0"/>
  </si>
  <si>
    <t>New equation</t>
    <phoneticPr fontId="0"/>
  </si>
  <si>
    <t>.=(11911.08-18.2499*E28-0.039336*E28^2)/(F28)-366.27059+0.53993607*E28+0.00016329*E28^2+(64.52243-0.084041*E28)*LN(F28)-0.11149858*F28</t>
    <phoneticPr fontId="0"/>
  </si>
  <si>
    <t>Same equation as above</t>
    <phoneticPr fontId="0"/>
  </si>
  <si>
    <t>pH mean</t>
  </si>
  <si>
    <t>STEDV</t>
  </si>
  <si>
    <t>Range</t>
  </si>
  <si>
    <t>pH</t>
  </si>
  <si>
    <t>8.12±0.03</t>
  </si>
  <si>
    <t>6.81±0.02</t>
  </si>
  <si>
    <t>8.05-8.08</t>
  </si>
  <si>
    <t>8.07±0.01</t>
  </si>
  <si>
    <t>8.04-8.12</t>
  </si>
  <si>
    <t>8.08±0.03</t>
  </si>
  <si>
    <t>8.00-8.04</t>
  </si>
  <si>
    <t>8.02±0.01</t>
  </si>
  <si>
    <t>7.90-8.03</t>
  </si>
  <si>
    <t>7.99±0.04</t>
  </si>
  <si>
    <t>7.87-7.93</t>
  </si>
  <si>
    <t>7.90±0.02</t>
  </si>
  <si>
    <t>7.85-7.92</t>
  </si>
  <si>
    <t>7.89±0.03</t>
  </si>
  <si>
    <t>7.80-7.85</t>
  </si>
  <si>
    <t>7.82±0.01</t>
  </si>
  <si>
    <t>7.78-7.84</t>
  </si>
  <si>
    <t>7.81±0.02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</si>
</sst>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.000"/>
    <numFmt numFmtId="167" formatCode="0.00_);[Red]\(0.00\)"/>
    <numFmt numFmtId="168" formatCode="0.00_ "/>
    <numFmt numFmtId="169" formatCode="0.0000"/>
  </numFmts>
  <fonts count="4" x14ac:knownFonts="1">
    <font>
      <sz val="12"/>
      <color theme="1"/>
      <name val="Calibri"/>
      <family val="2"/>
      <scheme val="minor"/>
    </font>
    <font>
      <sz val="12"/>
      <name val="Osaka"/>
      <charset val="128"/>
    </font>
    <font>
      <vertAlign val="subscript"/>
      <sz val="12"/>
      <name val="Osaka"/>
      <family val="3"/>
      <charset val="128"/>
    </font>
    <font>
      <sz val="12"/>
      <color theme="1"/>
      <name val="Osaka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1" applyFont="1" applyFill="1" applyBorder="1"/>
    <xf numFmtId="0" fontId="1" fillId="2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/>
    <xf numFmtId="0" fontId="1" fillId="4" borderId="1" xfId="1" applyFont="1" applyFill="1" applyBorder="1"/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2" borderId="1" xfId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1" fillId="0" borderId="0" xfId="1" applyFont="1" applyAlignment="1">
      <alignment wrapText="1"/>
    </xf>
    <xf numFmtId="0" fontId="1" fillId="0" borderId="1" xfId="1" applyFont="1" applyBorder="1" applyAlignment="1">
      <alignment horizontal="center"/>
    </xf>
    <xf numFmtId="14" fontId="1" fillId="5" borderId="1" xfId="1" applyNumberFormat="1" applyFont="1" applyFill="1" applyBorder="1"/>
    <xf numFmtId="0" fontId="1" fillId="5" borderId="1" xfId="1" applyFont="1" applyFill="1" applyBorder="1"/>
    <xf numFmtId="164" fontId="1" fillId="5" borderId="1" xfId="1" applyNumberFormat="1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3" fillId="0" borderId="0" xfId="0" applyFont="1"/>
    <xf numFmtId="164" fontId="1" fillId="6" borderId="1" xfId="1" applyNumberFormat="1" applyFont="1" applyFill="1" applyBorder="1" applyAlignment="1">
      <alignment horizontal="right"/>
    </xf>
    <xf numFmtId="0" fontId="1" fillId="4" borderId="1" xfId="1" applyFont="1" applyFill="1" applyBorder="1" applyAlignment="1">
      <alignment horizontal="right"/>
    </xf>
    <xf numFmtId="165" fontId="3" fillId="4" borderId="1" xfId="2" applyNumberFormat="1" applyFont="1" applyFill="1" applyBorder="1"/>
    <xf numFmtId="166" fontId="1" fillId="4" borderId="1" xfId="1" applyNumberFormat="1" applyFont="1" applyFill="1" applyBorder="1" applyAlignment="1">
      <alignment horizontal="center"/>
    </xf>
    <xf numFmtId="0" fontId="1" fillId="0" borderId="0" xfId="1" applyFont="1" applyAlignment="1">
      <alignment horizontal="left"/>
    </xf>
    <xf numFmtId="22" fontId="1" fillId="5" borderId="1" xfId="1" applyNumberFormat="1" applyFont="1" applyFill="1" applyBorder="1"/>
    <xf numFmtId="166" fontId="1" fillId="0" borderId="1" xfId="1" applyNumberFormat="1" applyFont="1" applyBorder="1" applyAlignment="1">
      <alignment horizontal="center"/>
    </xf>
    <xf numFmtId="0" fontId="1" fillId="0" borderId="1" xfId="1" applyFont="1" applyBorder="1"/>
    <xf numFmtId="0" fontId="1" fillId="0" borderId="0" xfId="1" applyFont="1" applyAlignment="1">
      <alignment horizontal="right"/>
    </xf>
    <xf numFmtId="164" fontId="1" fillId="0" borderId="0" xfId="1" applyNumberFormat="1" applyFont="1"/>
    <xf numFmtId="167" fontId="1" fillId="0" borderId="0" xfId="1" applyNumberFormat="1" applyFont="1"/>
    <xf numFmtId="166" fontId="1" fillId="0" borderId="0" xfId="1" applyNumberFormat="1" applyFont="1"/>
    <xf numFmtId="2" fontId="1" fillId="0" borderId="0" xfId="1" applyNumberFormat="1" applyFont="1"/>
    <xf numFmtId="168" fontId="1" fillId="0" borderId="0" xfId="1" applyNumberFormat="1" applyFont="1"/>
    <xf numFmtId="165" fontId="3" fillId="0" borderId="0" xfId="2" applyNumberFormat="1" applyFont="1"/>
    <xf numFmtId="169" fontId="1" fillId="0" borderId="0" xfId="1" applyNumberFormat="1" applyFont="1"/>
    <xf numFmtId="0" fontId="3" fillId="0" borderId="0" xfId="0" applyFont="1" applyAlignment="1">
      <alignment horizontal="center"/>
    </xf>
    <xf numFmtId="15" fontId="1" fillId="0" borderId="0" xfId="1" applyNumberFormat="1" applyFon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topLeftCell="A52" workbookViewId="0">
      <selection activeCell="K22" sqref="K22"/>
    </sheetView>
  </sheetViews>
  <sheetFormatPr baseColWidth="10" defaultColWidth="11.33203125" defaultRowHeight="18" x14ac:dyDescent="0.25"/>
  <cols>
    <col min="1" max="1" width="10.33203125" style="8" customWidth="1"/>
    <col min="2" max="2" width="17.5" style="8" customWidth="1"/>
    <col min="3" max="3" width="12.33203125" style="8" customWidth="1"/>
    <col min="4" max="4" width="11.6640625" style="8" customWidth="1"/>
    <col min="5" max="5" width="9.6640625" style="8" customWidth="1"/>
    <col min="6" max="6" width="11.1640625" style="8" customWidth="1"/>
    <col min="7" max="9" width="11.33203125" style="8"/>
    <col min="10" max="10" width="10.83203125" style="8" customWidth="1"/>
    <col min="11" max="11" width="11.33203125" style="8"/>
    <col min="12" max="12" width="13.33203125" style="7" customWidth="1"/>
    <col min="13" max="15" width="11.33203125" style="7"/>
    <col min="16" max="16384" width="11.33203125" style="8"/>
  </cols>
  <sheetData>
    <row r="1" spans="1:34" x14ac:dyDescent="0.25">
      <c r="A1" s="1"/>
      <c r="B1" s="1"/>
      <c r="C1" s="2" t="s">
        <v>0</v>
      </c>
      <c r="D1" s="3"/>
      <c r="E1" s="4"/>
      <c r="F1" s="4" t="s">
        <v>1</v>
      </c>
      <c r="G1" s="4"/>
      <c r="H1" s="5"/>
      <c r="I1" s="5"/>
      <c r="J1" s="5"/>
      <c r="K1" s="6"/>
      <c r="P1" s="7"/>
      <c r="Q1" s="7"/>
      <c r="R1" s="7"/>
      <c r="S1" s="7"/>
    </row>
    <row r="2" spans="1:34" s="12" customFormat="1" ht="38" customHeight="1" x14ac:dyDescent="0.25">
      <c r="A2" s="9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0" t="s">
        <v>7</v>
      </c>
      <c r="G2" s="11"/>
      <c r="H2" s="11"/>
      <c r="I2" s="11" t="s">
        <v>8</v>
      </c>
      <c r="J2" s="11" t="s">
        <v>9</v>
      </c>
      <c r="K2" s="7"/>
      <c r="L2" s="6"/>
      <c r="M2" s="6"/>
      <c r="N2" s="6"/>
      <c r="O2" s="6"/>
      <c r="P2" s="6"/>
      <c r="Q2" s="6"/>
      <c r="R2" s="6"/>
    </row>
    <row r="3" spans="1:34" x14ac:dyDescent="0.25">
      <c r="A3" s="13"/>
      <c r="B3" s="13"/>
      <c r="C3" s="13"/>
      <c r="D3" s="13"/>
      <c r="E3" s="13"/>
      <c r="F3" s="13"/>
      <c r="G3" s="13" t="s">
        <v>10</v>
      </c>
      <c r="H3" s="13" t="s">
        <v>11</v>
      </c>
      <c r="I3" s="13"/>
      <c r="J3" s="13"/>
      <c r="K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25">
      <c r="A4" s="14">
        <v>42510</v>
      </c>
      <c r="B4" s="15" t="s">
        <v>12</v>
      </c>
      <c r="C4" s="16">
        <v>25</v>
      </c>
      <c r="D4" s="17">
        <v>34.5</v>
      </c>
      <c r="E4" s="18">
        <v>24.7</v>
      </c>
      <c r="F4" s="19">
        <v>-64.459999999999994</v>
      </c>
      <c r="G4" s="20">
        <f>(11997+3.7669*D4+0.00178*D4^2)/(E4+273.15)-381.3088-0.011634*D4+67.63163*LN(E4+273.15)-0.121538*(E4+273.15)-LOG10(1-0.00106*D4)</f>
        <v>8.0976782993629985</v>
      </c>
      <c r="I4" s="21">
        <f>(F4-F5)/(G4-H5)/-59.16</f>
        <v>0.97065999996442787</v>
      </c>
      <c r="J4" s="22">
        <f t="shared" ref="J4:J13" si="0">(F4-$F$4)/($I$4*(-59.16))+G$4</f>
        <v>8.0976782993629985</v>
      </c>
      <c r="K4" s="7"/>
      <c r="L4" s="23" t="s">
        <v>13</v>
      </c>
      <c r="P4" s="7"/>
    </row>
    <row r="5" spans="1:34" x14ac:dyDescent="0.25">
      <c r="A5" s="24"/>
      <c r="B5" s="15" t="s">
        <v>14</v>
      </c>
      <c r="C5" s="16">
        <v>25.2</v>
      </c>
      <c r="D5" s="17">
        <v>34.5</v>
      </c>
      <c r="E5" s="18">
        <v>24.7</v>
      </c>
      <c r="F5" s="19">
        <v>10.5</v>
      </c>
      <c r="G5" s="25"/>
      <c r="H5" s="22">
        <f>(111.35+5.44875*D5)/(E5+273.15)+41.6775-0.015683*D5-6.20815*LN(E5+273.15)-LOG10(1-0.00106*D5)</f>
        <v>6.7923063398444379</v>
      </c>
      <c r="I5" s="26"/>
      <c r="J5" s="22">
        <f t="shared" si="0"/>
        <v>6.7923063398444379</v>
      </c>
      <c r="K5" s="7"/>
      <c r="P5" s="7"/>
    </row>
    <row r="6" spans="1:34" x14ac:dyDescent="0.25">
      <c r="A6" s="24"/>
      <c r="B6" s="15" t="s">
        <v>15</v>
      </c>
      <c r="C6" s="16">
        <v>25.2</v>
      </c>
      <c r="D6" s="17">
        <v>34.5</v>
      </c>
      <c r="E6" s="18">
        <v>24.8</v>
      </c>
      <c r="F6" s="18">
        <v>-63.9</v>
      </c>
      <c r="G6" s="25"/>
      <c r="H6" s="25"/>
      <c r="I6" s="26"/>
      <c r="J6" s="22">
        <f t="shared" si="0"/>
        <v>8.0879263210101389</v>
      </c>
      <c r="K6" s="7"/>
      <c r="L6" s="8"/>
      <c r="M6" s="8" t="s">
        <v>16</v>
      </c>
      <c r="N6" s="8"/>
      <c r="O6" s="8" t="s">
        <v>5</v>
      </c>
      <c r="P6" s="8" t="s">
        <v>17</v>
      </c>
      <c r="Q6" s="27" t="s">
        <v>18</v>
      </c>
      <c r="R6" s="27"/>
      <c r="S6" s="27"/>
      <c r="W6" s="7"/>
      <c r="X6" s="7"/>
      <c r="Y6" s="7"/>
      <c r="Z6" s="7"/>
    </row>
    <row r="7" spans="1:34" x14ac:dyDescent="0.25">
      <c r="A7" s="24"/>
      <c r="B7" s="15" t="s">
        <v>19</v>
      </c>
      <c r="C7" s="16">
        <v>25.2</v>
      </c>
      <c r="D7" s="17">
        <v>34.5</v>
      </c>
      <c r="E7" s="18">
        <v>24.8</v>
      </c>
      <c r="F7" s="18">
        <v>-66</v>
      </c>
      <c r="G7" s="25"/>
      <c r="H7" s="25"/>
      <c r="I7" s="26"/>
      <c r="J7" s="22">
        <f t="shared" si="0"/>
        <v>8.1244962398333644</v>
      </c>
      <c r="K7" s="7"/>
      <c r="L7" s="27" t="s">
        <v>12</v>
      </c>
      <c r="M7" s="28">
        <v>25</v>
      </c>
      <c r="N7" s="28"/>
      <c r="O7" s="28">
        <v>35</v>
      </c>
      <c r="P7" s="29">
        <f>M7+273.15</f>
        <v>298.14999999999998</v>
      </c>
      <c r="Q7" s="30">
        <f>(11997+3.7669*O7+0.00178*O7^2)/(P7)-381.3088-0.011634*O7+67.63163*LN(P7)-0.121538*(P7)-LOG10(1-0.00106*O7)</f>
        <v>8.0892742273508915</v>
      </c>
      <c r="R7" s="31"/>
      <c r="S7" s="31"/>
      <c r="W7" s="7"/>
      <c r="X7" s="7"/>
      <c r="Y7" s="7"/>
      <c r="Z7" s="7"/>
    </row>
    <row r="8" spans="1:34" x14ac:dyDescent="0.25">
      <c r="A8" s="24"/>
      <c r="B8" s="15" t="s">
        <v>20</v>
      </c>
      <c r="C8" s="16">
        <v>25.2</v>
      </c>
      <c r="D8" s="17">
        <v>34.5</v>
      </c>
      <c r="E8" s="18">
        <v>24.7</v>
      </c>
      <c r="F8" s="18">
        <v>-60</v>
      </c>
      <c r="G8" s="25"/>
      <c r="H8" s="25"/>
      <c r="I8" s="26"/>
      <c r="J8" s="22">
        <f t="shared" si="0"/>
        <v>8.0200107574812911</v>
      </c>
      <c r="K8" s="7"/>
      <c r="L8" s="8"/>
      <c r="M8" s="8"/>
      <c r="N8" s="8"/>
      <c r="O8" s="28"/>
      <c r="Q8" s="8" t="s">
        <v>21</v>
      </c>
      <c r="W8" s="7"/>
      <c r="X8" s="7"/>
      <c r="Y8" s="7"/>
      <c r="Z8" s="7"/>
    </row>
    <row r="9" spans="1:34" x14ac:dyDescent="0.25">
      <c r="A9" s="24"/>
      <c r="B9" s="15" t="s">
        <v>22</v>
      </c>
      <c r="C9" s="16">
        <v>25.2</v>
      </c>
      <c r="D9" s="17">
        <v>34.5</v>
      </c>
      <c r="E9" s="18">
        <v>24.9</v>
      </c>
      <c r="F9" s="18">
        <v>-59.9</v>
      </c>
      <c r="G9" s="25"/>
      <c r="H9" s="25"/>
      <c r="I9" s="26"/>
      <c r="J9" s="22">
        <f t="shared" si="0"/>
        <v>8.0182693327754233</v>
      </c>
      <c r="K9" s="7"/>
      <c r="L9" s="27" t="s">
        <v>23</v>
      </c>
      <c r="M9" s="28">
        <v>25</v>
      </c>
      <c r="N9" s="28"/>
      <c r="O9" s="28">
        <v>35</v>
      </c>
      <c r="P9" s="29">
        <f>M9+273.15</f>
        <v>298.14999999999998</v>
      </c>
      <c r="Q9" s="30">
        <f>(111.35+5.44875*O9)/(P9)+41.6775-0.015683*O9-6.20815*LN(P9)-LOG10(1-0.00106*O9)</f>
        <v>6.7865803902317845</v>
      </c>
      <c r="R9" s="31"/>
      <c r="S9" s="31"/>
      <c r="V9" s="7"/>
      <c r="W9" s="7"/>
      <c r="X9" s="7"/>
      <c r="Y9" s="7"/>
    </row>
    <row r="10" spans="1:34" x14ac:dyDescent="0.25">
      <c r="A10" s="24"/>
      <c r="B10" s="15" t="s">
        <v>24</v>
      </c>
      <c r="C10" s="16">
        <v>25.2</v>
      </c>
      <c r="D10" s="17">
        <v>34.5</v>
      </c>
      <c r="E10" s="18">
        <v>24.9</v>
      </c>
      <c r="F10" s="18">
        <v>-51.5</v>
      </c>
      <c r="G10" s="25"/>
      <c r="H10" s="25"/>
      <c r="I10" s="26"/>
      <c r="J10" s="22">
        <f t="shared" si="0"/>
        <v>7.8719896574825219</v>
      </c>
      <c r="K10" s="7"/>
      <c r="L10" s="8"/>
      <c r="M10" s="8"/>
      <c r="N10" s="8"/>
      <c r="O10" s="8"/>
      <c r="Q10" s="8" t="s">
        <v>25</v>
      </c>
      <c r="V10" s="7"/>
      <c r="W10" s="7"/>
      <c r="X10" s="7"/>
      <c r="Y10" s="7"/>
    </row>
    <row r="11" spans="1:34" x14ac:dyDescent="0.25">
      <c r="A11" s="24"/>
      <c r="B11" s="15" t="s">
        <v>26</v>
      </c>
      <c r="C11" s="16">
        <v>25.2</v>
      </c>
      <c r="D11" s="17">
        <v>34.5</v>
      </c>
      <c r="E11" s="18">
        <v>24.9</v>
      </c>
      <c r="F11" s="18">
        <v>-51</v>
      </c>
      <c r="G11" s="25"/>
      <c r="H11" s="25"/>
      <c r="I11" s="26"/>
      <c r="J11" s="22">
        <f t="shared" si="0"/>
        <v>7.863282533953182</v>
      </c>
      <c r="K11" s="7"/>
      <c r="L11" s="8"/>
      <c r="M11" s="8" t="s">
        <v>27</v>
      </c>
      <c r="N11" s="8"/>
      <c r="O11" s="8" t="s">
        <v>28</v>
      </c>
      <c r="P11" s="23" t="s">
        <v>29</v>
      </c>
      <c r="T11" s="8" t="s">
        <v>30</v>
      </c>
      <c r="V11" s="7"/>
      <c r="W11" s="7"/>
      <c r="X11" s="7"/>
      <c r="Y11" s="7"/>
    </row>
    <row r="12" spans="1:34" x14ac:dyDescent="0.25">
      <c r="A12" s="24"/>
      <c r="B12" s="15" t="s">
        <v>31</v>
      </c>
      <c r="C12" s="16">
        <v>25.2</v>
      </c>
      <c r="D12" s="17">
        <v>34.5</v>
      </c>
      <c r="E12" s="18">
        <v>24.9</v>
      </c>
      <c r="F12" s="18">
        <v>-48.4</v>
      </c>
      <c r="G12" s="25"/>
      <c r="H12" s="25"/>
      <c r="I12" s="26"/>
      <c r="J12" s="22">
        <f t="shared" si="0"/>
        <v>7.8180054916006174</v>
      </c>
      <c r="K12" s="7"/>
      <c r="L12" s="27" t="s">
        <v>32</v>
      </c>
      <c r="M12" s="28">
        <f>F5</f>
        <v>10.5</v>
      </c>
      <c r="N12" s="28"/>
      <c r="O12" s="28">
        <f>F4</f>
        <v>-64.459999999999994</v>
      </c>
      <c r="Q12" s="32">
        <f>(F4-F5)/(Q7-Q9)</f>
        <v>-57.542300319600194</v>
      </c>
      <c r="R12" s="32"/>
      <c r="S12" s="32"/>
      <c r="T12" s="33">
        <f>Q12/59.16</f>
        <v>-0.97265551588235633</v>
      </c>
      <c r="V12" s="7"/>
      <c r="W12" s="7"/>
      <c r="X12" s="7"/>
      <c r="Y12" s="7"/>
    </row>
    <row r="13" spans="1:34" x14ac:dyDescent="0.25">
      <c r="A13" s="24"/>
      <c r="B13" s="15" t="s">
        <v>33</v>
      </c>
      <c r="C13" s="16">
        <v>25.2</v>
      </c>
      <c r="D13" s="17">
        <v>34.5</v>
      </c>
      <c r="E13" s="18">
        <v>25.1</v>
      </c>
      <c r="F13" s="18">
        <v>-46.6</v>
      </c>
      <c r="G13" s="25"/>
      <c r="H13" s="25"/>
      <c r="I13" s="26"/>
      <c r="J13" s="22">
        <f t="shared" si="0"/>
        <v>7.7866598468949961</v>
      </c>
      <c r="L13" s="8"/>
      <c r="M13" s="8"/>
      <c r="N13" s="8"/>
      <c r="O13" s="8"/>
      <c r="V13" s="7"/>
      <c r="W13" s="7"/>
      <c r="X13" s="7"/>
      <c r="Y13" s="7"/>
    </row>
    <row r="14" spans="1:34" x14ac:dyDescent="0.25">
      <c r="L14" s="8" t="s">
        <v>34</v>
      </c>
      <c r="M14" s="8"/>
      <c r="N14" s="8"/>
      <c r="O14" s="8"/>
      <c r="V14" s="7"/>
      <c r="W14" s="7"/>
      <c r="X14" s="7"/>
      <c r="Y14" s="7"/>
    </row>
    <row r="15" spans="1:34" x14ac:dyDescent="0.25">
      <c r="A15" s="14">
        <v>42517</v>
      </c>
      <c r="B15" s="15" t="s">
        <v>12</v>
      </c>
      <c r="C15" s="16">
        <v>25</v>
      </c>
      <c r="D15" s="17">
        <v>34.5</v>
      </c>
      <c r="E15" s="18">
        <v>25.6</v>
      </c>
      <c r="F15" s="18">
        <v>-64.45</v>
      </c>
      <c r="G15" s="20">
        <f>(11997+3.7669*D15+0.00178*D15^2)/(E15+273.15)-381.3088-0.011634*D15+67.63163*LN(E15+273.15)-0.121538*(E15+273.15)-LOG10(1-0.00106*D15)</f>
        <v>8.0696679860943323</v>
      </c>
      <c r="I15" s="21">
        <f>(F15-F16)/(G15-H16)/-59.16</f>
        <v>0.96560099812348654</v>
      </c>
      <c r="J15" s="22">
        <f t="shared" ref="J15:J24" si="1">(F15-$F$4)/($I$4*(-59.16))+G$4</f>
        <v>8.0975041568924127</v>
      </c>
      <c r="L15" s="8"/>
      <c r="M15" s="8" t="s">
        <v>16</v>
      </c>
      <c r="N15" s="8"/>
      <c r="O15" s="8" t="s">
        <v>5</v>
      </c>
      <c r="P15" s="8" t="s">
        <v>17</v>
      </c>
      <c r="Q15" s="27" t="s">
        <v>18</v>
      </c>
      <c r="R15" s="27"/>
      <c r="S15" s="27"/>
      <c r="W15" s="7"/>
      <c r="X15" s="7"/>
      <c r="Y15" s="7"/>
      <c r="Z15" s="7"/>
    </row>
    <row r="16" spans="1:34" x14ac:dyDescent="0.25">
      <c r="A16" s="24"/>
      <c r="B16" s="15" t="s">
        <v>14</v>
      </c>
      <c r="C16" s="16">
        <v>25.2</v>
      </c>
      <c r="D16" s="17">
        <v>34.5</v>
      </c>
      <c r="E16" s="18">
        <v>25.7</v>
      </c>
      <c r="F16" s="18">
        <v>9.9</v>
      </c>
      <c r="G16" s="25"/>
      <c r="H16" s="22">
        <f>(111.35+5.44875*D16)/(E16+273.15)+41.6775-0.015683*D16-6.20815*LN(E16+273.15)-LOG10(1-0.00106*D16)</f>
        <v>6.7681352332677642</v>
      </c>
      <c r="I16" s="26"/>
      <c r="J16" s="22">
        <f t="shared" si="1"/>
        <v>6.8027548880796456</v>
      </c>
      <c r="M16" s="27" t="s">
        <v>12</v>
      </c>
      <c r="N16" s="28">
        <v>25</v>
      </c>
      <c r="O16" s="28"/>
      <c r="P16" s="28">
        <v>35</v>
      </c>
      <c r="Q16" s="29">
        <f>N16+273.15</f>
        <v>298.14999999999998</v>
      </c>
      <c r="R16" s="34">
        <f>(11911.08-18.2499*P16-0.039336*P16^2)/(Q16)-366.27059+0.53993607*P16+0.00016329*P16^2+(64.52243-0.084041*P16)*LN(Q16)-0.11149858*Q16</f>
        <v>8.0935490943465993</v>
      </c>
      <c r="S16" s="31" t="s">
        <v>35</v>
      </c>
      <c r="T16" s="31"/>
      <c r="X16" s="7"/>
      <c r="Y16" s="7"/>
      <c r="Z16" s="7"/>
      <c r="AA16" s="7"/>
    </row>
    <row r="17" spans="1:27" x14ac:dyDescent="0.25">
      <c r="A17" s="24"/>
      <c r="B17" s="15" t="s">
        <v>15</v>
      </c>
      <c r="C17" s="16">
        <v>25.2</v>
      </c>
      <c r="D17" s="17">
        <v>34.5</v>
      </c>
      <c r="E17" s="18">
        <v>25.7</v>
      </c>
      <c r="F17" s="18">
        <v>-62.3</v>
      </c>
      <c r="G17" s="25"/>
      <c r="H17" s="25"/>
      <c r="I17" s="26"/>
      <c r="J17" s="22">
        <f t="shared" si="1"/>
        <v>8.0600635257162523</v>
      </c>
      <c r="M17" s="8"/>
      <c r="N17" s="8"/>
      <c r="O17" s="8"/>
      <c r="P17" s="28"/>
      <c r="R17" s="8" t="s">
        <v>36</v>
      </c>
      <c r="X17" s="7"/>
      <c r="Y17" s="7"/>
      <c r="Z17" s="7"/>
      <c r="AA17" s="7"/>
    </row>
    <row r="18" spans="1:27" x14ac:dyDescent="0.25">
      <c r="A18" s="24"/>
      <c r="B18" s="15" t="s">
        <v>19</v>
      </c>
      <c r="C18" s="16">
        <v>25.2</v>
      </c>
      <c r="D18" s="17">
        <v>34.5</v>
      </c>
      <c r="E18" s="18">
        <v>25.9</v>
      </c>
      <c r="F18" s="18">
        <v>-64.599999999999994</v>
      </c>
      <c r="G18" s="25"/>
      <c r="H18" s="25"/>
      <c r="I18" s="26"/>
      <c r="J18" s="22">
        <f t="shared" si="1"/>
        <v>8.1001162939512135</v>
      </c>
      <c r="L18" s="8"/>
      <c r="M18" s="27" t="s">
        <v>23</v>
      </c>
      <c r="N18" s="28">
        <v>25</v>
      </c>
      <c r="O18" s="28"/>
      <c r="P18" s="28">
        <v>35</v>
      </c>
      <c r="Q18" s="29">
        <f>N18+273.15</f>
        <v>298.14999999999998</v>
      </c>
      <c r="R18" s="30">
        <f>(111.35+5.44875*P18)/(Q18)+41.6775-0.015683*P18-6.20815*LN(Q18)-LOG10(1-0.00106*P18)</f>
        <v>6.7865803902317845</v>
      </c>
      <c r="S18" s="31" t="s">
        <v>37</v>
      </c>
      <c r="T18" s="31"/>
      <c r="W18" s="7"/>
      <c r="X18" s="7"/>
      <c r="Y18" s="7"/>
      <c r="Z18" s="7"/>
    </row>
    <row r="19" spans="1:27" x14ac:dyDescent="0.25">
      <c r="A19" s="24"/>
      <c r="B19" s="15" t="s">
        <v>20</v>
      </c>
      <c r="C19" s="16">
        <v>25.2</v>
      </c>
      <c r="D19" s="17">
        <v>34.5</v>
      </c>
      <c r="E19" s="18">
        <v>25.9</v>
      </c>
      <c r="F19" s="18">
        <v>-61</v>
      </c>
      <c r="G19" s="25"/>
      <c r="H19" s="25"/>
      <c r="I19" s="26"/>
      <c r="J19" s="22">
        <f t="shared" si="1"/>
        <v>8.0374250045399709</v>
      </c>
      <c r="L19" s="8"/>
      <c r="M19" s="8"/>
      <c r="N19" s="8"/>
      <c r="O19" s="8"/>
      <c r="R19" s="8" t="s">
        <v>25</v>
      </c>
      <c r="W19" s="7"/>
      <c r="X19" s="7"/>
      <c r="Y19" s="7"/>
      <c r="Z19" s="7"/>
    </row>
    <row r="20" spans="1:27" x14ac:dyDescent="0.25">
      <c r="A20" s="24"/>
      <c r="B20" s="15" t="s">
        <v>22</v>
      </c>
      <c r="C20" s="16">
        <v>25.2</v>
      </c>
      <c r="D20" s="17">
        <v>34.5</v>
      </c>
      <c r="E20" s="18">
        <v>25.9</v>
      </c>
      <c r="F20" s="18">
        <v>-60.6</v>
      </c>
      <c r="G20" s="25"/>
      <c r="H20" s="25"/>
      <c r="I20" s="26"/>
      <c r="J20" s="22">
        <f t="shared" si="1"/>
        <v>8.0304593057164979</v>
      </c>
      <c r="L20" s="8"/>
      <c r="M20" s="8"/>
      <c r="N20" s="8" t="s">
        <v>27</v>
      </c>
      <c r="O20" s="8"/>
      <c r="P20" s="8" t="s">
        <v>28</v>
      </c>
      <c r="Q20" s="23" t="s">
        <v>29</v>
      </c>
      <c r="U20" s="8" t="s">
        <v>30</v>
      </c>
      <c r="W20" s="7"/>
      <c r="X20" s="7"/>
      <c r="Y20" s="7"/>
      <c r="Z20" s="7"/>
    </row>
    <row r="21" spans="1:27" x14ac:dyDescent="0.25">
      <c r="A21" s="24"/>
      <c r="B21" s="15" t="s">
        <v>24</v>
      </c>
      <c r="C21" s="16">
        <v>25.2</v>
      </c>
      <c r="D21" s="17">
        <v>34.5</v>
      </c>
      <c r="E21" s="18">
        <v>25.9</v>
      </c>
      <c r="F21" s="18">
        <v>-54.1</v>
      </c>
      <c r="G21" s="25"/>
      <c r="H21" s="25"/>
      <c r="I21" s="26"/>
      <c r="J21" s="22">
        <f t="shared" si="1"/>
        <v>7.9172666998350865</v>
      </c>
      <c r="L21" s="8"/>
      <c r="M21" s="27" t="s">
        <v>32</v>
      </c>
      <c r="N21" s="28">
        <f>F5</f>
        <v>10.5</v>
      </c>
      <c r="O21" s="28"/>
      <c r="P21" s="28">
        <f>F4</f>
        <v>-64.459999999999994</v>
      </c>
      <c r="R21" s="32">
        <f>(F4-F5)/(Q7-Q9)</f>
        <v>-57.542300319600194</v>
      </c>
      <c r="S21" s="32"/>
      <c r="T21" s="32"/>
      <c r="U21" s="33">
        <f>R21/59.16</f>
        <v>-0.97265551588235633</v>
      </c>
      <c r="W21" s="7"/>
      <c r="X21" s="7"/>
      <c r="Y21" s="7"/>
      <c r="Z21" s="7"/>
    </row>
    <row r="22" spans="1:27" x14ac:dyDescent="0.25">
      <c r="A22" s="24"/>
      <c r="B22" s="15" t="s">
        <v>26</v>
      </c>
      <c r="C22" s="16">
        <v>25.2</v>
      </c>
      <c r="D22" s="17">
        <v>34.5</v>
      </c>
      <c r="E22" s="18">
        <v>26</v>
      </c>
      <c r="F22" s="18">
        <v>-54.8</v>
      </c>
      <c r="G22" s="25"/>
      <c r="H22" s="25"/>
      <c r="I22" s="26"/>
      <c r="J22" s="22">
        <f t="shared" si="1"/>
        <v>7.929456672776162</v>
      </c>
      <c r="L22" s="8"/>
      <c r="M22" s="8"/>
      <c r="N22" s="8"/>
      <c r="O22" s="8"/>
      <c r="W22" s="7"/>
      <c r="X22" s="7"/>
      <c r="Y22" s="7"/>
      <c r="Z22" s="7"/>
    </row>
    <row r="23" spans="1:27" x14ac:dyDescent="0.25">
      <c r="A23" s="24"/>
      <c r="B23" s="15" t="s">
        <v>31</v>
      </c>
      <c r="C23" s="16">
        <v>25.2</v>
      </c>
      <c r="D23" s="17">
        <v>34.5</v>
      </c>
      <c r="E23" s="18">
        <v>26.1</v>
      </c>
      <c r="F23" s="18">
        <v>-48.6</v>
      </c>
      <c r="G23" s="25"/>
      <c r="H23" s="25"/>
      <c r="I23" s="26"/>
      <c r="J23" s="22">
        <f t="shared" si="1"/>
        <v>7.821488341012353</v>
      </c>
      <c r="L23" s="8"/>
      <c r="M23" s="8"/>
      <c r="N23" s="8"/>
      <c r="O23" s="8"/>
      <c r="P23" s="18"/>
      <c r="Q23" s="18"/>
      <c r="R23" s="35"/>
      <c r="S23" s="18"/>
      <c r="T23" s="35"/>
      <c r="V23" s="7"/>
      <c r="W23" s="7"/>
      <c r="X23" s="7"/>
      <c r="Y23" s="7"/>
    </row>
    <row r="24" spans="1:27" x14ac:dyDescent="0.25">
      <c r="A24" s="24"/>
      <c r="B24" s="15" t="s">
        <v>33</v>
      </c>
      <c r="C24" s="16">
        <v>25.2</v>
      </c>
      <c r="D24" s="17">
        <v>34.5</v>
      </c>
      <c r="E24" s="18">
        <v>26.1</v>
      </c>
      <c r="F24" s="18">
        <v>-49.8</v>
      </c>
      <c r="G24" s="25"/>
      <c r="H24" s="25"/>
      <c r="I24" s="26"/>
      <c r="J24" s="22">
        <f t="shared" si="1"/>
        <v>7.8423854374827675</v>
      </c>
      <c r="P24" s="18"/>
      <c r="Q24" s="18"/>
      <c r="R24" s="18"/>
      <c r="S24" s="18"/>
      <c r="T24" s="18"/>
    </row>
    <row r="25" spans="1:27" x14ac:dyDescent="0.25">
      <c r="B25" s="18"/>
      <c r="C25" s="18"/>
      <c r="F25" s="18"/>
      <c r="L25" s="8"/>
      <c r="M25" s="8"/>
      <c r="N25" s="8"/>
      <c r="O25" s="8"/>
      <c r="P25" s="18"/>
      <c r="Q25" s="18"/>
      <c r="R25" s="18"/>
      <c r="S25" s="18"/>
      <c r="T25" s="18"/>
    </row>
    <row r="26" spans="1:27" x14ac:dyDescent="0.25">
      <c r="A26" s="14">
        <v>42524</v>
      </c>
      <c r="B26" s="15" t="s">
        <v>12</v>
      </c>
      <c r="C26" s="16">
        <v>25</v>
      </c>
      <c r="D26" s="17">
        <v>34.5</v>
      </c>
      <c r="E26" s="18">
        <v>24.7</v>
      </c>
      <c r="F26" s="18">
        <v>-67.099999999999994</v>
      </c>
      <c r="G26" s="20">
        <f>(11997+3.7669*D26+0.00178*D26^2)/(E26+273.15)-381.3088-0.011634*D26+67.63163*LN(E26+273.15)-0.121538*(E26+273.15)-LOG10(1-0.00106*D26)</f>
        <v>8.0976782993629985</v>
      </c>
      <c r="I26" s="21">
        <f>(F26-F27)/(G26-H27)/-59.16</f>
        <v>0.98823108677996985</v>
      </c>
      <c r="J26" s="22">
        <f t="shared" ref="J26:J35" si="2">(F26-$F$4)/($I$4*(-59.16))+G$4</f>
        <v>8.1436519115979102</v>
      </c>
      <c r="L26" s="8"/>
      <c r="M26" s="8"/>
      <c r="N26" s="8"/>
      <c r="O26" s="8"/>
      <c r="P26" s="18"/>
      <c r="Q26" s="18"/>
      <c r="R26" s="18"/>
      <c r="S26" s="18"/>
      <c r="T26" s="18"/>
    </row>
    <row r="27" spans="1:27" x14ac:dyDescent="0.25">
      <c r="A27" s="24"/>
      <c r="B27" s="15" t="s">
        <v>14</v>
      </c>
      <c r="C27" s="16">
        <v>25.2</v>
      </c>
      <c r="D27" s="17">
        <v>34.5</v>
      </c>
      <c r="E27" s="18">
        <v>24.9</v>
      </c>
      <c r="F27" s="18">
        <v>9.5</v>
      </c>
      <c r="G27" s="25"/>
      <c r="H27" s="22">
        <f>(111.35+5.44875*D27)/(E27+273.15)+41.6775-0.015683*D27-6.20815*LN(E27+273.15)-LOG10(1-0.00106*D27)</f>
        <v>6.787464729984479</v>
      </c>
      <c r="I27" s="26"/>
      <c r="J27" s="22">
        <f t="shared" si="2"/>
        <v>6.8097205869031168</v>
      </c>
      <c r="L27" s="8"/>
      <c r="M27" s="8"/>
      <c r="N27" s="8"/>
      <c r="O27" s="8"/>
      <c r="P27" s="18"/>
      <c r="Q27" s="18"/>
      <c r="R27" s="18"/>
      <c r="S27" s="18"/>
      <c r="T27" s="18"/>
    </row>
    <row r="28" spans="1:27" x14ac:dyDescent="0.25">
      <c r="A28" s="24"/>
      <c r="B28" s="15" t="s">
        <v>15</v>
      </c>
      <c r="C28" s="16">
        <v>25.2</v>
      </c>
      <c r="D28" s="17">
        <v>34.5</v>
      </c>
      <c r="E28" s="18">
        <v>24.9</v>
      </c>
      <c r="F28" s="18">
        <v>-62.5</v>
      </c>
      <c r="G28" s="25"/>
      <c r="H28" s="25"/>
      <c r="I28" s="26"/>
      <c r="J28" s="22">
        <f t="shared" si="2"/>
        <v>8.0635463751279879</v>
      </c>
      <c r="L28" s="8"/>
      <c r="M28" s="8"/>
      <c r="N28" s="8"/>
      <c r="O28" s="8"/>
      <c r="P28" s="18"/>
      <c r="Q28" s="18"/>
      <c r="R28" s="18"/>
      <c r="S28" s="18"/>
      <c r="T28" s="18"/>
    </row>
    <row r="29" spans="1:27" x14ac:dyDescent="0.25">
      <c r="A29" s="24"/>
      <c r="B29" s="15" t="s">
        <v>19</v>
      </c>
      <c r="C29" s="16">
        <v>25.2</v>
      </c>
      <c r="D29" s="17">
        <v>34.5</v>
      </c>
      <c r="E29" s="18">
        <v>24.9</v>
      </c>
      <c r="F29" s="18">
        <v>-65.599999999999994</v>
      </c>
      <c r="G29" s="25"/>
      <c r="H29" s="25"/>
      <c r="I29" s="26"/>
      <c r="J29" s="22">
        <f t="shared" si="2"/>
        <v>8.1175305410098915</v>
      </c>
      <c r="L29" s="8"/>
      <c r="M29" s="8"/>
      <c r="N29" s="8"/>
      <c r="O29" s="8"/>
      <c r="P29" s="18"/>
      <c r="Q29" s="18"/>
      <c r="R29" s="18"/>
      <c r="S29" s="18"/>
      <c r="T29" s="18"/>
    </row>
    <row r="30" spans="1:27" x14ac:dyDescent="0.25">
      <c r="A30" s="24"/>
      <c r="B30" s="15" t="s">
        <v>20</v>
      </c>
      <c r="C30" s="16">
        <v>25.2</v>
      </c>
      <c r="D30" s="17">
        <v>34.5</v>
      </c>
      <c r="E30" s="18">
        <v>24.9</v>
      </c>
      <c r="F30" s="18">
        <v>-61.5</v>
      </c>
      <c r="G30" s="25"/>
      <c r="H30" s="25"/>
      <c r="I30" s="26"/>
      <c r="J30" s="22">
        <f t="shared" si="2"/>
        <v>8.0461321280693099</v>
      </c>
      <c r="L30" s="8"/>
      <c r="M30" s="8"/>
      <c r="N30" s="8"/>
      <c r="O30" s="8"/>
      <c r="P30" s="18"/>
      <c r="Q30" s="18"/>
      <c r="R30" s="18"/>
      <c r="S30" s="18"/>
      <c r="T30" s="18"/>
    </row>
    <row r="31" spans="1:27" x14ac:dyDescent="0.25">
      <c r="A31" s="24"/>
      <c r="B31" s="15" t="s">
        <v>22</v>
      </c>
      <c r="C31" s="16">
        <v>25.2</v>
      </c>
      <c r="D31" s="17">
        <v>34.5</v>
      </c>
      <c r="E31" s="18">
        <v>24.9</v>
      </c>
      <c r="F31" s="18">
        <v>-53.4</v>
      </c>
      <c r="G31" s="25"/>
      <c r="H31" s="25"/>
      <c r="I31" s="26"/>
      <c r="J31" s="22">
        <f t="shared" si="2"/>
        <v>7.905076726894011</v>
      </c>
      <c r="L31" s="8"/>
      <c r="M31" s="8"/>
      <c r="N31" s="8"/>
      <c r="O31" s="8"/>
      <c r="P31" s="18"/>
      <c r="Q31" s="18"/>
      <c r="R31" s="18"/>
      <c r="S31" s="18"/>
      <c r="T31" s="18"/>
    </row>
    <row r="32" spans="1:27" x14ac:dyDescent="0.25">
      <c r="A32" s="24"/>
      <c r="B32" s="15" t="s">
        <v>24</v>
      </c>
      <c r="C32" s="16">
        <v>25.2</v>
      </c>
      <c r="D32" s="17">
        <v>34.5</v>
      </c>
      <c r="E32" s="18">
        <v>24.8</v>
      </c>
      <c r="F32" s="18">
        <v>-52.1</v>
      </c>
      <c r="G32" s="25"/>
      <c r="H32" s="25"/>
      <c r="I32" s="26"/>
      <c r="J32" s="22">
        <f t="shared" si="2"/>
        <v>7.8824382057177287</v>
      </c>
      <c r="L32" s="8"/>
      <c r="M32" s="18"/>
      <c r="N32" s="8"/>
      <c r="O32" s="8"/>
      <c r="P32" s="18"/>
      <c r="Q32" s="18"/>
      <c r="R32" s="18"/>
      <c r="S32" s="18"/>
      <c r="T32" s="18"/>
    </row>
    <row r="33" spans="1:20" x14ac:dyDescent="0.25">
      <c r="A33" s="24"/>
      <c r="B33" s="15" t="s">
        <v>26</v>
      </c>
      <c r="C33" s="16">
        <v>25.2</v>
      </c>
      <c r="D33" s="17">
        <v>34.5</v>
      </c>
      <c r="E33" s="18">
        <v>25</v>
      </c>
      <c r="F33" s="18">
        <v>-50.8</v>
      </c>
      <c r="G33" s="25"/>
      <c r="H33" s="25"/>
      <c r="I33" s="26"/>
      <c r="J33" s="22">
        <f t="shared" si="2"/>
        <v>7.8597996845414464</v>
      </c>
      <c r="M33" s="18"/>
      <c r="P33" s="18"/>
      <c r="Q33" s="18"/>
      <c r="R33" s="18"/>
      <c r="S33" s="18"/>
      <c r="T33" s="18"/>
    </row>
    <row r="34" spans="1:20" x14ac:dyDescent="0.25">
      <c r="A34" s="24"/>
      <c r="B34" s="15" t="s">
        <v>31</v>
      </c>
      <c r="C34" s="16">
        <v>25.2</v>
      </c>
      <c r="D34" s="17">
        <v>34.5</v>
      </c>
      <c r="E34" s="18">
        <v>25</v>
      </c>
      <c r="F34" s="18">
        <v>-47.8</v>
      </c>
      <c r="G34" s="25"/>
      <c r="H34" s="25"/>
      <c r="I34" s="26"/>
      <c r="J34" s="22">
        <f t="shared" si="2"/>
        <v>7.8075569433654106</v>
      </c>
    </row>
    <row r="35" spans="1:20" x14ac:dyDescent="0.25">
      <c r="A35" s="24"/>
      <c r="B35" s="15" t="s">
        <v>33</v>
      </c>
      <c r="C35" s="16">
        <v>25.2</v>
      </c>
      <c r="D35" s="17">
        <v>34.5</v>
      </c>
      <c r="E35" s="18">
        <v>24.9</v>
      </c>
      <c r="F35" s="18">
        <v>-48.8</v>
      </c>
      <c r="G35" s="25"/>
      <c r="H35" s="25"/>
      <c r="I35" s="26"/>
      <c r="J35" s="22">
        <f t="shared" si="2"/>
        <v>7.8249711904240886</v>
      </c>
    </row>
    <row r="37" spans="1:20" x14ac:dyDescent="0.25">
      <c r="A37" s="14">
        <v>42531</v>
      </c>
      <c r="B37" s="15" t="s">
        <v>12</v>
      </c>
      <c r="C37" s="16">
        <v>25</v>
      </c>
      <c r="D37" s="17">
        <v>34.5</v>
      </c>
      <c r="E37" s="18">
        <v>22.9</v>
      </c>
      <c r="F37" s="18">
        <v>-69</v>
      </c>
      <c r="G37" s="20">
        <f>(11997+3.7669*D37+0.00178*D37^2)/(E37+273.15)-381.3088-0.011634*D37+67.63163*LN(E37+273.15)-0.121538*(E37+273.15)-LOG10(1-0.00106*D37)</f>
        <v>8.1540803136738464</v>
      </c>
      <c r="I37" s="21">
        <f>(F37-F38)/(G37-H38)/-59.16</f>
        <v>0.97210922267940592</v>
      </c>
      <c r="J37" s="22">
        <f t="shared" ref="J37:J46" si="3">(F37-$F$4)/($I$4*(-59.16))+G$4</f>
        <v>8.1767389810094002</v>
      </c>
    </row>
    <row r="38" spans="1:20" x14ac:dyDescent="0.25">
      <c r="A38" s="24"/>
      <c r="B38" s="15" t="s">
        <v>14</v>
      </c>
      <c r="C38" s="16">
        <v>25.2</v>
      </c>
      <c r="D38" s="17">
        <v>34.5</v>
      </c>
      <c r="E38" s="18">
        <v>22.9</v>
      </c>
      <c r="F38" s="18">
        <v>6.8</v>
      </c>
      <c r="G38" s="25"/>
      <c r="H38" s="22">
        <f>(111.35+5.44875*D38)/(E38+273.15)+41.6775-0.015683*D38-6.20815*LN(E38+273.15)-LOG10(1-0.00106*D38)</f>
        <v>6.8360482456210727</v>
      </c>
      <c r="I38" s="26"/>
      <c r="J38" s="22">
        <f t="shared" si="3"/>
        <v>6.8567390539615491</v>
      </c>
    </row>
    <row r="39" spans="1:20" x14ac:dyDescent="0.25">
      <c r="A39" s="24"/>
      <c r="B39" s="15" t="s">
        <v>15</v>
      </c>
      <c r="C39" s="16">
        <v>25.2</v>
      </c>
      <c r="D39" s="17">
        <v>34.5</v>
      </c>
      <c r="E39" s="18">
        <v>23.2</v>
      </c>
      <c r="F39" s="18">
        <v>-63.4</v>
      </c>
      <c r="G39" s="25"/>
      <c r="H39" s="25"/>
      <c r="I39" s="26"/>
      <c r="J39" s="22">
        <f t="shared" si="3"/>
        <v>8.0792191974807999</v>
      </c>
    </row>
    <row r="40" spans="1:20" x14ac:dyDescent="0.25">
      <c r="A40" s="24"/>
      <c r="B40" s="15" t="s">
        <v>19</v>
      </c>
      <c r="C40" s="16">
        <v>25.2</v>
      </c>
      <c r="D40" s="17">
        <v>34.5</v>
      </c>
      <c r="E40" s="18">
        <v>23.2</v>
      </c>
      <c r="F40" s="18">
        <v>-63.8</v>
      </c>
      <c r="G40" s="25"/>
      <c r="H40" s="25"/>
      <c r="I40" s="26"/>
      <c r="J40" s="22">
        <f t="shared" si="3"/>
        <v>8.0861848963042711</v>
      </c>
    </row>
    <row r="41" spans="1:20" x14ac:dyDescent="0.25">
      <c r="A41" s="24"/>
      <c r="B41" s="15" t="s">
        <v>20</v>
      </c>
      <c r="C41" s="16">
        <v>25.2</v>
      </c>
      <c r="D41" s="17">
        <v>34.5</v>
      </c>
      <c r="E41" s="18">
        <v>23.1</v>
      </c>
      <c r="F41" s="18">
        <v>-59.7</v>
      </c>
      <c r="G41" s="25"/>
      <c r="H41" s="25"/>
      <c r="I41" s="26"/>
      <c r="J41" s="22">
        <f t="shared" si="3"/>
        <v>8.0147864833636877</v>
      </c>
    </row>
    <row r="42" spans="1:20" x14ac:dyDescent="0.25">
      <c r="A42" s="24"/>
      <c r="B42" s="15" t="s">
        <v>22</v>
      </c>
      <c r="C42" s="16">
        <v>25.2</v>
      </c>
      <c r="D42" s="17">
        <v>34.5</v>
      </c>
      <c r="E42" s="18">
        <v>23.2</v>
      </c>
      <c r="F42" s="18">
        <v>-59.5</v>
      </c>
      <c r="G42" s="25"/>
      <c r="H42" s="25"/>
      <c r="I42" s="26"/>
      <c r="J42" s="22">
        <f t="shared" si="3"/>
        <v>8.0113036339519521</v>
      </c>
    </row>
    <row r="43" spans="1:20" x14ac:dyDescent="0.25">
      <c r="A43" s="24"/>
      <c r="B43" s="15" t="s">
        <v>24</v>
      </c>
      <c r="C43" s="16">
        <v>25.2</v>
      </c>
      <c r="D43" s="17">
        <v>34.5</v>
      </c>
      <c r="E43" s="18">
        <v>23.2</v>
      </c>
      <c r="F43" s="18">
        <v>-54.2</v>
      </c>
      <c r="G43" s="25"/>
      <c r="H43" s="25"/>
      <c r="I43" s="26"/>
      <c r="J43" s="22">
        <f t="shared" si="3"/>
        <v>7.9190081245409543</v>
      </c>
    </row>
    <row r="44" spans="1:20" x14ac:dyDescent="0.25">
      <c r="A44" s="24"/>
      <c r="B44" s="15" t="s">
        <v>26</v>
      </c>
      <c r="C44" s="16">
        <v>25.2</v>
      </c>
      <c r="D44" s="17">
        <v>34.5</v>
      </c>
      <c r="E44" s="18">
        <v>23.2</v>
      </c>
      <c r="F44" s="18">
        <v>-54</v>
      </c>
      <c r="G44" s="25"/>
      <c r="H44" s="25"/>
      <c r="I44" s="26"/>
      <c r="J44" s="22">
        <f t="shared" si="3"/>
        <v>7.9155252751292187</v>
      </c>
    </row>
    <row r="45" spans="1:20" x14ac:dyDescent="0.25">
      <c r="A45" s="24"/>
      <c r="B45" s="15" t="s">
        <v>31</v>
      </c>
      <c r="C45" s="16">
        <v>25.2</v>
      </c>
      <c r="D45" s="17">
        <v>34.5</v>
      </c>
      <c r="E45" s="18">
        <v>23.2</v>
      </c>
      <c r="F45" s="18">
        <v>-48.9</v>
      </c>
      <c r="G45" s="25"/>
      <c r="H45" s="25"/>
      <c r="I45" s="26"/>
      <c r="J45" s="22">
        <f t="shared" si="3"/>
        <v>7.8267126151299573</v>
      </c>
    </row>
    <row r="46" spans="1:20" x14ac:dyDescent="0.25">
      <c r="A46" s="24"/>
      <c r="B46" s="15" t="s">
        <v>33</v>
      </c>
      <c r="C46" s="16">
        <v>25.2</v>
      </c>
      <c r="D46" s="17">
        <v>34.5</v>
      </c>
      <c r="E46" s="18">
        <v>23.2</v>
      </c>
      <c r="F46" s="18">
        <v>-49</v>
      </c>
      <c r="G46" s="25"/>
      <c r="H46" s="25"/>
      <c r="I46" s="26"/>
      <c r="J46" s="22">
        <f t="shared" si="3"/>
        <v>7.8284540398358251</v>
      </c>
    </row>
    <row r="48" spans="1:20" x14ac:dyDescent="0.25">
      <c r="A48" s="14">
        <v>42538</v>
      </c>
      <c r="B48" s="15" t="s">
        <v>12</v>
      </c>
      <c r="C48" s="16">
        <v>25</v>
      </c>
      <c r="D48" s="17">
        <v>34.5</v>
      </c>
      <c r="E48" s="18">
        <v>24.4</v>
      </c>
      <c r="F48" s="18">
        <v>-67.5</v>
      </c>
      <c r="G48" s="20">
        <f>(11997+3.7669*D48+0.00178*D48^2)/(E48+273.15)-381.3088-0.011634*D48+67.63163*LN(E48+273.15)-0.121538*(E48+273.15)-LOG10(1-0.00106*D48)</f>
        <v>8.107042947925942</v>
      </c>
      <c r="I48" s="21">
        <f>(F48-F49)/(G48-H49)/-59.16</f>
        <v>0.9773785710453935</v>
      </c>
      <c r="J48" s="22">
        <f t="shared" ref="J48:J57" si="4">(F48-$F$4)/($I$4*(-59.16))+G$4</f>
        <v>8.1506176104213814</v>
      </c>
    </row>
    <row r="49" spans="1:10" s="8" customFormat="1" x14ac:dyDescent="0.25">
      <c r="A49" s="24"/>
      <c r="B49" s="15" t="s">
        <v>14</v>
      </c>
      <c r="C49" s="16">
        <v>25.2</v>
      </c>
      <c r="D49" s="17">
        <v>34.5</v>
      </c>
      <c r="E49" s="18">
        <v>24.4</v>
      </c>
      <c r="F49" s="18">
        <v>8.1</v>
      </c>
      <c r="G49" s="25"/>
      <c r="H49" s="22">
        <f>(111.35+5.44875*D49)/(E49+273.15)+41.6775-0.015683*D49-6.20815*LN(E49+273.15)-LOG10(1-0.00106*D49)</f>
        <v>6.7995757040261475</v>
      </c>
      <c r="I49" s="26"/>
      <c r="J49" s="22">
        <f t="shared" si="4"/>
        <v>6.8341005327852669</v>
      </c>
    </row>
    <row r="50" spans="1:10" s="8" customFormat="1" x14ac:dyDescent="0.25">
      <c r="A50" s="24"/>
      <c r="B50" s="15" t="s">
        <v>15</v>
      </c>
      <c r="C50" s="16">
        <v>25.2</v>
      </c>
      <c r="D50" s="17">
        <v>34.5</v>
      </c>
      <c r="E50" s="18">
        <v>24.6</v>
      </c>
      <c r="F50" s="18">
        <v>-63</v>
      </c>
      <c r="G50" s="25"/>
      <c r="H50" s="25"/>
      <c r="I50" s="26"/>
      <c r="J50" s="22">
        <f t="shared" si="4"/>
        <v>8.0722534986573269</v>
      </c>
    </row>
    <row r="51" spans="1:10" s="8" customFormat="1" x14ac:dyDescent="0.25">
      <c r="A51" s="24"/>
      <c r="B51" s="15" t="s">
        <v>19</v>
      </c>
      <c r="C51" s="16">
        <v>25.2</v>
      </c>
      <c r="D51" s="17">
        <v>34.5</v>
      </c>
      <c r="E51" s="18">
        <v>24.7</v>
      </c>
      <c r="F51" s="18">
        <v>-61.3</v>
      </c>
      <c r="G51" s="25"/>
      <c r="H51" s="25"/>
      <c r="I51" s="26"/>
      <c r="J51" s="22">
        <f t="shared" si="4"/>
        <v>8.0426492786575743</v>
      </c>
    </row>
    <row r="52" spans="1:10" s="8" customFormat="1" x14ac:dyDescent="0.25">
      <c r="A52" s="24"/>
      <c r="B52" s="15" t="s">
        <v>20</v>
      </c>
      <c r="C52" s="16">
        <v>25.2</v>
      </c>
      <c r="D52" s="17">
        <v>34.5</v>
      </c>
      <c r="E52" s="18">
        <v>24.7</v>
      </c>
      <c r="F52" s="18">
        <v>-59.4</v>
      </c>
      <c r="G52" s="25"/>
      <c r="H52" s="25"/>
      <c r="I52" s="26"/>
      <c r="J52" s="22">
        <f t="shared" si="4"/>
        <v>8.0095622092460843</v>
      </c>
    </row>
    <row r="53" spans="1:10" s="8" customFormat="1" x14ac:dyDescent="0.25">
      <c r="A53" s="24"/>
      <c r="B53" s="15" t="s">
        <v>22</v>
      </c>
      <c r="C53" s="16">
        <v>25.2</v>
      </c>
      <c r="D53" s="17">
        <v>34.5</v>
      </c>
      <c r="E53" s="18">
        <v>24.7</v>
      </c>
      <c r="F53" s="18">
        <v>-58.4</v>
      </c>
      <c r="G53" s="25"/>
      <c r="H53" s="25"/>
      <c r="I53" s="26"/>
      <c r="J53" s="22">
        <f t="shared" si="4"/>
        <v>7.9921479621874054</v>
      </c>
    </row>
    <row r="54" spans="1:10" s="8" customFormat="1" x14ac:dyDescent="0.25">
      <c r="A54" s="24"/>
      <c r="B54" s="15" t="s">
        <v>24</v>
      </c>
      <c r="C54" s="16">
        <v>25.2</v>
      </c>
      <c r="D54" s="17">
        <v>34.5</v>
      </c>
      <c r="E54" s="18">
        <v>24.7</v>
      </c>
      <c r="F54" s="18">
        <v>-53.6</v>
      </c>
      <c r="G54" s="25"/>
      <c r="H54" s="25"/>
      <c r="I54" s="26"/>
      <c r="J54" s="22">
        <f t="shared" si="4"/>
        <v>7.9085595763057475</v>
      </c>
    </row>
    <row r="55" spans="1:10" s="8" customFormat="1" x14ac:dyDescent="0.25">
      <c r="A55" s="24"/>
      <c r="B55" s="15" t="s">
        <v>26</v>
      </c>
      <c r="C55" s="16">
        <v>25.2</v>
      </c>
      <c r="D55" s="17">
        <v>34.5</v>
      </c>
      <c r="E55" s="18">
        <v>24.7</v>
      </c>
      <c r="F55" s="18">
        <v>-53.1</v>
      </c>
      <c r="G55" s="25"/>
      <c r="H55" s="25"/>
      <c r="I55" s="26"/>
      <c r="J55" s="22">
        <f t="shared" si="4"/>
        <v>7.8998524527764076</v>
      </c>
    </row>
    <row r="56" spans="1:10" s="8" customFormat="1" x14ac:dyDescent="0.25">
      <c r="A56" s="24"/>
      <c r="B56" s="15" t="s">
        <v>31</v>
      </c>
      <c r="C56" s="16">
        <v>25.2</v>
      </c>
      <c r="D56" s="17">
        <v>34.5</v>
      </c>
      <c r="E56" s="18">
        <v>24.5</v>
      </c>
      <c r="F56" s="18">
        <v>-49.3</v>
      </c>
      <c r="G56" s="25"/>
      <c r="H56" s="25"/>
      <c r="I56" s="26"/>
      <c r="J56" s="22">
        <f t="shared" si="4"/>
        <v>7.8336783139534285</v>
      </c>
    </row>
    <row r="57" spans="1:10" s="8" customFormat="1" x14ac:dyDescent="0.25">
      <c r="A57" s="24"/>
      <c r="B57" s="15" t="s">
        <v>33</v>
      </c>
      <c r="C57" s="16">
        <v>25.2</v>
      </c>
      <c r="D57" s="17">
        <v>34.5</v>
      </c>
      <c r="E57" s="18">
        <v>24.6</v>
      </c>
      <c r="F57" s="18">
        <v>-46.5</v>
      </c>
      <c r="G57" s="25"/>
      <c r="H57" s="25"/>
      <c r="I57" s="26"/>
      <c r="J57" s="22">
        <f t="shared" si="4"/>
        <v>7.7849184221891274</v>
      </c>
    </row>
    <row r="59" spans="1:10" s="8" customFormat="1" x14ac:dyDescent="0.25">
      <c r="A59" s="14">
        <v>42541</v>
      </c>
      <c r="B59" s="15" t="s">
        <v>12</v>
      </c>
      <c r="C59" s="16">
        <v>25</v>
      </c>
      <c r="D59" s="17">
        <v>34.5</v>
      </c>
      <c r="E59" s="18">
        <v>25.8</v>
      </c>
      <c r="F59" s="18">
        <v>-65.099999999999994</v>
      </c>
      <c r="G59" s="20">
        <f>(11997+3.7669*D59+0.00178*D59^2)/(E59+273.15)-381.3088-0.011634*D59+67.63163*LN(E59+273.15)-0.121538*(E59+273.15)-LOG10(1-0.00106*D59)</f>
        <v>8.0634602979544656</v>
      </c>
      <c r="I59" s="21">
        <f>(F59-F60)/(G59-H60)/-59.16</f>
        <v>0.97898027497481266</v>
      </c>
      <c r="J59" s="22">
        <f t="shared" ref="J59:J68" si="5">(F59-$F$4)/($I$4*(-59.16))+G$4</f>
        <v>8.1088234174805525</v>
      </c>
    </row>
    <row r="60" spans="1:10" s="8" customFormat="1" x14ac:dyDescent="0.25">
      <c r="A60" s="24"/>
      <c r="B60" s="15" t="s">
        <v>14</v>
      </c>
      <c r="C60" s="16">
        <v>25.2</v>
      </c>
      <c r="D60" s="17">
        <v>34.5</v>
      </c>
      <c r="E60" s="18">
        <v>25.9</v>
      </c>
      <c r="F60" s="18">
        <v>10.199999999999999</v>
      </c>
      <c r="G60" s="25"/>
      <c r="H60" s="22">
        <f>(111.35+5.44875*D60)/(E60+273.15)+41.6775-0.015683*D60-6.20815*LN(E60+273.15)-LOG10(1-0.00106*D60)</f>
        <v>6.7633120670318556</v>
      </c>
      <c r="I60" s="26"/>
      <c r="J60" s="22">
        <f t="shared" si="5"/>
        <v>6.7975306139620413</v>
      </c>
    </row>
    <row r="61" spans="1:10" s="8" customFormat="1" x14ac:dyDescent="0.25">
      <c r="A61" s="24"/>
      <c r="B61" s="15" t="s">
        <v>15</v>
      </c>
      <c r="C61" s="16">
        <v>25.2</v>
      </c>
      <c r="D61" s="17">
        <v>34.5</v>
      </c>
      <c r="E61" s="18">
        <v>25.8</v>
      </c>
      <c r="F61" s="18">
        <v>-62.2</v>
      </c>
      <c r="G61" s="25"/>
      <c r="H61" s="25"/>
      <c r="I61" s="26"/>
      <c r="J61" s="22">
        <f t="shared" si="5"/>
        <v>8.0583221010103845</v>
      </c>
    </row>
    <row r="62" spans="1:10" s="8" customFormat="1" x14ac:dyDescent="0.25">
      <c r="A62" s="24"/>
      <c r="B62" s="15" t="s">
        <v>19</v>
      </c>
      <c r="C62" s="16">
        <v>25.2</v>
      </c>
      <c r="D62" s="17">
        <v>34.5</v>
      </c>
      <c r="E62" s="18">
        <v>25.9</v>
      </c>
      <c r="F62" s="18">
        <v>-62</v>
      </c>
      <c r="G62" s="25"/>
      <c r="H62" s="25"/>
      <c r="I62" s="26"/>
      <c r="J62" s="22">
        <f t="shared" si="5"/>
        <v>8.0548392515986489</v>
      </c>
    </row>
    <row r="63" spans="1:10" s="8" customFormat="1" x14ac:dyDescent="0.25">
      <c r="A63" s="24"/>
      <c r="B63" s="15" t="s">
        <v>20</v>
      </c>
      <c r="C63" s="16">
        <v>25.2</v>
      </c>
      <c r="D63" s="17">
        <v>34.5</v>
      </c>
      <c r="E63" s="18">
        <v>25.8</v>
      </c>
      <c r="F63" s="18">
        <v>-60.7</v>
      </c>
      <c r="G63" s="25"/>
      <c r="H63" s="25"/>
      <c r="I63" s="26"/>
      <c r="J63" s="22">
        <f t="shared" si="5"/>
        <v>8.0322007304223657</v>
      </c>
    </row>
    <row r="64" spans="1:10" s="8" customFormat="1" x14ac:dyDescent="0.25">
      <c r="A64" s="24"/>
      <c r="B64" s="15" t="s">
        <v>22</v>
      </c>
      <c r="C64" s="16">
        <v>25.2</v>
      </c>
      <c r="D64" s="17">
        <v>34.5</v>
      </c>
      <c r="E64" s="18">
        <v>25.9</v>
      </c>
      <c r="F64" s="18">
        <v>-60.3</v>
      </c>
      <c r="G64" s="25"/>
      <c r="H64" s="25"/>
      <c r="I64" s="26"/>
      <c r="J64" s="22">
        <f t="shared" si="5"/>
        <v>8.0252350315988945</v>
      </c>
    </row>
    <row r="65" spans="1:12" s="8" customFormat="1" x14ac:dyDescent="0.25">
      <c r="A65" s="24"/>
      <c r="B65" s="15" t="s">
        <v>24</v>
      </c>
      <c r="C65" s="16">
        <v>25.2</v>
      </c>
      <c r="D65" s="17">
        <v>34.5</v>
      </c>
      <c r="E65" s="18">
        <v>25.8</v>
      </c>
      <c r="F65" s="18">
        <v>-55.2</v>
      </c>
      <c r="G65" s="25"/>
      <c r="H65" s="25"/>
      <c r="I65" s="26"/>
      <c r="J65" s="22">
        <f t="shared" si="5"/>
        <v>7.9364223715996332</v>
      </c>
      <c r="L65" s="7"/>
    </row>
    <row r="66" spans="1:12" s="8" customFormat="1" x14ac:dyDescent="0.25">
      <c r="A66" s="24"/>
      <c r="B66" s="15" t="s">
        <v>26</v>
      </c>
      <c r="C66" s="16">
        <v>25.2</v>
      </c>
      <c r="D66" s="17">
        <v>34.5</v>
      </c>
      <c r="E66" s="18">
        <v>25.9</v>
      </c>
      <c r="F66" s="18">
        <v>-54.7</v>
      </c>
      <c r="G66" s="25"/>
      <c r="H66" s="25"/>
      <c r="I66" s="26"/>
      <c r="J66" s="22">
        <f t="shared" si="5"/>
        <v>7.9277152480702942</v>
      </c>
      <c r="L66" s="7"/>
    </row>
    <row r="67" spans="1:12" s="8" customFormat="1" x14ac:dyDescent="0.25">
      <c r="A67" s="24"/>
      <c r="B67" s="15" t="s">
        <v>31</v>
      </c>
      <c r="C67" s="16">
        <v>25.2</v>
      </c>
      <c r="D67" s="17">
        <v>34.5</v>
      </c>
      <c r="E67" s="18">
        <v>26</v>
      </c>
      <c r="F67" s="18">
        <v>-50.3</v>
      </c>
      <c r="G67" s="25"/>
      <c r="H67" s="25"/>
      <c r="I67" s="26"/>
      <c r="J67" s="22">
        <f t="shared" si="5"/>
        <v>7.8510925610121074</v>
      </c>
      <c r="L67" s="7"/>
    </row>
    <row r="68" spans="1:12" s="8" customFormat="1" x14ac:dyDescent="0.25">
      <c r="A68" s="24"/>
      <c r="B68" s="15" t="s">
        <v>33</v>
      </c>
      <c r="C68" s="16">
        <v>25.2</v>
      </c>
      <c r="D68" s="17">
        <v>34.5</v>
      </c>
      <c r="E68" s="18">
        <v>25.9</v>
      </c>
      <c r="F68" s="18">
        <v>-50.1</v>
      </c>
      <c r="G68" s="25"/>
      <c r="H68" s="25"/>
      <c r="I68" s="26"/>
      <c r="J68" s="22">
        <f t="shared" si="5"/>
        <v>7.8476097116003718</v>
      </c>
      <c r="L68" s="7"/>
    </row>
    <row r="71" spans="1:12" s="8" customFormat="1" x14ac:dyDescent="0.25">
      <c r="C71" s="36">
        <v>42510</v>
      </c>
      <c r="D71" s="36">
        <v>42517</v>
      </c>
      <c r="E71" s="36">
        <v>42524</v>
      </c>
      <c r="F71" s="36">
        <v>42531</v>
      </c>
      <c r="G71" s="36">
        <v>42538</v>
      </c>
      <c r="H71" s="36">
        <v>42541</v>
      </c>
      <c r="I71" s="8" t="s">
        <v>38</v>
      </c>
      <c r="J71" s="8" t="s">
        <v>39</v>
      </c>
      <c r="K71" s="8" t="s">
        <v>40</v>
      </c>
      <c r="L71" s="7" t="s">
        <v>41</v>
      </c>
    </row>
    <row r="72" spans="1:12" s="8" customFormat="1" x14ac:dyDescent="0.25">
      <c r="B72" s="15" t="s">
        <v>12</v>
      </c>
      <c r="C72" s="8">
        <v>8.0976782993629985</v>
      </c>
      <c r="D72" s="8">
        <v>8.0975041568924127</v>
      </c>
      <c r="E72" s="8">
        <v>8.1436519115979102</v>
      </c>
      <c r="F72" s="8">
        <v>8.1767389810094002</v>
      </c>
      <c r="G72" s="8">
        <v>8.1506176104213814</v>
      </c>
      <c r="H72" s="8">
        <v>8.1088234174805525</v>
      </c>
      <c r="I72" s="8">
        <f>SUM(C72:H72)/6</f>
        <v>8.1291690627941069</v>
      </c>
      <c r="J72" s="8">
        <f>STDEV(C72:H72)</f>
        <v>3.2683237153822847E-2</v>
      </c>
      <c r="L72" s="7" t="s">
        <v>42</v>
      </c>
    </row>
    <row r="73" spans="1:12" s="8" customFormat="1" x14ac:dyDescent="0.25">
      <c r="B73" s="15" t="s">
        <v>14</v>
      </c>
      <c r="C73" s="8">
        <v>6.7923063398444379</v>
      </c>
      <c r="D73" s="8">
        <v>6.8027548880796456</v>
      </c>
      <c r="E73" s="8">
        <v>6.8097205869031168</v>
      </c>
      <c r="F73" s="8">
        <v>6.8567390539615491</v>
      </c>
      <c r="G73" s="8">
        <v>6.8341005327852669</v>
      </c>
      <c r="H73" s="8">
        <v>6.7975306139620413</v>
      </c>
      <c r="I73" s="8">
        <f t="shared" ref="I73:I81" si="6">SUM(C73:H73)/6</f>
        <v>6.8155253359226755</v>
      </c>
      <c r="J73" s="8">
        <f t="shared" ref="J73:J81" si="7">STDEV(C73:H73)</f>
        <v>2.4913128023936151E-2</v>
      </c>
      <c r="L73" s="7" t="s">
        <v>43</v>
      </c>
    </row>
    <row r="74" spans="1:12" s="8" customFormat="1" x14ac:dyDescent="0.25">
      <c r="B74" s="15" t="s">
        <v>15</v>
      </c>
      <c r="C74" s="8">
        <v>8.0879263210101389</v>
      </c>
      <c r="D74" s="8">
        <v>8.0600635257162523</v>
      </c>
      <c r="E74" s="8">
        <v>8.0635463751279879</v>
      </c>
      <c r="F74" s="8">
        <v>8.0792191974807999</v>
      </c>
      <c r="G74" s="8">
        <v>8.0722534986573269</v>
      </c>
      <c r="H74" s="8">
        <v>8.0583221010103845</v>
      </c>
      <c r="I74" s="8">
        <f t="shared" si="6"/>
        <v>8.0702218365004814</v>
      </c>
      <c r="J74" s="8">
        <f t="shared" si="7"/>
        <v>1.1729328154172571E-2</v>
      </c>
      <c r="K74" s="8" t="s">
        <v>44</v>
      </c>
      <c r="L74" s="7" t="s">
        <v>45</v>
      </c>
    </row>
    <row r="75" spans="1:12" s="8" customFormat="1" x14ac:dyDescent="0.25">
      <c r="B75" s="15" t="s">
        <v>19</v>
      </c>
      <c r="C75" s="8">
        <v>8.1244962398333644</v>
      </c>
      <c r="D75" s="8">
        <v>8.1001162939512135</v>
      </c>
      <c r="E75" s="8">
        <v>8.1175305410098915</v>
      </c>
      <c r="F75" s="8">
        <v>8.0861848963042711</v>
      </c>
      <c r="G75" s="8">
        <v>8.0426492786575743</v>
      </c>
      <c r="H75" s="8">
        <v>8.0548392515986489</v>
      </c>
      <c r="I75" s="8">
        <f t="shared" si="6"/>
        <v>8.0876360835591612</v>
      </c>
      <c r="J75" s="8">
        <f t="shared" si="7"/>
        <v>3.3195349386955939E-2</v>
      </c>
      <c r="K75" s="8" t="s">
        <v>46</v>
      </c>
      <c r="L75" s="7" t="s">
        <v>47</v>
      </c>
    </row>
    <row r="76" spans="1:12" s="8" customFormat="1" x14ac:dyDescent="0.25">
      <c r="B76" s="15" t="s">
        <v>20</v>
      </c>
      <c r="C76" s="8">
        <v>8.0200107574812911</v>
      </c>
      <c r="D76" s="8">
        <v>8.0374250045399709</v>
      </c>
      <c r="E76" s="8">
        <v>8.0461321280693099</v>
      </c>
      <c r="F76" s="8">
        <v>8.0147864833636877</v>
      </c>
      <c r="G76" s="8">
        <v>8.0095622092460843</v>
      </c>
      <c r="H76" s="8">
        <v>8.0322007304223657</v>
      </c>
      <c r="I76" s="8">
        <f t="shared" si="6"/>
        <v>8.0266862188537846</v>
      </c>
      <c r="J76" s="8">
        <f t="shared" si="7"/>
        <v>1.4165252806687508E-2</v>
      </c>
      <c r="K76" s="8" t="s">
        <v>48</v>
      </c>
      <c r="L76" s="7" t="s">
        <v>49</v>
      </c>
    </row>
    <row r="77" spans="1:12" s="8" customFormat="1" x14ac:dyDescent="0.25">
      <c r="B77" s="15" t="s">
        <v>22</v>
      </c>
      <c r="C77" s="8">
        <v>8.0182693327754233</v>
      </c>
      <c r="D77" s="8">
        <v>8.0304593057164979</v>
      </c>
      <c r="E77" s="8">
        <v>7.905076726894011</v>
      </c>
      <c r="F77" s="8">
        <v>8.0113036339519521</v>
      </c>
      <c r="G77" s="8">
        <v>7.9921479621874054</v>
      </c>
      <c r="H77" s="8">
        <v>8.0252350315988945</v>
      </c>
      <c r="I77" s="8">
        <f t="shared" si="6"/>
        <v>7.9970819988540311</v>
      </c>
      <c r="J77" s="8">
        <f t="shared" si="7"/>
        <v>4.7004490585356828E-2</v>
      </c>
      <c r="K77" s="8" t="s">
        <v>50</v>
      </c>
      <c r="L77" s="7" t="s">
        <v>51</v>
      </c>
    </row>
    <row r="78" spans="1:12" s="8" customFormat="1" x14ac:dyDescent="0.25">
      <c r="B78" s="15" t="s">
        <v>24</v>
      </c>
      <c r="C78" s="8">
        <v>7.8719896574825219</v>
      </c>
      <c r="D78" s="8">
        <v>7.9172666998350865</v>
      </c>
      <c r="E78" s="8">
        <v>7.8824382057177287</v>
      </c>
      <c r="F78" s="8">
        <v>7.9190081245409543</v>
      </c>
      <c r="G78" s="8">
        <v>7.9085595763057475</v>
      </c>
      <c r="H78" s="8">
        <v>7.9364223715996332</v>
      </c>
      <c r="I78" s="8">
        <f t="shared" si="6"/>
        <v>7.9059474392469449</v>
      </c>
      <c r="J78" s="8">
        <f t="shared" si="7"/>
        <v>2.4248987302638872E-2</v>
      </c>
      <c r="K78" s="8" t="s">
        <v>52</v>
      </c>
      <c r="L78" s="7" t="s">
        <v>53</v>
      </c>
    </row>
    <row r="79" spans="1:12" s="8" customFormat="1" x14ac:dyDescent="0.25">
      <c r="B79" s="15" t="s">
        <v>26</v>
      </c>
      <c r="C79" s="8">
        <v>7.863282533953182</v>
      </c>
      <c r="D79" s="8">
        <v>7.929456672776162</v>
      </c>
      <c r="E79" s="8">
        <v>7.8597996845414464</v>
      </c>
      <c r="F79" s="8">
        <v>7.9155252751292187</v>
      </c>
      <c r="G79" s="8">
        <v>7.8998524527764076</v>
      </c>
      <c r="H79" s="8">
        <v>7.9277152480702942</v>
      </c>
      <c r="I79" s="8">
        <f t="shared" si="6"/>
        <v>7.8992719778744522</v>
      </c>
      <c r="J79" s="8">
        <f t="shared" si="7"/>
        <v>3.1106089639283432E-2</v>
      </c>
      <c r="K79" s="8" t="s">
        <v>54</v>
      </c>
      <c r="L79" s="7" t="s">
        <v>55</v>
      </c>
    </row>
    <row r="80" spans="1:12" s="8" customFormat="1" x14ac:dyDescent="0.25">
      <c r="B80" s="15" t="s">
        <v>31</v>
      </c>
      <c r="C80" s="8">
        <v>7.8180054916006174</v>
      </c>
      <c r="D80" s="8">
        <v>7.821488341012353</v>
      </c>
      <c r="E80" s="8">
        <v>7.8075569433654106</v>
      </c>
      <c r="F80" s="8">
        <v>7.8267126151299573</v>
      </c>
      <c r="G80" s="8">
        <v>7.8336783139534285</v>
      </c>
      <c r="H80" s="8">
        <v>7.8510925610121074</v>
      </c>
      <c r="I80" s="8">
        <f t="shared" si="6"/>
        <v>7.8264223776789796</v>
      </c>
      <c r="J80" s="8">
        <f t="shared" si="7"/>
        <v>1.4916059101587649E-2</v>
      </c>
      <c r="K80" s="8" t="s">
        <v>56</v>
      </c>
      <c r="L80" s="7" t="s">
        <v>57</v>
      </c>
    </row>
    <row r="81" spans="2:12" s="8" customFormat="1" x14ac:dyDescent="0.25">
      <c r="B81" s="15" t="s">
        <v>33</v>
      </c>
      <c r="C81" s="8">
        <v>7.7866598468949961</v>
      </c>
      <c r="D81" s="8">
        <v>7.8423854374827675</v>
      </c>
      <c r="E81" s="8">
        <v>7.8249711904240886</v>
      </c>
      <c r="F81" s="8">
        <v>7.8284540398358251</v>
      </c>
      <c r="G81" s="8">
        <v>7.7849184221891274</v>
      </c>
      <c r="H81" s="8">
        <v>7.8476097116003718</v>
      </c>
      <c r="I81" s="8">
        <f t="shared" si="6"/>
        <v>7.8191664414045299</v>
      </c>
      <c r="J81" s="8">
        <f t="shared" si="7"/>
        <v>2.7194490254100274E-2</v>
      </c>
      <c r="K81" s="8" t="s">
        <v>58</v>
      </c>
      <c r="L81" s="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Ryukyus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</dc:creator>
  <cp:lastModifiedBy>Cristin</cp:lastModifiedBy>
  <dcterms:created xsi:type="dcterms:W3CDTF">2020-06-04T03:20:57Z</dcterms:created>
  <dcterms:modified xsi:type="dcterms:W3CDTF">2020-06-04T03:21:21Z</dcterms:modified>
</cp:coreProperties>
</file>