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energy balance" sheetId="6" r:id="rId1"/>
    <sheet name="R1,2" sheetId="8" r:id="rId2"/>
    <sheet name="R 3,4" sheetId="10" r:id="rId3"/>
    <sheet name="kinetics" sheetId="4" r:id="rId4"/>
    <sheet name="substrates" sheetId="5" r:id="rId5"/>
    <sheet name="biogas composition " sheetId="9" r:id="rId6"/>
  </sheets>
  <externalReferences>
    <externalReference r:id="rId7"/>
  </externalReferences>
  <definedNames>
    <definedName name="_xlnm.Print_Area" localSheetId="0">'energy balance'!$C$1:$N$29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6"/>
  <c r="H14"/>
  <c r="F14"/>
  <c r="E14"/>
  <c r="AV6" i="10"/>
  <c r="AN6"/>
  <c r="AT90"/>
  <c r="AT91" s="1"/>
  <c r="AR90"/>
  <c r="AR91" s="1"/>
  <c r="AH90"/>
  <c r="AH91" s="1"/>
  <c r="AG90"/>
  <c r="AG91" s="1"/>
  <c r="AF90"/>
  <c r="AF91" s="1"/>
  <c r="AE90"/>
  <c r="AE91" s="1"/>
  <c r="AD90"/>
  <c r="AD91" s="1"/>
  <c r="AC90"/>
  <c r="AC91" s="1"/>
  <c r="AB90"/>
  <c r="AB91" s="1"/>
  <c r="K90"/>
  <c r="K91" s="1"/>
  <c r="J90"/>
  <c r="J91" s="1"/>
  <c r="I90"/>
  <c r="I91" s="1"/>
  <c r="H90"/>
  <c r="H91" s="1"/>
  <c r="G90"/>
  <c r="G91" s="1"/>
  <c r="F90"/>
  <c r="F91" s="1"/>
  <c r="E90"/>
  <c r="E91" s="1"/>
  <c r="AT89"/>
  <c r="AT93" s="1"/>
  <c r="AR89"/>
  <c r="AR93" s="1"/>
  <c r="AH89"/>
  <c r="AH93" s="1"/>
  <c r="AG89"/>
  <c r="AG93" s="1"/>
  <c r="AF89"/>
  <c r="AF93" s="1"/>
  <c r="AE89"/>
  <c r="AE93" s="1"/>
  <c r="AD89"/>
  <c r="AD93" s="1"/>
  <c r="AC89"/>
  <c r="AC93" s="1"/>
  <c r="AB89"/>
  <c r="AB93" s="1"/>
  <c r="K89"/>
  <c r="K93" s="1"/>
  <c r="J89"/>
  <c r="J93" s="1"/>
  <c r="I89"/>
  <c r="I93" s="1"/>
  <c r="H89"/>
  <c r="H93" s="1"/>
  <c r="G89"/>
  <c r="G93" s="1"/>
  <c r="F89"/>
  <c r="F93" s="1"/>
  <c r="E89"/>
  <c r="E93" s="1"/>
  <c r="AU88"/>
  <c r="AS88"/>
  <c r="AK88"/>
  <c r="AI88"/>
  <c r="AL88" s="1"/>
  <c r="Z88"/>
  <c r="AJ88" s="1"/>
  <c r="X88"/>
  <c r="W88"/>
  <c r="N88"/>
  <c r="AM88" s="1"/>
  <c r="L88"/>
  <c r="O88" s="1"/>
  <c r="BD88" s="1"/>
  <c r="D88"/>
  <c r="C88"/>
  <c r="B88"/>
  <c r="AU84"/>
  <c r="AS84"/>
  <c r="AK84"/>
  <c r="AI84"/>
  <c r="AL84" s="1"/>
  <c r="Z84"/>
  <c r="AA84" s="1"/>
  <c r="X84"/>
  <c r="Y84" s="1"/>
  <c r="W84"/>
  <c r="O84"/>
  <c r="N84"/>
  <c r="M84"/>
  <c r="L84"/>
  <c r="AU81"/>
  <c r="BE81" s="1"/>
  <c r="AS81"/>
  <c r="AK81"/>
  <c r="AI81"/>
  <c r="AL81" s="1"/>
  <c r="Z81"/>
  <c r="AJ81" s="1"/>
  <c r="X81"/>
  <c r="W81"/>
  <c r="N81"/>
  <c r="L81"/>
  <c r="O81" s="1"/>
  <c r="D81"/>
  <c r="C81"/>
  <c r="B81"/>
  <c r="AU77"/>
  <c r="AS77"/>
  <c r="AK77"/>
  <c r="AI77"/>
  <c r="AL77" s="1"/>
  <c r="Z77"/>
  <c r="AA77" s="1"/>
  <c r="X77"/>
  <c r="Y77" s="1"/>
  <c r="W77"/>
  <c r="N77"/>
  <c r="M77"/>
  <c r="L77"/>
  <c r="O77" s="1"/>
  <c r="AU74"/>
  <c r="AS74"/>
  <c r="AL74"/>
  <c r="AK74"/>
  <c r="AI74"/>
  <c r="Z74"/>
  <c r="AJ74" s="1"/>
  <c r="X74"/>
  <c r="W74"/>
  <c r="N74"/>
  <c r="AM74" s="1"/>
  <c r="L74"/>
  <c r="O74" s="1"/>
  <c r="AN74" s="1"/>
  <c r="AP74" s="1"/>
  <c r="D74"/>
  <c r="C74"/>
  <c r="Y74" s="1"/>
  <c r="B74"/>
  <c r="AU70"/>
  <c r="AS70"/>
  <c r="AL70"/>
  <c r="AK70"/>
  <c r="AI70"/>
  <c r="AA70"/>
  <c r="Z70"/>
  <c r="AJ70" s="1"/>
  <c r="X70"/>
  <c r="Y70" s="1"/>
  <c r="W70"/>
  <c r="N70"/>
  <c r="AM70" s="1"/>
  <c r="M70"/>
  <c r="L70"/>
  <c r="O70" s="1"/>
  <c r="AU67"/>
  <c r="AS67"/>
  <c r="AK67"/>
  <c r="AI67"/>
  <c r="AL67" s="1"/>
  <c r="Z67"/>
  <c r="AJ67" s="1"/>
  <c r="X67"/>
  <c r="W67"/>
  <c r="N67"/>
  <c r="L67"/>
  <c r="O67" s="1"/>
  <c r="D67"/>
  <c r="C67"/>
  <c r="B67"/>
  <c r="AU63"/>
  <c r="AS63"/>
  <c r="AK63"/>
  <c r="AI63"/>
  <c r="AL63" s="1"/>
  <c r="Z63"/>
  <c r="AJ63" s="1"/>
  <c r="X63"/>
  <c r="Y63" s="1"/>
  <c r="W63"/>
  <c r="N63"/>
  <c r="M63"/>
  <c r="L63"/>
  <c r="O63" s="1"/>
  <c r="AU60"/>
  <c r="AS60"/>
  <c r="AK60"/>
  <c r="AI60"/>
  <c r="AL60" s="1"/>
  <c r="Z60"/>
  <c r="AJ60" s="1"/>
  <c r="X60"/>
  <c r="W60"/>
  <c r="N60"/>
  <c r="L60"/>
  <c r="O60" s="1"/>
  <c r="BD60" s="1"/>
  <c r="D60"/>
  <c r="C60"/>
  <c r="Y60" s="1"/>
  <c r="B60"/>
  <c r="AU56"/>
  <c r="AS56"/>
  <c r="AK56"/>
  <c r="AI56"/>
  <c r="AL56" s="1"/>
  <c r="Z56"/>
  <c r="AJ56" s="1"/>
  <c r="X56"/>
  <c r="Y56" s="1"/>
  <c r="W56"/>
  <c r="N56"/>
  <c r="M56"/>
  <c r="L56"/>
  <c r="O56" s="1"/>
  <c r="AN56" s="1"/>
  <c r="AP56" s="1"/>
  <c r="AU53"/>
  <c r="AS53"/>
  <c r="AK53"/>
  <c r="AK90" s="1"/>
  <c r="AK91" s="1"/>
  <c r="AI53"/>
  <c r="Z53"/>
  <c r="X53"/>
  <c r="W53"/>
  <c r="N53"/>
  <c r="L53"/>
  <c r="D53"/>
  <c r="C53"/>
  <c r="B53"/>
  <c r="AT43"/>
  <c r="AT44" s="1"/>
  <c r="AR43"/>
  <c r="AR44" s="1"/>
  <c r="AG43"/>
  <c r="AG44" s="1"/>
  <c r="AF43"/>
  <c r="AF44" s="1"/>
  <c r="AE43"/>
  <c r="AE44" s="1"/>
  <c r="AD43"/>
  <c r="AD44" s="1"/>
  <c r="AC43"/>
  <c r="AC44" s="1"/>
  <c r="AB43"/>
  <c r="AB44" s="1"/>
  <c r="K43"/>
  <c r="K44" s="1"/>
  <c r="J43"/>
  <c r="J44" s="1"/>
  <c r="I43"/>
  <c r="I44" s="1"/>
  <c r="H43"/>
  <c r="H44" s="1"/>
  <c r="G43"/>
  <c r="G44" s="1"/>
  <c r="F43"/>
  <c r="F44" s="1"/>
  <c r="E43"/>
  <c r="E44" s="1"/>
  <c r="AT42"/>
  <c r="AT46" s="1"/>
  <c r="AR42"/>
  <c r="AG42"/>
  <c r="AG46" s="1"/>
  <c r="AF42"/>
  <c r="AF46" s="1"/>
  <c r="AE42"/>
  <c r="AD42"/>
  <c r="AC42"/>
  <c r="AC46" s="1"/>
  <c r="AB42"/>
  <c r="AB46" s="1"/>
  <c r="K42"/>
  <c r="J42"/>
  <c r="I42"/>
  <c r="I46" s="1"/>
  <c r="H42"/>
  <c r="H46" s="1"/>
  <c r="G42"/>
  <c r="F42"/>
  <c r="E42"/>
  <c r="AU41"/>
  <c r="AS41"/>
  <c r="AK41"/>
  <c r="AI41"/>
  <c r="AL41" s="1"/>
  <c r="Z41"/>
  <c r="AJ41" s="1"/>
  <c r="X41"/>
  <c r="W41"/>
  <c r="N41"/>
  <c r="L41"/>
  <c r="O41" s="1"/>
  <c r="D41"/>
  <c r="C41"/>
  <c r="Y41" s="1"/>
  <c r="B41"/>
  <c r="AU37"/>
  <c r="AS37"/>
  <c r="AK37"/>
  <c r="AH37"/>
  <c r="AH43" s="1"/>
  <c r="AH44" s="1"/>
  <c r="Z37"/>
  <c r="AJ37" s="1"/>
  <c r="X37"/>
  <c r="W37"/>
  <c r="N37"/>
  <c r="L37"/>
  <c r="O37" s="1"/>
  <c r="AY37" s="1"/>
  <c r="D37"/>
  <c r="C37"/>
  <c r="B37"/>
  <c r="AU34"/>
  <c r="AS34"/>
  <c r="AK34"/>
  <c r="AJ34"/>
  <c r="AI34"/>
  <c r="AL34" s="1"/>
  <c r="Z34"/>
  <c r="X34"/>
  <c r="W34"/>
  <c r="N34"/>
  <c r="L34"/>
  <c r="O34" s="1"/>
  <c r="AN34" s="1"/>
  <c r="D34"/>
  <c r="C34"/>
  <c r="B34"/>
  <c r="AU30"/>
  <c r="AS30"/>
  <c r="AK30"/>
  <c r="AI30"/>
  <c r="AL30" s="1"/>
  <c r="Z30"/>
  <c r="AJ30" s="1"/>
  <c r="X30"/>
  <c r="Y30" s="1"/>
  <c r="W30"/>
  <c r="N30"/>
  <c r="L30"/>
  <c r="O30" s="1"/>
  <c r="D30"/>
  <c r="AA30" s="1"/>
  <c r="C30"/>
  <c r="B30"/>
  <c r="AU27"/>
  <c r="AS27"/>
  <c r="AK27"/>
  <c r="AI27"/>
  <c r="AL27" s="1"/>
  <c r="Z27"/>
  <c r="AJ27" s="1"/>
  <c r="X27"/>
  <c r="W27"/>
  <c r="N27"/>
  <c r="AM27" s="1"/>
  <c r="L27"/>
  <c r="O27" s="1"/>
  <c r="AN27" s="1"/>
  <c r="AP27" s="1"/>
  <c r="D27"/>
  <c r="C27"/>
  <c r="B27"/>
  <c r="AS23"/>
  <c r="AK23"/>
  <c r="AI23"/>
  <c r="AL23" s="1"/>
  <c r="Z23"/>
  <c r="AJ23" s="1"/>
  <c r="X23"/>
  <c r="W23"/>
  <c r="N23"/>
  <c r="L23"/>
  <c r="O23" s="1"/>
  <c r="D23"/>
  <c r="AA23" s="1"/>
  <c r="C23"/>
  <c r="B23"/>
  <c r="AK20"/>
  <c r="AI20"/>
  <c r="AL20" s="1"/>
  <c r="Z20"/>
  <c r="AJ20" s="1"/>
  <c r="X20"/>
  <c r="W20"/>
  <c r="N20"/>
  <c r="BE20" s="1"/>
  <c r="L20"/>
  <c r="O20" s="1"/>
  <c r="D20"/>
  <c r="C20"/>
  <c r="B20"/>
  <c r="AU16"/>
  <c r="AS16"/>
  <c r="AK16"/>
  <c r="AI16"/>
  <c r="AL16" s="1"/>
  <c r="Z16"/>
  <c r="AJ16" s="1"/>
  <c r="X16"/>
  <c r="W16"/>
  <c r="N16"/>
  <c r="AM16" s="1"/>
  <c r="L16"/>
  <c r="O16" s="1"/>
  <c r="D16"/>
  <c r="C16"/>
  <c r="B16"/>
  <c r="AU13"/>
  <c r="AS13"/>
  <c r="AK13"/>
  <c r="AI13"/>
  <c r="AL13" s="1"/>
  <c r="Z13"/>
  <c r="AJ13" s="1"/>
  <c r="X13"/>
  <c r="W13"/>
  <c r="N13"/>
  <c r="AM13" s="1"/>
  <c r="L13"/>
  <c r="O13" s="1"/>
  <c r="D13"/>
  <c r="C13"/>
  <c r="B13"/>
  <c r="AU9"/>
  <c r="AS9"/>
  <c r="AK9"/>
  <c r="AI9"/>
  <c r="AL9" s="1"/>
  <c r="Z9"/>
  <c r="AJ9" s="1"/>
  <c r="X9"/>
  <c r="W9"/>
  <c r="N9"/>
  <c r="AM9" s="1"/>
  <c r="L9"/>
  <c r="O9" s="1"/>
  <c r="D9"/>
  <c r="C9"/>
  <c r="B9"/>
  <c r="AU6"/>
  <c r="AS6"/>
  <c r="AK6"/>
  <c r="AI6"/>
  <c r="Z6"/>
  <c r="X6"/>
  <c r="W6"/>
  <c r="N6"/>
  <c r="L6"/>
  <c r="D6"/>
  <c r="C6"/>
  <c r="B6"/>
  <c r="B42" s="1"/>
  <c r="U42" i="9"/>
  <c r="U43" s="1"/>
  <c r="T42"/>
  <c r="T43" s="1"/>
  <c r="S42"/>
  <c r="S43" s="1"/>
  <c r="R42"/>
  <c r="R43" s="1"/>
  <c r="Q42"/>
  <c r="Q43" s="1"/>
  <c r="P42"/>
  <c r="P43" s="1"/>
  <c r="O42"/>
  <c r="O43" s="1"/>
  <c r="N42"/>
  <c r="N43" s="1"/>
  <c r="U41"/>
  <c r="T41"/>
  <c r="T44" s="1"/>
  <c r="S41"/>
  <c r="S44" s="1"/>
  <c r="R41"/>
  <c r="R45" s="1"/>
  <c r="Q41"/>
  <c r="P41"/>
  <c r="O41"/>
  <c r="N4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s="1"/>
  <c r="J43"/>
  <c r="J47" s="1"/>
  <c r="I43"/>
  <c r="H43"/>
  <c r="H46" s="1"/>
  <c r="G43"/>
  <c r="G47" s="1"/>
  <c r="F43"/>
  <c r="F47" s="1"/>
  <c r="E43"/>
  <c r="D43"/>
  <c r="C43"/>
  <c r="D47" i="8"/>
  <c r="D48"/>
  <c r="D49" s="1"/>
  <c r="D99"/>
  <c r="D100"/>
  <c r="D101" s="1"/>
  <c r="D103" s="1"/>
  <c r="AS100"/>
  <c r="AS101" s="1"/>
  <c r="AQ100"/>
  <c r="AQ101" s="1"/>
  <c r="AG100"/>
  <c r="AG101" s="1"/>
  <c r="AF100"/>
  <c r="AF101" s="1"/>
  <c r="AE100"/>
  <c r="AE101" s="1"/>
  <c r="AD100"/>
  <c r="AD101" s="1"/>
  <c r="AC100"/>
  <c r="AC101" s="1"/>
  <c r="AB100"/>
  <c r="AB101" s="1"/>
  <c r="AA100"/>
  <c r="AA101" s="1"/>
  <c r="Y100"/>
  <c r="Y101" s="1"/>
  <c r="W100"/>
  <c r="W101" s="1"/>
  <c r="V100"/>
  <c r="V101" s="1"/>
  <c r="R100"/>
  <c r="R101" s="1"/>
  <c r="M100"/>
  <c r="M101" s="1"/>
  <c r="L100"/>
  <c r="L101" s="1"/>
  <c r="K100"/>
  <c r="K101" s="1"/>
  <c r="J100"/>
  <c r="J101" s="1"/>
  <c r="I100"/>
  <c r="I101" s="1"/>
  <c r="H100"/>
  <c r="H101" s="1"/>
  <c r="G100"/>
  <c r="G101" s="1"/>
  <c r="F100"/>
  <c r="F101" s="1"/>
  <c r="E100"/>
  <c r="E101" s="1"/>
  <c r="AS99"/>
  <c r="AQ99"/>
  <c r="AG99"/>
  <c r="AF99"/>
  <c r="AF102" s="1"/>
  <c r="AE99"/>
  <c r="AE102" s="1"/>
  <c r="AD99"/>
  <c r="AD102" s="1"/>
  <c r="AC99"/>
  <c r="AB99"/>
  <c r="AB102" s="1"/>
  <c r="AA99"/>
  <c r="AA102" s="1"/>
  <c r="Y99"/>
  <c r="W99"/>
  <c r="V99"/>
  <c r="V102" s="1"/>
  <c r="R99"/>
  <c r="R102" s="1"/>
  <c r="M99"/>
  <c r="M103" s="1"/>
  <c r="L99"/>
  <c r="K99"/>
  <c r="J99"/>
  <c r="I99"/>
  <c r="I103" s="1"/>
  <c r="H99"/>
  <c r="G99"/>
  <c r="F99"/>
  <c r="E99"/>
  <c r="AY95"/>
  <c r="AT95"/>
  <c r="BD95" s="1"/>
  <c r="AR95"/>
  <c r="AJ95"/>
  <c r="AI95"/>
  <c r="AH95"/>
  <c r="AK95" s="1"/>
  <c r="Z95"/>
  <c r="X95"/>
  <c r="P95"/>
  <c r="AL95" s="1"/>
  <c r="O95"/>
  <c r="N95"/>
  <c r="Q95" s="1"/>
  <c r="AT92"/>
  <c r="AR92"/>
  <c r="AJ92"/>
  <c r="AI92"/>
  <c r="AH92"/>
  <c r="AK92" s="1"/>
  <c r="Z92"/>
  <c r="X92"/>
  <c r="P92"/>
  <c r="O92"/>
  <c r="N92"/>
  <c r="Q92" s="1"/>
  <c r="AT81"/>
  <c r="AR81"/>
  <c r="AJ81"/>
  <c r="AI81"/>
  <c r="AH81"/>
  <c r="AK81" s="1"/>
  <c r="Z81"/>
  <c r="X81"/>
  <c r="P81"/>
  <c r="O81"/>
  <c r="AN81" s="1"/>
  <c r="N81"/>
  <c r="Q81" s="1"/>
  <c r="AM81" s="1"/>
  <c r="AO81" s="1"/>
  <c r="AT78"/>
  <c r="AR78"/>
  <c r="AJ78"/>
  <c r="AL78" s="1"/>
  <c r="AI78"/>
  <c r="AH78"/>
  <c r="AK78" s="1"/>
  <c r="Z78"/>
  <c r="X78"/>
  <c r="P78"/>
  <c r="O78"/>
  <c r="N78"/>
  <c r="Q78" s="1"/>
  <c r="AT74"/>
  <c r="AR74"/>
  <c r="AJ74"/>
  <c r="AI74"/>
  <c r="AH74"/>
  <c r="AK74" s="1"/>
  <c r="Z74"/>
  <c r="X74"/>
  <c r="P74"/>
  <c r="O74"/>
  <c r="N74"/>
  <c r="Q74" s="1"/>
  <c r="AM74" s="1"/>
  <c r="AO74" s="1"/>
  <c r="AT71"/>
  <c r="AR71"/>
  <c r="AJ71"/>
  <c r="AI71"/>
  <c r="AH71"/>
  <c r="AK71" s="1"/>
  <c r="Z71"/>
  <c r="X71"/>
  <c r="P71"/>
  <c r="O71"/>
  <c r="N71"/>
  <c r="Q71" s="1"/>
  <c r="AM71" s="1"/>
  <c r="AO71" s="1"/>
  <c r="AT67"/>
  <c r="AR67"/>
  <c r="AJ67"/>
  <c r="AI67"/>
  <c r="AH67"/>
  <c r="AK67" s="1"/>
  <c r="Z67"/>
  <c r="X67"/>
  <c r="Q67"/>
  <c r="AM67" s="1"/>
  <c r="AO67" s="1"/>
  <c r="P67"/>
  <c r="O67"/>
  <c r="N67"/>
  <c r="AT64"/>
  <c r="AR64"/>
  <c r="AJ64"/>
  <c r="AL64" s="1"/>
  <c r="AI64"/>
  <c r="AH64"/>
  <c r="AK64" s="1"/>
  <c r="Z64"/>
  <c r="X64"/>
  <c r="P64"/>
  <c r="O64"/>
  <c r="AN64" s="1"/>
  <c r="N64"/>
  <c r="Q64" s="1"/>
  <c r="AT60"/>
  <c r="AR60"/>
  <c r="AJ60"/>
  <c r="AL60" s="1"/>
  <c r="AI60"/>
  <c r="AH60"/>
  <c r="AK60" s="1"/>
  <c r="Z60"/>
  <c r="X60"/>
  <c r="P60"/>
  <c r="O60"/>
  <c r="N60"/>
  <c r="Q60" s="1"/>
  <c r="AM60" s="1"/>
  <c r="AO60" s="1"/>
  <c r="AT57"/>
  <c r="AR57"/>
  <c r="AJ57"/>
  <c r="AI57"/>
  <c r="AH57"/>
  <c r="AH100" s="1"/>
  <c r="AH101" s="1"/>
  <c r="Z57"/>
  <c r="X57"/>
  <c r="P57"/>
  <c r="P100" s="1"/>
  <c r="P101" s="1"/>
  <c r="O57"/>
  <c r="N57"/>
  <c r="AT48"/>
  <c r="AT49" s="1"/>
  <c r="AS48"/>
  <c r="AS49" s="1"/>
  <c r="AR48"/>
  <c r="AR49" s="1"/>
  <c r="AQ48"/>
  <c r="AQ49" s="1"/>
  <c r="AG48"/>
  <c r="AG49" s="1"/>
  <c r="AF48"/>
  <c r="AF49" s="1"/>
  <c r="AE48"/>
  <c r="AE49" s="1"/>
  <c r="AD48"/>
  <c r="AD49" s="1"/>
  <c r="AC48"/>
  <c r="AC49" s="1"/>
  <c r="AB48"/>
  <c r="AB49" s="1"/>
  <c r="AA48"/>
  <c r="AA49" s="1"/>
  <c r="Y48"/>
  <c r="Y49" s="1"/>
  <c r="Y51" s="1"/>
  <c r="W48"/>
  <c r="W49" s="1"/>
  <c r="V48"/>
  <c r="V49" s="1"/>
  <c r="R48"/>
  <c r="R49" s="1"/>
  <c r="M48"/>
  <c r="M49" s="1"/>
  <c r="L48"/>
  <c r="L49" s="1"/>
  <c r="K48"/>
  <c r="K49" s="1"/>
  <c r="J48"/>
  <c r="J49" s="1"/>
  <c r="I48"/>
  <c r="I49" s="1"/>
  <c r="H48"/>
  <c r="H49" s="1"/>
  <c r="G48"/>
  <c r="G49" s="1"/>
  <c r="F48"/>
  <c r="F49" s="1"/>
  <c r="AT47"/>
  <c r="AS47"/>
  <c r="AR47"/>
  <c r="AQ47"/>
  <c r="AG47"/>
  <c r="AG51" s="1"/>
  <c r="AF47"/>
  <c r="AE47"/>
  <c r="AE50" s="1"/>
  <c r="AD47"/>
  <c r="AC47"/>
  <c r="AC51" s="1"/>
  <c r="AB47"/>
  <c r="AA47"/>
  <c r="AA50" s="1"/>
  <c r="Y47"/>
  <c r="W47"/>
  <c r="W51" s="1"/>
  <c r="V47"/>
  <c r="R47"/>
  <c r="M47"/>
  <c r="L47"/>
  <c r="K47"/>
  <c r="J47"/>
  <c r="I47"/>
  <c r="H47"/>
  <c r="G47"/>
  <c r="F47"/>
  <c r="AJ43"/>
  <c r="AI43"/>
  <c r="AH43"/>
  <c r="AK43" s="1"/>
  <c r="Z43"/>
  <c r="X43"/>
  <c r="P43"/>
  <c r="BD43" s="1"/>
  <c r="O43"/>
  <c r="N43"/>
  <c r="Q43" s="1"/>
  <c r="AJ40"/>
  <c r="AI40"/>
  <c r="AH40"/>
  <c r="AK40" s="1"/>
  <c r="Z40"/>
  <c r="P40"/>
  <c r="BD40" s="1"/>
  <c r="O40"/>
  <c r="N40"/>
  <c r="Q40" s="1"/>
  <c r="BC40" s="1"/>
  <c r="E40"/>
  <c r="X40" s="1"/>
  <c r="AJ29"/>
  <c r="AI29"/>
  <c r="AH29"/>
  <c r="AK29" s="1"/>
  <c r="Z29"/>
  <c r="X29"/>
  <c r="P29"/>
  <c r="AY29" s="1"/>
  <c r="O29"/>
  <c r="N29"/>
  <c r="Q29" s="1"/>
  <c r="AJ26"/>
  <c r="AI26"/>
  <c r="AH26"/>
  <c r="AK26" s="1"/>
  <c r="Z26"/>
  <c r="P26"/>
  <c r="AL26" s="1"/>
  <c r="O26"/>
  <c r="AN26" s="1"/>
  <c r="N26"/>
  <c r="Q26" s="1"/>
  <c r="E26"/>
  <c r="X26" s="1"/>
  <c r="AY22"/>
  <c r="AJ22"/>
  <c r="AI22"/>
  <c r="AH22"/>
  <c r="AK22" s="1"/>
  <c r="Z22"/>
  <c r="P22"/>
  <c r="O22"/>
  <c r="N22"/>
  <c r="Q22" s="1"/>
  <c r="E22"/>
  <c r="AJ19"/>
  <c r="AI19"/>
  <c r="AH19"/>
  <c r="AK19" s="1"/>
  <c r="Z19"/>
  <c r="P19"/>
  <c r="AL19" s="1"/>
  <c r="O19"/>
  <c r="N19"/>
  <c r="Q19" s="1"/>
  <c r="E19"/>
  <c r="AJ15"/>
  <c r="AI15"/>
  <c r="AH15"/>
  <c r="AK15" s="1"/>
  <c r="Z15"/>
  <c r="X15"/>
  <c r="P15"/>
  <c r="AY15" s="1"/>
  <c r="O15"/>
  <c r="N15"/>
  <c r="Q15" s="1"/>
  <c r="BC15" s="1"/>
  <c r="AL12"/>
  <c r="AP12" s="1"/>
  <c r="AJ12"/>
  <c r="AI12"/>
  <c r="AH12"/>
  <c r="Z12"/>
  <c r="P12"/>
  <c r="AY12" s="1"/>
  <c r="O12"/>
  <c r="N12"/>
  <c r="Q12" s="1"/>
  <c r="AX12" s="1"/>
  <c r="E12"/>
  <c r="X12" s="1"/>
  <c r="AJ8"/>
  <c r="AI8"/>
  <c r="AH8"/>
  <c r="AK8" s="1"/>
  <c r="Z8"/>
  <c r="X8"/>
  <c r="P8"/>
  <c r="O8"/>
  <c r="N8"/>
  <c r="Q8" s="1"/>
  <c r="AJ5"/>
  <c r="AI5"/>
  <c r="AH5"/>
  <c r="AK5" s="1"/>
  <c r="Z5"/>
  <c r="P5"/>
  <c r="O5"/>
  <c r="N5"/>
  <c r="Q5" s="1"/>
  <c r="E5"/>
  <c r="X5" s="1"/>
  <c r="F62" i="5"/>
  <c r="G62"/>
  <c r="H62"/>
  <c r="I62"/>
  <c r="J62"/>
  <c r="K62"/>
  <c r="L62"/>
  <c r="M62"/>
  <c r="N62"/>
  <c r="O62"/>
  <c r="P62"/>
  <c r="Q62"/>
  <c r="R62"/>
  <c r="S62"/>
  <c r="T62"/>
  <c r="U62"/>
  <c r="E62"/>
  <c r="F61"/>
  <c r="G61"/>
  <c r="H61"/>
  <c r="I61"/>
  <c r="J61"/>
  <c r="K61"/>
  <c r="L61"/>
  <c r="M61"/>
  <c r="N61"/>
  <c r="O61"/>
  <c r="P61"/>
  <c r="Q61"/>
  <c r="R61"/>
  <c r="S61"/>
  <c r="T61"/>
  <c r="U61"/>
  <c r="E61"/>
  <c r="F60"/>
  <c r="G60"/>
  <c r="H60"/>
  <c r="I60"/>
  <c r="J60"/>
  <c r="K60"/>
  <c r="L60"/>
  <c r="M60"/>
  <c r="N60"/>
  <c r="O60"/>
  <c r="P60"/>
  <c r="Q60"/>
  <c r="R60"/>
  <c r="S60"/>
  <c r="T60"/>
  <c r="U60"/>
  <c r="E60"/>
  <c r="F59"/>
  <c r="G59"/>
  <c r="H59"/>
  <c r="I59"/>
  <c r="J59"/>
  <c r="K59"/>
  <c r="L59"/>
  <c r="M59"/>
  <c r="N59"/>
  <c r="O59"/>
  <c r="P59"/>
  <c r="Q59"/>
  <c r="R59"/>
  <c r="S59"/>
  <c r="T59"/>
  <c r="U59"/>
  <c r="E59"/>
  <c r="L6" i="6"/>
  <c r="Z48" i="8" l="1"/>
  <c r="Z49" s="1"/>
  <c r="F51"/>
  <c r="K50"/>
  <c r="AS50"/>
  <c r="AN67"/>
  <c r="AX67"/>
  <c r="AL74"/>
  <c r="AN78"/>
  <c r="AM92"/>
  <c r="AO92" s="1"/>
  <c r="E47"/>
  <c r="G50"/>
  <c r="AN15"/>
  <c r="AW15" s="1"/>
  <c r="AM78"/>
  <c r="AO78" s="1"/>
  <c r="E103"/>
  <c r="AX81"/>
  <c r="AI99"/>
  <c r="AI102" s="1"/>
  <c r="AM64"/>
  <c r="AO64" s="1"/>
  <c r="D102"/>
  <c r="D89" i="10"/>
  <c r="Y81"/>
  <c r="AA88"/>
  <c r="W89"/>
  <c r="Y67"/>
  <c r="AO70"/>
  <c r="Y88"/>
  <c r="AA37"/>
  <c r="Y37"/>
  <c r="Y9"/>
  <c r="Y13"/>
  <c r="Y16"/>
  <c r="Y20"/>
  <c r="BD30"/>
  <c r="AZ30"/>
  <c r="AA34"/>
  <c r="Y34"/>
  <c r="AI37"/>
  <c r="AL37" s="1"/>
  <c r="AM41"/>
  <c r="AM56"/>
  <c r="AM60"/>
  <c r="AA67"/>
  <c r="BE88"/>
  <c r="N42"/>
  <c r="M88"/>
  <c r="AO88" s="1"/>
  <c r="Z43"/>
  <c r="Z44" s="1"/>
  <c r="AA27"/>
  <c r="Y27"/>
  <c r="AM34"/>
  <c r="AA60"/>
  <c r="AZ60"/>
  <c r="AM63"/>
  <c r="AM67"/>
  <c r="BD70"/>
  <c r="AI42"/>
  <c r="AM30"/>
  <c r="BE30"/>
  <c r="E46"/>
  <c r="AO56"/>
  <c r="AN84"/>
  <c r="AP84" s="1"/>
  <c r="AU42"/>
  <c r="BE9"/>
  <c r="BE16"/>
  <c r="Y23"/>
  <c r="BE41"/>
  <c r="C90"/>
  <c r="C91" s="1"/>
  <c r="N90"/>
  <c r="N91" s="1"/>
  <c r="AI89"/>
  <c r="AA56"/>
  <c r="AO63"/>
  <c r="AX63" s="1"/>
  <c r="BE63"/>
  <c r="AZ77"/>
  <c r="AA81"/>
  <c r="AM84"/>
  <c r="BB84" s="1"/>
  <c r="AJ84"/>
  <c r="AO84" s="1"/>
  <c r="AZ88"/>
  <c r="L43"/>
  <c r="L44" s="1"/>
  <c r="D43"/>
  <c r="D44" s="1"/>
  <c r="X42"/>
  <c r="AS43"/>
  <c r="AS44" s="1"/>
  <c r="AA9"/>
  <c r="AA13"/>
  <c r="AZ13"/>
  <c r="AA16"/>
  <c r="AA20"/>
  <c r="AZ23"/>
  <c r="AZ37"/>
  <c r="AA41"/>
  <c r="B90"/>
  <c r="B91" s="1"/>
  <c r="M53"/>
  <c r="Z89"/>
  <c r="BE53"/>
  <c r="AZ67"/>
  <c r="BE70"/>
  <c r="C43"/>
  <c r="C44" s="1"/>
  <c r="W42"/>
  <c r="AK43"/>
  <c r="AK44" s="1"/>
  <c r="AM37"/>
  <c r="J46"/>
  <c r="AD46"/>
  <c r="AR46"/>
  <c r="L89"/>
  <c r="X90"/>
  <c r="X91" s="1"/>
  <c r="AS90"/>
  <c r="AS91" s="1"/>
  <c r="BE60"/>
  <c r="AZ70"/>
  <c r="AA74"/>
  <c r="AM77"/>
  <c r="AQ77" s="1"/>
  <c r="AM81"/>
  <c r="AW81" s="1"/>
  <c r="AW9"/>
  <c r="AQ9"/>
  <c r="AW13"/>
  <c r="AQ13"/>
  <c r="AW16"/>
  <c r="AQ16"/>
  <c r="AW41"/>
  <c r="AQ41"/>
  <c r="AW63"/>
  <c r="AQ63"/>
  <c r="AW67"/>
  <c r="AQ67"/>
  <c r="AN81"/>
  <c r="AP81" s="1"/>
  <c r="AY81"/>
  <c r="Q81"/>
  <c r="AX56"/>
  <c r="AN9"/>
  <c r="AP9" s="1"/>
  <c r="AY9"/>
  <c r="Q9"/>
  <c r="AY13"/>
  <c r="Q13"/>
  <c r="AN13"/>
  <c r="AP13" s="1"/>
  <c r="AN16"/>
  <c r="AP16" s="1"/>
  <c r="AY16"/>
  <c r="Q16"/>
  <c r="Q20"/>
  <c r="AY20"/>
  <c r="BD20"/>
  <c r="AN20"/>
  <c r="AN41"/>
  <c r="AY41"/>
  <c r="Q41"/>
  <c r="AY67"/>
  <c r="Q67"/>
  <c r="AN67"/>
  <c r="AP67" s="1"/>
  <c r="BB74"/>
  <c r="AQ74"/>
  <c r="AY77"/>
  <c r="Q77"/>
  <c r="AN77"/>
  <c r="AP77" s="1"/>
  <c r="AQ84"/>
  <c r="AV34"/>
  <c r="AP34"/>
  <c r="AQ60"/>
  <c r="BB60"/>
  <c r="AN63"/>
  <c r="AP63" s="1"/>
  <c r="AY63"/>
  <c r="Q63"/>
  <c r="AQ70"/>
  <c r="BB70"/>
  <c r="G46"/>
  <c r="K46"/>
  <c r="AE46"/>
  <c r="BD23"/>
  <c r="Q23"/>
  <c r="AN23"/>
  <c r="BB27"/>
  <c r="AQ27"/>
  <c r="AQ30"/>
  <c r="BB30"/>
  <c r="BB34"/>
  <c r="AQ34"/>
  <c r="AW37"/>
  <c r="AQ37"/>
  <c r="BB56"/>
  <c r="AQ56"/>
  <c r="AW77"/>
  <c r="AQ88"/>
  <c r="BB88"/>
  <c r="F46"/>
  <c r="BC56"/>
  <c r="O6"/>
  <c r="BD6" s="1"/>
  <c r="Y6"/>
  <c r="AJ6"/>
  <c r="M9"/>
  <c r="AO9" s="1"/>
  <c r="AX9" s="1"/>
  <c r="AV9"/>
  <c r="AZ9"/>
  <c r="BD9"/>
  <c r="BB13"/>
  <c r="M16"/>
  <c r="AO16" s="1"/>
  <c r="AX16" s="1"/>
  <c r="AZ16"/>
  <c r="BD16"/>
  <c r="AZ20"/>
  <c r="AY23"/>
  <c r="AW27"/>
  <c r="BA27"/>
  <c r="BE27"/>
  <c r="Q30"/>
  <c r="AY30"/>
  <c r="AW34"/>
  <c r="BA34"/>
  <c r="BE34"/>
  <c r="Q37"/>
  <c r="AN37"/>
  <c r="AP37" s="1"/>
  <c r="BB37"/>
  <c r="M41"/>
  <c r="AO41" s="1"/>
  <c r="AX41" s="1"/>
  <c r="AZ41"/>
  <c r="BD41"/>
  <c r="D42"/>
  <c r="L42"/>
  <c r="Z42"/>
  <c r="AH42"/>
  <c r="B43"/>
  <c r="B44" s="1"/>
  <c r="B45" s="1"/>
  <c r="N43"/>
  <c r="N44" s="1"/>
  <c r="N45" s="1"/>
  <c r="X43"/>
  <c r="X44" s="1"/>
  <c r="X45" s="1"/>
  <c r="F45"/>
  <c r="J45"/>
  <c r="AD45"/>
  <c r="AT45"/>
  <c r="AA53"/>
  <c r="AL53"/>
  <c r="AZ53"/>
  <c r="AW56"/>
  <c r="BA56"/>
  <c r="BE56"/>
  <c r="Q60"/>
  <c r="AY60"/>
  <c r="AA63"/>
  <c r="AV63"/>
  <c r="AZ63"/>
  <c r="BD63"/>
  <c r="BB67"/>
  <c r="Q70"/>
  <c r="AY70"/>
  <c r="BC70"/>
  <c r="AW74"/>
  <c r="BA74"/>
  <c r="BE74"/>
  <c r="AJ77"/>
  <c r="AO77" s="1"/>
  <c r="BC77" s="1"/>
  <c r="BB77"/>
  <c r="M81"/>
  <c r="AO81" s="1"/>
  <c r="AX81" s="1"/>
  <c r="AV81"/>
  <c r="AZ81"/>
  <c r="BD81"/>
  <c r="AW84"/>
  <c r="BA84"/>
  <c r="BE84"/>
  <c r="Q88"/>
  <c r="AY88"/>
  <c r="BC88"/>
  <c r="C89"/>
  <c r="AK89"/>
  <c r="AS89"/>
  <c r="W90"/>
  <c r="W91" s="1"/>
  <c r="W92" s="1"/>
  <c r="AI90"/>
  <c r="AI91" s="1"/>
  <c r="AI92" s="1"/>
  <c r="AU90"/>
  <c r="AU91" s="1"/>
  <c r="E92"/>
  <c r="I92"/>
  <c r="AC92"/>
  <c r="AG92"/>
  <c r="AM6"/>
  <c r="BB6" s="1"/>
  <c r="BE6"/>
  <c r="BA13"/>
  <c r="BE13"/>
  <c r="AM20"/>
  <c r="AM23"/>
  <c r="AW23" s="1"/>
  <c r="M27"/>
  <c r="AO27" s="1"/>
  <c r="BC27" s="1"/>
  <c r="AV27"/>
  <c r="AZ27"/>
  <c r="BD27"/>
  <c r="AN30"/>
  <c r="AP30" s="1"/>
  <c r="M34"/>
  <c r="AO34" s="1"/>
  <c r="BC34" s="1"/>
  <c r="AZ34"/>
  <c r="BD34"/>
  <c r="BA37"/>
  <c r="BE37"/>
  <c r="C42"/>
  <c r="AK42"/>
  <c r="AS42"/>
  <c r="W43"/>
  <c r="W44" s="1"/>
  <c r="W46" s="1"/>
  <c r="AI43"/>
  <c r="AI44" s="1"/>
  <c r="AI45" s="1"/>
  <c r="AU43"/>
  <c r="AU44" s="1"/>
  <c r="AU45" s="1"/>
  <c r="E45"/>
  <c r="I45"/>
  <c r="AC45"/>
  <c r="AG45"/>
  <c r="AV56"/>
  <c r="AZ56"/>
  <c r="BD56"/>
  <c r="AN60"/>
  <c r="AP60" s="1"/>
  <c r="BC63"/>
  <c r="BA67"/>
  <c r="BE67"/>
  <c r="AN70"/>
  <c r="AP70" s="1"/>
  <c r="AX70"/>
  <c r="M74"/>
  <c r="AO74" s="1"/>
  <c r="BC74" s="1"/>
  <c r="AV74"/>
  <c r="AZ74"/>
  <c r="BD74"/>
  <c r="BA77"/>
  <c r="BE77"/>
  <c r="AV84"/>
  <c r="AZ84"/>
  <c r="BD84"/>
  <c r="AN88"/>
  <c r="AX88"/>
  <c r="B89"/>
  <c r="N89"/>
  <c r="X89"/>
  <c r="D90"/>
  <c r="D91" s="1"/>
  <c r="D92" s="1"/>
  <c r="L90"/>
  <c r="L91" s="1"/>
  <c r="L92" s="1"/>
  <c r="Z90"/>
  <c r="Z91" s="1"/>
  <c r="Z92" s="1"/>
  <c r="H92"/>
  <c r="AB92"/>
  <c r="AF92"/>
  <c r="AR92"/>
  <c r="M6"/>
  <c r="AA6"/>
  <c r="AL6"/>
  <c r="AZ6"/>
  <c r="BB9"/>
  <c r="M13"/>
  <c r="AO13" s="1"/>
  <c r="AX13" s="1"/>
  <c r="AV13"/>
  <c r="BD13"/>
  <c r="BB16"/>
  <c r="M20"/>
  <c r="AO20" s="1"/>
  <c r="M23"/>
  <c r="AO23" s="1"/>
  <c r="BE23"/>
  <c r="Q27"/>
  <c r="AY27"/>
  <c r="AW30"/>
  <c r="BA30"/>
  <c r="Q34"/>
  <c r="AY34"/>
  <c r="AV37"/>
  <c r="BD37"/>
  <c r="BB41"/>
  <c r="H45"/>
  <c r="AB45"/>
  <c r="AF45"/>
  <c r="AR45"/>
  <c r="O53"/>
  <c r="BD53" s="1"/>
  <c r="Y53"/>
  <c r="AJ53"/>
  <c r="Q56"/>
  <c r="AY56"/>
  <c r="AW60"/>
  <c r="BA60"/>
  <c r="BB63"/>
  <c r="M67"/>
  <c r="AO67" s="1"/>
  <c r="AX67" s="1"/>
  <c r="AV67"/>
  <c r="BD67"/>
  <c r="AW70"/>
  <c r="Q74"/>
  <c r="AY74"/>
  <c r="AV77"/>
  <c r="BD77"/>
  <c r="BB81"/>
  <c r="Q84"/>
  <c r="AY84"/>
  <c r="AW88"/>
  <c r="BA88"/>
  <c r="AU89"/>
  <c r="G92"/>
  <c r="K92"/>
  <c r="AE92"/>
  <c r="BA9"/>
  <c r="M30"/>
  <c r="AO30" s="1"/>
  <c r="BC30" s="1"/>
  <c r="AV30"/>
  <c r="M37"/>
  <c r="AO37" s="1"/>
  <c r="BC37" s="1"/>
  <c r="BA41"/>
  <c r="G45"/>
  <c r="K45"/>
  <c r="AE45"/>
  <c r="AM53"/>
  <c r="M60"/>
  <c r="AO60" s="1"/>
  <c r="AX60" s="1"/>
  <c r="BA81"/>
  <c r="F92"/>
  <c r="J92"/>
  <c r="AD92"/>
  <c r="AH92"/>
  <c r="AT92"/>
  <c r="E47" i="9"/>
  <c r="I46"/>
  <c r="Q45"/>
  <c r="U45"/>
  <c r="P45"/>
  <c r="O44"/>
  <c r="N44"/>
  <c r="Q44"/>
  <c r="R44"/>
  <c r="O45"/>
  <c r="T45"/>
  <c r="P44"/>
  <c r="U44"/>
  <c r="N45"/>
  <c r="S45"/>
  <c r="D46"/>
  <c r="C46"/>
  <c r="F46"/>
  <c r="G46"/>
  <c r="D47"/>
  <c r="I47"/>
  <c r="E46"/>
  <c r="J46"/>
  <c r="C47"/>
  <c r="H47"/>
  <c r="D50" i="8"/>
  <c r="D51"/>
  <c r="J51"/>
  <c r="N99"/>
  <c r="N103" s="1"/>
  <c r="X100"/>
  <c r="X101" s="1"/>
  <c r="AL57"/>
  <c r="AN60"/>
  <c r="AX60"/>
  <c r="AL71"/>
  <c r="AN74"/>
  <c r="AX74"/>
  <c r="AL92"/>
  <c r="BA92" s="1"/>
  <c r="AN95"/>
  <c r="BA95"/>
  <c r="O47"/>
  <c r="AT51"/>
  <c r="AN43"/>
  <c r="Q57"/>
  <c r="Q100" s="1"/>
  <c r="Q101" s="1"/>
  <c r="AI100"/>
  <c r="AI101" s="1"/>
  <c r="AX64"/>
  <c r="AX78"/>
  <c r="L102"/>
  <c r="W103"/>
  <c r="K102"/>
  <c r="AS103"/>
  <c r="P47"/>
  <c r="O99"/>
  <c r="Z100"/>
  <c r="Z101" s="1"/>
  <c r="AR100"/>
  <c r="AR101" s="1"/>
  <c r="AL67"/>
  <c r="AN71"/>
  <c r="AX71"/>
  <c r="AL81"/>
  <c r="AL100" s="1"/>
  <c r="AL101" s="1"/>
  <c r="AN92"/>
  <c r="AX92"/>
  <c r="Y102"/>
  <c r="N100"/>
  <c r="N101" s="1"/>
  <c r="L51"/>
  <c r="P48"/>
  <c r="P49" s="1"/>
  <c r="P50" s="1"/>
  <c r="AJ48"/>
  <c r="AJ49" s="1"/>
  <c r="AJ50" s="1"/>
  <c r="AN8"/>
  <c r="AW8" s="1"/>
  <c r="AJ47"/>
  <c r="BD15"/>
  <c r="AL22"/>
  <c r="AV22" s="1"/>
  <c r="BD22"/>
  <c r="AN29"/>
  <c r="G51"/>
  <c r="K51"/>
  <c r="V51"/>
  <c r="AB51"/>
  <c r="AF51"/>
  <c r="W50"/>
  <c r="AC50"/>
  <c r="AG50"/>
  <c r="H102"/>
  <c r="AC103"/>
  <c r="AG103"/>
  <c r="AM22"/>
  <c r="H51"/>
  <c r="AX57"/>
  <c r="AY92"/>
  <c r="Q99"/>
  <c r="G102"/>
  <c r="AI48"/>
  <c r="AI49" s="1"/>
  <c r="Z47"/>
  <c r="AL15"/>
  <c r="AR51"/>
  <c r="AH48"/>
  <c r="AH49" s="1"/>
  <c r="AH51" s="1"/>
  <c r="AY5"/>
  <c r="O48"/>
  <c r="O49" s="1"/>
  <c r="AH47"/>
  <c r="BD12"/>
  <c r="AY26"/>
  <c r="AN40"/>
  <c r="M50"/>
  <c r="Y50"/>
  <c r="AD51"/>
  <c r="AQ50"/>
  <c r="AT100"/>
  <c r="AT101" s="1"/>
  <c r="BD60"/>
  <c r="BD64"/>
  <c r="BD67"/>
  <c r="BD71"/>
  <c r="BD74"/>
  <c r="BD78"/>
  <c r="BD81"/>
  <c r="AX95"/>
  <c r="AX99" s="1"/>
  <c r="F102"/>
  <c r="J102"/>
  <c r="AQ102"/>
  <c r="O51"/>
  <c r="O50"/>
  <c r="BC8"/>
  <c r="AM8"/>
  <c r="S8"/>
  <c r="AX8"/>
  <c r="AP15"/>
  <c r="AV15"/>
  <c r="BA15"/>
  <c r="BB26"/>
  <c r="AW26"/>
  <c r="AM29"/>
  <c r="S29"/>
  <c r="AX29"/>
  <c r="BC29"/>
  <c r="Q48"/>
  <c r="Q49" s="1"/>
  <c r="BC5"/>
  <c r="AM5"/>
  <c r="S5"/>
  <c r="AX5"/>
  <c r="Q47"/>
  <c r="AX19"/>
  <c r="AM19"/>
  <c r="BC19"/>
  <c r="S19"/>
  <c r="BC26"/>
  <c r="AM26"/>
  <c r="S26"/>
  <c r="AX26"/>
  <c r="BC43"/>
  <c r="AM43"/>
  <c r="S43"/>
  <c r="AX43"/>
  <c r="Q103"/>
  <c r="Q102"/>
  <c r="I50"/>
  <c r="AX100"/>
  <c r="AX101" s="1"/>
  <c r="P51"/>
  <c r="AZ22"/>
  <c r="AU22"/>
  <c r="AO22"/>
  <c r="BB15"/>
  <c r="AP19"/>
  <c r="BA19"/>
  <c r="AV19"/>
  <c r="BA26"/>
  <c r="AP26"/>
  <c r="AV26"/>
  <c r="AW29"/>
  <c r="BB29"/>
  <c r="AS51"/>
  <c r="AW60"/>
  <c r="AW64"/>
  <c r="AW67"/>
  <c r="AW71"/>
  <c r="AW74"/>
  <c r="AW78"/>
  <c r="AW81"/>
  <c r="AV57"/>
  <c r="AP57"/>
  <c r="AV60"/>
  <c r="AP60"/>
  <c r="AV64"/>
  <c r="AP64"/>
  <c r="AV67"/>
  <c r="AP67"/>
  <c r="AV71"/>
  <c r="AP71"/>
  <c r="AV74"/>
  <c r="AP74"/>
  <c r="AV78"/>
  <c r="AP78"/>
  <c r="AP81"/>
  <c r="AV92"/>
  <c r="AY8"/>
  <c r="AV12"/>
  <c r="AX15"/>
  <c r="AX40"/>
  <c r="N47"/>
  <c r="AN5"/>
  <c r="BD5"/>
  <c r="AL8"/>
  <c r="S12"/>
  <c r="BC12"/>
  <c r="S22"/>
  <c r="AX22"/>
  <c r="BC22"/>
  <c r="BD26"/>
  <c r="AL29"/>
  <c r="AI47"/>
  <c r="N48"/>
  <c r="N49" s="1"/>
  <c r="H50"/>
  <c r="L50"/>
  <c r="AD50"/>
  <c r="AT50"/>
  <c r="I51"/>
  <c r="M51"/>
  <c r="AA51"/>
  <c r="AE51"/>
  <c r="AQ51"/>
  <c r="AK57"/>
  <c r="AY57"/>
  <c r="BC57"/>
  <c r="AU60"/>
  <c r="AY60"/>
  <c r="BC60"/>
  <c r="AU64"/>
  <c r="AY64"/>
  <c r="BC64"/>
  <c r="AU67"/>
  <c r="AY67"/>
  <c r="BC67"/>
  <c r="AU71"/>
  <c r="AY71"/>
  <c r="BC71"/>
  <c r="AU74"/>
  <c r="AY74"/>
  <c r="BC74"/>
  <c r="AU78"/>
  <c r="AY78"/>
  <c r="BC78"/>
  <c r="AU81"/>
  <c r="AY81"/>
  <c r="BC81"/>
  <c r="AU92"/>
  <c r="AZ92"/>
  <c r="S95"/>
  <c r="AM95"/>
  <c r="BC95"/>
  <c r="X99"/>
  <c r="AJ99"/>
  <c r="AR99"/>
  <c r="O100"/>
  <c r="O101" s="1"/>
  <c r="O103" s="1"/>
  <c r="E102"/>
  <c r="I102"/>
  <c r="M102"/>
  <c r="W102"/>
  <c r="AC102"/>
  <c r="AG102"/>
  <c r="AS102"/>
  <c r="H103"/>
  <c r="L103"/>
  <c r="V103"/>
  <c r="AB103"/>
  <c r="AF103"/>
  <c r="AN57"/>
  <c r="AW57" s="1"/>
  <c r="BB60"/>
  <c r="BB64"/>
  <c r="BB67"/>
  <c r="BB71"/>
  <c r="BB74"/>
  <c r="BB78"/>
  <c r="BB81"/>
  <c r="BD92"/>
  <c r="AP95"/>
  <c r="AV95"/>
  <c r="AJ100"/>
  <c r="AJ101" s="1"/>
  <c r="G103"/>
  <c r="K103"/>
  <c r="AA103"/>
  <c r="AE103"/>
  <c r="AQ103"/>
  <c r="AL5"/>
  <c r="BD8"/>
  <c r="AK12"/>
  <c r="AK48" s="1"/>
  <c r="AK49" s="1"/>
  <c r="BA12"/>
  <c r="S15"/>
  <c r="AM15"/>
  <c r="AY19"/>
  <c r="BD19"/>
  <c r="BD29"/>
  <c r="AL40"/>
  <c r="AY40"/>
  <c r="AL43"/>
  <c r="AY43"/>
  <c r="AK47"/>
  <c r="F50"/>
  <c r="J50"/>
  <c r="V50"/>
  <c r="AB50"/>
  <c r="AF50"/>
  <c r="AR50"/>
  <c r="S57"/>
  <c r="AM57"/>
  <c r="AU57" s="1"/>
  <c r="BA57"/>
  <c r="S60"/>
  <c r="BA60"/>
  <c r="S64"/>
  <c r="BA64"/>
  <c r="S67"/>
  <c r="BA67"/>
  <c r="S71"/>
  <c r="BA71"/>
  <c r="S74"/>
  <c r="BA74"/>
  <c r="S78"/>
  <c r="BA78"/>
  <c r="S81"/>
  <c r="BA81"/>
  <c r="S92"/>
  <c r="BC92"/>
  <c r="P99"/>
  <c r="Z99"/>
  <c r="AH99"/>
  <c r="AT99"/>
  <c r="F103"/>
  <c r="J103"/>
  <c r="R103"/>
  <c r="Y103"/>
  <c r="AD103"/>
  <c r="AM40"/>
  <c r="E48"/>
  <c r="E49" s="1"/>
  <c r="E50" s="1"/>
  <c r="AN12"/>
  <c r="BD57"/>
  <c r="AZ60"/>
  <c r="AZ64"/>
  <c r="AZ67"/>
  <c r="AZ71"/>
  <c r="AZ74"/>
  <c r="AZ78"/>
  <c r="AZ81"/>
  <c r="N102" l="1"/>
  <c r="AI103"/>
  <c r="AP92"/>
  <c r="AL99"/>
  <c r="AP22"/>
  <c r="AV81"/>
  <c r="BA22"/>
  <c r="AJ51"/>
  <c r="BC9" i="10"/>
  <c r="AX77"/>
  <c r="BC41"/>
  <c r="BC81"/>
  <c r="AQ81"/>
  <c r="AV60"/>
  <c r="BA70"/>
  <c r="BC84"/>
  <c r="AX84"/>
  <c r="BE89"/>
  <c r="BA63"/>
  <c r="AV16"/>
  <c r="AV70"/>
  <c r="BA16"/>
  <c r="BC16"/>
  <c r="BD90"/>
  <c r="BD91" s="1"/>
  <c r="BD89"/>
  <c r="AJ90"/>
  <c r="AJ91" s="1"/>
  <c r="AJ89"/>
  <c r="AO53"/>
  <c r="BD42"/>
  <c r="BD43"/>
  <c r="BD44" s="1"/>
  <c r="C46"/>
  <c r="C45"/>
  <c r="C93"/>
  <c r="C92"/>
  <c r="Z46"/>
  <c r="Z45"/>
  <c r="BA20"/>
  <c r="AP20"/>
  <c r="AV20"/>
  <c r="AX74"/>
  <c r="L93"/>
  <c r="W45"/>
  <c r="BE90"/>
  <c r="BE91" s="1"/>
  <c r="BE92" s="1"/>
  <c r="BC67"/>
  <c r="BC13"/>
  <c r="AI93"/>
  <c r="W93"/>
  <c r="AI46"/>
  <c r="B46"/>
  <c r="B93"/>
  <c r="B92"/>
  <c r="AK46"/>
  <c r="AK45"/>
  <c r="BE43"/>
  <c r="BE44" s="1"/>
  <c r="BE42"/>
  <c r="AK93"/>
  <c r="AK92"/>
  <c r="AA89"/>
  <c r="AA90"/>
  <c r="AA91" s="1"/>
  <c r="AH46"/>
  <c r="AH45"/>
  <c r="O43"/>
  <c r="O44" s="1"/>
  <c r="AY6"/>
  <c r="Q6"/>
  <c r="O42"/>
  <c r="AV41"/>
  <c r="AP41"/>
  <c r="AX30"/>
  <c r="AX37"/>
  <c r="AX27"/>
  <c r="AW53"/>
  <c r="AQ53"/>
  <c r="AM89"/>
  <c r="AM90"/>
  <c r="AM91" s="1"/>
  <c r="AA42"/>
  <c r="AA43"/>
  <c r="AA44" s="1"/>
  <c r="N93"/>
  <c r="N92"/>
  <c r="AS46"/>
  <c r="AS45"/>
  <c r="AW20"/>
  <c r="BB20"/>
  <c r="AQ20"/>
  <c r="AS93"/>
  <c r="AS92"/>
  <c r="AL89"/>
  <c r="AL90"/>
  <c r="AL91" s="1"/>
  <c r="D46"/>
  <c r="D45"/>
  <c r="Y43"/>
  <c r="Y44" s="1"/>
  <c r="Y42"/>
  <c r="BC60"/>
  <c r="Z93"/>
  <c r="X46"/>
  <c r="AX34"/>
  <c r="AU46"/>
  <c r="D93"/>
  <c r="N46"/>
  <c r="AL43"/>
  <c r="AL44" s="1"/>
  <c r="AL42"/>
  <c r="AU93"/>
  <c r="AU92"/>
  <c r="O90"/>
  <c r="O91" s="1"/>
  <c r="AN53"/>
  <c r="AY53"/>
  <c r="Q53"/>
  <c r="O89"/>
  <c r="AX20"/>
  <c r="BC20"/>
  <c r="Y90"/>
  <c r="Y91" s="1"/>
  <c r="Y89"/>
  <c r="AX23"/>
  <c r="BC23"/>
  <c r="AZ42"/>
  <c r="AZ43"/>
  <c r="AZ44" s="1"/>
  <c r="M42"/>
  <c r="AO6"/>
  <c r="M43"/>
  <c r="M44" s="1"/>
  <c r="X93"/>
  <c r="X92"/>
  <c r="AV88"/>
  <c r="AP88"/>
  <c r="BB23"/>
  <c r="AQ23"/>
  <c r="AM42"/>
  <c r="AM43"/>
  <c r="AM44" s="1"/>
  <c r="AW6"/>
  <c r="AQ6"/>
  <c r="AZ90"/>
  <c r="AZ91" s="1"/>
  <c r="AZ89"/>
  <c r="L46"/>
  <c r="L45"/>
  <c r="AJ42"/>
  <c r="AJ43"/>
  <c r="AJ44" s="1"/>
  <c r="AV23"/>
  <c r="BA23"/>
  <c r="AP23"/>
  <c r="BB53"/>
  <c r="M90"/>
  <c r="M91" s="1"/>
  <c r="M89"/>
  <c r="AZ57" i="8"/>
  <c r="AY48"/>
  <c r="AY49" s="1"/>
  <c r="BB8"/>
  <c r="AH50"/>
  <c r="AY47"/>
  <c r="AY50"/>
  <c r="AW99"/>
  <c r="AW100"/>
  <c r="AW101" s="1"/>
  <c r="S48"/>
  <c r="S49" s="1"/>
  <c r="S47"/>
  <c r="BD100"/>
  <c r="BD101" s="1"/>
  <c r="BD99"/>
  <c r="AZ40"/>
  <c r="AU40"/>
  <c r="AO40"/>
  <c r="AH102"/>
  <c r="AH103"/>
  <c r="BA99"/>
  <c r="BA100"/>
  <c r="BA101" s="1"/>
  <c r="AR102"/>
  <c r="AR103"/>
  <c r="AU95"/>
  <c r="AU99" s="1"/>
  <c r="AO95"/>
  <c r="AK99"/>
  <c r="AK100"/>
  <c r="AK101" s="1"/>
  <c r="BB5"/>
  <c r="AN48"/>
  <c r="AN49" s="1"/>
  <c r="AN47"/>
  <c r="AW5"/>
  <c r="AP100"/>
  <c r="AP101" s="1"/>
  <c r="AP99"/>
  <c r="AX47"/>
  <c r="AX48"/>
  <c r="AX49" s="1"/>
  <c r="AO29"/>
  <c r="AZ29"/>
  <c r="AU29"/>
  <c r="AO8"/>
  <c r="AZ8"/>
  <c r="AU8"/>
  <c r="BB57"/>
  <c r="AM12"/>
  <c r="O102"/>
  <c r="E51"/>
  <c r="AN100"/>
  <c r="AN101" s="1"/>
  <c r="AN99"/>
  <c r="AJ102"/>
  <c r="AJ103"/>
  <c r="BC100"/>
  <c r="BC101" s="1"/>
  <c r="BC99"/>
  <c r="AI50"/>
  <c r="AI51"/>
  <c r="X47"/>
  <c r="X48"/>
  <c r="X49" s="1"/>
  <c r="AV100"/>
  <c r="AV101" s="1"/>
  <c r="AV99"/>
  <c r="BD47"/>
  <c r="BD48"/>
  <c r="BD49" s="1"/>
  <c r="AL102"/>
  <c r="AL103"/>
  <c r="AO43"/>
  <c r="AZ43"/>
  <c r="AU43"/>
  <c r="AO26"/>
  <c r="AU26"/>
  <c r="AZ26"/>
  <c r="AZ19"/>
  <c r="AU19"/>
  <c r="AO19"/>
  <c r="Q50"/>
  <c r="Q51"/>
  <c r="BC48"/>
  <c r="BC49" s="1"/>
  <c r="BC47"/>
  <c r="AM100"/>
  <c r="AM101" s="1"/>
  <c r="AM99"/>
  <c r="AO57"/>
  <c r="AK51"/>
  <c r="AK50"/>
  <c r="AP40"/>
  <c r="BA40"/>
  <c r="AV40"/>
  <c r="AZ15"/>
  <c r="AU15"/>
  <c r="AO15"/>
  <c r="AT102"/>
  <c r="AT103"/>
  <c r="AP43"/>
  <c r="BA43"/>
  <c r="AV43"/>
  <c r="BB12"/>
  <c r="AW12"/>
  <c r="AX102"/>
  <c r="AX103"/>
  <c r="P102"/>
  <c r="P103"/>
  <c r="S99"/>
  <c r="S100"/>
  <c r="S101" s="1"/>
  <c r="BA5"/>
  <c r="AL47"/>
  <c r="AL48"/>
  <c r="AL49" s="1"/>
  <c r="AP5"/>
  <c r="AV5"/>
  <c r="AY100"/>
  <c r="AY101" s="1"/>
  <c r="AY99"/>
  <c r="BA29"/>
  <c r="AV29"/>
  <c r="AP29"/>
  <c r="BA8"/>
  <c r="AV8"/>
  <c r="AP8"/>
  <c r="N51"/>
  <c r="N50"/>
  <c r="AO5"/>
  <c r="AM48"/>
  <c r="AM49" s="1"/>
  <c r="AU5"/>
  <c r="AM47"/>
  <c r="AZ5"/>
  <c r="AZ95"/>
  <c r="AZ99" s="1"/>
  <c r="BB42" i="10" l="1"/>
  <c r="BB89"/>
  <c r="BB90"/>
  <c r="BB91" s="1"/>
  <c r="AZ46"/>
  <c r="AZ45"/>
  <c r="AW43"/>
  <c r="AW44" s="1"/>
  <c r="AW42"/>
  <c r="AW90"/>
  <c r="AW91" s="1"/>
  <c r="AW89"/>
  <c r="Q43"/>
  <c r="Q44" s="1"/>
  <c r="Q42"/>
  <c r="AO90"/>
  <c r="AO91" s="1"/>
  <c r="AO89"/>
  <c r="AX53"/>
  <c r="BC53"/>
  <c r="BB43"/>
  <c r="BB44" s="1"/>
  <c r="BB45" s="1"/>
  <c r="AZ93"/>
  <c r="AZ92"/>
  <c r="Q89"/>
  <c r="Q90"/>
  <c r="Q91" s="1"/>
  <c r="O93"/>
  <c r="O92"/>
  <c r="M93"/>
  <c r="M92"/>
  <c r="AQ42"/>
  <c r="AQ43"/>
  <c r="AQ44" s="1"/>
  <c r="M46"/>
  <c r="M45"/>
  <c r="AN90"/>
  <c r="AN91" s="1"/>
  <c r="AN89"/>
  <c r="AV53"/>
  <c r="AP53"/>
  <c r="BA53"/>
  <c r="AL46"/>
  <c r="AL45"/>
  <c r="AQ89"/>
  <c r="AQ90"/>
  <c r="AQ91" s="1"/>
  <c r="O46"/>
  <c r="O45"/>
  <c r="BD46"/>
  <c r="BD45"/>
  <c r="BD93"/>
  <c r="BD92"/>
  <c r="AJ46"/>
  <c r="AJ45"/>
  <c r="AM46"/>
  <c r="AM45"/>
  <c r="AO43"/>
  <c r="AO44" s="1"/>
  <c r="AO42"/>
  <c r="BC6"/>
  <c r="AX6"/>
  <c r="AY89"/>
  <c r="AY90"/>
  <c r="AY91" s="1"/>
  <c r="AM93"/>
  <c r="AM92"/>
  <c r="AN42"/>
  <c r="AP6"/>
  <c r="AN43"/>
  <c r="AN44" s="1"/>
  <c r="BA6"/>
  <c r="BE93"/>
  <c r="AL93"/>
  <c r="AL92"/>
  <c r="AY42"/>
  <c r="AY43"/>
  <c r="AY44" s="1"/>
  <c r="BE46"/>
  <c r="BE45"/>
  <c r="AJ93"/>
  <c r="AJ92"/>
  <c r="AY51" i="8"/>
  <c r="AV102"/>
  <c r="AV103"/>
  <c r="AP102"/>
  <c r="AP103"/>
  <c r="AW103"/>
  <c r="AW102"/>
  <c r="AV47"/>
  <c r="AV48"/>
  <c r="AV49" s="1"/>
  <c r="BA48"/>
  <c r="BA49" s="1"/>
  <c r="BA47"/>
  <c r="AL51"/>
  <c r="AL50"/>
  <c r="AM102"/>
  <c r="AM103"/>
  <c r="BC50"/>
  <c r="BC51"/>
  <c r="BD51"/>
  <c r="BD50"/>
  <c r="BB100"/>
  <c r="BB101" s="1"/>
  <c r="BB99"/>
  <c r="AX51"/>
  <c r="AX50"/>
  <c r="AN51"/>
  <c r="AN50"/>
  <c r="AK103"/>
  <c r="AK102"/>
  <c r="BD102"/>
  <c r="BD103"/>
  <c r="S102"/>
  <c r="S103"/>
  <c r="AO99"/>
  <c r="AO100"/>
  <c r="AO101" s="1"/>
  <c r="BC102"/>
  <c r="BC103"/>
  <c r="AN102"/>
  <c r="AN103"/>
  <c r="AO12"/>
  <c r="AU12"/>
  <c r="AU47" s="1"/>
  <c r="AZ12"/>
  <c r="AZ47" s="1"/>
  <c r="AW48"/>
  <c r="AW49" s="1"/>
  <c r="AW47"/>
  <c r="AZ100"/>
  <c r="AZ101" s="1"/>
  <c r="AZ103" s="1"/>
  <c r="AU100"/>
  <c r="AU101" s="1"/>
  <c r="AU103" s="1"/>
  <c r="AM50"/>
  <c r="AM51"/>
  <c r="AY102"/>
  <c r="AY103"/>
  <c r="AO48"/>
  <c r="AO49" s="1"/>
  <c r="AO47"/>
  <c r="AP47"/>
  <c r="AP48"/>
  <c r="AP49" s="1"/>
  <c r="BB47"/>
  <c r="BB48"/>
  <c r="BB49" s="1"/>
  <c r="BA103"/>
  <c r="BA102"/>
  <c r="BB46" i="10" l="1"/>
  <c r="AY46"/>
  <c r="AY45"/>
  <c r="BA43"/>
  <c r="BA44" s="1"/>
  <c r="BA42"/>
  <c r="AN46"/>
  <c r="AN45"/>
  <c r="AY93"/>
  <c r="AY92"/>
  <c r="AO46"/>
  <c r="AO45"/>
  <c r="BA90"/>
  <c r="BA91" s="1"/>
  <c r="BA89"/>
  <c r="AQ46"/>
  <c r="AQ45"/>
  <c r="AO93"/>
  <c r="AO92"/>
  <c r="AW93"/>
  <c r="AW92"/>
  <c r="AQ93"/>
  <c r="AQ92"/>
  <c r="AP89"/>
  <c r="AP90"/>
  <c r="AP91" s="1"/>
  <c r="BC42"/>
  <c r="BC43"/>
  <c r="BC44" s="1"/>
  <c r="AN93"/>
  <c r="AN92"/>
  <c r="BB93"/>
  <c r="BB92"/>
  <c r="AP43"/>
  <c r="AP44" s="1"/>
  <c r="AP42"/>
  <c r="AX89"/>
  <c r="AX90"/>
  <c r="AX91" s="1"/>
  <c r="AV42"/>
  <c r="AV43"/>
  <c r="AV44" s="1"/>
  <c r="AX43"/>
  <c r="AX44" s="1"/>
  <c r="AX42"/>
  <c r="AV90"/>
  <c r="AV91" s="1"/>
  <c r="AV89"/>
  <c r="Q93"/>
  <c r="Q92"/>
  <c r="BC89"/>
  <c r="BC90"/>
  <c r="BC91" s="1"/>
  <c r="Q46"/>
  <c r="Q45"/>
  <c r="AW46"/>
  <c r="AW45"/>
  <c r="AO51" i="8"/>
  <c r="AO50"/>
  <c r="AZ102"/>
  <c r="BB51"/>
  <c r="BB50"/>
  <c r="BB102"/>
  <c r="BB103"/>
  <c r="BA51"/>
  <c r="BA50"/>
  <c r="AO103"/>
  <c r="AO102"/>
  <c r="AP51"/>
  <c r="AP50"/>
  <c r="AW51"/>
  <c r="AW50"/>
  <c r="AV51"/>
  <c r="AV50"/>
  <c r="AZ48"/>
  <c r="AZ49" s="1"/>
  <c r="AZ50" s="1"/>
  <c r="AU48"/>
  <c r="AU49" s="1"/>
  <c r="AU50" s="1"/>
  <c r="AU102"/>
  <c r="AX93" i="10" l="1"/>
  <c r="AX92"/>
  <c r="BC46"/>
  <c r="BC45"/>
  <c r="AX46"/>
  <c r="AX45"/>
  <c r="BA93"/>
  <c r="BA92"/>
  <c r="BA46"/>
  <c r="BA45"/>
  <c r="BC93"/>
  <c r="BC92"/>
  <c r="AV46"/>
  <c r="AV45"/>
  <c r="AP93"/>
  <c r="AP92"/>
  <c r="AV93"/>
  <c r="AV92"/>
  <c r="AP46"/>
  <c r="AP45"/>
  <c r="AU51" i="8"/>
  <c r="AZ51"/>
  <c r="H6" i="6" l="1"/>
  <c r="H7" s="1"/>
  <c r="H9" s="1"/>
  <c r="G6"/>
  <c r="G7" s="1"/>
  <c r="G9" s="1"/>
  <c r="H13" l="1"/>
  <c r="H25"/>
  <c r="H23"/>
  <c r="H20"/>
  <c r="H22" s="1"/>
  <c r="G13"/>
  <c r="G23"/>
  <c r="G20"/>
  <c r="G22" s="1"/>
  <c r="G25"/>
  <c r="F6"/>
  <c r="F7" s="1"/>
  <c r="F9" s="1"/>
  <c r="F25" s="1"/>
  <c r="L15"/>
  <c r="G15" s="1"/>
  <c r="G16" s="1"/>
  <c r="G17" s="1"/>
  <c r="E7"/>
  <c r="E9" s="1"/>
  <c r="L5"/>
  <c r="E20" l="1"/>
  <c r="E22" s="1"/>
  <c r="E25"/>
  <c r="E23"/>
  <c r="F23"/>
  <c r="F20"/>
  <c r="F15"/>
  <c r="F16" s="1"/>
  <c r="H15"/>
  <c r="H16" s="1"/>
  <c r="H17" s="1"/>
  <c r="G19" s="1"/>
  <c r="E15"/>
  <c r="E16" s="1"/>
  <c r="F22"/>
  <c r="F13"/>
  <c r="L25"/>
  <c r="E13"/>
  <c r="M25"/>
  <c r="E17" l="1"/>
  <c r="F17"/>
  <c r="N25"/>
  <c r="G27" s="1"/>
  <c r="M23"/>
  <c r="L23"/>
  <c r="E19" l="1"/>
  <c r="N23"/>
  <c r="E27" s="1"/>
  <c r="F58" i="5"/>
  <c r="G58"/>
  <c r="H58"/>
  <c r="I58"/>
  <c r="J58"/>
  <c r="K58"/>
  <c r="L58"/>
  <c r="M58"/>
  <c r="N58"/>
  <c r="P58"/>
  <c r="Q58"/>
  <c r="R58"/>
  <c r="S58"/>
  <c r="E58"/>
  <c r="U26"/>
  <c r="T26"/>
  <c r="U19"/>
  <c r="T19"/>
  <c r="T58" s="1"/>
  <c r="O26"/>
  <c r="O15"/>
  <c r="O13"/>
  <c r="O9"/>
  <c r="O4"/>
  <c r="O58" l="1"/>
  <c r="U58"/>
  <c r="P36" i="4" l="1"/>
  <c r="P37" s="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11"/>
  <c r="L11"/>
  <c r="L36"/>
  <c r="L37" s="1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12"/>
  <c r="H36"/>
  <c r="H37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/>
  <c r="D36"/>
  <c r="D37" s="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11"/>
</calcChain>
</file>

<file path=xl/sharedStrings.xml><?xml version="1.0" encoding="utf-8"?>
<sst xmlns="http://schemas.openxmlformats.org/spreadsheetml/2006/main" count="989" uniqueCount="260">
  <si>
    <t>VFA</t>
  </si>
  <si>
    <t>feedstock</t>
  </si>
  <si>
    <t>SCOD</t>
  </si>
  <si>
    <t>digestate</t>
  </si>
  <si>
    <t>R1</t>
  </si>
  <si>
    <t>R2</t>
  </si>
  <si>
    <t>R3</t>
  </si>
  <si>
    <t>R4</t>
  </si>
  <si>
    <t>HRT = 20 d</t>
  </si>
  <si>
    <t>average</t>
  </si>
  <si>
    <t>COD</t>
  </si>
  <si>
    <t>VS</t>
  </si>
  <si>
    <t>TS</t>
  </si>
  <si>
    <t>pH</t>
  </si>
  <si>
    <t>ALK</t>
  </si>
  <si>
    <t>Parameter</t>
  </si>
  <si>
    <t>Unit</t>
  </si>
  <si>
    <t>%</t>
  </si>
  <si>
    <t>SD</t>
  </si>
  <si>
    <t>Parametr</t>
  </si>
  <si>
    <t xml:space="preserve">Constant of biogas production rate   k </t>
  </si>
  <si>
    <t>h-1</t>
  </si>
  <si>
    <t xml:space="preserve">Maximum biogas production Vmax </t>
  </si>
  <si>
    <t>L</t>
  </si>
  <si>
    <t>Coefficient of determination R2</t>
  </si>
  <si>
    <t>-</t>
  </si>
  <si>
    <t>V</t>
  </si>
  <si>
    <t>Alkalinity</t>
  </si>
  <si>
    <t>SS</t>
  </si>
  <si>
    <t>BSG</t>
  </si>
  <si>
    <t>g/kg</t>
  </si>
  <si>
    <t>TOC</t>
  </si>
  <si>
    <t>mg/l</t>
  </si>
  <si>
    <t>g/l</t>
  </si>
  <si>
    <r>
      <t>g/cm</t>
    </r>
    <r>
      <rPr>
        <vertAlign val="superscript"/>
        <sz val="11"/>
        <color indexed="8"/>
        <rFont val="Calibri"/>
        <family val="2"/>
        <charset val="238"/>
      </rPr>
      <t>3</t>
    </r>
  </si>
  <si>
    <t>mgCaCO3/l</t>
  </si>
  <si>
    <r>
      <t>P</t>
    </r>
    <r>
      <rPr>
        <vertAlign val="subscript"/>
        <sz val="11"/>
        <color indexed="8"/>
        <rFont val="Calibri"/>
        <family val="2"/>
        <charset val="238"/>
      </rPr>
      <t>og</t>
    </r>
  </si>
  <si>
    <r>
      <t>N</t>
    </r>
    <r>
      <rPr>
        <vertAlign val="subscript"/>
        <sz val="11"/>
        <color indexed="8"/>
        <rFont val="Calibri"/>
        <family val="2"/>
        <charset val="238"/>
      </rPr>
      <t>og</t>
    </r>
  </si>
  <si>
    <r>
      <t>N-NH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+</t>
    </r>
  </si>
  <si>
    <r>
      <t>P - PO</t>
    </r>
    <r>
      <rPr>
        <vertAlign val="subscript"/>
        <sz val="11"/>
        <color indexed="8"/>
        <rFont val="Calibri"/>
        <family val="2"/>
        <charset val="238"/>
      </rPr>
      <t>4</t>
    </r>
    <r>
      <rPr>
        <vertAlign val="superscript"/>
        <sz val="11"/>
        <color indexed="8"/>
        <rFont val="Calibri"/>
        <family val="2"/>
        <charset val="238"/>
      </rPr>
      <t>3-</t>
    </r>
  </si>
  <si>
    <r>
      <t>NO</t>
    </r>
    <r>
      <rPr>
        <vertAlign val="subscript"/>
        <sz val="11"/>
        <color indexed="8"/>
        <rFont val="Calibri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>, NO</t>
    </r>
    <r>
      <rPr>
        <vertAlign val="subscript"/>
        <sz val="11"/>
        <color indexed="8"/>
        <rFont val="Calibri"/>
        <family val="2"/>
        <charset val="238"/>
      </rPr>
      <t>3</t>
    </r>
  </si>
  <si>
    <t>max</t>
  </si>
  <si>
    <t>min</t>
  </si>
  <si>
    <t>D=</t>
  </si>
  <si>
    <t>m</t>
  </si>
  <si>
    <t>V=</t>
  </si>
  <si>
    <t>m3</t>
  </si>
  <si>
    <t>Mj Nm-3</t>
  </si>
  <si>
    <t>kJ m-3K-1</t>
  </si>
  <si>
    <t>kJm-2h-1K-1</t>
  </si>
  <si>
    <t>m2</t>
  </si>
  <si>
    <t>kWh Nm-3</t>
  </si>
  <si>
    <t>kW</t>
  </si>
  <si>
    <t>Metan</t>
  </si>
  <si>
    <t>na kg VS</t>
  </si>
  <si>
    <t>na kg TS</t>
  </si>
  <si>
    <t>na kg ChZT</t>
  </si>
  <si>
    <t>Feedstock density</t>
  </si>
  <si>
    <t>VS load</t>
  </si>
  <si>
    <t>Methane yield</t>
  </si>
  <si>
    <t>Daily methane production</t>
  </si>
  <si>
    <t>Feedstock temperature in winter</t>
  </si>
  <si>
    <t xml:space="preserve">Feedstock flow rate </t>
  </si>
  <si>
    <t>Theoretical thermal energy</t>
  </si>
  <si>
    <t>Thermal energy for heating the feedstock</t>
  </si>
  <si>
    <t xml:space="preserve">Thermal energy for covering the heat loss </t>
  </si>
  <si>
    <t>Thermal energy demand</t>
  </si>
  <si>
    <t>Profit of thermal energy</t>
  </si>
  <si>
    <t>Daily energy production</t>
  </si>
  <si>
    <t>Energy production</t>
  </si>
  <si>
    <t>Theoretical thermal power production</t>
  </si>
  <si>
    <t>Profit of theoretic thermal and electric power production</t>
  </si>
  <si>
    <t>Energy balance</t>
  </si>
  <si>
    <t>Input data</t>
  </si>
  <si>
    <t>digester diameter</t>
  </si>
  <si>
    <t>sludge volume</t>
  </si>
  <si>
    <t>digester volume</t>
  </si>
  <si>
    <t>for HRT = 20d</t>
  </si>
  <si>
    <t>for HRT = 18d</t>
  </si>
  <si>
    <t>m3/d</t>
  </si>
  <si>
    <r>
      <t>g kg</t>
    </r>
    <r>
      <rPr>
        <vertAlign val="superscript"/>
        <sz val="12"/>
        <color theme="1"/>
        <rFont val="Times New Roman"/>
        <family val="1"/>
        <charset val="238"/>
      </rPr>
      <t>–1</t>
    </r>
  </si>
  <si>
    <r>
      <t>kg m</t>
    </r>
    <r>
      <rPr>
        <vertAlign val="superscript"/>
        <sz val="12"/>
        <color theme="1"/>
        <rFont val="Times New Roman"/>
        <family val="1"/>
        <charset val="238"/>
      </rPr>
      <t>–3</t>
    </r>
  </si>
  <si>
    <r>
      <t>kg d</t>
    </r>
    <r>
      <rPr>
        <vertAlign val="superscript"/>
        <sz val="12"/>
        <color theme="1"/>
        <rFont val="Times New Roman"/>
        <family val="1"/>
        <charset val="238"/>
      </rPr>
      <t>–1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</si>
  <si>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>CH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kg</t>
    </r>
    <r>
      <rPr>
        <vertAlign val="superscript"/>
        <sz val="12"/>
        <color theme="1"/>
        <rFont val="Times New Roman"/>
        <family val="1"/>
        <charset val="238"/>
      </rPr>
      <t xml:space="preserve">–1 </t>
    </r>
    <r>
      <rPr>
        <sz val="12"/>
        <color theme="1"/>
        <rFont val="Times New Roman"/>
        <family val="1"/>
        <charset val="238"/>
      </rPr>
      <t>smo</t>
    </r>
    <r>
      <rPr>
        <vertAlign val="subscript"/>
        <sz val="12"/>
        <color theme="1"/>
        <rFont val="Times New Roman"/>
        <family val="1"/>
        <charset val="238"/>
      </rPr>
      <t>dop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</si>
  <si>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 xml:space="preserve">3 </t>
    </r>
    <r>
      <rPr>
        <sz val="12"/>
        <color theme="1"/>
        <rFont val="Times New Roman"/>
        <family val="1"/>
        <charset val="238"/>
      </rPr>
      <t>CH</t>
    </r>
    <r>
      <rPr>
        <vertAlign val="subscript"/>
        <sz val="12"/>
        <color theme="1"/>
        <rFont val="Times New Roman"/>
        <family val="1"/>
        <charset val="238"/>
      </rPr>
      <t>4</t>
    </r>
    <r>
      <rPr>
        <sz val="12"/>
        <color theme="1"/>
        <rFont val="Times New Roman"/>
        <family val="1"/>
        <charset val="238"/>
      </rPr>
      <t xml:space="preserve"> d</t>
    </r>
    <r>
      <rPr>
        <vertAlign val="superscript"/>
        <sz val="12"/>
        <color theme="1"/>
        <rFont val="Times New Roman"/>
        <family val="1"/>
        <charset val="238"/>
      </rPr>
      <t>–1</t>
    </r>
  </si>
  <si>
    <r>
      <t>○</t>
    </r>
    <r>
      <rPr>
        <sz val="12"/>
        <color theme="1"/>
        <rFont val="Times New Roman"/>
        <family val="1"/>
        <charset val="238"/>
      </rPr>
      <t>C</t>
    </r>
  </si>
  <si>
    <r>
      <t>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d</t>
    </r>
    <r>
      <rPr>
        <vertAlign val="superscript"/>
        <sz val="12"/>
        <color theme="1"/>
        <rFont val="Times New Roman"/>
        <family val="1"/>
        <charset val="238"/>
      </rPr>
      <t>-1</t>
    </r>
  </si>
  <si>
    <r>
      <t>MJ d</t>
    </r>
    <r>
      <rPr>
        <vertAlign val="superscript"/>
        <sz val="12"/>
        <color theme="1"/>
        <rFont val="Times New Roman"/>
        <family val="1"/>
        <charset val="238"/>
      </rPr>
      <t>-1</t>
    </r>
  </si>
  <si>
    <r>
      <t>MJ d</t>
    </r>
    <r>
      <rPr>
        <vertAlign val="superscript"/>
        <sz val="12"/>
        <color theme="1"/>
        <rFont val="Times New Roman"/>
        <family val="1"/>
        <charset val="238"/>
      </rPr>
      <t>–1</t>
    </r>
  </si>
  <si>
    <r>
      <t>kWh d</t>
    </r>
    <r>
      <rPr>
        <vertAlign val="superscript"/>
        <sz val="12"/>
        <color theme="1"/>
        <rFont val="Times New Roman"/>
        <family val="1"/>
        <charset val="238"/>
      </rPr>
      <t>-1</t>
    </r>
  </si>
  <si>
    <r>
      <t>kWh t</t>
    </r>
    <r>
      <rPr>
        <vertAlign val="superscript"/>
        <sz val="12"/>
        <color theme="1"/>
        <rFont val="Times New Roman"/>
        <family val="1"/>
        <charset val="238"/>
      </rPr>
      <t>-1</t>
    </r>
  </si>
  <si>
    <t>Net thermal energy profit*</t>
  </si>
  <si>
    <t>*Difference of thermal energy demand between the control and co-digestion run</t>
  </si>
  <si>
    <t>Vmax-Ve</t>
  </si>
  <si>
    <t>TN</t>
  </si>
  <si>
    <t>TP</t>
  </si>
  <si>
    <t>confidence interval</t>
  </si>
  <si>
    <t>density</t>
  </si>
  <si>
    <t>HRT 20 d</t>
  </si>
  <si>
    <t>HRT 18 d</t>
  </si>
  <si>
    <t>wsad</t>
  </si>
  <si>
    <t>l</t>
  </si>
  <si>
    <t>Biogaz</t>
  </si>
  <si>
    <t>data</t>
  </si>
  <si>
    <t>OLR</t>
  </si>
  <si>
    <t>ηCOD</t>
  </si>
  <si>
    <r>
      <rPr>
        <sz val="11"/>
        <color indexed="8"/>
        <rFont val="Symbol"/>
        <family val="1"/>
        <charset val="2"/>
      </rPr>
      <t>h</t>
    </r>
    <r>
      <rPr>
        <sz val="11"/>
        <color theme="1"/>
        <rFont val="Calibri"/>
        <family val="2"/>
        <charset val="238"/>
        <scheme val="minor"/>
      </rPr>
      <t>VS</t>
    </r>
  </si>
  <si>
    <r>
      <rPr>
        <sz val="11"/>
        <color indexed="8"/>
        <rFont val="Symbol"/>
        <family val="1"/>
        <charset val="2"/>
      </rPr>
      <t>h</t>
    </r>
    <r>
      <rPr>
        <sz val="11"/>
        <color theme="1"/>
        <rFont val="Calibri"/>
        <family val="2"/>
        <charset val="238"/>
        <scheme val="minor"/>
      </rPr>
      <t>TS</t>
    </r>
  </si>
  <si>
    <t xml:space="preserve">Metan </t>
  </si>
  <si>
    <t>g/d</t>
  </si>
  <si>
    <t>l/d</t>
  </si>
  <si>
    <t>18-02-2014</t>
  </si>
  <si>
    <t>10-03-2014</t>
  </si>
  <si>
    <t>19-02-2014</t>
  </si>
  <si>
    <t>11-03-2014</t>
  </si>
  <si>
    <t>20-02-2014</t>
  </si>
  <si>
    <t>12-03-2014</t>
  </si>
  <si>
    <t>21-02-2014</t>
  </si>
  <si>
    <t>13-03-2014</t>
  </si>
  <si>
    <t>22-02-2014</t>
  </si>
  <si>
    <t>14-03-2014</t>
  </si>
  <si>
    <t>23-02-2014</t>
  </si>
  <si>
    <t>15-03-2014</t>
  </si>
  <si>
    <t>24-02-2014</t>
  </si>
  <si>
    <t>16-03-2014</t>
  </si>
  <si>
    <t>25-02-2014</t>
  </si>
  <si>
    <t>17-03-2014</t>
  </si>
  <si>
    <t>26-02-2014</t>
  </si>
  <si>
    <t>18-03-2014</t>
  </si>
  <si>
    <t>27-02-2014</t>
  </si>
  <si>
    <t>19-03-2014</t>
  </si>
  <si>
    <t>28-02-2014</t>
  </si>
  <si>
    <t>20-03-2014</t>
  </si>
  <si>
    <t>01-03-2014</t>
  </si>
  <si>
    <t>21-03-2014</t>
  </si>
  <si>
    <t>02-03-2014</t>
  </si>
  <si>
    <t>22-03-2014</t>
  </si>
  <si>
    <t>03-03-2014</t>
  </si>
  <si>
    <t>23-03-2014</t>
  </si>
  <si>
    <t>04-03-2014</t>
  </si>
  <si>
    <t>24-03-2014</t>
  </si>
  <si>
    <t>05-03-2014</t>
  </si>
  <si>
    <t>25-03-2014</t>
  </si>
  <si>
    <t>06-03-2014</t>
  </si>
  <si>
    <t>26-03-2014</t>
  </si>
  <si>
    <t>07-03-2014</t>
  </si>
  <si>
    <t>27-03-2014</t>
  </si>
  <si>
    <t>08-03-2014</t>
  </si>
  <si>
    <t>28-03-2014</t>
  </si>
  <si>
    <t>09-03-2014</t>
  </si>
  <si>
    <t>29-03-2014</t>
  </si>
  <si>
    <t>30-03-2014</t>
  </si>
  <si>
    <t>31-03-2014</t>
  </si>
  <si>
    <t>01-04-2014</t>
  </si>
  <si>
    <t>02-04-2014</t>
  </si>
  <si>
    <t>03-04-2014</t>
  </si>
  <si>
    <t>04-04-2014</t>
  </si>
  <si>
    <t>05-04-2014</t>
  </si>
  <si>
    <t>06-04-2014</t>
  </si>
  <si>
    <t>07-04-2014</t>
  </si>
  <si>
    <t>08-04-2014</t>
  </si>
  <si>
    <t>09-04-2014</t>
  </si>
  <si>
    <t>10-04-2014</t>
  </si>
  <si>
    <t>11-04-2014</t>
  </si>
  <si>
    <t>12-04-2014</t>
  </si>
  <si>
    <t>13-04-2014</t>
  </si>
  <si>
    <t>14-04-2014</t>
  </si>
  <si>
    <t>15-04-2014</t>
  </si>
  <si>
    <t>16-04-2014</t>
  </si>
  <si>
    <t>17-04-2014</t>
  </si>
  <si>
    <t xml:space="preserve">R2 </t>
  </si>
  <si>
    <t>g</t>
  </si>
  <si>
    <t>ss</t>
  </si>
  <si>
    <t xml:space="preserve">loads </t>
  </si>
  <si>
    <t>L SCOD</t>
  </si>
  <si>
    <t>L TS</t>
  </si>
  <si>
    <t>L VS</t>
  </si>
  <si>
    <t>Feedstock</t>
  </si>
  <si>
    <t>ph</t>
  </si>
  <si>
    <t>LVS</t>
  </si>
  <si>
    <t>L SOCD</t>
  </si>
  <si>
    <t xml:space="preserve"> L SCOD</t>
  </si>
  <si>
    <t>biogas</t>
  </si>
  <si>
    <t>methane</t>
  </si>
  <si>
    <t>for VS</t>
  </si>
  <si>
    <t>for TS</t>
  </si>
  <si>
    <t xml:space="preserve"> for COD</t>
  </si>
  <si>
    <r>
      <t>N</t>
    </r>
    <r>
      <rPr>
        <b/>
        <vertAlign val="subscript"/>
        <sz val="10"/>
        <rFont val="Arial CE"/>
        <charset val="238"/>
      </rPr>
      <t>2</t>
    </r>
  </si>
  <si>
    <r>
      <t>CH</t>
    </r>
    <r>
      <rPr>
        <b/>
        <vertAlign val="subscript"/>
        <sz val="10"/>
        <rFont val="Arial CE"/>
        <charset val="238"/>
      </rPr>
      <t>4</t>
    </r>
  </si>
  <si>
    <r>
      <t>CO</t>
    </r>
    <r>
      <rPr>
        <b/>
        <vertAlign val="subscript"/>
        <sz val="10"/>
        <rFont val="Arial CE"/>
        <charset val="238"/>
      </rPr>
      <t>2</t>
    </r>
  </si>
  <si>
    <r>
      <t>H</t>
    </r>
    <r>
      <rPr>
        <b/>
        <vertAlign val="subscript"/>
        <sz val="10"/>
        <rFont val="Arial CE"/>
        <charset val="238"/>
      </rPr>
      <t>2</t>
    </r>
    <r>
      <rPr>
        <b/>
        <sz val="10"/>
        <rFont val="Arial CE"/>
        <charset val="238"/>
      </rPr>
      <t>S</t>
    </r>
  </si>
  <si>
    <t>avg</t>
  </si>
  <si>
    <t>U</t>
  </si>
  <si>
    <t>15-06-2014</t>
  </si>
  <si>
    <t>16-06-2014</t>
  </si>
  <si>
    <t>17-06-2014</t>
  </si>
  <si>
    <t>18-06-2014</t>
  </si>
  <si>
    <t>19-06-2014</t>
  </si>
  <si>
    <t>20-06-2014</t>
  </si>
  <si>
    <t>21-06-2014</t>
  </si>
  <si>
    <t>22-06-2014</t>
  </si>
  <si>
    <t>23-06-2014</t>
  </si>
  <si>
    <t>24-06-2014</t>
  </si>
  <si>
    <t>25-06-2014</t>
  </si>
  <si>
    <t>26-06-2014</t>
  </si>
  <si>
    <t>27-06-2014</t>
  </si>
  <si>
    <t>28-06-2014</t>
  </si>
  <si>
    <t>29-06-2014</t>
  </si>
  <si>
    <t>30-06-2014</t>
  </si>
  <si>
    <t>01-07-2014</t>
  </si>
  <si>
    <t>02-07-2014</t>
  </si>
  <si>
    <t>03-07-2014</t>
  </si>
  <si>
    <t>04-07-2014</t>
  </si>
  <si>
    <t>05-07-2014</t>
  </si>
  <si>
    <t>06-07-2014</t>
  </si>
  <si>
    <t>07-07-2014</t>
  </si>
  <si>
    <t>08-07-2014</t>
  </si>
  <si>
    <t>09-07-2014</t>
  </si>
  <si>
    <t>10-07-2014</t>
  </si>
  <si>
    <t>11-07-2014</t>
  </si>
  <si>
    <t>12-07-2014</t>
  </si>
  <si>
    <t>13-07-2014</t>
  </si>
  <si>
    <t>14-07-2014</t>
  </si>
  <si>
    <t>15-07-2014</t>
  </si>
  <si>
    <t>16-07-2014</t>
  </si>
  <si>
    <t>17-07-2014</t>
  </si>
  <si>
    <t>18-07-2014</t>
  </si>
  <si>
    <t>19-07-2014</t>
  </si>
  <si>
    <t>20-07-2014</t>
  </si>
  <si>
    <t>21-07-2014</t>
  </si>
  <si>
    <t>HRT = 20,0 d</t>
  </si>
  <si>
    <r>
      <t xml:space="preserve"> </t>
    </r>
    <r>
      <rPr>
        <sz val="11"/>
        <color indexed="8"/>
        <rFont val="Calibri"/>
        <family val="2"/>
        <charset val="238"/>
      </rPr>
      <t>η</t>
    </r>
  </si>
  <si>
    <t>26-05-2014</t>
  </si>
  <si>
    <t>27-05-2014</t>
  </si>
  <si>
    <t>28-05-2014</t>
  </si>
  <si>
    <t>29-05-2014</t>
  </si>
  <si>
    <t>30-05-2014</t>
  </si>
  <si>
    <t>31-05-2014</t>
  </si>
  <si>
    <t>01-06-2014</t>
  </si>
  <si>
    <t>02-06-2014</t>
  </si>
  <si>
    <t>03-06-2014</t>
  </si>
  <si>
    <t>04-06-2014</t>
  </si>
  <si>
    <t>05-06-2014</t>
  </si>
  <si>
    <t>06-06-2014</t>
  </si>
  <si>
    <t>07-06-2014</t>
  </si>
  <si>
    <t>08-06-2014</t>
  </si>
  <si>
    <t>09-06-2014</t>
  </si>
  <si>
    <t>10-06-2014</t>
  </si>
  <si>
    <t>11-06-2014</t>
  </si>
  <si>
    <t>12-06-2014</t>
  </si>
  <si>
    <t>13-06-2014</t>
  </si>
  <si>
    <t>14-06-2014</t>
  </si>
  <si>
    <t>HRT</t>
  </si>
  <si>
    <t>d</t>
  </si>
  <si>
    <t>u</t>
  </si>
  <si>
    <t>sd</t>
  </si>
  <si>
    <r>
      <t>NH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+</t>
    </r>
    <r>
      <rPr>
        <sz val="11"/>
        <color theme="1"/>
        <rFont val="Calibri"/>
        <family val="2"/>
        <charset val="238"/>
        <scheme val="minor"/>
      </rPr>
      <t xml:space="preserve"> -N</t>
    </r>
  </si>
  <si>
    <r>
      <t>PO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vertAlign val="superscript"/>
        <sz val="11"/>
        <color theme="1"/>
        <rFont val="Calibri"/>
        <family val="2"/>
        <charset val="238"/>
        <scheme val="minor"/>
      </rPr>
      <t>3-</t>
    </r>
    <r>
      <rPr>
        <sz val="11"/>
        <color theme="1"/>
        <rFont val="Calibri"/>
        <family val="2"/>
        <charset val="238"/>
        <scheme val="minor"/>
      </rPr>
      <t xml:space="preserve"> -P</t>
    </r>
  </si>
  <si>
    <t xml:space="preserve"> SS characteristic</t>
  </si>
  <si>
    <t>BSG characteristic (avg. values)</t>
  </si>
</sst>
</file>

<file path=xl/styles.xml><?xml version="1.0" encoding="utf-8"?>
<styleSheet xmlns="http://schemas.openxmlformats.org/spreadsheetml/2006/main">
  <numFmts count="6">
    <numFmt numFmtId="164" formatCode="0.0000"/>
    <numFmt numFmtId="165" formatCode="0.00000"/>
    <numFmt numFmtId="166" formatCode="0.000"/>
    <numFmt numFmtId="167" formatCode="0.0"/>
    <numFmt numFmtId="168" formatCode="yy/mm/dd;@"/>
    <numFmt numFmtId="170" formatCode="d/mm;@"/>
  </numFmts>
  <fonts count="22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rgb="FF9C0006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1"/>
      <color indexed="8"/>
      <name val="Symbol"/>
      <family val="1"/>
      <charset val="2"/>
    </font>
    <font>
      <sz val="11"/>
      <color rgb="FF9C0006"/>
      <name val="Calibri"/>
      <family val="2"/>
      <charset val="238"/>
      <scheme val="minor"/>
    </font>
    <font>
      <b/>
      <sz val="10"/>
      <name val="Arial CE"/>
      <charset val="238"/>
    </font>
    <font>
      <b/>
      <vertAlign val="subscript"/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7" borderId="0" applyNumberFormat="0" applyBorder="0" applyAlignment="0" applyProtection="0"/>
  </cellStyleXfs>
  <cellXfs count="168">
    <xf numFmtId="0" fontId="0" fillId="0" borderId="0" xfId="0"/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7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0" fontId="0" fillId="0" borderId="0" xfId="0" applyFont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1" fontId="7" fillId="0" borderId="1" xfId="0" applyNumberFormat="1" applyFont="1" applyBorder="1" applyAlignment="1"/>
    <xf numFmtId="0" fontId="6" fillId="0" borderId="1" xfId="0" applyFont="1" applyBorder="1"/>
    <xf numFmtId="0" fontId="7" fillId="5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4" borderId="0" xfId="0" applyFill="1" applyBorder="1"/>
    <xf numFmtId="0" fontId="0" fillId="9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164" fontId="0" fillId="12" borderId="0" xfId="0" applyNumberFormat="1" applyFill="1" applyAlignment="1">
      <alignment horizontal="center"/>
    </xf>
    <xf numFmtId="2" fontId="0" fillId="11" borderId="0" xfId="0" applyNumberFormat="1" applyFill="1" applyAlignment="1">
      <alignment horizontal="center"/>
    </xf>
    <xf numFmtId="2" fontId="13" fillId="7" borderId="0" xfId="1" applyNumberFormat="1" applyFont="1" applyAlignment="1">
      <alignment horizontal="center"/>
    </xf>
    <xf numFmtId="2" fontId="13" fillId="11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14" fillId="14" borderId="1" xfId="0" applyFont="1" applyFill="1" applyBorder="1" applyAlignment="1">
      <alignment horizontal="center" vertical="center"/>
    </xf>
    <xf numFmtId="2" fontId="16" fillId="13" borderId="4" xfId="0" applyNumberFormat="1" applyFont="1" applyFill="1" applyBorder="1" applyAlignment="1">
      <alignment horizontal="center"/>
    </xf>
    <xf numFmtId="0" fontId="0" fillId="13" borderId="0" xfId="0" applyFill="1"/>
    <xf numFmtId="2" fontId="0" fillId="0" borderId="4" xfId="0" applyNumberFormat="1" applyFill="1" applyBorder="1" applyAlignment="1">
      <alignment horizontal="center"/>
    </xf>
    <xf numFmtId="0" fontId="0" fillId="0" borderId="0" xfId="0" applyFill="1"/>
    <xf numFmtId="166" fontId="0" fillId="0" borderId="0" xfId="0" applyNumberFormat="1" applyFill="1"/>
    <xf numFmtId="166" fontId="0" fillId="13" borderId="0" xfId="0" applyNumberFormat="1" applyFill="1"/>
    <xf numFmtId="164" fontId="0" fillId="0" borderId="0" xfId="0" applyNumberFormat="1"/>
    <xf numFmtId="0" fontId="0" fillId="15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8" fillId="0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0" fontId="0" fillId="16" borderId="0" xfId="0" applyFill="1" applyAlignment="1">
      <alignment horizontal="center"/>
    </xf>
    <xf numFmtId="2" fontId="0" fillId="16" borderId="0" xfId="0" applyNumberFormat="1" applyFill="1" applyAlignment="1">
      <alignment horizontal="center"/>
    </xf>
    <xf numFmtId="2" fontId="0" fillId="16" borderId="4" xfId="0" applyNumberFormat="1" applyFill="1" applyBorder="1" applyAlignment="1">
      <alignment horizontal="center"/>
    </xf>
    <xf numFmtId="2" fontId="0" fillId="16" borderId="0" xfId="0" applyNumberFormat="1" applyFill="1" applyBorder="1" applyAlignment="1">
      <alignment horizontal="center"/>
    </xf>
    <xf numFmtId="2" fontId="0" fillId="16" borderId="5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0" fillId="4" borderId="0" xfId="0" applyFont="1" applyFill="1" applyBorder="1"/>
    <xf numFmtId="2" fontId="0" fillId="4" borderId="0" xfId="0" applyNumberFormat="1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Border="1"/>
    <xf numFmtId="0" fontId="19" fillId="0" borderId="0" xfId="0" applyFont="1" applyBorder="1"/>
    <xf numFmtId="0" fontId="1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/>
    <xf numFmtId="0" fontId="19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/>
    <xf numFmtId="2" fontId="0" fillId="0" borderId="0" xfId="0" applyNumberFormat="1" applyFont="1" applyFill="1" applyBorder="1"/>
    <xf numFmtId="0" fontId="19" fillId="0" borderId="0" xfId="0" applyFont="1" applyBorder="1" applyAlignment="1">
      <alignment vertical="top" wrapText="1"/>
    </xf>
    <xf numFmtId="0" fontId="19" fillId="16" borderId="0" xfId="0" applyFont="1" applyFill="1" applyBorder="1" applyAlignment="1">
      <alignment horizontal="center" wrapText="1"/>
    </xf>
    <xf numFmtId="1" fontId="19" fillId="16" borderId="0" xfId="0" applyNumberFormat="1" applyFont="1" applyFill="1" applyBorder="1"/>
    <xf numFmtId="2" fontId="19" fillId="16" borderId="0" xfId="0" applyNumberFormat="1" applyFont="1" applyFill="1" applyBorder="1"/>
    <xf numFmtId="167" fontId="19" fillId="16" borderId="0" xfId="0" applyNumberFormat="1" applyFont="1" applyFill="1" applyBorder="1"/>
    <xf numFmtId="0" fontId="19" fillId="16" borderId="0" xfId="0" applyFont="1" applyFill="1" applyBorder="1"/>
    <xf numFmtId="0" fontId="0" fillId="16" borderId="0" xfId="0" applyFont="1" applyFill="1" applyBorder="1"/>
    <xf numFmtId="0" fontId="0" fillId="16" borderId="0" xfId="0" applyFill="1" applyBorder="1"/>
    <xf numFmtId="0" fontId="7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 wrapText="1"/>
    </xf>
    <xf numFmtId="0" fontId="0" fillId="17" borderId="2" xfId="0" applyFill="1" applyBorder="1" applyAlignment="1">
      <alignment horizontal="center"/>
    </xf>
    <xf numFmtId="170" fontId="0" fillId="0" borderId="0" xfId="0" applyNumberFormat="1"/>
    <xf numFmtId="170" fontId="0" fillId="0" borderId="4" xfId="0" applyNumberFormat="1" applyBorder="1" applyAlignment="1">
      <alignment horizontal="center"/>
    </xf>
    <xf numFmtId="170" fontId="16" fillId="13" borderId="4" xfId="0" applyNumberFormat="1" applyFont="1" applyFill="1" applyBorder="1" applyAlignment="1">
      <alignment horizontal="center"/>
    </xf>
    <xf numFmtId="170" fontId="0" fillId="0" borderId="4" xfId="0" applyNumberFormat="1" applyFill="1" applyBorder="1" applyAlignment="1">
      <alignment horizontal="center"/>
    </xf>
    <xf numFmtId="0" fontId="14" fillId="14" borderId="7" xfId="0" applyFont="1" applyFill="1" applyBorder="1" applyAlignment="1">
      <alignment horizontal="center" vertical="center"/>
    </xf>
    <xf numFmtId="0" fontId="0" fillId="13" borderId="5" xfId="0" applyFill="1" applyBorder="1"/>
    <xf numFmtId="0" fontId="0" fillId="0" borderId="5" xfId="0" applyFill="1" applyBorder="1"/>
    <xf numFmtId="166" fontId="0" fillId="0" borderId="5" xfId="0" applyNumberFormat="1" applyFill="1" applyBorder="1"/>
    <xf numFmtId="166" fontId="0" fillId="13" borderId="5" xfId="0" applyNumberFormat="1" applyFill="1" applyBorder="1"/>
    <xf numFmtId="164" fontId="0" fillId="0" borderId="5" xfId="0" applyNumberFormat="1" applyBorder="1"/>
    <xf numFmtId="0" fontId="0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9" fillId="8" borderId="0" xfId="0" applyNumberFormat="1" applyFont="1" applyFill="1" applyBorder="1" applyAlignment="1">
      <alignment horizontal="center" vertical="center"/>
    </xf>
  </cellXfs>
  <cellStyles count="2">
    <cellStyle name="Normalny" xfId="0" builtinId="0"/>
    <cellStyle name="Złe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erJ%20bsg/do%20wys&#322;ania/HRT%2018%20d%20bs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 ogólne"/>
      <sheetName val="Biogaz"/>
      <sheetName val="N+P"/>
      <sheetName val="moje analizy"/>
      <sheetName val="serwatka"/>
    </sheetNames>
    <sheetDataSet>
      <sheetData sheetId="0" refreshError="1"/>
      <sheetData sheetId="1" refreshError="1"/>
      <sheetData sheetId="2" refreshError="1"/>
      <sheetData sheetId="3">
        <row r="21">
          <cell r="E21">
            <v>1547</v>
          </cell>
          <cell r="F21">
            <v>3314.3333333333335</v>
          </cell>
          <cell r="G21">
            <v>44.70000000000001</v>
          </cell>
          <cell r="J21">
            <v>1641</v>
          </cell>
          <cell r="K21">
            <v>3391.6666666666665</v>
          </cell>
          <cell r="L21">
            <v>63.766666666666673</v>
          </cell>
        </row>
        <row r="24">
          <cell r="E24">
            <v>1783</v>
          </cell>
          <cell r="F24">
            <v>3340</v>
          </cell>
          <cell r="G24">
            <v>44.5</v>
          </cell>
        </row>
        <row r="26">
          <cell r="E26">
            <v>1783</v>
          </cell>
          <cell r="F26">
            <v>3340.3333333333335</v>
          </cell>
          <cell r="G26">
            <v>44.5</v>
          </cell>
          <cell r="J26">
            <v>1649</v>
          </cell>
          <cell r="K26">
            <v>3474.3333333333335</v>
          </cell>
          <cell r="L26">
            <v>52.633333333333333</v>
          </cell>
        </row>
        <row r="29">
          <cell r="E29">
            <v>570</v>
          </cell>
          <cell r="F29">
            <v>3759</v>
          </cell>
          <cell r="G29">
            <v>45.6</v>
          </cell>
        </row>
        <row r="31">
          <cell r="E31">
            <v>571</v>
          </cell>
          <cell r="F31">
            <v>3758.6666666666665</v>
          </cell>
          <cell r="G31">
            <v>45.633333333333333</v>
          </cell>
          <cell r="J31">
            <v>1528.6666666666667</v>
          </cell>
          <cell r="K31">
            <v>3757.6666666666665</v>
          </cell>
          <cell r="L31">
            <v>51.966666666666669</v>
          </cell>
        </row>
        <row r="34">
          <cell r="E34">
            <v>2053</v>
          </cell>
          <cell r="F34">
            <v>3957</v>
          </cell>
          <cell r="G34">
            <v>51.5</v>
          </cell>
        </row>
        <row r="36">
          <cell r="E36">
            <v>2052.3333333333335</v>
          </cell>
          <cell r="F36">
            <v>3958</v>
          </cell>
          <cell r="G36">
            <v>51.6</v>
          </cell>
          <cell r="J36">
            <v>1842.6666666666667</v>
          </cell>
          <cell r="K36">
            <v>3976.3333333333335</v>
          </cell>
          <cell r="L36">
            <v>54.4</v>
          </cell>
        </row>
        <row r="39">
          <cell r="E39">
            <v>2180</v>
          </cell>
          <cell r="F39">
            <v>4355</v>
          </cell>
          <cell r="G39">
            <v>46</v>
          </cell>
        </row>
        <row r="41">
          <cell r="E41">
            <v>2180.6666666666665</v>
          </cell>
          <cell r="F41">
            <v>4352</v>
          </cell>
          <cell r="G41">
            <v>45.933333333333337</v>
          </cell>
          <cell r="J41">
            <v>2051.3333333333335</v>
          </cell>
          <cell r="K41">
            <v>4341.333333333333</v>
          </cell>
          <cell r="L41">
            <v>52.79999999999999</v>
          </cell>
        </row>
        <row r="44">
          <cell r="E44">
            <v>1977</v>
          </cell>
          <cell r="F44">
            <v>3834</v>
          </cell>
          <cell r="G44">
            <v>58.3</v>
          </cell>
        </row>
        <row r="47">
          <cell r="E47">
            <v>1976</v>
          </cell>
          <cell r="F47">
            <v>3833.3333333333335</v>
          </cell>
          <cell r="G47">
            <v>58.333333333333336</v>
          </cell>
          <cell r="J47">
            <v>2157.6666666666665</v>
          </cell>
          <cell r="K47">
            <v>4381</v>
          </cell>
          <cell r="L47">
            <v>61.633333333333333</v>
          </cell>
        </row>
        <row r="80">
          <cell r="E80">
            <v>459</v>
          </cell>
          <cell r="F80">
            <v>2780</v>
          </cell>
          <cell r="G80">
            <v>30.899999999999995</v>
          </cell>
          <cell r="J80">
            <v>631</v>
          </cell>
          <cell r="K80">
            <v>3837.6666666666665</v>
          </cell>
          <cell r="L80">
            <v>30.066666666666666</v>
          </cell>
        </row>
        <row r="85">
          <cell r="E85">
            <v>426.66666666666669</v>
          </cell>
          <cell r="F85">
            <v>2624</v>
          </cell>
          <cell r="G85">
            <v>27.5</v>
          </cell>
          <cell r="J85">
            <v>585.66666666666663</v>
          </cell>
          <cell r="K85">
            <v>3749.6666666666665</v>
          </cell>
          <cell r="L85">
            <v>28.433333333333334</v>
          </cell>
        </row>
        <row r="90">
          <cell r="E90">
            <v>448</v>
          </cell>
          <cell r="F90">
            <v>2838.3333333333335</v>
          </cell>
          <cell r="G90">
            <v>27.3</v>
          </cell>
          <cell r="J90">
            <v>609.66666666666663</v>
          </cell>
          <cell r="K90">
            <v>3954.3333333333335</v>
          </cell>
          <cell r="L90">
            <v>37.6</v>
          </cell>
        </row>
        <row r="95">
          <cell r="E95">
            <v>510.33333333333331</v>
          </cell>
          <cell r="F95">
            <v>2828.6666666666665</v>
          </cell>
          <cell r="G95">
            <v>26.733333333333334</v>
          </cell>
          <cell r="J95">
            <v>603.33333333333337</v>
          </cell>
          <cell r="K95">
            <v>3797.6666666666665</v>
          </cell>
          <cell r="L95">
            <v>34</v>
          </cell>
        </row>
        <row r="100">
          <cell r="E100">
            <v>447</v>
          </cell>
          <cell r="F100">
            <v>2586.3333333333335</v>
          </cell>
          <cell r="G100">
            <v>22.100000000000005</v>
          </cell>
          <cell r="J100">
            <v>549.33333333333337</v>
          </cell>
          <cell r="K100">
            <v>3465</v>
          </cell>
          <cell r="L100">
            <v>31.5</v>
          </cell>
        </row>
        <row r="105">
          <cell r="E105">
            <v>432.33333333333331</v>
          </cell>
          <cell r="F105">
            <v>2458</v>
          </cell>
          <cell r="G105">
            <v>30.5</v>
          </cell>
          <cell r="J105">
            <v>548.33333333333337</v>
          </cell>
          <cell r="K105">
            <v>3326.6666666666665</v>
          </cell>
          <cell r="L105">
            <v>33.700000000000003</v>
          </cell>
        </row>
        <row r="110">
          <cell r="E110">
            <v>451.33333333333331</v>
          </cell>
          <cell r="F110">
            <v>2842.3333333333335</v>
          </cell>
          <cell r="G110">
            <v>30.5</v>
          </cell>
          <cell r="J110">
            <v>580.33333333333337</v>
          </cell>
          <cell r="K110">
            <v>3827</v>
          </cell>
          <cell r="L110">
            <v>40.033333333333331</v>
          </cell>
        </row>
        <row r="115">
          <cell r="E115">
            <v>458.66666666666669</v>
          </cell>
          <cell r="F115">
            <v>2820.3333333333335</v>
          </cell>
          <cell r="G115">
            <v>28.399999999999995</v>
          </cell>
          <cell r="J115">
            <v>565.66666666666663</v>
          </cell>
          <cell r="K115">
            <v>4053</v>
          </cell>
          <cell r="L115">
            <v>36.466666666666669</v>
          </cell>
        </row>
        <row r="120">
          <cell r="E120">
            <v>423</v>
          </cell>
          <cell r="F120">
            <v>2630.6666666666665</v>
          </cell>
          <cell r="G120">
            <v>31.966666666666669</v>
          </cell>
          <cell r="J120">
            <v>550</v>
          </cell>
          <cell r="K120">
            <v>3702.6666666666665</v>
          </cell>
          <cell r="L120">
            <v>34.5</v>
          </cell>
        </row>
        <row r="125">
          <cell r="E125">
            <v>431</v>
          </cell>
          <cell r="F125">
            <v>2535.6666666666665</v>
          </cell>
          <cell r="G125">
            <v>29.600000000000005</v>
          </cell>
          <cell r="J125">
            <v>548.66666666666663</v>
          </cell>
          <cell r="K125">
            <v>3576.6666666666665</v>
          </cell>
          <cell r="L125">
            <v>35.299999999999997</v>
          </cell>
        </row>
        <row r="130">
          <cell r="E130">
            <v>412.33333333333331</v>
          </cell>
          <cell r="F130">
            <v>2553.6666666666665</v>
          </cell>
          <cell r="G130">
            <v>31.100000000000005</v>
          </cell>
          <cell r="J130">
            <v>508</v>
          </cell>
          <cell r="K130">
            <v>3394.6666666666665</v>
          </cell>
          <cell r="L130">
            <v>38.6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"/>
  <sheetViews>
    <sheetView tabSelected="1" view="pageBreakPreview" zoomScale="60" workbookViewId="0">
      <selection activeCell="I10" sqref="I10"/>
    </sheetView>
  </sheetViews>
  <sheetFormatPr defaultRowHeight="15"/>
  <cols>
    <col min="1" max="1" width="8.28515625" customWidth="1"/>
    <col min="2" max="2" width="9.140625" hidden="1" customWidth="1"/>
    <col min="3" max="3" width="28" customWidth="1"/>
    <col min="4" max="4" width="14.85546875" customWidth="1"/>
    <col min="5" max="5" width="15" customWidth="1"/>
    <col min="6" max="8" width="18.5703125" customWidth="1"/>
    <col min="10" max="10" width="16.42578125" customWidth="1"/>
    <col min="11" max="11" width="15" customWidth="1"/>
  </cols>
  <sheetData>
    <row r="2" spans="3:13">
      <c r="C2" s="15"/>
      <c r="D2" s="16"/>
      <c r="E2" s="16"/>
      <c r="F2" s="16"/>
      <c r="G2" s="16"/>
      <c r="H2" s="16"/>
    </row>
    <row r="3" spans="3:13" ht="15.75">
      <c r="C3" s="32" t="s">
        <v>15</v>
      </c>
      <c r="D3" s="21" t="s">
        <v>16</v>
      </c>
      <c r="E3" s="21" t="s">
        <v>4</v>
      </c>
      <c r="F3" s="21" t="s">
        <v>5</v>
      </c>
      <c r="G3" s="21" t="s">
        <v>6</v>
      </c>
      <c r="H3" s="21" t="s">
        <v>7</v>
      </c>
      <c r="J3" s="26" t="s">
        <v>74</v>
      </c>
      <c r="K3" s="27" t="s">
        <v>43</v>
      </c>
      <c r="L3" s="28">
        <v>15</v>
      </c>
      <c r="M3" s="28" t="s">
        <v>44</v>
      </c>
    </row>
    <row r="4" spans="3:13" ht="15" customHeight="1">
      <c r="C4" s="130" t="s">
        <v>73</v>
      </c>
      <c r="D4" s="130"/>
      <c r="E4" s="130"/>
      <c r="F4" s="130"/>
      <c r="G4" s="33"/>
      <c r="H4" s="33"/>
      <c r="J4" s="29" t="s">
        <v>76</v>
      </c>
      <c r="K4" s="28" t="s">
        <v>45</v>
      </c>
      <c r="L4" s="28">
        <v>2500</v>
      </c>
      <c r="M4" s="28" t="s">
        <v>46</v>
      </c>
    </row>
    <row r="5" spans="3:13" ht="18.75">
      <c r="C5" s="34" t="s">
        <v>11</v>
      </c>
      <c r="D5" s="21" t="s">
        <v>80</v>
      </c>
      <c r="E5" s="22">
        <v>26.87</v>
      </c>
      <c r="F5" s="22">
        <v>34.826936790882087</v>
      </c>
      <c r="G5" s="22">
        <v>29.65168461158876</v>
      </c>
      <c r="H5" s="22">
        <v>35.934629367272009</v>
      </c>
      <c r="J5" s="139" t="s">
        <v>75</v>
      </c>
      <c r="K5" s="30" t="s">
        <v>77</v>
      </c>
      <c r="L5" s="30">
        <f>L4/20</f>
        <v>125</v>
      </c>
      <c r="M5" s="30" t="s">
        <v>79</v>
      </c>
    </row>
    <row r="6" spans="3:13" ht="18.75">
      <c r="C6" s="35" t="s">
        <v>57</v>
      </c>
      <c r="D6" s="21" t="s">
        <v>81</v>
      </c>
      <c r="E6" s="22">
        <v>1000.5</v>
      </c>
      <c r="F6" s="22">
        <f>0.9927*1000</f>
        <v>992.7</v>
      </c>
      <c r="G6" s="22">
        <f>1.00640909090909*1000</f>
        <v>1006.40909090909</v>
      </c>
      <c r="H6" s="22">
        <f>1.00213636363636*1000</f>
        <v>1002.1363636363601</v>
      </c>
      <c r="J6" s="139"/>
      <c r="K6" s="30" t="s">
        <v>78</v>
      </c>
      <c r="L6" s="31">
        <f>L4/18</f>
        <v>138.88888888888889</v>
      </c>
      <c r="M6" s="30" t="s">
        <v>79</v>
      </c>
    </row>
    <row r="7" spans="3:13" ht="18.75">
      <c r="C7" s="34" t="s">
        <v>58</v>
      </c>
      <c r="D7" s="21" t="s">
        <v>82</v>
      </c>
      <c r="E7" s="22">
        <f>E5*E6*E11*0.001</f>
        <v>3360.4293750000002</v>
      </c>
      <c r="F7" s="22">
        <f>F5*F6*F11*0.001</f>
        <v>4321.5875190385814</v>
      </c>
      <c r="G7" s="22">
        <f>G5*G6*G11*0.001</f>
        <v>3730.2156192340121</v>
      </c>
      <c r="H7" s="22">
        <f>H5*H6*H11*0.001</f>
        <v>5005.5844335806269</v>
      </c>
    </row>
    <row r="8" spans="3:13" ht="39">
      <c r="C8" s="34" t="s">
        <v>59</v>
      </c>
      <c r="D8" s="21" t="s">
        <v>83</v>
      </c>
      <c r="E8" s="23">
        <v>0.21</v>
      </c>
      <c r="F8" s="23">
        <v>0.21169244018155742</v>
      </c>
      <c r="G8" s="23">
        <v>0.28557238809484814</v>
      </c>
      <c r="H8" s="23">
        <v>0.27094458858515497</v>
      </c>
    </row>
    <row r="9" spans="3:13" ht="20.25">
      <c r="C9" s="35" t="s">
        <v>60</v>
      </c>
      <c r="D9" s="21" t="s">
        <v>84</v>
      </c>
      <c r="E9" s="22">
        <f>E8*E7</f>
        <v>705.69016875</v>
      </c>
      <c r="F9" s="22">
        <f>F8*F7</f>
        <v>914.84740736343997</v>
      </c>
      <c r="G9" s="22">
        <f>G8*G7</f>
        <v>1065.2465824933595</v>
      </c>
      <c r="H9" s="22">
        <f>H8*H7</f>
        <v>1356.2360149847589</v>
      </c>
    </row>
    <row r="10" spans="3:13" ht="31.5">
      <c r="C10" s="37" t="s">
        <v>61</v>
      </c>
      <c r="D10" s="24" t="s">
        <v>85</v>
      </c>
      <c r="E10" s="25">
        <v>8</v>
      </c>
      <c r="F10" s="25">
        <v>8</v>
      </c>
      <c r="G10" s="25">
        <v>8</v>
      </c>
      <c r="H10" s="25">
        <v>8</v>
      </c>
      <c r="J10" s="10"/>
    </row>
    <row r="11" spans="3:13" ht="18.75">
      <c r="C11" s="35" t="s">
        <v>62</v>
      </c>
      <c r="D11" s="21" t="s">
        <v>86</v>
      </c>
      <c r="E11" s="21">
        <v>125</v>
      </c>
      <c r="F11" s="21">
        <v>125</v>
      </c>
      <c r="G11" s="21">
        <v>125</v>
      </c>
      <c r="H11" s="21">
        <v>139</v>
      </c>
      <c r="J11" s="10"/>
    </row>
    <row r="12" spans="3:13" ht="15" customHeight="1">
      <c r="C12" s="130" t="s">
        <v>72</v>
      </c>
      <c r="D12" s="130"/>
      <c r="E12" s="130"/>
      <c r="F12" s="130"/>
      <c r="G12" s="33"/>
      <c r="H12" s="33"/>
    </row>
    <row r="13" spans="3:13" ht="18.75">
      <c r="C13" s="35" t="s">
        <v>63</v>
      </c>
      <c r="D13" s="21" t="s">
        <v>87</v>
      </c>
      <c r="E13" s="22">
        <f>J13*E9</f>
        <v>25263.708041249996</v>
      </c>
      <c r="F13" s="22">
        <f>J13*F9</f>
        <v>32751.537183611148</v>
      </c>
      <c r="G13" s="22">
        <f>J13*G9</f>
        <v>38135.827653262269</v>
      </c>
      <c r="H13" s="22">
        <f>J13*H9</f>
        <v>48553.249336454362</v>
      </c>
      <c r="J13">
        <v>35.799999999999997</v>
      </c>
      <c r="K13" t="s">
        <v>47</v>
      </c>
    </row>
    <row r="14" spans="3:13" ht="31.5">
      <c r="C14" s="37" t="s">
        <v>64</v>
      </c>
      <c r="D14" s="21" t="s">
        <v>88</v>
      </c>
      <c r="E14" s="22">
        <f>(E11*(35-E10)*$J$14)/1000</f>
        <v>14175</v>
      </c>
      <c r="F14" s="22">
        <f>(F11*(35-F10)*$J$14)/1000</f>
        <v>14175</v>
      </c>
      <c r="G14" s="22">
        <f>(G11*(35-G10)*$J$14)/1000</f>
        <v>14175</v>
      </c>
      <c r="H14" s="22">
        <f>(H11*(35-H10)*$J$14)/1000</f>
        <v>15762.6</v>
      </c>
      <c r="J14">
        <v>4200</v>
      </c>
      <c r="K14" t="s">
        <v>48</v>
      </c>
    </row>
    <row r="15" spans="3:13" ht="18.75">
      <c r="C15" s="35" t="s">
        <v>65</v>
      </c>
      <c r="D15" s="21" t="s">
        <v>88</v>
      </c>
      <c r="E15" s="22">
        <f>24*(35+20)*$J$15*$L$15*0.001</f>
        <v>3765.96</v>
      </c>
      <c r="F15" s="22">
        <f>24*(35+20)*$J$15*$L$15*0.001</f>
        <v>3765.96</v>
      </c>
      <c r="G15" s="22">
        <f>24*(35+20)*$J$15*$L$15*0.001</f>
        <v>3765.96</v>
      </c>
      <c r="H15" s="22">
        <f>24*(35+20)*$J$15*$L$15*0.001</f>
        <v>3765.96</v>
      </c>
      <c r="J15">
        <v>4</v>
      </c>
      <c r="K15" t="s">
        <v>49</v>
      </c>
      <c r="L15">
        <f>3.17*L3^2</f>
        <v>713.25</v>
      </c>
      <c r="M15" t="s">
        <v>50</v>
      </c>
    </row>
    <row r="16" spans="3:13" ht="18.75">
      <c r="C16" s="36" t="s">
        <v>66</v>
      </c>
      <c r="D16" s="21" t="s">
        <v>88</v>
      </c>
      <c r="E16" s="22">
        <f>J16*(E14+E15)</f>
        <v>19735.056</v>
      </c>
      <c r="F16" s="22">
        <f>J16*(F14+F15)</f>
        <v>19735.056</v>
      </c>
      <c r="G16" s="22">
        <f>J16*(G14+G15)</f>
        <v>19735.056</v>
      </c>
      <c r="H16" s="22">
        <f>J16*(H14+H15)</f>
        <v>21481.416000000005</v>
      </c>
      <c r="J16">
        <v>1.1000000000000001</v>
      </c>
    </row>
    <row r="17" spans="1:15" ht="15" customHeight="1">
      <c r="C17" s="131" t="s">
        <v>67</v>
      </c>
      <c r="D17" s="132" t="s">
        <v>17</v>
      </c>
      <c r="E17" s="133">
        <f>((E13-E16)/E16)*100</f>
        <v>28.014372197626376</v>
      </c>
      <c r="F17" s="133">
        <f>((F13-F16)/F16)*100</f>
        <v>65.956140097150708</v>
      </c>
      <c r="G17" s="133">
        <f>((G13-G16)/G16)*100</f>
        <v>93.239014134351933</v>
      </c>
      <c r="H17" s="133">
        <f>((H13-H16)/H16)*100</f>
        <v>126.02443589591279</v>
      </c>
    </row>
    <row r="18" spans="1:15" ht="15.75" customHeight="1">
      <c r="C18" s="131"/>
      <c r="D18" s="132"/>
      <c r="E18" s="133"/>
      <c r="F18" s="133"/>
      <c r="G18" s="133"/>
      <c r="H18" s="133"/>
    </row>
    <row r="19" spans="1:15" ht="15.75">
      <c r="C19" s="36" t="s">
        <v>91</v>
      </c>
      <c r="D19" s="21" t="s">
        <v>17</v>
      </c>
      <c r="E19" s="134">
        <f>F17-E17</f>
        <v>37.941767899524336</v>
      </c>
      <c r="F19" s="135"/>
      <c r="G19" s="134">
        <f>H17-G17</f>
        <v>32.785421761560855</v>
      </c>
      <c r="H19" s="135"/>
    </row>
    <row r="20" spans="1:15" ht="15" customHeight="1">
      <c r="C20" s="137" t="s">
        <v>68</v>
      </c>
      <c r="D20" s="132" t="s">
        <v>89</v>
      </c>
      <c r="E20" s="136">
        <f>E9*$J$20</f>
        <v>7056.9016874999998</v>
      </c>
      <c r="F20" s="136">
        <f>F9*$J$20</f>
        <v>9148.4740736343992</v>
      </c>
      <c r="G20" s="136">
        <f>G9*$J$20</f>
        <v>10652.465824933595</v>
      </c>
      <c r="H20" s="136">
        <f>H9*$J$20</f>
        <v>13562.360149847589</v>
      </c>
      <c r="J20">
        <v>10</v>
      </c>
      <c r="K20" t="s">
        <v>51</v>
      </c>
    </row>
    <row r="21" spans="1:15">
      <c r="C21" s="137"/>
      <c r="D21" s="132"/>
      <c r="E21" s="136"/>
      <c r="F21" s="136"/>
      <c r="G21" s="136"/>
      <c r="H21" s="136"/>
    </row>
    <row r="22" spans="1:15" ht="18.75">
      <c r="C22" s="36" t="s">
        <v>69</v>
      </c>
      <c r="D22" s="21" t="s">
        <v>90</v>
      </c>
      <c r="E22" s="22">
        <f>E20/E11</f>
        <v>56.455213499999999</v>
      </c>
      <c r="F22" s="22">
        <f>F20/F11</f>
        <v>73.187792589075201</v>
      </c>
      <c r="G22" s="22">
        <f>G20/G11</f>
        <v>85.219726599468757</v>
      </c>
      <c r="H22" s="22">
        <f>H20/H11</f>
        <v>97.570936329838773</v>
      </c>
    </row>
    <row r="23" spans="1:15" ht="15" customHeight="1">
      <c r="C23" s="137" t="s">
        <v>70</v>
      </c>
      <c r="D23" s="132" t="s">
        <v>52</v>
      </c>
      <c r="E23" s="136">
        <f>(E9/24)*$J$20*$J$23</f>
        <v>126.43615523437501</v>
      </c>
      <c r="F23" s="136">
        <f>(F9/24)*$J$20*$J$23</f>
        <v>163.91016048594963</v>
      </c>
      <c r="G23" s="136">
        <f>(G9/24)*$J$20*$J$23</f>
        <v>190.85667936339357</v>
      </c>
      <c r="H23" s="136">
        <f>(H9/24)*$J$20*$J$23</f>
        <v>242.99228601810265</v>
      </c>
      <c r="J23">
        <v>0.43</v>
      </c>
      <c r="L23" s="10">
        <f>E23+E25</f>
        <v>238.17043195312502</v>
      </c>
      <c r="M23" s="10">
        <f>F23+F25</f>
        <v>308.76099998516094</v>
      </c>
      <c r="N23" s="10">
        <f>M23-L23</f>
        <v>70.590568032035918</v>
      </c>
    </row>
    <row r="24" spans="1:15">
      <c r="C24" s="137"/>
      <c r="D24" s="132"/>
      <c r="E24" s="136"/>
      <c r="F24" s="136"/>
      <c r="G24" s="136"/>
      <c r="H24" s="136"/>
    </row>
    <row r="25" spans="1:15" ht="15" customHeight="1">
      <c r="C25" s="137" t="s">
        <v>70</v>
      </c>
      <c r="D25" s="132" t="s">
        <v>52</v>
      </c>
      <c r="E25" s="136">
        <f>(E9/24)*$J$20*$J$25</f>
        <v>111.73427671875001</v>
      </c>
      <c r="F25" s="136">
        <f>(F9/24)*$J$20*$J$25</f>
        <v>144.8508394992113</v>
      </c>
      <c r="G25" s="136">
        <f>(G9/24)*$J$20*$J$25</f>
        <v>168.66404222811525</v>
      </c>
      <c r="H25" s="136">
        <f>(H9/24)*$J$20*$J$25</f>
        <v>214.73736903925351</v>
      </c>
      <c r="J25">
        <v>0.38</v>
      </c>
      <c r="L25" s="10">
        <f>G23+G25</f>
        <v>359.52072159150885</v>
      </c>
      <c r="M25" s="10">
        <f>H23+H25</f>
        <v>457.72965505735613</v>
      </c>
      <c r="N25" s="10">
        <f>M25-L25</f>
        <v>98.208933465847281</v>
      </c>
    </row>
    <row r="26" spans="1:15">
      <c r="C26" s="137"/>
      <c r="D26" s="132"/>
      <c r="E26" s="136"/>
      <c r="F26" s="136"/>
      <c r="G26" s="136"/>
      <c r="H26" s="136"/>
    </row>
    <row r="27" spans="1:15" ht="15" customHeight="1">
      <c r="C27" s="137" t="s">
        <v>71</v>
      </c>
      <c r="D27" s="132" t="s">
        <v>17</v>
      </c>
      <c r="E27" s="138">
        <f>(N23/L23)*100</f>
        <v>29.638678257899386</v>
      </c>
      <c r="F27" s="138"/>
      <c r="G27" s="138">
        <f>(N25/L25)*100</f>
        <v>27.316626711000342</v>
      </c>
      <c r="H27" s="138"/>
    </row>
    <row r="28" spans="1:15">
      <c r="C28" s="137"/>
      <c r="D28" s="132"/>
      <c r="E28" s="138"/>
      <c r="F28" s="138"/>
      <c r="G28" s="138"/>
      <c r="H28" s="138"/>
    </row>
    <row r="29" spans="1:15" ht="15.75">
      <c r="A29" s="16"/>
      <c r="B29" s="16"/>
      <c r="C29" s="140" t="s">
        <v>92</v>
      </c>
      <c r="D29" s="140"/>
      <c r="E29" s="140"/>
      <c r="F29" s="140"/>
      <c r="G29" s="28"/>
      <c r="H29" s="28"/>
      <c r="I29" s="16"/>
      <c r="J29" s="16"/>
      <c r="K29" s="16"/>
      <c r="L29" s="16"/>
      <c r="M29" s="16"/>
      <c r="N29" s="16"/>
      <c r="O29" s="16"/>
    </row>
    <row r="30" spans="1:15">
      <c r="A30" s="16"/>
      <c r="B30" s="16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mergeCells count="34">
    <mergeCell ref="J5:J6"/>
    <mergeCell ref="H25:H26"/>
    <mergeCell ref="G27:H28"/>
    <mergeCell ref="C29:F29"/>
    <mergeCell ref="G17:G18"/>
    <mergeCell ref="H17:H18"/>
    <mergeCell ref="G19:H19"/>
    <mergeCell ref="G20:G21"/>
    <mergeCell ref="H20:H21"/>
    <mergeCell ref="G23:G24"/>
    <mergeCell ref="H23:H24"/>
    <mergeCell ref="G25:G26"/>
    <mergeCell ref="C25:C26"/>
    <mergeCell ref="D25:D26"/>
    <mergeCell ref="E25:E26"/>
    <mergeCell ref="F25:F26"/>
    <mergeCell ref="C27:C28"/>
    <mergeCell ref="D27:D28"/>
    <mergeCell ref="E27:F28"/>
    <mergeCell ref="D20:D21"/>
    <mergeCell ref="E20:E21"/>
    <mergeCell ref="F20:F21"/>
    <mergeCell ref="C23:C24"/>
    <mergeCell ref="D23:D24"/>
    <mergeCell ref="E23:E24"/>
    <mergeCell ref="F23:F24"/>
    <mergeCell ref="C20:C21"/>
    <mergeCell ref="C4:F4"/>
    <mergeCell ref="C12:F12"/>
    <mergeCell ref="C17:C18"/>
    <mergeCell ref="D17:D18"/>
    <mergeCell ref="E17:E18"/>
    <mergeCell ref="F17:F18"/>
    <mergeCell ref="E19:F19"/>
  </mergeCells>
  <pageMargins left="0.7" right="0.7" top="0.75" bottom="0.75" header="0.3" footer="0.3"/>
  <pageSetup paperSize="9" scale="48" orientation="portrait" r:id="rId1"/>
  <colBreaks count="1" manualBreakCount="1">
    <brk id="2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BD103"/>
  <sheetViews>
    <sheetView view="pageBreakPreview" topLeftCell="A70" zoomScale="60" workbookViewId="0">
      <selection activeCell="R70" sqref="R1:R1048576"/>
    </sheetView>
  </sheetViews>
  <sheetFormatPr defaultRowHeight="15"/>
  <cols>
    <col min="47" max="47" width="9.140625" style="81"/>
    <col min="48" max="55" width="9.140625" style="16"/>
    <col min="56" max="56" width="9.140625" style="82"/>
  </cols>
  <sheetData>
    <row r="1" spans="3:56" s="17" customFormat="1">
      <c r="C1" s="18"/>
      <c r="D1" s="141" t="s">
        <v>1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42"/>
      <c r="U1" s="43"/>
      <c r="V1" s="141" t="s">
        <v>3</v>
      </c>
      <c r="W1" s="141"/>
      <c r="X1" s="141"/>
      <c r="Y1" s="141"/>
      <c r="Z1" s="20"/>
      <c r="AA1" s="46"/>
      <c r="AB1" s="44"/>
      <c r="AC1" s="44"/>
      <c r="AD1" s="143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71"/>
      <c r="BA1" s="71"/>
      <c r="BB1" s="71"/>
      <c r="BC1" s="71"/>
      <c r="BD1" s="72"/>
    </row>
    <row r="2" spans="3:56" s="17" customFormat="1">
      <c r="C2" s="18"/>
      <c r="D2" s="145" t="s">
        <v>4</v>
      </c>
      <c r="E2" s="145"/>
      <c r="F2" s="145"/>
      <c r="G2" s="54" t="s">
        <v>172</v>
      </c>
      <c r="H2" s="57">
        <v>2</v>
      </c>
      <c r="I2" s="54" t="s">
        <v>101</v>
      </c>
      <c r="J2" s="54" t="s">
        <v>8</v>
      </c>
      <c r="K2" s="18"/>
      <c r="L2" s="18"/>
      <c r="M2" s="18"/>
      <c r="N2" s="18"/>
      <c r="O2" s="141" t="s">
        <v>173</v>
      </c>
      <c r="P2" s="141"/>
      <c r="Q2" s="141"/>
      <c r="R2" s="18"/>
      <c r="S2" s="18"/>
      <c r="U2" s="47"/>
      <c r="V2" s="141" t="s">
        <v>4</v>
      </c>
      <c r="W2" s="141"/>
      <c r="X2" s="141"/>
      <c r="Y2" s="141"/>
      <c r="Z2" s="20"/>
      <c r="AA2" s="20"/>
      <c r="AU2" s="146" t="s">
        <v>182</v>
      </c>
      <c r="AV2" s="147"/>
      <c r="AW2" s="147"/>
      <c r="AX2" s="147"/>
      <c r="AY2" s="147"/>
      <c r="AZ2" s="148" t="s">
        <v>183</v>
      </c>
      <c r="BA2" s="148"/>
      <c r="BB2" s="148"/>
      <c r="BC2" s="148"/>
      <c r="BD2" s="149"/>
    </row>
    <row r="3" spans="3:56" s="17" customFormat="1">
      <c r="C3" s="18" t="s">
        <v>103</v>
      </c>
      <c r="D3" s="18" t="s">
        <v>0</v>
      </c>
      <c r="E3" s="18" t="s">
        <v>2</v>
      </c>
      <c r="F3" s="18" t="s">
        <v>10</v>
      </c>
      <c r="G3" s="18" t="s">
        <v>97</v>
      </c>
      <c r="H3" s="18" t="s">
        <v>13</v>
      </c>
      <c r="I3" s="18" t="s">
        <v>14</v>
      </c>
      <c r="J3" s="18" t="s">
        <v>31</v>
      </c>
      <c r="K3" s="18" t="s">
        <v>12</v>
      </c>
      <c r="L3" s="18" t="s">
        <v>12</v>
      </c>
      <c r="M3" s="18" t="s">
        <v>11</v>
      </c>
      <c r="N3" s="18" t="s">
        <v>11</v>
      </c>
      <c r="O3" s="18" t="s">
        <v>174</v>
      </c>
      <c r="P3" s="18" t="s">
        <v>175</v>
      </c>
      <c r="Q3" s="18" t="s">
        <v>176</v>
      </c>
      <c r="R3" s="18"/>
      <c r="S3" s="18" t="s">
        <v>104</v>
      </c>
      <c r="U3" s="47"/>
      <c r="V3" s="17" t="s">
        <v>0</v>
      </c>
      <c r="W3" s="17" t="s">
        <v>2</v>
      </c>
      <c r="X3" s="17" t="s">
        <v>2</v>
      </c>
      <c r="Y3" s="17" t="s">
        <v>10</v>
      </c>
      <c r="Z3" s="17" t="s">
        <v>105</v>
      </c>
      <c r="AA3" s="17" t="s">
        <v>97</v>
      </c>
      <c r="AB3" s="17" t="s">
        <v>178</v>
      </c>
      <c r="AC3" s="17" t="s">
        <v>14</v>
      </c>
      <c r="AD3" s="17" t="s">
        <v>31</v>
      </c>
      <c r="AE3" s="17" t="s">
        <v>12</v>
      </c>
      <c r="AF3" s="17" t="s">
        <v>12</v>
      </c>
      <c r="AG3" s="17" t="s">
        <v>11</v>
      </c>
      <c r="AH3" s="17" t="s">
        <v>11</v>
      </c>
      <c r="AI3" s="17" t="s">
        <v>181</v>
      </c>
      <c r="AJ3" s="17" t="s">
        <v>175</v>
      </c>
      <c r="AK3" s="17" t="s">
        <v>176</v>
      </c>
      <c r="AL3" s="17" t="s">
        <v>179</v>
      </c>
      <c r="AM3" s="17" t="s">
        <v>176</v>
      </c>
      <c r="AN3" s="17" t="s">
        <v>180</v>
      </c>
      <c r="AO3" s="17" t="s">
        <v>106</v>
      </c>
      <c r="AP3" s="17" t="s">
        <v>107</v>
      </c>
      <c r="AQ3" s="17" t="s">
        <v>182</v>
      </c>
      <c r="AR3" s="17" t="s">
        <v>182</v>
      </c>
      <c r="AS3" s="17" t="s">
        <v>183</v>
      </c>
      <c r="AT3" s="17" t="s">
        <v>183</v>
      </c>
      <c r="AU3" s="47" t="s">
        <v>184</v>
      </c>
      <c r="AV3" s="38" t="s">
        <v>185</v>
      </c>
      <c r="AW3" s="38" t="s">
        <v>186</v>
      </c>
      <c r="AX3" s="38" t="s">
        <v>184</v>
      </c>
      <c r="AY3" s="38" t="s">
        <v>184</v>
      </c>
      <c r="AZ3" s="38" t="s">
        <v>184</v>
      </c>
      <c r="BA3" s="38" t="s">
        <v>185</v>
      </c>
      <c r="BB3" s="38" t="s">
        <v>186</v>
      </c>
      <c r="BC3" s="38" t="s">
        <v>184</v>
      </c>
      <c r="BD3" s="73" t="s">
        <v>184</v>
      </c>
    </row>
    <row r="4" spans="3:56" s="17" customFormat="1" ht="17.25">
      <c r="C4" s="18"/>
      <c r="D4" s="18" t="s">
        <v>32</v>
      </c>
      <c r="E4" s="18" t="s">
        <v>32</v>
      </c>
      <c r="F4" s="18" t="s">
        <v>33</v>
      </c>
      <c r="G4" s="18" t="s">
        <v>34</v>
      </c>
      <c r="H4" s="18" t="s">
        <v>13</v>
      </c>
      <c r="I4" s="18" t="s">
        <v>35</v>
      </c>
      <c r="J4" s="18" t="s">
        <v>32</v>
      </c>
      <c r="K4" s="18" t="s">
        <v>17</v>
      </c>
      <c r="L4" s="18" t="s">
        <v>30</v>
      </c>
      <c r="M4" s="18" t="s">
        <v>17</v>
      </c>
      <c r="N4" s="18" t="s">
        <v>30</v>
      </c>
      <c r="O4" s="18" t="s">
        <v>109</v>
      </c>
      <c r="P4" s="18" t="s">
        <v>109</v>
      </c>
      <c r="Q4" s="18" t="s">
        <v>109</v>
      </c>
      <c r="R4" s="18"/>
      <c r="S4" s="18"/>
      <c r="U4" s="47"/>
      <c r="V4" s="17" t="s">
        <v>32</v>
      </c>
      <c r="W4" s="17" t="s">
        <v>32</v>
      </c>
      <c r="Y4" s="17" t="s">
        <v>33</v>
      </c>
      <c r="AA4" s="17" t="s">
        <v>34</v>
      </c>
      <c r="AB4" s="17" t="s">
        <v>13</v>
      </c>
      <c r="AC4" s="17" t="s">
        <v>35</v>
      </c>
      <c r="AD4" s="17" t="s">
        <v>32</v>
      </c>
      <c r="AE4" s="17" t="s">
        <v>17</v>
      </c>
      <c r="AF4" s="17" t="s">
        <v>30</v>
      </c>
      <c r="AG4" s="17" t="s">
        <v>17</v>
      </c>
      <c r="AH4" s="17" t="s">
        <v>30</v>
      </c>
      <c r="AI4" s="17" t="s">
        <v>109</v>
      </c>
      <c r="AJ4" s="17" t="s">
        <v>109</v>
      </c>
      <c r="AK4" s="17" t="s">
        <v>109</v>
      </c>
      <c r="AL4" s="17" t="s">
        <v>109</v>
      </c>
      <c r="AM4" s="17" t="s">
        <v>109</v>
      </c>
      <c r="AN4" s="17" t="s">
        <v>109</v>
      </c>
      <c r="AO4" s="17" t="s">
        <v>25</v>
      </c>
      <c r="AP4" s="17" t="s">
        <v>25</v>
      </c>
      <c r="AQ4" s="17" t="s">
        <v>110</v>
      </c>
      <c r="AR4" s="17" t="s">
        <v>110</v>
      </c>
      <c r="AS4" s="17" t="s">
        <v>110</v>
      </c>
      <c r="AT4" s="17" t="s">
        <v>110</v>
      </c>
      <c r="AU4" s="47"/>
      <c r="AV4" s="38"/>
      <c r="AW4" s="38"/>
      <c r="AX4" s="38"/>
      <c r="AY4" s="38"/>
      <c r="AZ4" s="38"/>
      <c r="BA4" s="38"/>
      <c r="BB4" s="38"/>
      <c r="BC4" s="38"/>
      <c r="BD4" s="73"/>
    </row>
    <row r="5" spans="3:56" s="17" customFormat="1">
      <c r="C5" s="56" t="s">
        <v>111</v>
      </c>
      <c r="D5" s="12">
        <v>460.5</v>
      </c>
      <c r="E5" s="12">
        <f>1433.5*2</f>
        <v>2867</v>
      </c>
      <c r="F5" s="12">
        <v>43.325000000000003</v>
      </c>
      <c r="G5" s="13">
        <v>1.0169999999999999</v>
      </c>
      <c r="H5" s="12">
        <v>6.54</v>
      </c>
      <c r="I5" s="12">
        <v>750</v>
      </c>
      <c r="J5" s="12">
        <v>407.8</v>
      </c>
      <c r="K5" s="12">
        <v>4.1726261852493183</v>
      </c>
      <c r="L5" s="12">
        <v>41.726261852493181</v>
      </c>
      <c r="M5" s="12">
        <v>77.651328027578572</v>
      </c>
      <c r="N5" s="12">
        <f>M5*L5/100</f>
        <v>32.400996464725864</v>
      </c>
      <c r="O5" s="12">
        <f>F5*2</f>
        <v>86.65</v>
      </c>
      <c r="P5" s="12">
        <f>L5*G5*2</f>
        <v>84.871216607971121</v>
      </c>
      <c r="Q5" s="12">
        <f>N5*G5*2</f>
        <v>65.903626809252401</v>
      </c>
      <c r="R5" s="12"/>
      <c r="S5" s="12">
        <f>Q5/40</f>
        <v>1.6475906702313101</v>
      </c>
      <c r="T5" s="11"/>
      <c r="U5" s="47" t="s">
        <v>112</v>
      </c>
      <c r="V5" s="11">
        <v>456</v>
      </c>
      <c r="W5" s="11">
        <v>3191.6666666666665</v>
      </c>
      <c r="X5" s="11">
        <f>((E5-W5)/E5)*100</f>
        <v>-11.324264620392972</v>
      </c>
      <c r="Y5" s="11">
        <v>23.066666666666666</v>
      </c>
      <c r="Z5" s="11">
        <f>((F5-Y5)/F5)*100</f>
        <v>46.758992113868054</v>
      </c>
      <c r="AA5" s="2">
        <v>0.97</v>
      </c>
      <c r="AB5" s="11">
        <v>7.54</v>
      </c>
      <c r="AC5" s="11">
        <v>3150</v>
      </c>
      <c r="AD5" s="17">
        <v>827.7</v>
      </c>
      <c r="AE5" s="11">
        <v>2.0392141794238015</v>
      </c>
      <c r="AF5" s="11">
        <v>20.392141794238011</v>
      </c>
      <c r="AG5" s="11">
        <v>66.732218970589898</v>
      </c>
      <c r="AH5" s="11">
        <f>AG5*AF5/100</f>
        <v>13.608128714924089</v>
      </c>
      <c r="AI5" s="11">
        <f>Y5*2</f>
        <v>46.133333333333333</v>
      </c>
      <c r="AJ5" s="11">
        <f>AF5*AA5*2</f>
        <v>39.560755080821743</v>
      </c>
      <c r="AK5" s="11">
        <f>AH5*AA5*2</f>
        <v>26.399769706952732</v>
      </c>
      <c r="AL5" s="11">
        <f>P5-AJ5</f>
        <v>45.310461527149378</v>
      </c>
      <c r="AM5" s="11">
        <f>Q5-AK5</f>
        <v>39.503857102299669</v>
      </c>
      <c r="AN5" s="11">
        <f>O5-AI5</f>
        <v>40.516666666666673</v>
      </c>
      <c r="AO5" s="11">
        <f>AM5/Q5</f>
        <v>0.59941856032654051</v>
      </c>
      <c r="AP5" s="11">
        <f>AL5/P5</f>
        <v>0.5338731237522264</v>
      </c>
      <c r="AQ5" s="2">
        <v>16.590625418235486</v>
      </c>
      <c r="AR5" s="2">
        <v>16.590625418235486</v>
      </c>
      <c r="AS5" s="2">
        <v>8.8801322551105439</v>
      </c>
      <c r="AT5" s="2">
        <v>8.8801322551105439</v>
      </c>
      <c r="AU5" s="47">
        <f>AR5/AM5</f>
        <v>0.41997482360449517</v>
      </c>
      <c r="AV5" s="38">
        <f>AR5/AL5</f>
        <v>0.36615441244831776</v>
      </c>
      <c r="AW5" s="38">
        <f>AR5/AN5</f>
        <v>0.40947656318145992</v>
      </c>
      <c r="AX5" s="38">
        <f>AR5/Q5</f>
        <v>0.25174070413839927</v>
      </c>
      <c r="AY5" s="38">
        <f>AR5/P5</f>
        <v>0.19547999994944448</v>
      </c>
      <c r="AZ5" s="38">
        <f>AT5/AM5</f>
        <v>0.22479152433430602</v>
      </c>
      <c r="BA5" s="38">
        <f>AT5/AL5</f>
        <v>0.19598414926296207</v>
      </c>
      <c r="BB5" s="38">
        <f>AT5/AN5</f>
        <v>0.2191723304428764</v>
      </c>
      <c r="BC5" s="38">
        <f>AT5/Q5</f>
        <v>0.13474421189007821</v>
      </c>
      <c r="BD5" s="73">
        <f>AT5/P5</f>
        <v>0.10463066997294015</v>
      </c>
    </row>
    <row r="6" spans="3:56" s="17" customFormat="1">
      <c r="C6" s="56" t="s">
        <v>113</v>
      </c>
      <c r="D6" s="12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1"/>
      <c r="U6" s="47" t="s">
        <v>114</v>
      </c>
      <c r="V6" s="11"/>
      <c r="W6" s="11"/>
      <c r="X6" s="11"/>
      <c r="Y6" s="11"/>
      <c r="Z6" s="11"/>
      <c r="AA6" s="2"/>
      <c r="AB6" s="11"/>
      <c r="AC6" s="11"/>
      <c r="AE6" s="11"/>
      <c r="AF6" s="11"/>
      <c r="AG6" s="11"/>
      <c r="AH6" s="11"/>
      <c r="AI6" s="11"/>
      <c r="AJ6" s="11"/>
      <c r="AK6" s="11"/>
      <c r="AQ6" s="2">
        <v>20.338952186506397</v>
      </c>
      <c r="AS6" s="2">
        <v>10.778220932195335</v>
      </c>
      <c r="AU6" s="47"/>
      <c r="AV6" s="38"/>
      <c r="AW6" s="38"/>
      <c r="AX6" s="38"/>
      <c r="AY6" s="38"/>
      <c r="AZ6" s="38"/>
      <c r="BA6" s="38"/>
      <c r="BB6" s="38"/>
      <c r="BC6" s="38"/>
      <c r="BD6" s="73"/>
    </row>
    <row r="7" spans="3:56" s="17" customFormat="1">
      <c r="C7" s="18" t="s">
        <v>115</v>
      </c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1"/>
      <c r="U7" s="47" t="s">
        <v>116</v>
      </c>
      <c r="V7" s="11"/>
      <c r="W7" s="11"/>
      <c r="X7" s="11"/>
      <c r="Y7" s="11"/>
      <c r="Z7" s="11"/>
      <c r="AA7" s="2"/>
      <c r="AB7" s="11"/>
      <c r="AC7" s="11"/>
      <c r="AE7" s="11"/>
      <c r="AF7" s="11"/>
      <c r="AG7" s="11"/>
      <c r="AH7" s="11"/>
      <c r="AI7" s="11"/>
      <c r="AJ7" s="11"/>
      <c r="AK7" s="11"/>
      <c r="AQ7" s="2">
        <v>22.067644379692698</v>
      </c>
      <c r="AS7" s="2">
        <v>11.824726564414535</v>
      </c>
      <c r="AU7" s="47"/>
      <c r="AV7" s="38"/>
      <c r="AW7" s="38"/>
      <c r="AX7" s="38"/>
      <c r="AY7" s="38"/>
      <c r="AZ7" s="38"/>
      <c r="BA7" s="38"/>
      <c r="BB7" s="38"/>
      <c r="BC7" s="38"/>
      <c r="BD7" s="73"/>
    </row>
    <row r="8" spans="3:56" s="17" customFormat="1">
      <c r="C8" s="18" t="s">
        <v>117</v>
      </c>
      <c r="D8" s="12">
        <v>460.5</v>
      </c>
      <c r="E8" s="12">
        <v>2867</v>
      </c>
      <c r="F8" s="12">
        <v>43.325000000000003</v>
      </c>
      <c r="G8" s="13">
        <v>1.0169999999999999</v>
      </c>
      <c r="H8" s="12">
        <v>6.54</v>
      </c>
      <c r="I8" s="12">
        <v>750</v>
      </c>
      <c r="J8" s="12">
        <v>407.8</v>
      </c>
      <c r="K8" s="12">
        <v>4.1726261852493183</v>
      </c>
      <c r="L8" s="12">
        <v>41.726261852493181</v>
      </c>
      <c r="M8" s="12">
        <v>77.651328027578572</v>
      </c>
      <c r="N8" s="12">
        <f>M8*L8/100</f>
        <v>32.400996464725864</v>
      </c>
      <c r="O8" s="12">
        <f>F8*2</f>
        <v>86.65</v>
      </c>
      <c r="P8" s="12">
        <f>L8*G8*2</f>
        <v>84.871216607971121</v>
      </c>
      <c r="Q8" s="12">
        <f>N8*G8*2</f>
        <v>65.903626809252401</v>
      </c>
      <c r="R8" s="12"/>
      <c r="S8" s="12">
        <f>Q8/40</f>
        <v>1.6475906702313101</v>
      </c>
      <c r="T8" s="11"/>
      <c r="U8" s="47" t="s">
        <v>118</v>
      </c>
      <c r="V8" s="11">
        <v>413.33333333333331</v>
      </c>
      <c r="W8" s="11">
        <v>2973.3333333333335</v>
      </c>
      <c r="X8" s="11">
        <f>((E8-W8)/E8)*100</f>
        <v>-3.7088710615044818</v>
      </c>
      <c r="Y8" s="11">
        <v>22.5</v>
      </c>
      <c r="Z8" s="11">
        <f>((F8-Y8)/F8)*100</f>
        <v>48.066935949221005</v>
      </c>
      <c r="AA8" s="2">
        <v>0.97399999999999998</v>
      </c>
      <c r="AB8" s="11">
        <v>7.37</v>
      </c>
      <c r="AC8" s="11">
        <v>3250</v>
      </c>
      <c r="AD8" s="17">
        <v>285.3</v>
      </c>
      <c r="AE8" s="11">
        <v>2.1429577803011646</v>
      </c>
      <c r="AF8" s="11">
        <v>21.429577803011643</v>
      </c>
      <c r="AG8" s="11">
        <v>68.882178565732303</v>
      </c>
      <c r="AH8" s="11">
        <f>AG8*AF8/100</f>
        <v>14.761160048153013</v>
      </c>
      <c r="AI8" s="11">
        <f>Y8*2</f>
        <v>45</v>
      </c>
      <c r="AJ8" s="11">
        <f>AF8*AA8*2</f>
        <v>41.744817560266682</v>
      </c>
      <c r="AK8" s="11">
        <f>AH8*AA8*2</f>
        <v>28.754739773802068</v>
      </c>
      <c r="AL8" s="11">
        <f>P8-AJ8</f>
        <v>43.126399047704439</v>
      </c>
      <c r="AM8" s="11">
        <f>Q8-AK8</f>
        <v>37.148887035450329</v>
      </c>
      <c r="AN8" s="11">
        <f>O8-AI8</f>
        <v>41.650000000000006</v>
      </c>
      <c r="AO8" s="11">
        <f>AM8/Q8</f>
        <v>0.56368501756317435</v>
      </c>
      <c r="AP8" s="11">
        <f>AL8/P8</f>
        <v>0.50813928174153211</v>
      </c>
      <c r="AQ8" s="2">
        <v>23.853202121642376</v>
      </c>
      <c r="AR8" s="2">
        <v>23.853202121642376</v>
      </c>
      <c r="AS8" s="2">
        <v>12.874527313135255</v>
      </c>
      <c r="AT8" s="2">
        <v>12.874527313135255</v>
      </c>
      <c r="AU8" s="47">
        <f>AR8/AM8</f>
        <v>0.64209735540340185</v>
      </c>
      <c r="AV8" s="38">
        <f>AR8/AL8</f>
        <v>0.55309978686736772</v>
      </c>
      <c r="AW8" s="38">
        <f>AR8/AN8</f>
        <v>0.572705933292734</v>
      </c>
      <c r="AX8" s="38">
        <f>AR8/Q8</f>
        <v>0.36194065905783435</v>
      </c>
      <c r="AY8" s="38">
        <f>AR8/P8</f>
        <v>0.28105172843017873</v>
      </c>
      <c r="AZ8" s="38">
        <f>AT8/AM8</f>
        <v>0.34656562660543205</v>
      </c>
      <c r="BA8" s="38">
        <f>AT8/AL8</f>
        <v>0.29853007896379302</v>
      </c>
      <c r="BB8" s="38">
        <f>AT8/AN8</f>
        <v>0.30911230043542026</v>
      </c>
      <c r="BC8" s="38">
        <f>AT8/Q8</f>
        <v>0.19535385131987551</v>
      </c>
      <c r="BD8" s="73">
        <f>AT8/P8</f>
        <v>0.15169485990290466</v>
      </c>
    </row>
    <row r="9" spans="3:56" s="17" customFormat="1">
      <c r="C9" s="18" t="s">
        <v>119</v>
      </c>
      <c r="D9" s="12"/>
      <c r="E9" s="12"/>
      <c r="F9" s="12"/>
      <c r="G9" s="13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1"/>
      <c r="U9" s="47" t="s">
        <v>120</v>
      </c>
      <c r="V9" s="11"/>
      <c r="W9" s="11"/>
      <c r="X9" s="11"/>
      <c r="Y9" s="11"/>
      <c r="Z9" s="11"/>
      <c r="AA9" s="2"/>
      <c r="AB9" s="11"/>
      <c r="AC9" s="11"/>
      <c r="AE9" s="11"/>
      <c r="AF9" s="11"/>
      <c r="AG9" s="11"/>
      <c r="AH9" s="11"/>
      <c r="AI9" s="11"/>
      <c r="AJ9" s="11"/>
      <c r="AK9" s="11"/>
      <c r="AU9" s="47"/>
      <c r="AV9" s="38"/>
      <c r="AW9" s="38"/>
      <c r="AX9" s="38"/>
      <c r="AY9" s="38"/>
      <c r="AZ9" s="38"/>
      <c r="BA9" s="38"/>
      <c r="BB9" s="38"/>
      <c r="BC9" s="38"/>
      <c r="BD9" s="73"/>
    </row>
    <row r="10" spans="3:56" s="17" customFormat="1">
      <c r="C10" s="18" t="s">
        <v>121</v>
      </c>
      <c r="D10" s="12"/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1"/>
      <c r="U10" s="47" t="s">
        <v>122</v>
      </c>
      <c r="V10" s="11"/>
      <c r="W10" s="11"/>
      <c r="X10" s="11"/>
      <c r="Y10" s="11"/>
      <c r="Z10" s="11"/>
      <c r="AA10" s="2"/>
      <c r="AB10" s="11"/>
      <c r="AC10" s="11"/>
      <c r="AE10" s="11"/>
      <c r="AF10" s="11"/>
      <c r="AG10" s="11"/>
      <c r="AH10" s="11"/>
      <c r="AI10" s="11"/>
      <c r="AJ10" s="11"/>
      <c r="AK10" s="11"/>
      <c r="AU10" s="47"/>
      <c r="AV10" s="38"/>
      <c r="AW10" s="38"/>
      <c r="AX10" s="38"/>
      <c r="AY10" s="38"/>
      <c r="AZ10" s="38"/>
      <c r="BA10" s="38"/>
      <c r="BB10" s="38"/>
      <c r="BC10" s="38"/>
      <c r="BD10" s="73"/>
    </row>
    <row r="11" spans="3:56" s="17" customFormat="1">
      <c r="C11" s="18" t="s">
        <v>123</v>
      </c>
      <c r="D11" s="12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/>
      <c r="U11" s="47" t="s">
        <v>124</v>
      </c>
      <c r="V11" s="11"/>
      <c r="W11" s="11"/>
      <c r="X11" s="11"/>
      <c r="Y11" s="11"/>
      <c r="Z11" s="11"/>
      <c r="AA11" s="2"/>
      <c r="AB11" s="11"/>
      <c r="AC11" s="11"/>
      <c r="AE11" s="11"/>
      <c r="AF11" s="11"/>
      <c r="AG11" s="11"/>
      <c r="AH11" s="11"/>
      <c r="AI11" s="11"/>
      <c r="AJ11" s="11"/>
      <c r="AK11" s="11"/>
      <c r="AU11" s="47"/>
      <c r="AV11" s="38"/>
      <c r="AW11" s="38"/>
      <c r="AX11" s="38"/>
      <c r="AY11" s="38"/>
      <c r="AZ11" s="38"/>
      <c r="BA11" s="38"/>
      <c r="BB11" s="38"/>
      <c r="BC11" s="38"/>
      <c r="BD11" s="73"/>
    </row>
    <row r="12" spans="3:56" s="17" customFormat="1">
      <c r="C12" s="18" t="s">
        <v>125</v>
      </c>
      <c r="D12" s="12">
        <v>511.75</v>
      </c>
      <c r="E12" s="12">
        <f>1335.25*2</f>
        <v>2670.5</v>
      </c>
      <c r="F12" s="12">
        <v>41.774999999999999</v>
      </c>
      <c r="G12" s="13">
        <v>1.0145</v>
      </c>
      <c r="H12" s="12">
        <v>6.57</v>
      </c>
      <c r="I12" s="12">
        <v>800</v>
      </c>
      <c r="J12" s="12">
        <v>527.5</v>
      </c>
      <c r="K12" s="12">
        <v>3.3326121518656464</v>
      </c>
      <c r="L12" s="12">
        <v>33.326121518656471</v>
      </c>
      <c r="M12" s="12">
        <v>76.499572929984097</v>
      </c>
      <c r="N12" s="12">
        <f>M12*L12/100</f>
        <v>25.494340635899729</v>
      </c>
      <c r="O12" s="12">
        <f>F12*2</f>
        <v>83.55</v>
      </c>
      <c r="P12" s="12">
        <f>L12*G12*2</f>
        <v>67.618700561353975</v>
      </c>
      <c r="Q12" s="12">
        <f>N12*G12*2</f>
        <v>51.728017150240547</v>
      </c>
      <c r="R12" s="12"/>
      <c r="S12" s="12">
        <f>Q12/40</f>
        <v>1.2932004287560137</v>
      </c>
      <c r="T12" s="11"/>
      <c r="U12" s="47" t="s">
        <v>126</v>
      </c>
      <c r="V12" s="11">
        <v>431</v>
      </c>
      <c r="W12" s="11">
        <v>2660.3333333333335</v>
      </c>
      <c r="X12" s="11">
        <f>((E12-W12)/E12)*100</f>
        <v>0.38070273981151526</v>
      </c>
      <c r="Y12" s="11">
        <v>26.7</v>
      </c>
      <c r="Z12" s="11">
        <f>((F12-Y12)/F12)*100</f>
        <v>36.086175942549367</v>
      </c>
      <c r="AA12" s="2">
        <v>0.97050000000000003</v>
      </c>
      <c r="AB12" s="11">
        <v>7.37</v>
      </c>
      <c r="AC12" s="11">
        <v>3250</v>
      </c>
      <c r="AD12" s="17">
        <v>161.80000000000001</v>
      </c>
      <c r="AE12" s="11">
        <v>2.1570680814190459</v>
      </c>
      <c r="AF12" s="11">
        <v>21.570680814190457</v>
      </c>
      <c r="AG12" s="11">
        <v>68.917623437003954</v>
      </c>
      <c r="AH12" s="11">
        <f>AG12*AF12/100</f>
        <v>14.866000576321838</v>
      </c>
      <c r="AI12" s="11">
        <f>Y12*2</f>
        <v>53.4</v>
      </c>
      <c r="AJ12" s="11">
        <f>AF12*AA12*2</f>
        <v>41.868691460343676</v>
      </c>
      <c r="AK12" s="11">
        <f>AH12*AA12*2</f>
        <v>28.854907118640689</v>
      </c>
      <c r="AL12" s="11">
        <f>P12-AJ12</f>
        <v>25.750009101010299</v>
      </c>
      <c r="AM12" s="11">
        <f>Q12-AK12</f>
        <v>22.873110031599857</v>
      </c>
      <c r="AN12" s="11">
        <f>O12-AI12</f>
        <v>30.15</v>
      </c>
      <c r="AO12" s="11">
        <f>AM12/Q12</f>
        <v>0.44218029786771929</v>
      </c>
      <c r="AP12" s="11">
        <f>AL12/P12</f>
        <v>0.38081194828117071</v>
      </c>
      <c r="AQ12" s="2">
        <v>23.888938769028002</v>
      </c>
      <c r="AR12" s="2">
        <v>23.888938769028002</v>
      </c>
      <c r="AS12" s="2">
        <v>13.051243917683069</v>
      </c>
      <c r="AT12" s="2">
        <v>13.051243917683069</v>
      </c>
      <c r="AU12" s="47">
        <f>AR12/AM12</f>
        <v>1.0444114830044864</v>
      </c>
      <c r="AV12" s="38">
        <f>AR12/AL12</f>
        <v>0.92772544954520897</v>
      </c>
      <c r="AW12" s="38">
        <f>AR12/AN12</f>
        <v>0.7923362775797016</v>
      </c>
      <c r="AX12" s="38">
        <f>AR12/Q12</f>
        <v>0.46181818065139024</v>
      </c>
      <c r="AY12" s="38">
        <f>AR12/P12</f>
        <v>0.35328893591133598</v>
      </c>
      <c r="AZ12" s="38">
        <f>AT12/AM12</f>
        <v>0.5705933255098411</v>
      </c>
      <c r="BA12" s="38">
        <f>AT12/AL12</f>
        <v>0.50684424485003399</v>
      </c>
      <c r="BB12" s="38">
        <f>AT12/AN12</f>
        <v>0.43287707853011836</v>
      </c>
      <c r="BC12" s="38">
        <f>AT12/Q12</f>
        <v>0.25230512663527405</v>
      </c>
      <c r="BD12" s="73">
        <f>AT12/P12</f>
        <v>0.19301234435644019</v>
      </c>
    </row>
    <row r="13" spans="3:56" s="17" customFormat="1">
      <c r="C13" s="18" t="s">
        <v>127</v>
      </c>
      <c r="D13" s="12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1"/>
      <c r="U13" s="47" t="s">
        <v>128</v>
      </c>
      <c r="V13" s="11"/>
      <c r="W13" s="11"/>
      <c r="X13" s="11"/>
      <c r="Y13" s="11"/>
      <c r="Z13" s="11"/>
      <c r="AA13" s="2"/>
      <c r="AB13" s="11"/>
      <c r="AC13" s="11"/>
      <c r="AE13" s="11"/>
      <c r="AF13" s="11"/>
      <c r="AG13" s="11"/>
      <c r="AH13" s="11"/>
      <c r="AI13" s="11"/>
      <c r="AJ13" s="11"/>
      <c r="AK13" s="11"/>
      <c r="AQ13" s="2">
        <v>19.64023717561804</v>
      </c>
      <c r="AS13" s="2">
        <v>10.811950565177732</v>
      </c>
      <c r="AU13" s="47"/>
      <c r="AV13" s="38"/>
      <c r="AW13" s="38"/>
      <c r="AX13" s="38"/>
      <c r="AY13" s="38"/>
      <c r="AZ13" s="38"/>
      <c r="BA13" s="38"/>
      <c r="BB13" s="38"/>
      <c r="BC13" s="38"/>
      <c r="BD13" s="73"/>
    </row>
    <row r="14" spans="3:56" s="17" customFormat="1">
      <c r="C14" s="18" t="s">
        <v>129</v>
      </c>
      <c r="D14" s="12"/>
      <c r="E14" s="12"/>
      <c r="F14" s="12"/>
      <c r="G14" s="13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47" t="s">
        <v>130</v>
      </c>
      <c r="V14" s="11"/>
      <c r="W14" s="11"/>
      <c r="X14" s="11"/>
      <c r="Y14" s="11"/>
      <c r="Z14" s="11"/>
      <c r="AA14" s="2"/>
      <c r="AB14" s="11"/>
      <c r="AC14" s="11"/>
      <c r="AE14" s="11"/>
      <c r="AF14" s="11"/>
      <c r="AG14" s="11"/>
      <c r="AH14" s="11"/>
      <c r="AI14" s="11"/>
      <c r="AJ14" s="11"/>
      <c r="AK14" s="11"/>
      <c r="AQ14" s="2">
        <v>17.559790493441906</v>
      </c>
      <c r="AS14" s="2">
        <v>9.5987082774301484</v>
      </c>
      <c r="AU14" s="47"/>
      <c r="AV14" s="38"/>
      <c r="AW14" s="38"/>
      <c r="AX14" s="38"/>
      <c r="AY14" s="38"/>
      <c r="AZ14" s="38"/>
      <c r="BA14" s="38"/>
      <c r="BB14" s="38"/>
      <c r="BC14" s="38"/>
      <c r="BD14" s="73"/>
    </row>
    <row r="15" spans="3:56" s="17" customFormat="1">
      <c r="C15" s="18" t="s">
        <v>131</v>
      </c>
      <c r="D15" s="12">
        <v>511.75</v>
      </c>
      <c r="E15" s="12">
        <v>2670.5</v>
      </c>
      <c r="F15" s="12">
        <v>41.774999999999999</v>
      </c>
      <c r="G15" s="13">
        <v>1.0145</v>
      </c>
      <c r="H15" s="12">
        <v>6.57</v>
      </c>
      <c r="I15" s="12">
        <v>800</v>
      </c>
      <c r="J15" s="12">
        <v>527.5</v>
      </c>
      <c r="K15" s="12">
        <v>3.3326121518656464</v>
      </c>
      <c r="L15" s="12">
        <v>33.326121518656471</v>
      </c>
      <c r="M15" s="12">
        <v>76.499572929984097</v>
      </c>
      <c r="N15" s="12">
        <f>M15*L15/100</f>
        <v>25.494340635899729</v>
      </c>
      <c r="O15" s="12">
        <f>F15*2</f>
        <v>83.55</v>
      </c>
      <c r="P15" s="12">
        <f>L15*G15*2</f>
        <v>67.618700561353975</v>
      </c>
      <c r="Q15" s="12">
        <f>N15*G15*2</f>
        <v>51.728017150240547</v>
      </c>
      <c r="R15" s="12"/>
      <c r="S15" s="12">
        <f>Q15/40</f>
        <v>1.2932004287560137</v>
      </c>
      <c r="T15" s="11"/>
      <c r="U15" s="47" t="s">
        <v>132</v>
      </c>
      <c r="V15" s="11">
        <v>393.33333333333331</v>
      </c>
      <c r="W15" s="11">
        <v>2554.3333333333335</v>
      </c>
      <c r="X15" s="11">
        <f>((E15-W15)/E15)*100</f>
        <v>4.3499968794857331</v>
      </c>
      <c r="Y15" s="11">
        <v>25.266666666666666</v>
      </c>
      <c r="Z15" s="11">
        <f>((F15-Y15)/F15)*100</f>
        <v>39.517255136644721</v>
      </c>
      <c r="AA15" s="2">
        <v>0.97399999999999998</v>
      </c>
      <c r="AB15" s="11">
        <v>7.35</v>
      </c>
      <c r="AC15" s="11">
        <v>3350</v>
      </c>
      <c r="AD15" s="17">
        <v>320.3</v>
      </c>
      <c r="AE15" s="11">
        <v>2.043536713441152</v>
      </c>
      <c r="AF15" s="11">
        <v>20.435367134411521</v>
      </c>
      <c r="AG15" s="11">
        <v>66.883708812680638</v>
      </c>
      <c r="AH15" s="11">
        <f>AG15*AF15/100</f>
        <v>13.667931448982042</v>
      </c>
      <c r="AI15" s="11">
        <f>Y15*2</f>
        <v>50.533333333333331</v>
      </c>
      <c r="AJ15" s="11">
        <f>AF15*AA15*2</f>
        <v>39.808095177833643</v>
      </c>
      <c r="AK15" s="11">
        <f>AH15*AA15*2</f>
        <v>26.625130462617019</v>
      </c>
      <c r="AL15" s="11">
        <f>P15-AJ15</f>
        <v>27.810605383520333</v>
      </c>
      <c r="AM15" s="11">
        <f>Q15-AK15</f>
        <v>25.102886687623528</v>
      </c>
      <c r="AN15" s="11">
        <f>O15-AI15</f>
        <v>33.016666666666666</v>
      </c>
      <c r="AO15" s="11">
        <f>AM15/Q15</f>
        <v>0.48528608035977644</v>
      </c>
      <c r="AP15" s="11">
        <f>AL15/P15</f>
        <v>0.41128571168394934</v>
      </c>
      <c r="AQ15" s="2">
        <v>16.482875618285934</v>
      </c>
      <c r="AR15" s="2">
        <v>16.482875618285934</v>
      </c>
      <c r="AS15" s="2">
        <v>9.0322861813083275</v>
      </c>
      <c r="AT15" s="2">
        <v>9.0322861813083275</v>
      </c>
      <c r="AU15" s="47">
        <f>AR15/AM15</f>
        <v>0.65661275626967974</v>
      </c>
      <c r="AV15" s="38">
        <f>AR15/AL15</f>
        <v>0.5926830930495729</v>
      </c>
      <c r="AW15" s="38">
        <f>AR15/AN15</f>
        <v>0.49922894351194147</v>
      </c>
      <c r="AX15" s="38">
        <f>AR15/Q15</f>
        <v>0.31864503080434209</v>
      </c>
      <c r="AY15" s="38">
        <f>AR15/P15</f>
        <v>0.24376208772793795</v>
      </c>
      <c r="AZ15" s="38">
        <f>AT15/AM15</f>
        <v>0.3598106581806591</v>
      </c>
      <c r="BA15" s="38">
        <f>AT15/AL15</f>
        <v>0.32477848132930498</v>
      </c>
      <c r="BB15" s="38">
        <f>AT15/AN15</f>
        <v>0.27356747646567375</v>
      </c>
      <c r="BC15" s="38">
        <f>AT15/Q15</f>
        <v>0.17461110398016338</v>
      </c>
      <c r="BD15" s="73">
        <f>AT15/P15</f>
        <v>0.13357674883315546</v>
      </c>
    </row>
    <row r="16" spans="3:56" s="17" customFormat="1">
      <c r="C16" s="18" t="s">
        <v>133</v>
      </c>
      <c r="D16" s="12"/>
      <c r="E16" s="12"/>
      <c r="F16" s="12"/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/>
      <c r="U16" s="47" t="s">
        <v>134</v>
      </c>
      <c r="V16" s="11"/>
      <c r="W16" s="11"/>
      <c r="X16" s="11"/>
      <c r="Y16" s="11"/>
      <c r="Z16" s="11"/>
      <c r="AA16" s="2"/>
      <c r="AB16" s="11"/>
      <c r="AC16" s="11"/>
      <c r="AE16" s="11"/>
      <c r="AF16" s="11"/>
      <c r="AG16" s="11"/>
      <c r="AH16" s="11"/>
      <c r="AI16" s="11"/>
      <c r="AJ16" s="11"/>
      <c r="AK16" s="11"/>
      <c r="AO16" s="11"/>
      <c r="AP16" s="11"/>
      <c r="AU16" s="47"/>
      <c r="AV16" s="38"/>
      <c r="AW16" s="38"/>
      <c r="AX16" s="38"/>
      <c r="AY16" s="38"/>
      <c r="AZ16" s="38"/>
      <c r="BA16" s="38"/>
      <c r="BB16" s="38"/>
      <c r="BC16" s="38"/>
      <c r="BD16" s="73"/>
    </row>
    <row r="17" spans="3:56" s="17" customFormat="1">
      <c r="C17" s="18" t="s">
        <v>135</v>
      </c>
      <c r="D17" s="12"/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1"/>
      <c r="U17" s="47" t="s">
        <v>136</v>
      </c>
      <c r="V17" s="11"/>
      <c r="W17" s="11"/>
      <c r="X17" s="11"/>
      <c r="Y17" s="11"/>
      <c r="Z17" s="11"/>
      <c r="AA17" s="2"/>
      <c r="AB17" s="11"/>
      <c r="AC17" s="11"/>
      <c r="AE17" s="11"/>
      <c r="AF17" s="11"/>
      <c r="AG17" s="11"/>
      <c r="AH17" s="11"/>
      <c r="AI17" s="11"/>
      <c r="AJ17" s="11"/>
      <c r="AK17" s="11"/>
      <c r="AO17" s="11"/>
      <c r="AP17" s="11"/>
      <c r="AU17" s="47"/>
      <c r="AV17" s="38"/>
      <c r="AW17" s="38"/>
      <c r="AX17" s="38"/>
      <c r="AY17" s="38"/>
      <c r="AZ17" s="38"/>
      <c r="BA17" s="38"/>
      <c r="BB17" s="38"/>
      <c r="BC17" s="38"/>
      <c r="BD17" s="73"/>
    </row>
    <row r="18" spans="3:56" s="17" customFormat="1">
      <c r="C18" s="18" t="s">
        <v>137</v>
      </c>
      <c r="D18" s="12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47" t="s">
        <v>138</v>
      </c>
      <c r="V18" s="11"/>
      <c r="W18" s="11"/>
      <c r="X18" s="11"/>
      <c r="Y18" s="11"/>
      <c r="Z18" s="11"/>
      <c r="AA18" s="2"/>
      <c r="AB18" s="11"/>
      <c r="AC18" s="11"/>
      <c r="AE18" s="11"/>
      <c r="AF18" s="11"/>
      <c r="AG18" s="11"/>
      <c r="AH18" s="11"/>
      <c r="AI18" s="11"/>
      <c r="AJ18" s="11"/>
      <c r="AK18" s="11"/>
      <c r="AO18" s="11"/>
      <c r="AP18" s="11"/>
      <c r="AU18" s="47"/>
      <c r="AV18" s="38"/>
      <c r="AW18" s="38"/>
      <c r="AX18" s="38"/>
      <c r="AY18" s="38"/>
      <c r="AZ18" s="38"/>
      <c r="BA18" s="38"/>
      <c r="BB18" s="38"/>
      <c r="BC18" s="38"/>
      <c r="BD18" s="73"/>
    </row>
    <row r="19" spans="3:56" s="17" customFormat="1">
      <c r="C19" s="18" t="s">
        <v>139</v>
      </c>
      <c r="D19" s="12">
        <v>292.33333333333331</v>
      </c>
      <c r="E19" s="12">
        <f>654.666666666667*2</f>
        <v>1309.3333333333339</v>
      </c>
      <c r="F19" s="12">
        <v>33.166666666666671</v>
      </c>
      <c r="G19" s="13">
        <v>0.97699999999999998</v>
      </c>
      <c r="H19" s="12">
        <v>6.64</v>
      </c>
      <c r="I19" s="12">
        <v>500</v>
      </c>
      <c r="J19" s="12">
        <v>228.8</v>
      </c>
      <c r="K19" s="12">
        <v>2.8651128950098435</v>
      </c>
      <c r="L19" s="12">
        <v>28.651128950098435</v>
      </c>
      <c r="M19" s="12">
        <v>78.608444883774396</v>
      </c>
      <c r="N19" s="12">
        <f>M19*L19/100</f>
        <v>22.522206909317262</v>
      </c>
      <c r="O19" s="12">
        <f>F19*2</f>
        <v>66.333333333333343</v>
      </c>
      <c r="P19" s="12">
        <f>L19*G19*2</f>
        <v>55.984305968492343</v>
      </c>
      <c r="Q19" s="12">
        <f>N19*G19*2</f>
        <v>44.00839230080593</v>
      </c>
      <c r="R19" s="12"/>
      <c r="S19" s="12">
        <f>Q19/40</f>
        <v>1.1002098075201483</v>
      </c>
      <c r="T19" s="11"/>
      <c r="U19" s="47" t="s">
        <v>140</v>
      </c>
      <c r="V19" s="11">
        <v>354.66666666666669</v>
      </c>
      <c r="W19" s="11">
        <v>2343.6666666666665</v>
      </c>
      <c r="X19" s="11"/>
      <c r="Y19" s="11">
        <v>25.7</v>
      </c>
      <c r="Z19" s="11">
        <f>((F19-Y19)/F19)*100</f>
        <v>22.512562814070364</v>
      </c>
      <c r="AA19" s="2">
        <v>0.96850000000000003</v>
      </c>
      <c r="AB19" s="11">
        <v>7.43</v>
      </c>
      <c r="AC19" s="11">
        <v>3250</v>
      </c>
      <c r="AD19" s="17">
        <v>252.8</v>
      </c>
      <c r="AE19" s="11">
        <v>2.0747144680188239</v>
      </c>
      <c r="AF19" s="11">
        <v>20.747144680188242</v>
      </c>
      <c r="AG19" s="11">
        <v>67.215563134337444</v>
      </c>
      <c r="AH19" s="11">
        <f>AG19*AF19/100</f>
        <v>13.945310131084261</v>
      </c>
      <c r="AI19" s="11">
        <f>Y19*2</f>
        <v>51.4</v>
      </c>
      <c r="AJ19" s="11">
        <f>AF19*AA19*2</f>
        <v>40.187219245524624</v>
      </c>
      <c r="AK19" s="11">
        <f>AH19*AA19*2</f>
        <v>27.012065723910215</v>
      </c>
      <c r="AL19" s="11">
        <f>P19-AJ19</f>
        <v>15.79708672296772</v>
      </c>
      <c r="AM19" s="11">
        <f>Q19-AK19</f>
        <v>16.996326576895715</v>
      </c>
      <c r="AN19" s="11"/>
      <c r="AO19" s="11">
        <f>AM19/Q19</f>
        <v>0.38620648672468</v>
      </c>
      <c r="AP19" s="11">
        <f>AL19/P19</f>
        <v>0.28216991261547891</v>
      </c>
      <c r="AQ19" s="2">
        <v>16.138283248352398</v>
      </c>
      <c r="AR19" s="2">
        <v>16.138283248352398</v>
      </c>
      <c r="AS19" s="2">
        <v>8.7253242210542084</v>
      </c>
      <c r="AT19" s="2">
        <v>8.7253242210542084</v>
      </c>
      <c r="AU19" s="47">
        <f>AR19/AM19</f>
        <v>0.94951595424685975</v>
      </c>
      <c r="AV19" s="38">
        <f>AR19/AL19</f>
        <v>1.0215986992645045</v>
      </c>
      <c r="AW19" s="74"/>
      <c r="AX19" s="38">
        <f>AR19/Q19</f>
        <v>0.36670922077871171</v>
      </c>
      <c r="AY19" s="38">
        <f>AR19/P19</f>
        <v>0.28826441569955219</v>
      </c>
      <c r="AZ19" s="38">
        <f>AT19/AM19</f>
        <v>0.51336529582310719</v>
      </c>
      <c r="BA19" s="38">
        <f>AT19/AL19</f>
        <v>0.55233755274434715</v>
      </c>
      <c r="BB19" s="74"/>
      <c r="BC19" s="38">
        <f>AT19/Q19</f>
        <v>0.19826500730621829</v>
      </c>
      <c r="BD19" s="73">
        <f>AT19/P19</f>
        <v>0.15585303899211991</v>
      </c>
    </row>
    <row r="20" spans="3:56" s="17" customFormat="1">
      <c r="C20" s="18" t="s">
        <v>141</v>
      </c>
      <c r="D20" s="12"/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1"/>
      <c r="U20" s="47" t="s">
        <v>142</v>
      </c>
      <c r="V20" s="11"/>
      <c r="W20" s="11"/>
      <c r="X20" s="11"/>
      <c r="Y20" s="11"/>
      <c r="Z20" s="11"/>
      <c r="AA20" s="2"/>
      <c r="AB20" s="11"/>
      <c r="AC20" s="11"/>
      <c r="AE20" s="11"/>
      <c r="AF20" s="11"/>
      <c r="AG20" s="11"/>
      <c r="AH20" s="11"/>
      <c r="AI20" s="11"/>
      <c r="AJ20" s="11"/>
      <c r="AK20" s="11"/>
      <c r="AO20" s="11"/>
      <c r="AP20" s="11"/>
      <c r="AQ20" s="2">
        <v>16.214790472695999</v>
      </c>
      <c r="AR20" s="2"/>
      <c r="AS20" s="2">
        <v>8.7744717163947126</v>
      </c>
      <c r="AT20" s="2"/>
      <c r="AU20" s="47"/>
      <c r="AV20" s="38"/>
      <c r="AW20" s="38"/>
      <c r="AX20" s="38"/>
      <c r="AY20" s="38"/>
      <c r="AZ20" s="38"/>
      <c r="BA20" s="38"/>
      <c r="BB20" s="38"/>
      <c r="BC20" s="38"/>
      <c r="BD20" s="73"/>
    </row>
    <row r="21" spans="3:56" s="17" customFormat="1">
      <c r="C21" s="18" t="s">
        <v>143</v>
      </c>
      <c r="D21" s="12"/>
      <c r="E21" s="12"/>
      <c r="F21" s="12"/>
      <c r="G21" s="1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47" t="s">
        <v>144</v>
      </c>
      <c r="V21" s="11"/>
      <c r="W21" s="11"/>
      <c r="X21" s="11"/>
      <c r="Y21" s="11"/>
      <c r="Z21" s="11"/>
      <c r="AA21" s="2"/>
      <c r="AB21" s="11"/>
      <c r="AC21" s="11"/>
      <c r="AE21" s="11"/>
      <c r="AF21" s="11"/>
      <c r="AG21" s="11"/>
      <c r="AH21" s="11"/>
      <c r="AI21" s="11"/>
      <c r="AJ21" s="11"/>
      <c r="AK21" s="11"/>
      <c r="AO21" s="11"/>
      <c r="AP21" s="11"/>
      <c r="AQ21" s="2">
        <v>17.025581968608002</v>
      </c>
      <c r="AR21" s="2"/>
      <c r="AS21" s="2">
        <v>9.1996029609176482</v>
      </c>
      <c r="AT21" s="2"/>
      <c r="AU21" s="47"/>
      <c r="AV21" s="38"/>
      <c r="AW21" s="38"/>
      <c r="AX21" s="38"/>
      <c r="AY21" s="38"/>
      <c r="AZ21" s="38"/>
      <c r="BA21" s="38"/>
      <c r="BB21" s="38"/>
      <c r="BC21" s="38"/>
      <c r="BD21" s="73"/>
    </row>
    <row r="22" spans="3:56" s="17" customFormat="1">
      <c r="C22" s="18" t="s">
        <v>145</v>
      </c>
      <c r="D22" s="12">
        <v>292.33333333333331</v>
      </c>
      <c r="E22" s="12">
        <f>654.666666666667*2</f>
        <v>1309.3333333333339</v>
      </c>
      <c r="F22" s="12">
        <v>33.166666666666671</v>
      </c>
      <c r="G22" s="13">
        <v>0.97699999999999998</v>
      </c>
      <c r="H22" s="12">
        <v>6.64</v>
      </c>
      <c r="I22" s="12">
        <v>500</v>
      </c>
      <c r="J22" s="12">
        <v>228.8</v>
      </c>
      <c r="K22" s="12">
        <v>2.8651128950098435</v>
      </c>
      <c r="L22" s="12">
        <v>28.651128950098435</v>
      </c>
      <c r="M22" s="12">
        <v>78.608444883774396</v>
      </c>
      <c r="N22" s="12">
        <f>M22*L22/100</f>
        <v>22.522206909317262</v>
      </c>
      <c r="O22" s="12">
        <f>F22*2</f>
        <v>66.333333333333343</v>
      </c>
      <c r="P22" s="12">
        <f>L22*G22*2</f>
        <v>55.984305968492343</v>
      </c>
      <c r="Q22" s="12">
        <f>N22*G22*2</f>
        <v>44.00839230080593</v>
      </c>
      <c r="R22" s="12"/>
      <c r="S22" s="12">
        <f>Q22/40</f>
        <v>1.1002098075201483</v>
      </c>
      <c r="T22" s="11"/>
      <c r="U22" s="47" t="s">
        <v>146</v>
      </c>
      <c r="V22" s="11">
        <v>347</v>
      </c>
      <c r="W22" s="11">
        <v>2116</v>
      </c>
      <c r="X22" s="11"/>
      <c r="Y22" s="11">
        <v>29.2</v>
      </c>
      <c r="Z22" s="11">
        <f>((F22-Y22)/F22)*100</f>
        <v>11.959798994974889</v>
      </c>
      <c r="AA22" s="2">
        <v>0.97899999999999998</v>
      </c>
      <c r="AB22" s="11">
        <v>7.46</v>
      </c>
      <c r="AC22" s="11">
        <v>3200</v>
      </c>
      <c r="AD22" s="17">
        <v>208.1</v>
      </c>
      <c r="AE22" s="11">
        <v>2.3586198026912788</v>
      </c>
      <c r="AF22" s="11">
        <v>23.586198026912786</v>
      </c>
      <c r="AG22" s="11">
        <v>53.810332601280585</v>
      </c>
      <c r="AH22" s="11">
        <f>AG22*AF22/100</f>
        <v>12.691811606278449</v>
      </c>
      <c r="AI22" s="11">
        <f>Y22*2</f>
        <v>58.4</v>
      </c>
      <c r="AJ22" s="11">
        <f>AF22*AA22*2</f>
        <v>46.181775736695236</v>
      </c>
      <c r="AK22" s="11">
        <f>AH22*AA22*2</f>
        <v>24.850567125093203</v>
      </c>
      <c r="AL22" s="11">
        <f>P22-AJ22</f>
        <v>9.8025302317971068</v>
      </c>
      <c r="AM22" s="11">
        <f>Q22-AK22</f>
        <v>19.157825175712727</v>
      </c>
      <c r="AN22" s="11"/>
      <c r="AO22" s="11">
        <f>AM22/Q22</f>
        <v>0.43532208685937129</v>
      </c>
      <c r="AP22" s="11">
        <f>AL22/P22</f>
        <v>0.17509425297357292</v>
      </c>
      <c r="AQ22" s="2">
        <v>17.908637411797606</v>
      </c>
      <c r="AR22" s="2">
        <v>17.908637411797606</v>
      </c>
      <c r="AS22" s="2">
        <v>9.6344887547988769</v>
      </c>
      <c r="AT22" s="2">
        <v>9.6344887547988769</v>
      </c>
      <c r="AU22" s="47">
        <f>AR22/AM22</f>
        <v>0.93479490743559068</v>
      </c>
      <c r="AV22" s="38">
        <f>AR22/AL22</f>
        <v>1.8269402887130295</v>
      </c>
      <c r="AW22" s="74"/>
      <c r="AX22" s="38">
        <f>AR22/Q22</f>
        <v>0.40693686989037414</v>
      </c>
      <c r="AY22" s="38">
        <f>AR22/P22</f>
        <v>0.31988674507953152</v>
      </c>
      <c r="AZ22" s="38">
        <f>AT22/AM22</f>
        <v>0.5029009643021991</v>
      </c>
      <c r="BA22" s="38">
        <f>AT22/AL22</f>
        <v>0.98285733652183571</v>
      </c>
      <c r="BB22" s="74"/>
      <c r="BC22" s="38">
        <f>AT22/Q22</f>
        <v>0.21892389726362349</v>
      </c>
      <c r="BD22" s="73">
        <f>AT22/P22</f>
        <v>0.1720926711178864</v>
      </c>
    </row>
    <row r="23" spans="3:56" s="17" customFormat="1">
      <c r="C23" s="18" t="s">
        <v>147</v>
      </c>
      <c r="D23" s="12"/>
      <c r="E23" s="12"/>
      <c r="F23" s="12"/>
      <c r="G23" s="13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1"/>
      <c r="U23" s="47" t="s">
        <v>148</v>
      </c>
      <c r="V23" s="11"/>
      <c r="W23" s="11"/>
      <c r="X23" s="11"/>
      <c r="Y23" s="11"/>
      <c r="Z23" s="11"/>
      <c r="AA23" s="2"/>
      <c r="AB23" s="11"/>
      <c r="AC23" s="11"/>
      <c r="AE23" s="11"/>
      <c r="AF23" s="11"/>
      <c r="AG23" s="11"/>
      <c r="AH23" s="11"/>
      <c r="AI23" s="11"/>
      <c r="AJ23" s="11"/>
      <c r="AK23" s="11"/>
      <c r="AO23" s="11"/>
      <c r="AP23" s="11"/>
      <c r="AQ23" s="2">
        <v>18.226493767774581</v>
      </c>
      <c r="AR23" s="2"/>
      <c r="AS23" s="2">
        <v>9.7347703213684049</v>
      </c>
      <c r="AT23" s="2"/>
      <c r="AU23" s="47"/>
      <c r="AV23" s="38"/>
      <c r="AW23" s="38"/>
      <c r="AX23" s="38"/>
      <c r="AY23" s="38"/>
      <c r="AZ23" s="38"/>
      <c r="BA23" s="38"/>
      <c r="BB23" s="38"/>
      <c r="BC23" s="38"/>
      <c r="BD23" s="73"/>
    </row>
    <row r="24" spans="3:56" s="17" customFormat="1">
      <c r="C24" s="18" t="s">
        <v>149</v>
      </c>
      <c r="D24" s="12"/>
      <c r="E24" s="12"/>
      <c r="F24" s="12"/>
      <c r="G24" s="1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1"/>
      <c r="U24" s="47" t="s">
        <v>150</v>
      </c>
      <c r="V24" s="11"/>
      <c r="W24" s="11"/>
      <c r="X24" s="11"/>
      <c r="Y24" s="11"/>
      <c r="Z24" s="11"/>
      <c r="AA24" s="2"/>
      <c r="AB24" s="11"/>
      <c r="AC24" s="11"/>
      <c r="AE24" s="11"/>
      <c r="AF24" s="11"/>
      <c r="AG24" s="11"/>
      <c r="AH24" s="11"/>
      <c r="AI24" s="11"/>
      <c r="AJ24" s="11"/>
      <c r="AK24" s="11"/>
      <c r="AO24" s="11"/>
      <c r="AP24" s="11"/>
      <c r="AQ24" s="2"/>
      <c r="AR24" s="2"/>
      <c r="AS24" s="2"/>
      <c r="AT24" s="2"/>
      <c r="AU24" s="47"/>
      <c r="AV24" s="38"/>
      <c r="AW24" s="38"/>
      <c r="AX24" s="38"/>
      <c r="AY24" s="38"/>
      <c r="AZ24" s="38"/>
      <c r="BA24" s="38"/>
      <c r="BB24" s="38"/>
      <c r="BC24" s="38"/>
      <c r="BD24" s="73"/>
    </row>
    <row r="25" spans="3:56" s="17" customFormat="1">
      <c r="C25" s="18" t="s">
        <v>112</v>
      </c>
      <c r="D25" s="12"/>
      <c r="E25" s="12"/>
      <c r="F25" s="12"/>
      <c r="G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1"/>
      <c r="U25" s="47" t="s">
        <v>151</v>
      </c>
      <c r="V25" s="11"/>
      <c r="W25" s="11"/>
      <c r="X25" s="11"/>
      <c r="Y25" s="11"/>
      <c r="Z25" s="11"/>
      <c r="AA25" s="2"/>
      <c r="AB25" s="11"/>
      <c r="AC25" s="11"/>
      <c r="AE25" s="11"/>
      <c r="AF25" s="11"/>
      <c r="AG25" s="11"/>
      <c r="AH25" s="11"/>
      <c r="AI25" s="11"/>
      <c r="AJ25" s="11"/>
      <c r="AK25" s="11"/>
      <c r="AO25" s="11"/>
      <c r="AP25" s="11"/>
      <c r="AU25" s="47"/>
      <c r="AV25" s="38"/>
      <c r="AW25" s="38"/>
      <c r="AX25" s="38"/>
      <c r="AY25" s="38"/>
      <c r="AZ25" s="38"/>
      <c r="BA25" s="38"/>
      <c r="BB25" s="38"/>
      <c r="BC25" s="38"/>
      <c r="BD25" s="73"/>
    </row>
    <row r="26" spans="3:56" s="17" customFormat="1">
      <c r="C26" s="18" t="s">
        <v>114</v>
      </c>
      <c r="D26" s="12">
        <v>400.66666666666669</v>
      </c>
      <c r="E26" s="12">
        <f>847.666666666667*2</f>
        <v>1695.3333333333339</v>
      </c>
      <c r="F26" s="12">
        <v>39.43333333333333</v>
      </c>
      <c r="G26" s="13">
        <v>0.98550000000000004</v>
      </c>
      <c r="H26" s="12">
        <v>6.72</v>
      </c>
      <c r="I26" s="12">
        <v>675</v>
      </c>
      <c r="J26" s="12">
        <v>300.2</v>
      </c>
      <c r="K26" s="12">
        <v>3.4171101438587121</v>
      </c>
      <c r="L26" s="12">
        <v>34.171101438587122</v>
      </c>
      <c r="M26" s="12">
        <v>79.452719107040807</v>
      </c>
      <c r="N26" s="12">
        <f>M26*L26/100</f>
        <v>27.149869241782607</v>
      </c>
      <c r="O26" s="12">
        <f>F26*2</f>
        <v>78.86666666666666</v>
      </c>
      <c r="P26" s="12">
        <f>L26*G26*2</f>
        <v>67.351240935455223</v>
      </c>
      <c r="Q26" s="12">
        <f>N26*G26*2</f>
        <v>53.512392275553523</v>
      </c>
      <c r="R26" s="12"/>
      <c r="S26" s="12">
        <f>Q26/40</f>
        <v>1.337809806888838</v>
      </c>
      <c r="T26" s="11"/>
      <c r="U26" s="47" t="s">
        <v>152</v>
      </c>
      <c r="V26" s="11">
        <v>355.66666666666669</v>
      </c>
      <c r="W26" s="11">
        <v>2115</v>
      </c>
      <c r="X26" s="11">
        <f>((E26-W26)/E26)*100</f>
        <v>-24.754227290601609</v>
      </c>
      <c r="Y26" s="11">
        <v>20.399999999999999</v>
      </c>
      <c r="Z26" s="11">
        <f>((F26-Y26)/F26)*100</f>
        <v>48.26711749788673</v>
      </c>
      <c r="AA26" s="2">
        <v>0.96550000000000002</v>
      </c>
      <c r="AB26" s="11">
        <v>7.34</v>
      </c>
      <c r="AC26" s="11">
        <v>3175</v>
      </c>
      <c r="AD26" s="17">
        <v>380.6</v>
      </c>
      <c r="AE26" s="11">
        <v>2.2521570237080373</v>
      </c>
      <c r="AF26" s="11">
        <v>22.521570237080379</v>
      </c>
      <c r="AG26" s="11">
        <v>63.912530045805916</v>
      </c>
      <c r="AH26" s="11">
        <f>AG26*AF26/100</f>
        <v>14.394105344561281</v>
      </c>
      <c r="AI26" s="11">
        <f>Y26*2</f>
        <v>40.799999999999997</v>
      </c>
      <c r="AJ26" s="11">
        <f>AF26*AA26*2</f>
        <v>43.489152127802214</v>
      </c>
      <c r="AK26" s="11">
        <f>AH26*AA26*2</f>
        <v>27.795017420347833</v>
      </c>
      <c r="AL26" s="11">
        <f>P26-AJ26</f>
        <v>23.862088807653009</v>
      </c>
      <c r="AM26" s="11">
        <f>Q26-AK26</f>
        <v>25.717374855205691</v>
      </c>
      <c r="AN26" s="11">
        <f>O26-AI26</f>
        <v>38.066666666666663</v>
      </c>
      <c r="AO26" s="11">
        <f>AM26/Q26</f>
        <v>0.48058727635980414</v>
      </c>
      <c r="AP26" s="11">
        <f>AL26/P26</f>
        <v>0.35429323166474075</v>
      </c>
      <c r="AQ26" s="2">
        <v>18.714985409484001</v>
      </c>
      <c r="AR26" s="2">
        <v>18.714985409484001</v>
      </c>
      <c r="AS26" s="2">
        <v>10.016634490864028</v>
      </c>
      <c r="AT26" s="2">
        <v>10.016634490864028</v>
      </c>
      <c r="AU26" s="47">
        <f>AR26/AM26</f>
        <v>0.72771756506460572</v>
      </c>
      <c r="AV26" s="38">
        <f>AR26/AL26</f>
        <v>0.78429786932490853</v>
      </c>
      <c r="AW26" s="38">
        <f>AR26/AN26</f>
        <v>0.49163709482007012</v>
      </c>
      <c r="AX26" s="38">
        <f>AR26/Q26</f>
        <v>0.34973180255358743</v>
      </c>
      <c r="AY26" s="38">
        <f>AR26/P26</f>
        <v>0.27787142671089238</v>
      </c>
      <c r="AZ26" s="38">
        <f>AT26/AM26</f>
        <v>0.38948899517387831</v>
      </c>
      <c r="BA26" s="38">
        <f>AT26/AL26</f>
        <v>0.41977190562007755</v>
      </c>
      <c r="BB26" s="38">
        <f>AT26/AN26</f>
        <v>0.26313400588959796</v>
      </c>
      <c r="BC26" s="38">
        <f>AT26/Q26</f>
        <v>0.18718345536273107</v>
      </c>
      <c r="BD26" s="73">
        <f>AT26/P26</f>
        <v>0.14872234500420384</v>
      </c>
    </row>
    <row r="27" spans="3:56" s="17" customFormat="1">
      <c r="C27" s="18" t="s">
        <v>116</v>
      </c>
      <c r="D27" s="12"/>
      <c r="E27" s="12"/>
      <c r="F27" s="12"/>
      <c r="G27" s="1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1"/>
      <c r="U27" s="49" t="s">
        <v>153</v>
      </c>
      <c r="V27" s="11"/>
      <c r="W27" s="11"/>
      <c r="X27" s="11"/>
      <c r="Y27" s="11"/>
      <c r="Z27" s="11"/>
      <c r="AA27" s="2"/>
      <c r="AB27" s="11"/>
      <c r="AC27" s="11"/>
      <c r="AE27" s="11"/>
      <c r="AF27" s="11"/>
      <c r="AG27" s="11"/>
      <c r="AH27" s="11"/>
      <c r="AI27" s="11"/>
      <c r="AJ27" s="11"/>
      <c r="AK27" s="11"/>
      <c r="AO27" s="11"/>
      <c r="AP27" s="11"/>
      <c r="AQ27" s="50"/>
      <c r="AR27" s="2"/>
      <c r="AS27" s="50"/>
      <c r="AT27" s="2"/>
      <c r="AU27" s="47"/>
      <c r="AV27" s="38"/>
      <c r="AW27" s="38"/>
      <c r="AX27" s="38"/>
      <c r="AY27" s="38"/>
      <c r="AZ27" s="38"/>
      <c r="BA27" s="38"/>
      <c r="BB27" s="38"/>
      <c r="BC27" s="38"/>
      <c r="BD27" s="73"/>
    </row>
    <row r="28" spans="3:56" s="17" customFormat="1">
      <c r="C28" s="18" t="s">
        <v>118</v>
      </c>
      <c r="D28" s="12"/>
      <c r="E28" s="12"/>
      <c r="F28" s="12"/>
      <c r="G28" s="13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1"/>
      <c r="U28" s="49" t="s">
        <v>154</v>
      </c>
      <c r="V28" s="11"/>
      <c r="W28" s="11"/>
      <c r="X28" s="11"/>
      <c r="Y28" s="11"/>
      <c r="Z28" s="11"/>
      <c r="AA28" s="2"/>
      <c r="AB28" s="11"/>
      <c r="AC28" s="11"/>
      <c r="AE28" s="11"/>
      <c r="AF28" s="11"/>
      <c r="AG28" s="11"/>
      <c r="AH28" s="11"/>
      <c r="AI28" s="11"/>
      <c r="AJ28" s="11"/>
      <c r="AK28" s="11"/>
      <c r="AO28" s="11"/>
      <c r="AP28" s="11"/>
      <c r="AQ28" s="2">
        <v>21.192777291212103</v>
      </c>
      <c r="AR28" s="2"/>
      <c r="AS28" s="2">
        <v>11.462537453497891</v>
      </c>
      <c r="AT28" s="2"/>
      <c r="AU28" s="47"/>
      <c r="AV28" s="38"/>
      <c r="AW28" s="38"/>
      <c r="AX28" s="38"/>
      <c r="AY28" s="38"/>
      <c r="AZ28" s="38"/>
      <c r="BA28" s="38"/>
      <c r="BB28" s="38"/>
      <c r="BC28" s="38"/>
      <c r="BD28" s="73"/>
    </row>
    <row r="29" spans="3:56" s="17" customFormat="1">
      <c r="C29" s="18" t="s">
        <v>120</v>
      </c>
      <c r="D29" s="12">
        <v>400.66666666666669</v>
      </c>
      <c r="E29" s="12">
        <v>1695.3333333333339</v>
      </c>
      <c r="F29" s="12">
        <v>39.43333333333333</v>
      </c>
      <c r="G29" s="13">
        <v>0.98550000000000004</v>
      </c>
      <c r="H29" s="12">
        <v>6.72</v>
      </c>
      <c r="I29" s="12">
        <v>675</v>
      </c>
      <c r="J29" s="12">
        <v>300.2</v>
      </c>
      <c r="K29" s="12">
        <v>3.4171101438587121</v>
      </c>
      <c r="L29" s="12">
        <v>34.171101438587122</v>
      </c>
      <c r="M29" s="12">
        <v>79.452719107040807</v>
      </c>
      <c r="N29" s="12">
        <f>M29*L29/100</f>
        <v>27.149869241782607</v>
      </c>
      <c r="O29" s="12">
        <f>F29*2</f>
        <v>78.86666666666666</v>
      </c>
      <c r="P29" s="12">
        <f>L29*G29*2</f>
        <v>67.351240935455223</v>
      </c>
      <c r="Q29" s="12">
        <f>N29*G29*2</f>
        <v>53.512392275553523</v>
      </c>
      <c r="R29" s="12"/>
      <c r="S29" s="12">
        <f>Q29/40</f>
        <v>1.337809806888838</v>
      </c>
      <c r="T29" s="11"/>
      <c r="U29" s="49" t="s">
        <v>155</v>
      </c>
      <c r="V29" s="11">
        <v>372.66666666666669</v>
      </c>
      <c r="W29" s="11">
        <v>1579.3333333333333</v>
      </c>
      <c r="X29" s="11">
        <f>((E29-W29)/E29)*100</f>
        <v>6.8423122296500578</v>
      </c>
      <c r="Y29" s="11">
        <v>26.7</v>
      </c>
      <c r="Z29" s="11">
        <f>((F29-Y29)/F29)*100</f>
        <v>32.290786136939978</v>
      </c>
      <c r="AA29" s="2">
        <v>0.97650000000000003</v>
      </c>
      <c r="AB29" s="11">
        <v>7.62</v>
      </c>
      <c r="AC29" s="11">
        <v>3150</v>
      </c>
      <c r="AD29" s="17">
        <v>287.3</v>
      </c>
      <c r="AE29" s="11">
        <v>2.4695897124795141</v>
      </c>
      <c r="AF29" s="11">
        <v>24.695897124795138</v>
      </c>
      <c r="AG29" s="11">
        <v>68.388345989484222</v>
      </c>
      <c r="AH29" s="11">
        <f>AG29*AF29/100</f>
        <v>16.889115570911986</v>
      </c>
      <c r="AI29" s="11">
        <f>Y29*2</f>
        <v>53.4</v>
      </c>
      <c r="AJ29" s="11">
        <f>AF29*AA29*2</f>
        <v>48.231087084724905</v>
      </c>
      <c r="AK29" s="11">
        <f>AH29*AA29*2</f>
        <v>32.984442709991107</v>
      </c>
      <c r="AL29" s="11">
        <f>P29-AJ29</f>
        <v>19.120153850730318</v>
      </c>
      <c r="AM29" s="11">
        <f>Q29-AK29</f>
        <v>20.527949565562416</v>
      </c>
      <c r="AN29" s="11">
        <f>O29-AI29</f>
        <v>25.466666666666661</v>
      </c>
      <c r="AO29" s="11">
        <f>AM29/Q29</f>
        <v>0.38361113552645931</v>
      </c>
      <c r="AP29" s="11">
        <f>AL29/P29</f>
        <v>0.28388717988216067</v>
      </c>
      <c r="AQ29" s="2">
        <v>20.963787240097162</v>
      </c>
      <c r="AR29" s="2">
        <v>20.963787240097162</v>
      </c>
      <c r="AS29" s="2">
        <v>11.265729624955812</v>
      </c>
      <c r="AT29" s="2">
        <v>11.265729624955812</v>
      </c>
      <c r="AU29" s="47">
        <f>AR29/AM29</f>
        <v>1.0212314275784224</v>
      </c>
      <c r="AV29" s="38">
        <f>AR29/AL29</f>
        <v>1.0964235645675218</v>
      </c>
      <c r="AW29" s="38">
        <f>AR29/AN29</f>
        <v>0.8231853628310406</v>
      </c>
      <c r="AX29" s="38">
        <f>AR29/Q29</f>
        <v>0.39175574756866571</v>
      </c>
      <c r="AY29" s="38">
        <f>AR29/P29</f>
        <v>0.31126059370141979</v>
      </c>
      <c r="AZ29" s="38">
        <f>AT29/AM29</f>
        <v>0.54879955686636828</v>
      </c>
      <c r="BA29" s="38">
        <f>AT29/AL29</f>
        <v>0.58920705936294038</v>
      </c>
      <c r="BB29" s="38">
        <f>AT29/AN29</f>
        <v>0.4423715821317728</v>
      </c>
      <c r="BC29" s="38">
        <f>AT29/Q29</f>
        <v>0.21052562118592522</v>
      </c>
      <c r="BD29" s="73">
        <f>AT29/P29</f>
        <v>0.16726833044920597</v>
      </c>
    </row>
    <row r="30" spans="3:56" s="17" customFormat="1">
      <c r="C30" s="18" t="s">
        <v>122</v>
      </c>
      <c r="D30" s="12"/>
      <c r="E30" s="12"/>
      <c r="F30" s="12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1"/>
      <c r="U30" s="49" t="s">
        <v>156</v>
      </c>
      <c r="V30" s="11"/>
      <c r="W30" s="11"/>
      <c r="X30" s="11"/>
      <c r="Y30" s="11"/>
      <c r="Z30" s="11"/>
      <c r="AA30" s="2"/>
      <c r="AB30" s="11"/>
      <c r="AC30" s="11"/>
      <c r="AE30" s="11"/>
      <c r="AF30" s="11"/>
      <c r="AG30" s="11"/>
      <c r="AH30" s="11"/>
      <c r="AI30" s="11"/>
      <c r="AJ30" s="11"/>
      <c r="AK30" s="11"/>
      <c r="AO30" s="11"/>
      <c r="AP30" s="11"/>
      <c r="AQ30" s="2">
        <v>20.918306593346006</v>
      </c>
      <c r="AR30" s="2"/>
      <c r="AS30" s="2">
        <v>11.239615315670743</v>
      </c>
      <c r="AT30" s="2"/>
      <c r="AU30" s="47"/>
      <c r="AV30" s="38"/>
      <c r="AW30" s="38"/>
      <c r="AX30" s="38"/>
      <c r="AY30" s="38"/>
      <c r="AZ30" s="38"/>
      <c r="BA30" s="38"/>
      <c r="BB30" s="38"/>
      <c r="BC30" s="38"/>
      <c r="BD30" s="73"/>
    </row>
    <row r="31" spans="3:56" s="17" customFormat="1">
      <c r="C31" s="18" t="s">
        <v>124</v>
      </c>
      <c r="D31" s="12"/>
      <c r="E31" s="12"/>
      <c r="F31" s="12"/>
      <c r="G31" s="13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1"/>
      <c r="U31" s="49" t="s">
        <v>157</v>
      </c>
      <c r="V31" s="11"/>
      <c r="W31" s="11"/>
      <c r="X31" s="11"/>
      <c r="Y31" s="11"/>
      <c r="Z31" s="11"/>
      <c r="AA31" s="2"/>
      <c r="AB31" s="11"/>
      <c r="AC31" s="11"/>
      <c r="AE31" s="11"/>
      <c r="AF31" s="11"/>
      <c r="AG31" s="11"/>
      <c r="AH31" s="11"/>
      <c r="AI31" s="11"/>
      <c r="AJ31" s="11"/>
      <c r="AK31" s="11"/>
      <c r="AO31" s="11"/>
      <c r="AP31" s="11"/>
      <c r="AU31" s="47"/>
      <c r="AV31" s="38"/>
      <c r="AW31" s="38"/>
      <c r="AX31" s="38"/>
      <c r="AY31" s="38"/>
      <c r="AZ31" s="38"/>
      <c r="BA31" s="38"/>
      <c r="BB31" s="38"/>
      <c r="BC31" s="38"/>
      <c r="BD31" s="73"/>
    </row>
    <row r="32" spans="3:56" s="17" customFormat="1">
      <c r="C32" s="18" t="s">
        <v>126</v>
      </c>
      <c r="D32" s="12"/>
      <c r="E32" s="12"/>
      <c r="F32" s="12"/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1"/>
      <c r="U32" s="49" t="s">
        <v>158</v>
      </c>
      <c r="V32" s="11"/>
      <c r="W32" s="11"/>
      <c r="X32" s="11"/>
      <c r="Y32" s="11"/>
      <c r="Z32" s="11"/>
      <c r="AA32" s="2"/>
      <c r="AB32" s="11"/>
      <c r="AC32" s="11"/>
      <c r="AE32" s="11"/>
      <c r="AF32" s="11"/>
      <c r="AG32" s="11"/>
      <c r="AH32" s="11"/>
      <c r="AI32" s="11"/>
      <c r="AJ32" s="11"/>
      <c r="AK32" s="11"/>
      <c r="AO32" s="11"/>
      <c r="AP32" s="11"/>
      <c r="AU32" s="47"/>
      <c r="AV32" s="38"/>
      <c r="AW32" s="38"/>
      <c r="AX32" s="38"/>
      <c r="AY32" s="38"/>
      <c r="AZ32" s="38"/>
      <c r="BA32" s="38"/>
      <c r="BB32" s="38"/>
      <c r="BC32" s="38"/>
      <c r="BD32" s="73"/>
    </row>
    <row r="33" spans="3:56" s="17" customFormat="1">
      <c r="C33" s="18" t="s">
        <v>128</v>
      </c>
      <c r="D33" s="12"/>
      <c r="E33" s="12"/>
      <c r="F33" s="12"/>
      <c r="G33" s="13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1"/>
      <c r="U33" s="49" t="s">
        <v>159</v>
      </c>
      <c r="V33" s="11"/>
      <c r="W33" s="11"/>
      <c r="X33" s="11"/>
      <c r="Y33" s="11"/>
      <c r="Z33" s="11"/>
      <c r="AA33" s="2"/>
      <c r="AB33" s="11"/>
      <c r="AC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51"/>
      <c r="AP33" s="51"/>
      <c r="AQ33" s="2">
        <v>21.725862354086015</v>
      </c>
      <c r="AR33" s="2">
        <v>21.725862354086015</v>
      </c>
      <c r="AS33" s="2">
        <v>11.867535052295946</v>
      </c>
      <c r="AT33" s="2">
        <v>11.867535052295946</v>
      </c>
      <c r="AU33" s="75"/>
      <c r="AV33" s="74"/>
      <c r="AW33" s="74"/>
      <c r="AX33" s="74"/>
      <c r="AY33" s="74"/>
      <c r="AZ33" s="74"/>
      <c r="BA33" s="74"/>
      <c r="BB33" s="74"/>
      <c r="BC33" s="74"/>
      <c r="BD33" s="76"/>
    </row>
    <row r="34" spans="3:56" s="17" customFormat="1">
      <c r="C34" s="18" t="s">
        <v>130</v>
      </c>
      <c r="D34" s="12"/>
      <c r="E34" s="12"/>
      <c r="F34" s="12"/>
      <c r="G34" s="13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1"/>
      <c r="U34" s="49" t="s">
        <v>160</v>
      </c>
      <c r="V34" s="11"/>
      <c r="W34" s="11"/>
      <c r="X34" s="11"/>
      <c r="Y34" s="11"/>
      <c r="Z34" s="11"/>
      <c r="AA34" s="2"/>
      <c r="AB34" s="11"/>
      <c r="AC34" s="11"/>
      <c r="AE34" s="11"/>
      <c r="AF34" s="11"/>
      <c r="AG34" s="11"/>
      <c r="AH34" s="11"/>
      <c r="AI34" s="11"/>
      <c r="AJ34" s="11"/>
      <c r="AK34" s="11"/>
      <c r="AO34" s="11"/>
      <c r="AP34" s="11"/>
      <c r="AQ34" s="2">
        <v>23.020422520464596</v>
      </c>
      <c r="AR34" s="2"/>
      <c r="AS34" s="2">
        <v>12.399950590648256</v>
      </c>
      <c r="AT34" s="2"/>
      <c r="AU34" s="47"/>
      <c r="AV34" s="38"/>
      <c r="AW34" s="38"/>
      <c r="AX34" s="38"/>
      <c r="AY34" s="38"/>
      <c r="AZ34" s="38"/>
      <c r="BA34" s="38"/>
      <c r="BB34" s="38"/>
      <c r="BC34" s="38"/>
      <c r="BD34" s="73"/>
    </row>
    <row r="35" spans="3:56" s="17" customFormat="1">
      <c r="C35" s="18" t="s">
        <v>132</v>
      </c>
      <c r="D35" s="12"/>
      <c r="E35" s="12"/>
      <c r="F35" s="12"/>
      <c r="G35" s="13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1"/>
      <c r="U35" s="49" t="s">
        <v>161</v>
      </c>
      <c r="V35" s="11"/>
      <c r="W35" s="11"/>
      <c r="X35" s="11"/>
      <c r="Y35" s="11"/>
      <c r="Z35" s="11"/>
      <c r="AA35" s="2"/>
      <c r="AB35" s="11"/>
      <c r="AC35" s="11"/>
      <c r="AE35" s="11"/>
      <c r="AF35" s="11"/>
      <c r="AG35" s="11"/>
      <c r="AH35" s="11"/>
      <c r="AI35" s="11"/>
      <c r="AJ35" s="11"/>
      <c r="AK35" s="11"/>
      <c r="AO35" s="11"/>
      <c r="AP35" s="11"/>
      <c r="AQ35" s="2">
        <v>23.53274690774397</v>
      </c>
      <c r="AR35" s="2"/>
      <c r="AS35" s="2">
        <v>12.777340261028666</v>
      </c>
      <c r="AT35" s="2"/>
      <c r="AU35" s="47"/>
      <c r="AV35" s="38"/>
      <c r="AW35" s="38"/>
      <c r="AX35" s="38"/>
      <c r="AY35" s="38"/>
      <c r="AZ35" s="38"/>
      <c r="BA35" s="38"/>
      <c r="BB35" s="38"/>
      <c r="BC35" s="38"/>
      <c r="BD35" s="73"/>
    </row>
    <row r="36" spans="3:56" s="17" customFormat="1">
      <c r="C36" s="18" t="s">
        <v>134</v>
      </c>
      <c r="D36" s="12"/>
      <c r="E36" s="12"/>
      <c r="F36" s="12"/>
      <c r="G36" s="13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1"/>
      <c r="U36" s="49" t="s">
        <v>162</v>
      </c>
      <c r="V36" s="11"/>
      <c r="W36" s="11"/>
      <c r="X36" s="11"/>
      <c r="Y36" s="11"/>
      <c r="Z36" s="11"/>
      <c r="AA36" s="2"/>
      <c r="AB36" s="11"/>
      <c r="AC36" s="11"/>
      <c r="AE36" s="11"/>
      <c r="AF36" s="11"/>
      <c r="AG36" s="11"/>
      <c r="AH36" s="11"/>
      <c r="AI36" s="11"/>
      <c r="AJ36" s="11"/>
      <c r="AK36" s="11"/>
      <c r="AL36" s="52"/>
      <c r="AM36" s="11"/>
      <c r="AN36" s="11"/>
      <c r="AO36" s="51"/>
      <c r="AP36" s="53"/>
      <c r="AQ36" s="2">
        <v>24.653723125915775</v>
      </c>
      <c r="AR36" s="2">
        <v>24.653723125915775</v>
      </c>
      <c r="AS36" s="2">
        <v>13.297478642425192</v>
      </c>
      <c r="AT36" s="2">
        <v>13.297478642425192</v>
      </c>
      <c r="AU36" s="75"/>
      <c r="AV36" s="74"/>
      <c r="AW36" s="74"/>
      <c r="AX36" s="74"/>
      <c r="AY36" s="74"/>
      <c r="AZ36" s="74"/>
      <c r="BA36" s="74"/>
      <c r="BB36" s="74"/>
      <c r="BC36" s="74"/>
      <c r="BD36" s="76"/>
    </row>
    <row r="37" spans="3:56" s="17" customFormat="1">
      <c r="C37" s="18" t="s">
        <v>136</v>
      </c>
      <c r="D37" s="12"/>
      <c r="E37" s="12"/>
      <c r="F37" s="12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1"/>
      <c r="U37" s="49" t="s">
        <v>163</v>
      </c>
      <c r="V37" s="11"/>
      <c r="W37" s="11"/>
      <c r="X37" s="11"/>
      <c r="Y37" s="11"/>
      <c r="Z37" s="11"/>
      <c r="AA37" s="2"/>
      <c r="AB37" s="11"/>
      <c r="AC37" s="11"/>
      <c r="AE37" s="11"/>
      <c r="AF37" s="11"/>
      <c r="AG37" s="11"/>
      <c r="AH37" s="11"/>
      <c r="AI37" s="11"/>
      <c r="AJ37" s="11"/>
      <c r="AK37" s="11"/>
      <c r="AO37" s="11"/>
      <c r="AP37" s="11"/>
      <c r="AQ37" s="2">
        <v>24.822254786567001</v>
      </c>
      <c r="AR37" s="2"/>
      <c r="AS37" s="2">
        <v>13.526391300843956</v>
      </c>
      <c r="AT37" s="2"/>
      <c r="AU37" s="47"/>
      <c r="AV37" s="38"/>
      <c r="AW37" s="38"/>
      <c r="AX37" s="38"/>
      <c r="AY37" s="38"/>
      <c r="AZ37" s="38"/>
      <c r="BA37" s="38"/>
      <c r="BB37" s="38"/>
      <c r="BC37" s="38"/>
      <c r="BD37" s="73"/>
    </row>
    <row r="38" spans="3:56" s="17" customFormat="1">
      <c r="C38" s="18" t="s">
        <v>138</v>
      </c>
      <c r="D38" s="12"/>
      <c r="E38" s="12"/>
      <c r="F38" s="12"/>
      <c r="G38" s="1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1"/>
      <c r="U38" s="49" t="s">
        <v>164</v>
      </c>
      <c r="V38" s="11"/>
      <c r="W38" s="11"/>
      <c r="X38" s="11"/>
      <c r="Y38" s="11"/>
      <c r="Z38" s="11"/>
      <c r="AA38" s="2"/>
      <c r="AB38" s="11"/>
      <c r="AC38" s="11"/>
      <c r="AE38" s="11"/>
      <c r="AF38" s="11"/>
      <c r="AG38" s="11"/>
      <c r="AH38" s="11"/>
      <c r="AI38" s="11"/>
      <c r="AJ38" s="11"/>
      <c r="AK38" s="11"/>
      <c r="AO38" s="11"/>
      <c r="AP38" s="11"/>
      <c r="AU38" s="47"/>
      <c r="AV38" s="38"/>
      <c r="AW38" s="38"/>
      <c r="AX38" s="38"/>
      <c r="AY38" s="38"/>
      <c r="AZ38" s="38"/>
      <c r="BA38" s="38"/>
      <c r="BB38" s="38"/>
      <c r="BC38" s="38"/>
      <c r="BD38" s="73"/>
    </row>
    <row r="39" spans="3:56" s="17" customFormat="1">
      <c r="C39" s="18" t="s">
        <v>140</v>
      </c>
      <c r="D39" s="12"/>
      <c r="E39" s="12"/>
      <c r="F39" s="12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1"/>
      <c r="U39" s="49" t="s">
        <v>165</v>
      </c>
      <c r="V39" s="11"/>
      <c r="W39" s="11"/>
      <c r="X39" s="11"/>
      <c r="Y39" s="11"/>
      <c r="Z39" s="11"/>
      <c r="AA39" s="2"/>
      <c r="AB39" s="11"/>
      <c r="AC39" s="11"/>
      <c r="AE39" s="11"/>
      <c r="AF39" s="11"/>
      <c r="AG39" s="11"/>
      <c r="AH39" s="11"/>
      <c r="AI39" s="11"/>
      <c r="AJ39" s="11"/>
      <c r="AK39" s="11"/>
      <c r="AO39" s="11"/>
      <c r="AP39" s="11"/>
      <c r="AU39" s="47"/>
      <c r="AV39" s="38"/>
      <c r="AW39" s="38"/>
      <c r="AX39" s="38"/>
      <c r="AY39" s="38"/>
      <c r="AZ39" s="38"/>
      <c r="BA39" s="38"/>
      <c r="BB39" s="38"/>
      <c r="BC39" s="38"/>
      <c r="BD39" s="73"/>
    </row>
    <row r="40" spans="3:56" s="17" customFormat="1">
      <c r="C40" s="18" t="s">
        <v>142</v>
      </c>
      <c r="D40" s="12">
        <v>796.66666666666663</v>
      </c>
      <c r="E40" s="12">
        <f>1097.33333333333*2</f>
        <v>2194.6666666666601</v>
      </c>
      <c r="F40" s="12">
        <v>38.200000000000003</v>
      </c>
      <c r="G40" s="13">
        <v>1.0085</v>
      </c>
      <c r="H40" s="12">
        <v>6.7</v>
      </c>
      <c r="I40" s="12">
        <v>950</v>
      </c>
      <c r="J40" s="12">
        <v>466.9</v>
      </c>
      <c r="K40" s="12">
        <v>3.7833413549145249</v>
      </c>
      <c r="L40" s="12">
        <v>37.833413549145241</v>
      </c>
      <c r="M40" s="12">
        <v>70.850215992234553</v>
      </c>
      <c r="N40" s="12">
        <f>M40*L40/100</f>
        <v>26.805055216804735</v>
      </c>
      <c r="O40" s="12">
        <f>F40*2</f>
        <v>76.400000000000006</v>
      </c>
      <c r="P40" s="12">
        <f>L40*G40*2</f>
        <v>76.309995128625943</v>
      </c>
      <c r="Q40" s="12">
        <f>N40*G40*2</f>
        <v>54.065796372295146</v>
      </c>
      <c r="R40" s="12"/>
      <c r="S40" s="12"/>
      <c r="T40" s="11"/>
      <c r="U40" s="49" t="s">
        <v>166</v>
      </c>
      <c r="V40" s="11">
        <v>443</v>
      </c>
      <c r="W40" s="11">
        <v>2673.6666666666665</v>
      </c>
      <c r="X40" s="11">
        <f>((E40-W40)/E40)*100</f>
        <v>-21.825637910085412</v>
      </c>
      <c r="Y40" s="11">
        <v>27.566666666666666</v>
      </c>
      <c r="Z40" s="11">
        <f>((F40-Y40)/F40)*100</f>
        <v>27.835951134380458</v>
      </c>
      <c r="AA40" s="2">
        <v>0.95350000000000001</v>
      </c>
      <c r="AB40" s="11">
        <v>7.52</v>
      </c>
      <c r="AC40" s="11">
        <v>3150</v>
      </c>
      <c r="AD40" s="17">
        <v>228.1</v>
      </c>
      <c r="AE40" s="11">
        <v>2.3271036518143293</v>
      </c>
      <c r="AF40" s="11">
        <v>23.271036518143291</v>
      </c>
      <c r="AG40" s="11">
        <v>65.301340641520596</v>
      </c>
      <c r="AH40" s="11">
        <f>AG40*AF40/100</f>
        <v>15.196298827525403</v>
      </c>
      <c r="AI40" s="11">
        <f>Y40*2</f>
        <v>55.133333333333333</v>
      </c>
      <c r="AJ40" s="11">
        <f>AF40*AA40*2</f>
        <v>44.377866640099256</v>
      </c>
      <c r="AK40" s="11">
        <f>AH40*AA40*2</f>
        <v>28.979341864090944</v>
      </c>
      <c r="AL40" s="11">
        <f>P40-AJ40</f>
        <v>31.932128488526686</v>
      </c>
      <c r="AM40" s="11">
        <f>Q40-AK40</f>
        <v>25.086454508204202</v>
      </c>
      <c r="AN40" s="11">
        <f>O40-AI40</f>
        <v>21.266666666666673</v>
      </c>
      <c r="AO40" s="11">
        <f>AM40/Q40</f>
        <v>0.46399861264337566</v>
      </c>
      <c r="AP40" s="11">
        <f>AL40/P40</f>
        <v>0.41845276539073034</v>
      </c>
      <c r="AQ40" s="2">
        <v>26.767903447656003</v>
      </c>
      <c r="AR40" s="2">
        <v>26.767903447656003</v>
      </c>
      <c r="AS40" s="2">
        <v>14.450384997182617</v>
      </c>
      <c r="AT40" s="2">
        <v>14.450384997182617</v>
      </c>
      <c r="AU40" s="47">
        <f>AR40/AM40</f>
        <v>1.0670261689989673</v>
      </c>
      <c r="AV40" s="38">
        <f>AR40/AL40</f>
        <v>0.83827495111307082</v>
      </c>
      <c r="AW40" s="74"/>
      <c r="AX40" s="38">
        <f>AR40/Q40</f>
        <v>0.49509866206969699</v>
      </c>
      <c r="AY40" s="38">
        <f>AR40/P40</f>
        <v>0.35077847145104374</v>
      </c>
      <c r="AZ40" s="38">
        <f>AT40/AM40</f>
        <v>0.57602340707240252</v>
      </c>
      <c r="BA40" s="38">
        <f>AT40/AL40</f>
        <v>0.45253434960888017</v>
      </c>
      <c r="BB40" s="74"/>
      <c r="BC40" s="38">
        <f>AT40/Q40</f>
        <v>0.2672740617317052</v>
      </c>
      <c r="BD40" s="73">
        <f>AT40/P40</f>
        <v>0.18936425002813145</v>
      </c>
    </row>
    <row r="41" spans="3:56" s="17" customFormat="1">
      <c r="C41" s="18" t="s">
        <v>144</v>
      </c>
      <c r="D41" s="12"/>
      <c r="E41" s="12"/>
      <c r="F41" s="12"/>
      <c r="G41" s="13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1"/>
      <c r="U41" s="49" t="s">
        <v>167</v>
      </c>
      <c r="V41" s="11"/>
      <c r="W41" s="11"/>
      <c r="X41" s="11"/>
      <c r="Y41" s="11"/>
      <c r="Z41" s="11"/>
      <c r="AA41" s="2"/>
      <c r="AB41" s="11"/>
      <c r="AC41" s="11"/>
      <c r="AE41" s="11"/>
      <c r="AF41" s="11"/>
      <c r="AG41" s="11"/>
      <c r="AH41" s="11"/>
      <c r="AI41" s="11"/>
      <c r="AJ41" s="11"/>
      <c r="AK41" s="11"/>
      <c r="AO41" s="11"/>
      <c r="AP41" s="11"/>
      <c r="AQ41" s="2">
        <v>25.426398581737999</v>
      </c>
      <c r="AR41" s="2"/>
      <c r="AS41" s="2">
        <v>13.557609987768517</v>
      </c>
      <c r="AT41" s="2"/>
      <c r="AU41" s="47"/>
      <c r="AV41" s="38"/>
      <c r="AW41" s="38"/>
      <c r="AX41" s="38"/>
      <c r="AY41" s="38"/>
      <c r="AZ41" s="38"/>
      <c r="BA41" s="38"/>
      <c r="BB41" s="38"/>
      <c r="BC41" s="38"/>
      <c r="BD41" s="73"/>
    </row>
    <row r="42" spans="3:56" s="17" customFormat="1">
      <c r="C42" s="18" t="s">
        <v>146</v>
      </c>
      <c r="D42" s="12"/>
      <c r="E42" s="12"/>
      <c r="F42" s="12"/>
      <c r="G42" s="13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1"/>
      <c r="U42" s="49" t="s">
        <v>168</v>
      </c>
      <c r="V42" s="11"/>
      <c r="W42" s="11"/>
      <c r="X42" s="11"/>
      <c r="Y42" s="11"/>
      <c r="Z42" s="11"/>
      <c r="AA42" s="2"/>
      <c r="AB42" s="11"/>
      <c r="AC42" s="11"/>
      <c r="AE42" s="11"/>
      <c r="AF42" s="11"/>
      <c r="AG42" s="11"/>
      <c r="AH42" s="11"/>
      <c r="AI42" s="11"/>
      <c r="AJ42" s="11"/>
      <c r="AK42" s="11"/>
      <c r="AO42" s="11"/>
      <c r="AP42" s="11"/>
      <c r="AQ42" s="2">
        <v>26.719775038445999</v>
      </c>
      <c r="AR42" s="2"/>
      <c r="AS42" s="2">
        <v>14.722061650682978</v>
      </c>
      <c r="AT42" s="2"/>
      <c r="AU42" s="47"/>
      <c r="AV42" s="38"/>
      <c r="AW42" s="38"/>
      <c r="AX42" s="38"/>
      <c r="AY42" s="38"/>
      <c r="AZ42" s="38"/>
      <c r="BA42" s="38"/>
      <c r="BB42" s="38"/>
      <c r="BC42" s="38"/>
      <c r="BD42" s="73"/>
    </row>
    <row r="43" spans="3:56" s="17" customFormat="1">
      <c r="C43" s="18" t="s">
        <v>148</v>
      </c>
      <c r="D43" s="12">
        <v>796.66666666666663</v>
      </c>
      <c r="E43" s="12">
        <v>2194.6666666666601</v>
      </c>
      <c r="F43" s="12">
        <v>38.200000000000003</v>
      </c>
      <c r="G43" s="13">
        <v>1.0085</v>
      </c>
      <c r="H43" s="12">
        <v>6.7</v>
      </c>
      <c r="I43" s="12">
        <v>950</v>
      </c>
      <c r="J43" s="12">
        <v>466.9</v>
      </c>
      <c r="K43" s="12">
        <v>3.7833413549145249</v>
      </c>
      <c r="L43" s="12">
        <v>37.833413549145241</v>
      </c>
      <c r="M43" s="12">
        <v>70.850215992234553</v>
      </c>
      <c r="N43" s="12">
        <f>M43*L43/100</f>
        <v>26.805055216804735</v>
      </c>
      <c r="O43" s="12">
        <f>F43*2</f>
        <v>76.400000000000006</v>
      </c>
      <c r="P43" s="12">
        <f>L43*G43*2</f>
        <v>76.309995128625943</v>
      </c>
      <c r="Q43" s="12">
        <f>N43*G43*2</f>
        <v>54.065796372295146</v>
      </c>
      <c r="R43" s="12"/>
      <c r="S43" s="12">
        <f>Q43/40</f>
        <v>1.3516449093073786</v>
      </c>
      <c r="T43" s="11"/>
      <c r="U43" s="49" t="s">
        <v>169</v>
      </c>
      <c r="V43" s="11">
        <v>424</v>
      </c>
      <c r="W43" s="11">
        <v>2552.3333333333335</v>
      </c>
      <c r="X43" s="11">
        <f>((E43-W43)/E43)*100</f>
        <v>-16.297083839611531</v>
      </c>
      <c r="Y43" s="11">
        <v>27.899999999999995</v>
      </c>
      <c r="Z43" s="11">
        <f>((F43-Y43)/F43)*100</f>
        <v>26.963350785340335</v>
      </c>
      <c r="AA43" s="2">
        <v>0.99099999999999999</v>
      </c>
      <c r="AB43" s="11">
        <v>7.56</v>
      </c>
      <c r="AC43" s="11">
        <v>3250</v>
      </c>
      <c r="AD43" s="17">
        <v>193.2</v>
      </c>
      <c r="AE43" s="11">
        <v>2.4557465178742013</v>
      </c>
      <c r="AF43" s="11">
        <v>24.557465178742017</v>
      </c>
      <c r="AG43" s="11">
        <v>67.388211953248486</v>
      </c>
      <c r="AH43" s="11">
        <f>AG43*AF43/100</f>
        <v>16.548836684995862</v>
      </c>
      <c r="AI43" s="11">
        <f>Y43*2</f>
        <v>55.79999999999999</v>
      </c>
      <c r="AJ43" s="11">
        <f>AF43*AA43*2</f>
        <v>48.672895984266681</v>
      </c>
      <c r="AK43" s="11">
        <f>AH43*AA43*2</f>
        <v>32.799794309661799</v>
      </c>
      <c r="AL43" s="11">
        <f>P43-AJ43</f>
        <v>27.637099144359262</v>
      </c>
      <c r="AM43" s="11">
        <f>Q43-AK43</f>
        <v>21.266002062633348</v>
      </c>
      <c r="AN43" s="11">
        <f>O43-AI43</f>
        <v>20.600000000000016</v>
      </c>
      <c r="AO43" s="11">
        <f>AM43/Q43</f>
        <v>0.39333559273216684</v>
      </c>
      <c r="AP43" s="11">
        <f>AL43/P43</f>
        <v>0.36216879712513361</v>
      </c>
      <c r="AQ43" s="2">
        <v>28.265264956685343</v>
      </c>
      <c r="AR43" s="2">
        <v>28.265264956685343</v>
      </c>
      <c r="AS43" s="2">
        <v>15.787563741556598</v>
      </c>
      <c r="AT43" s="2">
        <v>15.787563741556598</v>
      </c>
      <c r="AU43" s="47">
        <f>AR43/AM43</f>
        <v>1.3291292304701903</v>
      </c>
      <c r="AV43" s="38">
        <f>AR43/AL43</f>
        <v>1.0227290790920178</v>
      </c>
      <c r="AW43" s="74"/>
      <c r="AX43" s="38">
        <f>AR43/Q43</f>
        <v>0.52279383368464116</v>
      </c>
      <c r="AY43" s="38">
        <f>AR43/P43</f>
        <v>0.37040056035965174</v>
      </c>
      <c r="AZ43" s="38">
        <f>AT43/AM43</f>
        <v>0.74238513167912479</v>
      </c>
      <c r="BA43" s="38">
        <f>AT43/AL43</f>
        <v>0.57124532712684661</v>
      </c>
      <c r="BB43" s="74"/>
      <c r="BC43" s="38">
        <f>AT43/Q43</f>
        <v>0.29200649580455629</v>
      </c>
      <c r="BD43" s="73">
        <f>AT43/P43</f>
        <v>0.20688723298888348</v>
      </c>
    </row>
    <row r="44" spans="3:56" s="17" customFormat="1">
      <c r="C44" s="18" t="s">
        <v>150</v>
      </c>
      <c r="D44" s="12"/>
      <c r="E44" s="12"/>
      <c r="F44" s="12"/>
      <c r="G44" s="13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1"/>
      <c r="U44" s="49"/>
      <c r="W44" s="11"/>
      <c r="X44" s="11"/>
      <c r="Y44" s="11"/>
      <c r="Z44" s="11"/>
      <c r="AA44" s="2"/>
      <c r="AB44" s="11"/>
      <c r="AC44" s="11"/>
      <c r="AO44" s="11"/>
      <c r="AP44" s="11"/>
      <c r="AU44" s="47"/>
      <c r="AV44" s="38"/>
      <c r="AW44" s="38"/>
      <c r="AX44" s="38"/>
      <c r="AY44" s="38"/>
      <c r="AZ44" s="38"/>
      <c r="BA44" s="38"/>
      <c r="BB44" s="38"/>
      <c r="BC44" s="38"/>
      <c r="BD44" s="73"/>
    </row>
    <row r="45" spans="3:56" s="17" customFormat="1">
      <c r="C45" s="18" t="s">
        <v>151</v>
      </c>
      <c r="D45" s="12"/>
      <c r="E45" s="12"/>
      <c r="F45" s="12"/>
      <c r="G45" s="13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1"/>
      <c r="U45" s="49"/>
      <c r="V45" s="11"/>
      <c r="W45" s="11"/>
      <c r="X45" s="11"/>
      <c r="Y45" s="11"/>
      <c r="Z45" s="11"/>
      <c r="AA45" s="2"/>
      <c r="AB45" s="11"/>
      <c r="AC45" s="11"/>
      <c r="AO45" s="11"/>
      <c r="AP45" s="11"/>
      <c r="AU45" s="47"/>
      <c r="AV45" s="38"/>
      <c r="AW45" s="38"/>
      <c r="AX45" s="38"/>
      <c r="AY45" s="38"/>
      <c r="AZ45" s="38"/>
      <c r="BA45" s="38"/>
      <c r="BB45" s="38"/>
      <c r="BC45" s="38"/>
      <c r="BD45" s="73"/>
    </row>
    <row r="46" spans="3:56" s="17" customFormat="1">
      <c r="C46" s="18" t="s">
        <v>152</v>
      </c>
      <c r="D46" s="12"/>
      <c r="E46" s="12"/>
      <c r="F46" s="12"/>
      <c r="G46" s="13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1"/>
      <c r="U46" s="49"/>
      <c r="V46" s="11"/>
      <c r="W46" s="11"/>
      <c r="X46" s="11"/>
      <c r="Y46" s="11"/>
      <c r="Z46" s="11"/>
      <c r="AA46" s="2"/>
      <c r="AB46" s="11"/>
      <c r="AC46" s="11"/>
      <c r="AO46" s="11"/>
      <c r="AP46" s="11"/>
      <c r="AU46" s="47"/>
      <c r="AV46" s="38"/>
      <c r="AW46" s="38"/>
      <c r="AX46" s="38"/>
      <c r="AY46" s="38"/>
      <c r="AZ46" s="38"/>
      <c r="BA46" s="38"/>
      <c r="BB46" s="38"/>
      <c r="BC46" s="38"/>
      <c r="BD46" s="73"/>
    </row>
    <row r="47" spans="3:56" s="89" customFormat="1">
      <c r="C47" s="89" t="s">
        <v>191</v>
      </c>
      <c r="D47" s="90">
        <f>AVERAGE(D5:D46)</f>
        <v>492.38333333333338</v>
      </c>
      <c r="E47" s="90">
        <f t="shared" ref="E47:S47" si="0">AVERAGE(E5:E46)</f>
        <v>2147.3666666666659</v>
      </c>
      <c r="F47" s="90">
        <f t="shared" si="0"/>
        <v>39.18</v>
      </c>
      <c r="G47" s="90">
        <f t="shared" si="0"/>
        <v>1.0005000000000002</v>
      </c>
      <c r="H47" s="90">
        <f t="shared" si="0"/>
        <v>6.6340000000000003</v>
      </c>
      <c r="I47" s="90">
        <f t="shared" si="0"/>
        <v>735</v>
      </c>
      <c r="J47" s="90">
        <f t="shared" si="0"/>
        <v>386.24</v>
      </c>
      <c r="K47" s="90">
        <f t="shared" si="0"/>
        <v>3.514160546179609</v>
      </c>
      <c r="L47" s="90">
        <f t="shared" si="0"/>
        <v>35.14160546179609</v>
      </c>
      <c r="M47" s="90">
        <f t="shared" si="0"/>
        <v>76.612456188122479</v>
      </c>
      <c r="N47" s="90">
        <f t="shared" si="0"/>
        <v>26.874493693706039</v>
      </c>
      <c r="O47" s="90">
        <f t="shared" si="0"/>
        <v>78.36</v>
      </c>
      <c r="P47" s="90">
        <f t="shared" si="0"/>
        <v>70.427091840379717</v>
      </c>
      <c r="Q47" s="90">
        <f t="shared" si="0"/>
        <v>53.84364498162951</v>
      </c>
      <c r="R47" s="90" t="e">
        <f t="shared" si="0"/>
        <v>#DIV/0!</v>
      </c>
      <c r="S47" s="90">
        <f t="shared" si="0"/>
        <v>1.3454740373444443</v>
      </c>
      <c r="T47" s="90"/>
      <c r="U47" s="90"/>
      <c r="V47" s="90">
        <f t="shared" ref="V47:BD47" si="1">AVERAGE(V5:V46)</f>
        <v>399.06666666666661</v>
      </c>
      <c r="W47" s="90">
        <f t="shared" si="1"/>
        <v>2475.9666666666667</v>
      </c>
      <c r="X47" s="90">
        <f t="shared" si="1"/>
        <v>-8.2921341091560876</v>
      </c>
      <c r="Y47" s="90">
        <f t="shared" si="1"/>
        <v>25.5</v>
      </c>
      <c r="Z47" s="90">
        <f t="shared" si="1"/>
        <v>34.025892650587586</v>
      </c>
      <c r="AA47" s="90">
        <f t="shared" si="1"/>
        <v>0.97224999999999984</v>
      </c>
      <c r="AB47" s="90">
        <f t="shared" si="1"/>
        <v>7.4560000000000004</v>
      </c>
      <c r="AC47" s="90">
        <f t="shared" si="1"/>
        <v>3217.5</v>
      </c>
      <c r="AD47" s="90">
        <f t="shared" si="1"/>
        <v>314.52</v>
      </c>
      <c r="AE47" s="90">
        <f t="shared" si="1"/>
        <v>2.2320707931171349</v>
      </c>
      <c r="AF47" s="90">
        <f t="shared" si="1"/>
        <v>22.320707931171345</v>
      </c>
      <c r="AG47" s="90">
        <f t="shared" si="1"/>
        <v>65.743205415168418</v>
      </c>
      <c r="AH47" s="90">
        <f t="shared" si="1"/>
        <v>14.65686989537382</v>
      </c>
      <c r="AI47" s="90">
        <f t="shared" si="1"/>
        <v>51</v>
      </c>
      <c r="AJ47" s="90">
        <f t="shared" si="1"/>
        <v>43.412235609837865</v>
      </c>
      <c r="AK47" s="90">
        <f t="shared" si="1"/>
        <v>28.50557762151076</v>
      </c>
      <c r="AL47" s="90">
        <f t="shared" si="1"/>
        <v>27.014856230541859</v>
      </c>
      <c r="AM47" s="90">
        <f t="shared" si="1"/>
        <v>25.33806736011875</v>
      </c>
      <c r="AN47" s="90">
        <f t="shared" si="1"/>
        <v>31.341666666666676</v>
      </c>
      <c r="AO47" s="90">
        <f t="shared" si="1"/>
        <v>0.46336311469630675</v>
      </c>
      <c r="AP47" s="90">
        <f t="shared" si="1"/>
        <v>0.37101762051106957</v>
      </c>
      <c r="AQ47" s="90">
        <f t="shared" si="1"/>
        <v>21.25616389558159</v>
      </c>
      <c r="AR47" s="90">
        <f t="shared" si="1"/>
        <v>21.329507426772174</v>
      </c>
      <c r="AS47" s="90">
        <f t="shared" si="1"/>
        <v>11.511203349631153</v>
      </c>
      <c r="AT47" s="90">
        <f t="shared" si="1"/>
        <v>11.573610766030873</v>
      </c>
      <c r="AU47" s="91">
        <f t="shared" si="1"/>
        <v>0.87925116720766994</v>
      </c>
      <c r="AV47" s="92">
        <f t="shared" si="1"/>
        <v>0.90299271939855219</v>
      </c>
      <c r="AW47" s="92">
        <f t="shared" si="1"/>
        <v>0.59809502920282454</v>
      </c>
      <c r="AX47" s="92">
        <f t="shared" si="1"/>
        <v>0.39271707111976423</v>
      </c>
      <c r="AY47" s="92">
        <f t="shared" si="1"/>
        <v>0.29920449650209879</v>
      </c>
      <c r="AZ47" s="92">
        <f t="shared" si="1"/>
        <v>0.47747244855473187</v>
      </c>
      <c r="BA47" s="92">
        <f t="shared" si="1"/>
        <v>0.48940904853910216</v>
      </c>
      <c r="BB47" s="92">
        <f t="shared" si="1"/>
        <v>0.32337246231590994</v>
      </c>
      <c r="BC47" s="92">
        <f t="shared" si="1"/>
        <v>0.2131192832480151</v>
      </c>
      <c r="BD47" s="93">
        <f t="shared" si="1"/>
        <v>0.16231024916458717</v>
      </c>
    </row>
    <row r="48" spans="3:56" s="17" customFormat="1">
      <c r="C48" s="14" t="s">
        <v>18</v>
      </c>
      <c r="D48" s="18">
        <f>STDEV(D5:D46)</f>
        <v>177.89629382880514</v>
      </c>
      <c r="E48" s="18">
        <f t="shared" ref="E48:AT48" si="2">STDEV(E5:E46)</f>
        <v>614.71075603103418</v>
      </c>
      <c r="F48" s="18">
        <f t="shared" si="2"/>
        <v>3.6847977648577723</v>
      </c>
      <c r="G48" s="18">
        <f t="shared" si="2"/>
        <v>1.7058722109231945E-2</v>
      </c>
      <c r="H48" s="18">
        <f t="shared" si="2"/>
        <v>7.4117024584998803E-2</v>
      </c>
      <c r="I48" s="18">
        <f t="shared" si="2"/>
        <v>155.9914527573012</v>
      </c>
      <c r="J48" s="18">
        <f t="shared" si="2"/>
        <v>114.61577552850216</v>
      </c>
      <c r="K48" s="18">
        <f t="shared" si="2"/>
        <v>0.46420224500014223</v>
      </c>
      <c r="L48" s="18">
        <f t="shared" si="2"/>
        <v>4.6420224500014484</v>
      </c>
      <c r="M48" s="18">
        <f t="shared" si="2"/>
        <v>3.209239221914681</v>
      </c>
      <c r="N48" s="18">
        <f t="shared" si="2"/>
        <v>3.381981962931687</v>
      </c>
      <c r="O48" s="18">
        <f t="shared" si="2"/>
        <v>7.3695955297155447</v>
      </c>
      <c r="P48" s="18">
        <f t="shared" si="2"/>
        <v>10.210923078386077</v>
      </c>
      <c r="Q48" s="18">
        <f t="shared" si="2"/>
        <v>7.4058583071459436</v>
      </c>
      <c r="R48" s="18" t="e">
        <f t="shared" si="2"/>
        <v>#DIV/0!</v>
      </c>
      <c r="S48" s="18">
        <f t="shared" si="2"/>
        <v>0.19636656583538117</v>
      </c>
      <c r="V48" s="17">
        <f t="shared" si="2"/>
        <v>39.877838147380885</v>
      </c>
      <c r="W48" s="17">
        <f t="shared" si="2"/>
        <v>462.5986034363213</v>
      </c>
      <c r="X48" s="17">
        <f t="shared" si="2"/>
        <v>12.026925825933928</v>
      </c>
      <c r="Y48" s="17">
        <f t="shared" si="2"/>
        <v>2.7411811457972113</v>
      </c>
      <c r="Z48" s="17">
        <f t="shared" si="2"/>
        <v>12.051600882743442</v>
      </c>
      <c r="AA48" s="17">
        <f t="shared" si="2"/>
        <v>9.6645112539526599E-3</v>
      </c>
      <c r="AB48" s="17">
        <f t="shared" si="2"/>
        <v>9.9465236808285326E-2</v>
      </c>
      <c r="AC48" s="17">
        <f t="shared" si="2"/>
        <v>64.603491477714357</v>
      </c>
      <c r="AD48" s="17">
        <f t="shared" si="2"/>
        <v>191.48349392165497</v>
      </c>
      <c r="AE48" s="17">
        <f t="shared" si="2"/>
        <v>0.1643038314034119</v>
      </c>
      <c r="AF48" s="17">
        <f t="shared" si="2"/>
        <v>1.6430383140341989</v>
      </c>
      <c r="AG48" s="17">
        <f t="shared" si="2"/>
        <v>4.4723806838300302</v>
      </c>
      <c r="AH48" s="17">
        <f t="shared" si="2"/>
        <v>1.3090594011095615</v>
      </c>
      <c r="AI48" s="17">
        <f t="shared" si="2"/>
        <v>5.4823622915944226</v>
      </c>
      <c r="AJ48" s="17">
        <f t="shared" si="2"/>
        <v>3.3811875235760671</v>
      </c>
      <c r="AK48" s="17">
        <f t="shared" si="2"/>
        <v>2.6452090588654005</v>
      </c>
      <c r="AL48" s="17">
        <f t="shared" si="2"/>
        <v>11.132932028185387</v>
      </c>
      <c r="AM48" s="17">
        <f t="shared" si="2"/>
        <v>7.4087227114993786</v>
      </c>
      <c r="AN48" s="17">
        <f t="shared" si="2"/>
        <v>8.3776772550913936</v>
      </c>
      <c r="AO48" s="17">
        <f t="shared" si="2"/>
        <v>7.2881676352417393E-2</v>
      </c>
      <c r="AP48" s="17">
        <f t="shared" si="2"/>
        <v>0.10724914275481394</v>
      </c>
      <c r="AQ48" s="17">
        <f t="shared" si="2"/>
        <v>3.6446069840043842</v>
      </c>
      <c r="AR48" s="17">
        <f t="shared" si="2"/>
        <v>4.1928032940313384</v>
      </c>
      <c r="AS48" s="17">
        <f t="shared" si="2"/>
        <v>2.0289647988356281</v>
      </c>
      <c r="AT48" s="17">
        <f t="shared" si="2"/>
        <v>2.3562716825253549</v>
      </c>
      <c r="AU48" s="47">
        <f t="shared" ref="AU48:BD48" si="3">STDEV(AU5:AU46)</f>
        <v>0.26516562530238014</v>
      </c>
      <c r="AV48" s="38">
        <f t="shared" si="3"/>
        <v>0.40073541259278594</v>
      </c>
      <c r="AW48" s="38">
        <f t="shared" si="3"/>
        <v>0.17071886098034633</v>
      </c>
      <c r="AX48" s="38">
        <f t="shared" si="3"/>
        <v>8.2470450478793395E-2</v>
      </c>
      <c r="AY48" s="38">
        <f t="shared" si="3"/>
        <v>5.371108510880912E-2</v>
      </c>
      <c r="AZ48" s="38">
        <f t="shared" si="3"/>
        <v>0.14838186905888115</v>
      </c>
      <c r="BA48" s="38">
        <f t="shared" si="3"/>
        <v>0.21609084159182521</v>
      </c>
      <c r="BB48" s="38">
        <f t="shared" si="3"/>
        <v>9.3083059077958358E-2</v>
      </c>
      <c r="BC48" s="38">
        <f t="shared" si="3"/>
        <v>4.6626580665040496E-2</v>
      </c>
      <c r="BD48" s="73">
        <f t="shared" si="3"/>
        <v>3.0319565624536554E-2</v>
      </c>
    </row>
    <row r="49" spans="3:56" s="54" customFormat="1">
      <c r="C49" s="14" t="s">
        <v>254</v>
      </c>
      <c r="D49" s="18">
        <f>CONFIDENCE(0.05,D48,10)</f>
        <v>110.25923918048605</v>
      </c>
      <c r="E49" s="18">
        <f t="shared" ref="E49:AT49" si="4">CONFIDENCE(0.05,E48,10)</f>
        <v>380.99467289221627</v>
      </c>
      <c r="F49" s="18">
        <f t="shared" si="4"/>
        <v>2.2838193497057988</v>
      </c>
      <c r="G49" s="18">
        <f t="shared" si="4"/>
        <v>1.0572911220765951E-2</v>
      </c>
      <c r="H49" s="18">
        <f t="shared" si="4"/>
        <v>4.5937363646977314E-2</v>
      </c>
      <c r="I49" s="18">
        <f t="shared" si="4"/>
        <v>96.682727500946982</v>
      </c>
      <c r="J49" s="18">
        <f t="shared" si="4"/>
        <v>71.038288296300379</v>
      </c>
      <c r="K49" s="18">
        <f t="shared" si="4"/>
        <v>0.28771024543571316</v>
      </c>
      <c r="L49" s="18">
        <f t="shared" si="4"/>
        <v>2.8771024543571477</v>
      </c>
      <c r="M49" s="18">
        <f t="shared" si="4"/>
        <v>1.9890705272196756</v>
      </c>
      <c r="N49" s="18">
        <f t="shared" si="4"/>
        <v>2.0961356199686891</v>
      </c>
      <c r="O49" s="18">
        <f t="shared" si="4"/>
        <v>4.5676386994115976</v>
      </c>
      <c r="P49" s="18">
        <f t="shared" si="4"/>
        <v>6.328679399227692</v>
      </c>
      <c r="Q49" s="18">
        <f t="shared" si="4"/>
        <v>4.5901141887205252</v>
      </c>
      <c r="R49" s="18" t="e">
        <f t="shared" si="4"/>
        <v>#DIV/0!</v>
      </c>
      <c r="S49" s="18">
        <f t="shared" si="4"/>
        <v>0.12170702201547588</v>
      </c>
      <c r="V49" s="54">
        <f t="shared" si="4"/>
        <v>24.716085982792013</v>
      </c>
      <c r="W49" s="54">
        <f t="shared" si="4"/>
        <v>286.71631636085982</v>
      </c>
      <c r="X49" s="54">
        <f>CONFIDENCE(0.05,X48,8)</f>
        <v>8.3340812486658695</v>
      </c>
      <c r="Y49" s="54">
        <f t="shared" si="4"/>
        <v>1.6989704568120374</v>
      </c>
      <c r="Z49" s="54">
        <f t="shared" si="4"/>
        <v>7.4695223584416537</v>
      </c>
      <c r="AA49" s="54">
        <f t="shared" si="4"/>
        <v>5.9900160648513872E-3</v>
      </c>
      <c r="AB49" s="54">
        <f t="shared" si="4"/>
        <v>6.1648059660772074E-2</v>
      </c>
      <c r="AC49" s="54">
        <f t="shared" si="4"/>
        <v>40.040923087417433</v>
      </c>
      <c r="AD49" s="54">
        <f t="shared" si="4"/>
        <v>118.68051830096245</v>
      </c>
      <c r="AE49" s="54">
        <f t="shared" si="4"/>
        <v>0.10183469849244092</v>
      </c>
      <c r="AF49" s="54">
        <f t="shared" si="4"/>
        <v>1.0183469849244586</v>
      </c>
      <c r="AG49" s="54">
        <f t="shared" si="4"/>
        <v>2.7719593304127303</v>
      </c>
      <c r="AH49" s="54">
        <f t="shared" si="4"/>
        <v>0.81134851379929074</v>
      </c>
      <c r="AI49" s="54">
        <f t="shared" si="4"/>
        <v>3.3979409136240748</v>
      </c>
      <c r="AJ49" s="54">
        <f t="shared" si="4"/>
        <v>2.0956432304026089</v>
      </c>
      <c r="AK49" s="54">
        <f t="shared" si="4"/>
        <v>1.6394874340917998</v>
      </c>
      <c r="AL49" s="54">
        <f t="shared" si="4"/>
        <v>6.9001359660536492</v>
      </c>
      <c r="AM49" s="54">
        <f t="shared" si="4"/>
        <v>4.5918895323092963</v>
      </c>
      <c r="AN49" s="54">
        <f t="shared" si="4"/>
        <v>5.1924427449565602</v>
      </c>
      <c r="AO49" s="54">
        <f t="shared" si="4"/>
        <v>4.5171700949257133E-2</v>
      </c>
      <c r="AP49" s="54">
        <f t="shared" si="4"/>
        <v>6.6472485898356429E-2</v>
      </c>
      <c r="AQ49" s="54">
        <f t="shared" si="4"/>
        <v>2.2589093033884278</v>
      </c>
      <c r="AR49" s="54">
        <f t="shared" si="4"/>
        <v>2.5986786530708255</v>
      </c>
      <c r="AS49" s="54">
        <f t="shared" si="4"/>
        <v>1.2575423030391462</v>
      </c>
      <c r="AT49" s="54">
        <f t="shared" si="4"/>
        <v>1.4604054835891258</v>
      </c>
      <c r="AU49" s="77">
        <f t="shared" ref="AU49:BD49" si="5">CONFIDENCE(0.05,AU48,10)</f>
        <v>0.16434833730034798</v>
      </c>
      <c r="AV49" s="78">
        <f t="shared" si="5"/>
        <v>0.24837381799352756</v>
      </c>
      <c r="AW49" s="78">
        <f>CONFIDENCE(0.05,AW48,6)</f>
        <v>0.1366010288424373</v>
      </c>
      <c r="AX49" s="78">
        <f t="shared" si="5"/>
        <v>5.1114775518675493E-2</v>
      </c>
      <c r="AY49" s="78">
        <f t="shared" si="5"/>
        <v>3.3289863730127406E-2</v>
      </c>
      <c r="AZ49" s="78">
        <f t="shared" si="5"/>
        <v>9.1966345326760457E-2</v>
      </c>
      <c r="BA49" s="78">
        <f t="shared" si="5"/>
        <v>0.1339320301451252</v>
      </c>
      <c r="BB49" s="78">
        <f>CONFIDENCE(0.05,BB48,6)</f>
        <v>7.4480590866373569E-2</v>
      </c>
      <c r="BC49" s="78">
        <f t="shared" si="5"/>
        <v>2.889892306954002E-2</v>
      </c>
      <c r="BD49" s="79">
        <f t="shared" si="5"/>
        <v>1.8791916155719908E-2</v>
      </c>
    </row>
    <row r="50" spans="3:56" s="17" customFormat="1">
      <c r="C50" s="14" t="s">
        <v>41</v>
      </c>
      <c r="D50" s="12">
        <f>D47+D49</f>
        <v>602.64257251381946</v>
      </c>
      <c r="E50" s="12">
        <f t="shared" ref="E50:AT50" si="6">E47+E49</f>
        <v>2528.3613395588823</v>
      </c>
      <c r="F50" s="12">
        <f t="shared" si="6"/>
        <v>41.463819349705801</v>
      </c>
      <c r="G50" s="12">
        <f t="shared" si="6"/>
        <v>1.0110729112207661</v>
      </c>
      <c r="H50" s="12">
        <f t="shared" si="6"/>
        <v>6.6799373636469781</v>
      </c>
      <c r="I50" s="12">
        <f t="shared" si="6"/>
        <v>831.68272750094695</v>
      </c>
      <c r="J50" s="12">
        <f t="shared" si="6"/>
        <v>457.27828829630039</v>
      </c>
      <c r="K50" s="12">
        <f t="shared" si="6"/>
        <v>3.8018707916153223</v>
      </c>
      <c r="L50" s="12">
        <f t="shared" si="6"/>
        <v>38.01870791615324</v>
      </c>
      <c r="M50" s="12">
        <f t="shared" si="6"/>
        <v>78.60152671534216</v>
      </c>
      <c r="N50" s="12">
        <f t="shared" si="6"/>
        <v>28.970629313674728</v>
      </c>
      <c r="O50" s="12">
        <f t="shared" si="6"/>
        <v>82.927638699411602</v>
      </c>
      <c r="P50" s="12">
        <f t="shared" si="6"/>
        <v>76.755771239607412</v>
      </c>
      <c r="Q50" s="12">
        <f t="shared" si="6"/>
        <v>58.433759170350037</v>
      </c>
      <c r="R50" s="12"/>
      <c r="S50" s="12"/>
      <c r="T50" s="11"/>
      <c r="U50" s="11"/>
      <c r="V50" s="11">
        <f t="shared" si="6"/>
        <v>423.78275264945864</v>
      </c>
      <c r="W50" s="11">
        <f t="shared" si="6"/>
        <v>2762.6829830275265</v>
      </c>
      <c r="X50" s="11"/>
      <c r="Y50" s="11">
        <f t="shared" si="6"/>
        <v>27.198970456812038</v>
      </c>
      <c r="Z50" s="11"/>
      <c r="AA50" s="11">
        <f t="shared" si="6"/>
        <v>0.97824001606485123</v>
      </c>
      <c r="AB50" s="11">
        <f t="shared" si="6"/>
        <v>7.5176480596607727</v>
      </c>
      <c r="AC50" s="11">
        <f t="shared" si="6"/>
        <v>3257.5409230874175</v>
      </c>
      <c r="AD50" s="11">
        <f t="shared" si="6"/>
        <v>433.20051830096241</v>
      </c>
      <c r="AE50" s="11">
        <f t="shared" si="6"/>
        <v>2.3339054916095758</v>
      </c>
      <c r="AF50" s="11">
        <f t="shared" si="6"/>
        <v>23.339054916095805</v>
      </c>
      <c r="AG50" s="11">
        <f t="shared" si="6"/>
        <v>68.515164745581146</v>
      </c>
      <c r="AH50" s="11">
        <f t="shared" si="6"/>
        <v>15.46821840917311</v>
      </c>
      <c r="AI50" s="11">
        <f t="shared" si="6"/>
        <v>54.397940913624076</v>
      </c>
      <c r="AJ50" s="11">
        <f t="shared" si="6"/>
        <v>45.507878840240473</v>
      </c>
      <c r="AK50" s="11">
        <f t="shared" si="6"/>
        <v>30.145065055602558</v>
      </c>
      <c r="AL50" s="11">
        <f t="shared" si="6"/>
        <v>33.914992196595506</v>
      </c>
      <c r="AM50" s="11">
        <f t="shared" si="6"/>
        <v>29.929956892428045</v>
      </c>
      <c r="AN50" s="11">
        <f t="shared" si="6"/>
        <v>36.534109411623234</v>
      </c>
      <c r="AO50" s="11">
        <f t="shared" si="6"/>
        <v>0.50853481564556391</v>
      </c>
      <c r="AP50" s="11">
        <f t="shared" si="6"/>
        <v>0.43749010640942598</v>
      </c>
      <c r="AQ50" s="11">
        <f t="shared" si="6"/>
        <v>23.515073198970018</v>
      </c>
      <c r="AR50" s="11">
        <f t="shared" si="6"/>
        <v>23.928186079843002</v>
      </c>
      <c r="AS50" s="11">
        <f t="shared" si="6"/>
        <v>12.768745652670299</v>
      </c>
      <c r="AT50" s="11">
        <f t="shared" si="6"/>
        <v>13.034016249619999</v>
      </c>
      <c r="AU50" s="49">
        <f t="shared" ref="AU50:BD50" si="7">AU47+AU49</f>
        <v>1.043599504508018</v>
      </c>
      <c r="AV50" s="39">
        <f t="shared" si="7"/>
        <v>1.1513665373920798</v>
      </c>
      <c r="AW50" s="39">
        <f t="shared" si="7"/>
        <v>0.73469605804526184</v>
      </c>
      <c r="AX50" s="39">
        <f t="shared" si="7"/>
        <v>0.44383184663843972</v>
      </c>
      <c r="AY50" s="39">
        <f t="shared" si="7"/>
        <v>0.33249436023222623</v>
      </c>
      <c r="AZ50" s="39">
        <f t="shared" si="7"/>
        <v>0.56943879388149232</v>
      </c>
      <c r="BA50" s="39">
        <f t="shared" si="7"/>
        <v>0.62334107868422739</v>
      </c>
      <c r="BB50" s="39">
        <f t="shared" si="7"/>
        <v>0.39785305318228348</v>
      </c>
      <c r="BC50" s="39">
        <f t="shared" si="7"/>
        <v>0.24201820631755511</v>
      </c>
      <c r="BD50" s="80">
        <f t="shared" si="7"/>
        <v>0.18110216532030707</v>
      </c>
    </row>
    <row r="51" spans="3:56" s="17" customFormat="1">
      <c r="C51" s="20" t="s">
        <v>42</v>
      </c>
      <c r="D51" s="12">
        <f>D47-D49</f>
        <v>382.12409415284731</v>
      </c>
      <c r="E51" s="12">
        <f t="shared" ref="E51:AT51" si="8">E47-E49</f>
        <v>1766.3719937744495</v>
      </c>
      <c r="F51" s="12">
        <f t="shared" si="8"/>
        <v>36.896180650294198</v>
      </c>
      <c r="G51" s="12">
        <f t="shared" si="8"/>
        <v>0.98992708877923419</v>
      </c>
      <c r="H51" s="12">
        <f t="shared" si="8"/>
        <v>6.5880626363530226</v>
      </c>
      <c r="I51" s="12">
        <f t="shared" si="8"/>
        <v>638.31727249905305</v>
      </c>
      <c r="J51" s="12">
        <f t="shared" si="8"/>
        <v>315.20171170369963</v>
      </c>
      <c r="K51" s="12">
        <f t="shared" si="8"/>
        <v>3.2264503007438958</v>
      </c>
      <c r="L51" s="12">
        <f t="shared" si="8"/>
        <v>32.26450300743894</v>
      </c>
      <c r="M51" s="12">
        <f t="shared" si="8"/>
        <v>74.623385660902798</v>
      </c>
      <c r="N51" s="12">
        <f t="shared" si="8"/>
        <v>24.778358073737351</v>
      </c>
      <c r="O51" s="12">
        <f t="shared" si="8"/>
        <v>73.792361300588396</v>
      </c>
      <c r="P51" s="12">
        <f t="shared" si="8"/>
        <v>64.098412441152021</v>
      </c>
      <c r="Q51" s="12">
        <f t="shared" si="8"/>
        <v>49.253530792908983</v>
      </c>
      <c r="R51" s="12"/>
      <c r="S51" s="12"/>
      <c r="T51" s="11"/>
      <c r="U51" s="11"/>
      <c r="V51" s="11">
        <f t="shared" si="8"/>
        <v>374.35058068387457</v>
      </c>
      <c r="W51" s="11">
        <f t="shared" si="8"/>
        <v>2189.2503503058069</v>
      </c>
      <c r="X51" s="11"/>
      <c r="Y51" s="11">
        <f t="shared" si="8"/>
        <v>23.801029543187962</v>
      </c>
      <c r="Z51" s="11"/>
      <c r="AA51" s="11">
        <f t="shared" si="8"/>
        <v>0.96625998393514845</v>
      </c>
      <c r="AB51" s="11">
        <f t="shared" si="8"/>
        <v>7.3943519403392282</v>
      </c>
      <c r="AC51" s="11">
        <f t="shared" si="8"/>
        <v>3177.4590769125825</v>
      </c>
      <c r="AD51" s="11">
        <f t="shared" si="8"/>
        <v>195.83948169903755</v>
      </c>
      <c r="AE51" s="11">
        <f t="shared" si="8"/>
        <v>2.1302360946246939</v>
      </c>
      <c r="AF51" s="11">
        <f t="shared" si="8"/>
        <v>21.302360946246885</v>
      </c>
      <c r="AG51" s="11">
        <f t="shared" si="8"/>
        <v>62.971246084755691</v>
      </c>
      <c r="AH51" s="11">
        <f t="shared" si="8"/>
        <v>13.84552138157453</v>
      </c>
      <c r="AI51" s="11">
        <f t="shared" si="8"/>
        <v>47.602059086375924</v>
      </c>
      <c r="AJ51" s="11">
        <f t="shared" si="8"/>
        <v>41.316592379435257</v>
      </c>
      <c r="AK51" s="11">
        <f t="shared" si="8"/>
        <v>26.866090187418962</v>
      </c>
      <c r="AL51" s="11">
        <f t="shared" si="8"/>
        <v>20.114720264488209</v>
      </c>
      <c r="AM51" s="11">
        <f t="shared" si="8"/>
        <v>20.746177827809454</v>
      </c>
      <c r="AN51" s="11">
        <f t="shared" si="8"/>
        <v>26.149223921710117</v>
      </c>
      <c r="AO51" s="11">
        <f t="shared" si="8"/>
        <v>0.4181914137470496</v>
      </c>
      <c r="AP51" s="11">
        <f t="shared" si="8"/>
        <v>0.30454513461271315</v>
      </c>
      <c r="AQ51" s="11">
        <f t="shared" si="8"/>
        <v>18.997254592193162</v>
      </c>
      <c r="AR51" s="11">
        <f t="shared" si="8"/>
        <v>18.730828773701347</v>
      </c>
      <c r="AS51" s="11">
        <f t="shared" si="8"/>
        <v>10.253661046592006</v>
      </c>
      <c r="AT51" s="11">
        <f t="shared" si="8"/>
        <v>10.113205282441747</v>
      </c>
      <c r="AU51" s="49">
        <f t="shared" ref="AU51:BD51" si="9">AU47-AU49</f>
        <v>0.7149028299073219</v>
      </c>
      <c r="AV51" s="39">
        <f t="shared" si="9"/>
        <v>0.65461890140502466</v>
      </c>
      <c r="AW51" s="39">
        <f t="shared" si="9"/>
        <v>0.46149400036038724</v>
      </c>
      <c r="AX51" s="39">
        <f t="shared" si="9"/>
        <v>0.34160229560108873</v>
      </c>
      <c r="AY51" s="39">
        <f t="shared" si="9"/>
        <v>0.26591463277197136</v>
      </c>
      <c r="AZ51" s="39">
        <f t="shared" si="9"/>
        <v>0.38550610322797141</v>
      </c>
      <c r="BA51" s="39">
        <f t="shared" si="9"/>
        <v>0.35547701839397694</v>
      </c>
      <c r="BB51" s="39">
        <f t="shared" si="9"/>
        <v>0.24889187144953637</v>
      </c>
      <c r="BC51" s="39">
        <f t="shared" si="9"/>
        <v>0.1842203601784751</v>
      </c>
      <c r="BD51" s="80">
        <f t="shared" si="9"/>
        <v>0.14351833300886727</v>
      </c>
    </row>
    <row r="52" spans="3:56" s="17" customFormat="1">
      <c r="U52" s="47"/>
      <c r="AO52" s="11"/>
      <c r="AP52" s="11"/>
      <c r="AU52" s="47"/>
      <c r="AV52" s="38"/>
      <c r="AW52" s="38"/>
      <c r="AX52" s="38"/>
      <c r="AY52" s="38"/>
      <c r="AZ52" s="38"/>
      <c r="BA52" s="38"/>
      <c r="BB52" s="38"/>
      <c r="BC52" s="38"/>
      <c r="BD52" s="73"/>
    </row>
    <row r="53" spans="3:56" s="17" customFormat="1">
      <c r="D53" s="145" t="s">
        <v>177</v>
      </c>
      <c r="E53" s="145"/>
      <c r="F53" s="145"/>
      <c r="G53" s="54" t="s">
        <v>28</v>
      </c>
      <c r="H53" s="57">
        <v>2</v>
      </c>
      <c r="I53" s="54" t="s">
        <v>101</v>
      </c>
      <c r="J53" s="54" t="s">
        <v>8</v>
      </c>
      <c r="U53" s="47"/>
      <c r="V53" s="141" t="s">
        <v>3</v>
      </c>
      <c r="W53" s="141"/>
      <c r="X53" s="141"/>
      <c r="Y53" s="141"/>
      <c r="Z53" s="20"/>
      <c r="AO53" s="11"/>
      <c r="AP53" s="11"/>
      <c r="AU53" s="47"/>
      <c r="AV53" s="38"/>
      <c r="AW53" s="38"/>
      <c r="AX53" s="38"/>
      <c r="AY53" s="38"/>
      <c r="AZ53" s="38"/>
      <c r="BA53" s="38"/>
      <c r="BB53" s="38"/>
      <c r="BC53" s="38"/>
      <c r="BD53" s="73"/>
    </row>
    <row r="54" spans="3:56" s="17" customFormat="1">
      <c r="D54" s="145" t="s">
        <v>170</v>
      </c>
      <c r="E54" s="145"/>
      <c r="F54" s="145"/>
      <c r="G54" s="54" t="s">
        <v>29</v>
      </c>
      <c r="H54" s="57">
        <v>20</v>
      </c>
      <c r="I54" s="54" t="s">
        <v>171</v>
      </c>
      <c r="J54" s="54"/>
      <c r="U54" s="47"/>
      <c r="V54" s="141" t="s">
        <v>170</v>
      </c>
      <c r="W54" s="141"/>
      <c r="X54" s="141"/>
      <c r="Y54" s="141"/>
      <c r="Z54" s="20"/>
      <c r="AO54" s="11"/>
      <c r="AP54" s="11"/>
      <c r="AU54" s="146" t="s">
        <v>102</v>
      </c>
      <c r="AV54" s="147"/>
      <c r="AW54" s="147"/>
      <c r="AX54" s="147"/>
      <c r="AY54" s="147"/>
      <c r="AZ54" s="148" t="s">
        <v>53</v>
      </c>
      <c r="BA54" s="148"/>
      <c r="BB54" s="148"/>
      <c r="BC54" s="148"/>
      <c r="BD54" s="149"/>
    </row>
    <row r="55" spans="3:56" s="17" customFormat="1">
      <c r="C55" s="17" t="s">
        <v>103</v>
      </c>
      <c r="D55" s="17" t="s">
        <v>0</v>
      </c>
      <c r="E55" s="17" t="s">
        <v>2</v>
      </c>
      <c r="F55" s="17" t="s">
        <v>10</v>
      </c>
      <c r="G55" s="17" t="s">
        <v>97</v>
      </c>
      <c r="H55" s="17" t="s">
        <v>13</v>
      </c>
      <c r="I55" s="17" t="s">
        <v>14</v>
      </c>
      <c r="J55" s="17" t="s">
        <v>31</v>
      </c>
      <c r="K55" s="17" t="s">
        <v>12</v>
      </c>
      <c r="L55" s="17" t="s">
        <v>12</v>
      </c>
      <c r="M55" s="17" t="s">
        <v>11</v>
      </c>
      <c r="N55" s="17" t="s">
        <v>11</v>
      </c>
      <c r="O55" s="17" t="s">
        <v>174</v>
      </c>
      <c r="P55" s="17" t="s">
        <v>175</v>
      </c>
      <c r="Q55" s="17" t="s">
        <v>176</v>
      </c>
      <c r="S55" s="17" t="s">
        <v>104</v>
      </c>
      <c r="U55" s="47"/>
      <c r="V55" s="19" t="s">
        <v>0</v>
      </c>
      <c r="W55" s="19" t="s">
        <v>2</v>
      </c>
      <c r="X55" s="19" t="s">
        <v>2</v>
      </c>
      <c r="Y55" s="19" t="s">
        <v>10</v>
      </c>
      <c r="Z55" s="19" t="s">
        <v>105</v>
      </c>
      <c r="AA55" s="19" t="s">
        <v>97</v>
      </c>
      <c r="AB55" s="19" t="s">
        <v>178</v>
      </c>
      <c r="AC55" s="19" t="s">
        <v>14</v>
      </c>
      <c r="AD55" s="19" t="s">
        <v>31</v>
      </c>
      <c r="AE55" s="19" t="s">
        <v>12</v>
      </c>
      <c r="AF55" s="19" t="s">
        <v>12</v>
      </c>
      <c r="AG55" s="19" t="s">
        <v>11</v>
      </c>
      <c r="AH55" s="19" t="s">
        <v>11</v>
      </c>
      <c r="AI55" s="19" t="s">
        <v>181</v>
      </c>
      <c r="AJ55" s="19" t="s">
        <v>175</v>
      </c>
      <c r="AK55" s="19" t="s">
        <v>176</v>
      </c>
      <c r="AL55" s="19" t="s">
        <v>179</v>
      </c>
      <c r="AM55" s="19" t="s">
        <v>176</v>
      </c>
      <c r="AN55" s="19" t="s">
        <v>180</v>
      </c>
      <c r="AO55" s="19" t="s">
        <v>106</v>
      </c>
      <c r="AP55" s="19" t="s">
        <v>107</v>
      </c>
      <c r="AQ55" s="19" t="s">
        <v>182</v>
      </c>
      <c r="AR55" s="19" t="s">
        <v>182</v>
      </c>
      <c r="AS55" s="19" t="s">
        <v>183</v>
      </c>
      <c r="AT55" s="19" t="s">
        <v>183</v>
      </c>
      <c r="AU55" s="47" t="s">
        <v>184</v>
      </c>
      <c r="AV55" s="38" t="s">
        <v>185</v>
      </c>
      <c r="AW55" s="38" t="s">
        <v>186</v>
      </c>
      <c r="AX55" s="38" t="s">
        <v>184</v>
      </c>
      <c r="AY55" s="38" t="s">
        <v>184</v>
      </c>
      <c r="AZ55" s="38" t="s">
        <v>184</v>
      </c>
      <c r="BA55" s="38" t="s">
        <v>185</v>
      </c>
      <c r="BB55" s="38" t="s">
        <v>186</v>
      </c>
      <c r="BC55" s="38" t="s">
        <v>184</v>
      </c>
      <c r="BD55" s="73" t="s">
        <v>184</v>
      </c>
    </row>
    <row r="56" spans="3:56" s="17" customFormat="1" ht="17.25">
      <c r="D56" s="17" t="s">
        <v>32</v>
      </c>
      <c r="E56" s="17" t="s">
        <v>32</v>
      </c>
      <c r="F56" s="17" t="s">
        <v>33</v>
      </c>
      <c r="G56" s="17" t="s">
        <v>34</v>
      </c>
      <c r="H56" s="17" t="s">
        <v>13</v>
      </c>
      <c r="I56" s="17" t="s">
        <v>35</v>
      </c>
      <c r="J56" s="17" t="s">
        <v>32</v>
      </c>
      <c r="K56" s="17" t="s">
        <v>17</v>
      </c>
      <c r="L56" s="17" t="s">
        <v>30</v>
      </c>
      <c r="M56" s="17" t="s">
        <v>17</v>
      </c>
      <c r="N56" s="17" t="s">
        <v>30</v>
      </c>
      <c r="O56" s="17" t="s">
        <v>109</v>
      </c>
      <c r="P56" s="17" t="s">
        <v>109</v>
      </c>
      <c r="Q56" s="17" t="s">
        <v>109</v>
      </c>
      <c r="U56" s="47"/>
      <c r="V56" s="19" t="s">
        <v>32</v>
      </c>
      <c r="W56" s="19" t="s">
        <v>32</v>
      </c>
      <c r="X56" s="19"/>
      <c r="Y56" s="19" t="s">
        <v>33</v>
      </c>
      <c r="Z56" s="19"/>
      <c r="AA56" s="19" t="s">
        <v>34</v>
      </c>
      <c r="AB56" s="19" t="s">
        <v>13</v>
      </c>
      <c r="AC56" s="19" t="s">
        <v>35</v>
      </c>
      <c r="AD56" s="19" t="s">
        <v>32</v>
      </c>
      <c r="AE56" s="19" t="s">
        <v>17</v>
      </c>
      <c r="AF56" s="19" t="s">
        <v>30</v>
      </c>
      <c r="AG56" s="19" t="s">
        <v>17</v>
      </c>
      <c r="AH56" s="19" t="s">
        <v>30</v>
      </c>
      <c r="AI56" s="19" t="s">
        <v>109</v>
      </c>
      <c r="AJ56" s="19" t="s">
        <v>109</v>
      </c>
      <c r="AK56" s="19" t="s">
        <v>109</v>
      </c>
      <c r="AL56" s="19" t="s">
        <v>109</v>
      </c>
      <c r="AM56" s="19" t="s">
        <v>109</v>
      </c>
      <c r="AN56" s="19" t="s">
        <v>109</v>
      </c>
      <c r="AO56" s="19" t="s">
        <v>25</v>
      </c>
      <c r="AP56" s="19" t="s">
        <v>25</v>
      </c>
      <c r="AQ56" s="19" t="s">
        <v>110</v>
      </c>
      <c r="AR56" s="19" t="s">
        <v>110</v>
      </c>
      <c r="AS56" s="19" t="s">
        <v>110</v>
      </c>
      <c r="AT56" s="19" t="s">
        <v>110</v>
      </c>
      <c r="AU56" s="47"/>
      <c r="AV56" s="38"/>
      <c r="AW56" s="38"/>
      <c r="AX56" s="38"/>
      <c r="AY56" s="38"/>
      <c r="AZ56" s="38"/>
      <c r="BA56" s="38"/>
      <c r="BB56" s="38"/>
      <c r="BC56" s="38"/>
      <c r="BD56" s="73"/>
    </row>
    <row r="57" spans="3:56" s="17" customFormat="1">
      <c r="C57" s="48" t="s">
        <v>111</v>
      </c>
      <c r="D57" s="11">
        <v>550.75</v>
      </c>
      <c r="E57" s="11">
        <v>3070</v>
      </c>
      <c r="F57" s="11">
        <v>49.974999999999994</v>
      </c>
      <c r="G57" s="2">
        <v>1.0195000000000001</v>
      </c>
      <c r="H57" s="11">
        <v>6.63</v>
      </c>
      <c r="I57" s="11">
        <v>825</v>
      </c>
      <c r="J57" s="17">
        <v>945</v>
      </c>
      <c r="K57" s="11">
        <v>4.3695752538606794</v>
      </c>
      <c r="L57" s="11">
        <v>43.695752538606797</v>
      </c>
      <c r="M57" s="11">
        <v>80.555248179348681</v>
      </c>
      <c r="N57" s="11">
        <f>M57*L57/100</f>
        <v>35.199221901308754</v>
      </c>
      <c r="O57" s="11">
        <f>F57*2</f>
        <v>99.949999999999989</v>
      </c>
      <c r="P57" s="11">
        <f>L57*G57*2</f>
        <v>89.095639426219265</v>
      </c>
      <c r="Q57" s="11">
        <f>N57*G57*2</f>
        <v>71.77121345676855</v>
      </c>
      <c r="S57" s="11">
        <f>Q57/40</f>
        <v>1.7942803364192137</v>
      </c>
      <c r="U57" s="47" t="s">
        <v>112</v>
      </c>
      <c r="V57" s="11">
        <v>324.66666666666669</v>
      </c>
      <c r="W57" s="11">
        <v>3322</v>
      </c>
      <c r="X57" s="11">
        <f>((E57-W57)/E57)*100</f>
        <v>-8.2084690553745929</v>
      </c>
      <c r="Y57" s="11">
        <v>28.633333333333336</v>
      </c>
      <c r="Z57" s="11">
        <f>((F57-Y57)/F57)*100</f>
        <v>42.704685676171408</v>
      </c>
      <c r="AA57" s="2">
        <v>0.97099999999999997</v>
      </c>
      <c r="AB57" s="11">
        <v>7.76</v>
      </c>
      <c r="AC57" s="11">
        <v>3175</v>
      </c>
      <c r="AD57" s="17">
        <v>930.7</v>
      </c>
      <c r="AE57" s="11">
        <v>2.5657028340358177</v>
      </c>
      <c r="AF57" s="11">
        <v>25.657028340358181</v>
      </c>
      <c r="AG57" s="11">
        <v>73.543889798210429</v>
      </c>
      <c r="AH57" s="11">
        <f>AG57*AF57/100</f>
        <v>18.86917664812864</v>
      </c>
      <c r="AI57" s="11">
        <f>Y57*2</f>
        <v>57.266666666666673</v>
      </c>
      <c r="AJ57" s="11">
        <f>AF57*AA57*2</f>
        <v>49.825949036975587</v>
      </c>
      <c r="AK57" s="11">
        <f>AH57*AA57*2</f>
        <v>36.643941050665816</v>
      </c>
      <c r="AL57" s="11">
        <f>P57-AJ57</f>
        <v>39.269690389243678</v>
      </c>
      <c r="AM57" s="11">
        <f>Q57-AK57</f>
        <v>35.127272406102733</v>
      </c>
      <c r="AN57" s="11">
        <f>O57-AI57</f>
        <v>42.683333333333316</v>
      </c>
      <c r="AO57" s="11">
        <f>AM57/Q57</f>
        <v>0.48943400444610952</v>
      </c>
      <c r="AP57" s="11">
        <f>AL57/P57</f>
        <v>0.4407588367078637</v>
      </c>
      <c r="AQ57" s="2">
        <v>23.770144487986776</v>
      </c>
      <c r="AR57" s="2">
        <f>AQ57</f>
        <v>23.770144487986776</v>
      </c>
      <c r="AS57" s="2">
        <v>12.595799564184194</v>
      </c>
      <c r="AT57" s="2">
        <f>AS57</f>
        <v>12.595799564184194</v>
      </c>
      <c r="AU57" s="47">
        <f>AR57/AM57</f>
        <v>0.67668631407479107</v>
      </c>
      <c r="AV57" s="38">
        <f>AR57/AL57</f>
        <v>0.60530511578715251</v>
      </c>
      <c r="AW57" s="38">
        <f>AR57/AN57</f>
        <v>0.55689522424022142</v>
      </c>
      <c r="AX57" s="38">
        <f>AR57/Q57</f>
        <v>0.33119329245150275</v>
      </c>
      <c r="AY57" s="38">
        <f>AR57/P57</f>
        <v>0.26679357868766407</v>
      </c>
      <c r="AZ57" s="38">
        <f>AT57/AM57</f>
        <v>0.35857607782823181</v>
      </c>
      <c r="BA57" s="38">
        <f>AT57/AL57</f>
        <v>0.32075118085561216</v>
      </c>
      <c r="BB57" s="38">
        <f>AT57/AN57</f>
        <v>0.29509877932489337</v>
      </c>
      <c r="BC57" s="38">
        <f>AT57/Q57</f>
        <v>0.17549932567005133</v>
      </c>
      <c r="BD57" s="73">
        <f>AT57/P57</f>
        <v>0.14137391734659321</v>
      </c>
    </row>
    <row r="58" spans="3:56" s="17" customFormat="1">
      <c r="C58" s="48" t="s">
        <v>113</v>
      </c>
      <c r="D58" s="11"/>
      <c r="E58" s="11"/>
      <c r="F58" s="11"/>
      <c r="G58" s="2"/>
      <c r="H58" s="11"/>
      <c r="I58" s="11"/>
      <c r="K58" s="11"/>
      <c r="L58" s="11"/>
      <c r="M58" s="11"/>
      <c r="N58" s="11"/>
      <c r="O58" s="11"/>
      <c r="P58" s="11"/>
      <c r="Q58" s="11"/>
      <c r="U58" s="47" t="s">
        <v>114</v>
      </c>
      <c r="V58" s="11"/>
      <c r="W58" s="11"/>
      <c r="X58" s="11"/>
      <c r="Y58" s="11"/>
      <c r="Z58" s="11"/>
      <c r="AA58" s="2"/>
      <c r="AB58" s="11"/>
      <c r="AC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2">
        <v>27.842033883895898</v>
      </c>
      <c r="AR58" s="2"/>
      <c r="AS58" s="2">
        <v>14.185237843506121</v>
      </c>
      <c r="AT58" s="2"/>
      <c r="AU58" s="47"/>
      <c r="AV58" s="38"/>
      <c r="AW58" s="38"/>
      <c r="AX58" s="38"/>
      <c r="AY58" s="38"/>
      <c r="AZ58" s="38"/>
      <c r="BA58" s="38"/>
      <c r="BB58" s="38"/>
      <c r="BC58" s="38"/>
      <c r="BD58" s="73"/>
    </row>
    <row r="59" spans="3:56" s="17" customFormat="1">
      <c r="C59" s="17" t="s">
        <v>115</v>
      </c>
      <c r="D59" s="11"/>
      <c r="E59" s="11"/>
      <c r="F59" s="11"/>
      <c r="G59" s="2"/>
      <c r="H59" s="11"/>
      <c r="I59" s="11"/>
      <c r="K59" s="11"/>
      <c r="L59" s="11"/>
      <c r="M59" s="11"/>
      <c r="N59" s="11"/>
      <c r="O59" s="11"/>
      <c r="P59" s="11"/>
      <c r="Q59" s="11"/>
      <c r="U59" s="47" t="s">
        <v>116</v>
      </c>
      <c r="V59" s="11"/>
      <c r="W59" s="11"/>
      <c r="X59" s="11"/>
      <c r="Y59" s="11"/>
      <c r="Z59" s="11"/>
      <c r="AA59" s="2"/>
      <c r="AB59" s="11"/>
      <c r="AC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2">
        <v>29.017348299405231</v>
      </c>
      <c r="AR59" s="2"/>
      <c r="AS59" s="2">
        <v>14.978465018669988</v>
      </c>
      <c r="AT59" s="2"/>
      <c r="AU59" s="47"/>
      <c r="AV59" s="38"/>
      <c r="AW59" s="38"/>
      <c r="AX59" s="38"/>
      <c r="AY59" s="38"/>
      <c r="AZ59" s="38"/>
      <c r="BA59" s="38"/>
      <c r="BB59" s="38"/>
      <c r="BC59" s="38"/>
      <c r="BD59" s="73"/>
    </row>
    <row r="60" spans="3:56" s="17" customFormat="1">
      <c r="C60" s="17" t="s">
        <v>117</v>
      </c>
      <c r="D60" s="11">
        <v>550.75</v>
      </c>
      <c r="E60" s="11">
        <v>3070</v>
      </c>
      <c r="F60" s="11">
        <v>49.974999999999994</v>
      </c>
      <c r="G60" s="2">
        <v>1.0195000000000001</v>
      </c>
      <c r="H60" s="11">
        <v>6.63</v>
      </c>
      <c r="I60" s="11">
        <v>825</v>
      </c>
      <c r="J60" s="17">
        <v>945</v>
      </c>
      <c r="K60" s="11">
        <v>4.3695752538606794</v>
      </c>
      <c r="L60" s="11">
        <v>43.695752538606797</v>
      </c>
      <c r="M60" s="11">
        <v>80.555248179348681</v>
      </c>
      <c r="N60" s="11">
        <f>M60*L60/100</f>
        <v>35.199221901308754</v>
      </c>
      <c r="O60" s="11">
        <f>F60*2</f>
        <v>99.949999999999989</v>
      </c>
      <c r="P60" s="11">
        <f>L60*G60*2</f>
        <v>89.095639426219265</v>
      </c>
      <c r="Q60" s="11">
        <f>N60*G60*2</f>
        <v>71.77121345676855</v>
      </c>
      <c r="S60" s="11">
        <f>Q60/40</f>
        <v>1.7942803364192137</v>
      </c>
      <c r="U60" s="47" t="s">
        <v>118</v>
      </c>
      <c r="V60" s="11">
        <v>376</v>
      </c>
      <c r="W60" s="11">
        <v>2369</v>
      </c>
      <c r="X60" s="11">
        <f>((E60-W60)/E60)*100</f>
        <v>22.833876221498372</v>
      </c>
      <c r="Y60" s="11">
        <v>26.933333333333334</v>
      </c>
      <c r="Z60" s="11">
        <f>((F60-Y60)/F60)*100</f>
        <v>46.10638652659663</v>
      </c>
      <c r="AA60" s="2">
        <v>0.96699999999999997</v>
      </c>
      <c r="AB60" s="11">
        <v>7.85</v>
      </c>
      <c r="AC60" s="11">
        <v>2800</v>
      </c>
      <c r="AD60" s="17">
        <v>370.2</v>
      </c>
      <c r="AE60" s="11">
        <v>2.670679054054482</v>
      </c>
      <c r="AF60" s="11">
        <v>26.706790540544819</v>
      </c>
      <c r="AG60" s="11">
        <v>74.551722076375952</v>
      </c>
      <c r="AH60" s="11">
        <f>AG60*AF60/100</f>
        <v>19.910372259306836</v>
      </c>
      <c r="AI60" s="11">
        <f>Y60*2</f>
        <v>53.866666666666667</v>
      </c>
      <c r="AJ60" s="11">
        <f>AF60*AA60*2</f>
        <v>51.650932905413676</v>
      </c>
      <c r="AK60" s="11">
        <f>AH60*AA60*2</f>
        <v>38.506659949499422</v>
      </c>
      <c r="AL60" s="11">
        <f>P60-AJ60</f>
        <v>37.444706520805589</v>
      </c>
      <c r="AM60" s="11">
        <f>Q60-AK60</f>
        <v>33.264553507269127</v>
      </c>
      <c r="AN60" s="11">
        <f>O60-AI60</f>
        <v>46.083333333333321</v>
      </c>
      <c r="AO60" s="11">
        <f>AM60/Q60</f>
        <v>0.46348043881557138</v>
      </c>
      <c r="AP60" s="11">
        <f>AL60/P60</f>
        <v>0.4202754114786259</v>
      </c>
      <c r="AQ60" s="2">
        <v>29.711309499519412</v>
      </c>
      <c r="AR60" s="2">
        <f>AQ60</f>
        <v>29.711309499519412</v>
      </c>
      <c r="AS60" s="2">
        <v>15.369363291006398</v>
      </c>
      <c r="AT60" s="2">
        <f>AS60</f>
        <v>15.369363291006398</v>
      </c>
      <c r="AU60" s="47">
        <f>AR60/AM60</f>
        <v>0.89318227262622829</v>
      </c>
      <c r="AV60" s="38">
        <f>AR60/AL60</f>
        <v>0.79347155473126141</v>
      </c>
      <c r="AW60" s="38">
        <f>AR60/AN60</f>
        <v>0.64473004338920981</v>
      </c>
      <c r="AX60" s="38">
        <f>AR60/Q60</f>
        <v>0.4139725116590936</v>
      </c>
      <c r="AY60" s="38">
        <f>AR60/P60</f>
        <v>0.33347658416126597</v>
      </c>
      <c r="AZ60" s="38">
        <f>AT60/AM60</f>
        <v>0.46203425780682167</v>
      </c>
      <c r="BA60" s="38">
        <f>AT60/AL60</f>
        <v>0.41045490054693423</v>
      </c>
      <c r="BB60" s="38">
        <f>AT60/AN60</f>
        <v>0.33351240414480438</v>
      </c>
      <c r="BC60" s="38">
        <f>AT60/Q60</f>
        <v>0.21414384055613253</v>
      </c>
      <c r="BD60" s="73">
        <f>AT60/P60</f>
        <v>0.17250410222078127</v>
      </c>
    </row>
    <row r="61" spans="3:56" s="17" customFormat="1">
      <c r="C61" s="17" t="s">
        <v>119</v>
      </c>
      <c r="D61" s="11"/>
      <c r="E61" s="11"/>
      <c r="F61" s="11"/>
      <c r="G61" s="2"/>
      <c r="H61" s="11"/>
      <c r="I61" s="11"/>
      <c r="K61" s="11"/>
      <c r="L61" s="11"/>
      <c r="M61" s="11"/>
      <c r="N61" s="11"/>
      <c r="O61" s="11"/>
      <c r="P61" s="11"/>
      <c r="Q61" s="11"/>
      <c r="U61" s="47" t="s">
        <v>120</v>
      </c>
      <c r="V61" s="11"/>
      <c r="W61" s="11"/>
      <c r="X61" s="11"/>
      <c r="Y61" s="11"/>
      <c r="Z61" s="11"/>
      <c r="AA61" s="2"/>
      <c r="AB61" s="11"/>
      <c r="AC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U61" s="47"/>
      <c r="AV61" s="38"/>
      <c r="AW61" s="38"/>
      <c r="AX61" s="38"/>
      <c r="AY61" s="38"/>
      <c r="AZ61" s="38"/>
      <c r="BA61" s="38"/>
      <c r="BB61" s="38"/>
      <c r="BC61" s="38"/>
      <c r="BD61" s="73"/>
    </row>
    <row r="62" spans="3:56" s="17" customFormat="1">
      <c r="C62" s="17" t="s">
        <v>121</v>
      </c>
      <c r="D62" s="11"/>
      <c r="E62" s="11"/>
      <c r="F62" s="11"/>
      <c r="G62" s="2"/>
      <c r="H62" s="11"/>
      <c r="I62" s="11"/>
      <c r="K62" s="11"/>
      <c r="L62" s="11"/>
      <c r="M62" s="11"/>
      <c r="N62" s="11"/>
      <c r="O62" s="11"/>
      <c r="P62" s="11"/>
      <c r="Q62" s="11"/>
      <c r="U62" s="47" t="s">
        <v>122</v>
      </c>
      <c r="V62" s="11"/>
      <c r="W62" s="11"/>
      <c r="X62" s="11"/>
      <c r="Y62" s="11"/>
      <c r="Z62" s="11"/>
      <c r="AA62" s="2"/>
      <c r="AB62" s="11"/>
      <c r="AC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U62" s="47"/>
      <c r="AV62" s="38"/>
      <c r="AW62" s="38"/>
      <c r="AX62" s="38"/>
      <c r="AY62" s="38"/>
      <c r="AZ62" s="38"/>
      <c r="BA62" s="38"/>
      <c r="BB62" s="38"/>
      <c r="BC62" s="38"/>
      <c r="BD62" s="73"/>
    </row>
    <row r="63" spans="3:56" s="17" customFormat="1">
      <c r="C63" s="17" t="s">
        <v>123</v>
      </c>
      <c r="D63" s="11"/>
      <c r="E63" s="11"/>
      <c r="F63" s="11"/>
      <c r="G63" s="2"/>
      <c r="H63" s="11"/>
      <c r="I63" s="11"/>
      <c r="K63" s="11"/>
      <c r="L63" s="11"/>
      <c r="M63" s="11"/>
      <c r="N63" s="11"/>
      <c r="O63" s="11"/>
      <c r="P63" s="11"/>
      <c r="Q63" s="11"/>
      <c r="U63" s="47" t="s">
        <v>124</v>
      </c>
      <c r="V63" s="11"/>
      <c r="W63" s="11"/>
      <c r="X63" s="11"/>
      <c r="Y63" s="11"/>
      <c r="Z63" s="11"/>
      <c r="AA63" s="2"/>
      <c r="AB63" s="11"/>
      <c r="AC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U63" s="47"/>
      <c r="AV63" s="38"/>
      <c r="AW63" s="38"/>
      <c r="AX63" s="38"/>
      <c r="AY63" s="38"/>
      <c r="AZ63" s="38"/>
      <c r="BA63" s="38"/>
      <c r="BB63" s="38"/>
      <c r="BC63" s="38"/>
      <c r="BD63" s="73"/>
    </row>
    <row r="64" spans="3:56" s="17" customFormat="1">
      <c r="C64" s="17" t="s">
        <v>125</v>
      </c>
      <c r="D64" s="11">
        <v>572.75</v>
      </c>
      <c r="E64" s="11">
        <v>2728.75</v>
      </c>
      <c r="F64" s="11">
        <v>56.05</v>
      </c>
      <c r="G64" s="2">
        <v>1.0209999999999999</v>
      </c>
      <c r="H64" s="11">
        <v>6.73</v>
      </c>
      <c r="I64" s="11">
        <v>750</v>
      </c>
      <c r="J64" s="17">
        <v>835.1</v>
      </c>
      <c r="K64" s="11">
        <v>4.1204221937553456</v>
      </c>
      <c r="L64" s="11">
        <v>41.204221937553449</v>
      </c>
      <c r="M64" s="11">
        <v>80.46804474570105</v>
      </c>
      <c r="N64" s="11">
        <f>M64*L64/100</f>
        <v>33.156231745828478</v>
      </c>
      <c r="O64" s="11">
        <f>F64*2</f>
        <v>112.1</v>
      </c>
      <c r="P64" s="11">
        <f>L64*G64*2</f>
        <v>84.139021196484137</v>
      </c>
      <c r="Q64" s="11">
        <f>N64*G64*2</f>
        <v>67.705025224981753</v>
      </c>
      <c r="S64" s="11">
        <f>Q64/40</f>
        <v>1.6926256306245437</v>
      </c>
      <c r="U64" s="47" t="s">
        <v>126</v>
      </c>
      <c r="V64" s="11">
        <v>499.66666666666669</v>
      </c>
      <c r="W64" s="11">
        <v>3339</v>
      </c>
      <c r="X64" s="11">
        <f>((E64-W64)/E64)*100</f>
        <v>-22.363719651855245</v>
      </c>
      <c r="Y64" s="11">
        <v>27.899999999999995</v>
      </c>
      <c r="Z64" s="11">
        <f>((F64-Y64)/F64)*100</f>
        <v>50.223015165031228</v>
      </c>
      <c r="AA64" s="2">
        <v>0.95350000000000001</v>
      </c>
      <c r="AB64" s="11">
        <v>7.57</v>
      </c>
      <c r="AC64" s="11">
        <v>3375</v>
      </c>
      <c r="AD64" s="17">
        <v>288.7</v>
      </c>
      <c r="AE64" s="11">
        <v>2.6788218840738955</v>
      </c>
      <c r="AF64" s="11">
        <v>26.788218840738949</v>
      </c>
      <c r="AG64" s="11">
        <v>73.787771351409532</v>
      </c>
      <c r="AH64" s="11">
        <f>AG64*AF64/100</f>
        <v>19.766429667319663</v>
      </c>
      <c r="AI64" s="11">
        <f>Y64*2</f>
        <v>55.79999999999999</v>
      </c>
      <c r="AJ64" s="11">
        <f>AF64*AA64*2</f>
        <v>51.085133329289178</v>
      </c>
      <c r="AK64" s="11">
        <f>AH64*AA64*2</f>
        <v>37.694581375578601</v>
      </c>
      <c r="AL64" s="11">
        <f>P64-AJ64</f>
        <v>33.053887867194959</v>
      </c>
      <c r="AM64" s="11">
        <f>Q64-AK64</f>
        <v>30.010443849403153</v>
      </c>
      <c r="AN64" s="11">
        <f>O64-AI64</f>
        <v>56.300000000000004</v>
      </c>
      <c r="AO64" s="11">
        <f>AM64/Q64</f>
        <v>0.44325282724109999</v>
      </c>
      <c r="AP64" s="11">
        <f>AL64/P64</f>
        <v>0.39284849523036952</v>
      </c>
      <c r="AQ64" s="2">
        <v>30.733256126474998</v>
      </c>
      <c r="AR64" s="2">
        <f>AQ64</f>
        <v>30.733256126474998</v>
      </c>
      <c r="AS64" s="2">
        <v>16.210870609031769</v>
      </c>
      <c r="AT64" s="2">
        <f>AS64</f>
        <v>16.210870609031769</v>
      </c>
      <c r="AU64" s="47">
        <f>AR64/AM64</f>
        <v>1.0240853577740812</v>
      </c>
      <c r="AV64" s="38">
        <f>AR64/AL64</f>
        <v>0.92979247252111841</v>
      </c>
      <c r="AW64" s="38">
        <f>AR64/AN64</f>
        <v>0.54588376778818826</v>
      </c>
      <c r="AX64" s="38">
        <f>AR64/Q64</f>
        <v>0.4539287301695748</v>
      </c>
      <c r="AY64" s="38">
        <f>AR64/P64</f>
        <v>0.36526757370644608</v>
      </c>
      <c r="AZ64" s="38">
        <f>AT64/AM64</f>
        <v>0.54017430366509456</v>
      </c>
      <c r="BA64" s="38">
        <f>AT64/AL64</f>
        <v>0.4904376354807144</v>
      </c>
      <c r="BB64" s="38">
        <f>AT64/AN64</f>
        <v>0.28793731099523567</v>
      </c>
      <c r="BC64" s="38">
        <f>AT64/Q64</f>
        <v>0.23943378730254564</v>
      </c>
      <c r="BD64" s="73">
        <f>AT64/P64</f>
        <v>0.19266768710293913</v>
      </c>
    </row>
    <row r="65" spans="3:56" s="17" customFormat="1">
      <c r="C65" s="17" t="s">
        <v>127</v>
      </c>
      <c r="D65" s="11"/>
      <c r="E65" s="11"/>
      <c r="F65" s="11"/>
      <c r="G65" s="2"/>
      <c r="H65" s="11"/>
      <c r="I65" s="11"/>
      <c r="K65" s="11"/>
      <c r="L65" s="11"/>
      <c r="M65" s="11"/>
      <c r="N65" s="11"/>
      <c r="O65" s="11"/>
      <c r="P65" s="11"/>
      <c r="Q65" s="11"/>
      <c r="U65" s="47" t="s">
        <v>128</v>
      </c>
      <c r="V65" s="11"/>
      <c r="W65" s="11"/>
      <c r="X65" s="11"/>
      <c r="Y65" s="11"/>
      <c r="Z65" s="11"/>
      <c r="AA65" s="2"/>
      <c r="AB65" s="11"/>
      <c r="AC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2">
        <v>27.305497663979622</v>
      </c>
      <c r="AR65" s="2"/>
      <c r="AS65" s="2">
        <v>14.430955515413229</v>
      </c>
      <c r="AT65" s="2"/>
      <c r="AU65" s="47"/>
      <c r="AV65" s="38"/>
      <c r="AW65" s="38"/>
      <c r="AX65" s="38"/>
      <c r="AY65" s="38"/>
      <c r="AZ65" s="38"/>
      <c r="BA65" s="38"/>
      <c r="BB65" s="38"/>
      <c r="BC65" s="38"/>
      <c r="BD65" s="73"/>
    </row>
    <row r="66" spans="3:56" s="17" customFormat="1">
      <c r="C66" s="17" t="s">
        <v>129</v>
      </c>
      <c r="D66" s="11"/>
      <c r="E66" s="11"/>
      <c r="F66" s="11"/>
      <c r="G66" s="2"/>
      <c r="H66" s="11"/>
      <c r="I66" s="11"/>
      <c r="K66" s="11"/>
      <c r="L66" s="11"/>
      <c r="M66" s="11"/>
      <c r="N66" s="11"/>
      <c r="O66" s="11"/>
      <c r="P66" s="11"/>
      <c r="Q66" s="11"/>
      <c r="U66" s="47" t="s">
        <v>130</v>
      </c>
      <c r="V66" s="11"/>
      <c r="W66" s="11"/>
      <c r="X66" s="11"/>
      <c r="Y66" s="11"/>
      <c r="Z66" s="11"/>
      <c r="AA66" s="2"/>
      <c r="AB66" s="11"/>
      <c r="AC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2">
        <v>25.144933008262633</v>
      </c>
      <c r="AR66" s="2"/>
      <c r="AS66" s="2">
        <v>13.280799266974075</v>
      </c>
      <c r="AT66" s="2"/>
      <c r="AU66" s="47"/>
      <c r="AV66" s="38"/>
      <c r="AW66" s="38"/>
      <c r="AX66" s="38"/>
      <c r="AY66" s="38"/>
      <c r="AZ66" s="38"/>
      <c r="BA66" s="38"/>
      <c r="BB66" s="38"/>
      <c r="BC66" s="38"/>
      <c r="BD66" s="73"/>
    </row>
    <row r="67" spans="3:56" s="17" customFormat="1">
      <c r="C67" s="17" t="s">
        <v>131</v>
      </c>
      <c r="D67" s="11">
        <v>572.75</v>
      </c>
      <c r="E67" s="11">
        <v>2728.75</v>
      </c>
      <c r="F67" s="11">
        <v>56.05</v>
      </c>
      <c r="G67" s="2">
        <v>1.0209999999999999</v>
      </c>
      <c r="H67" s="11">
        <v>6.73</v>
      </c>
      <c r="I67" s="11">
        <v>750</v>
      </c>
      <c r="J67" s="17">
        <v>835.1</v>
      </c>
      <c r="K67" s="11">
        <v>4.1204221937553456</v>
      </c>
      <c r="L67" s="11">
        <v>41.204221937553449</v>
      </c>
      <c r="M67" s="11">
        <v>80.46804474570105</v>
      </c>
      <c r="N67" s="11">
        <f>M67*L67/100</f>
        <v>33.156231745828478</v>
      </c>
      <c r="O67" s="11">
        <f>F67*2</f>
        <v>112.1</v>
      </c>
      <c r="P67" s="11">
        <f>L67*G67*2</f>
        <v>84.139021196484137</v>
      </c>
      <c r="Q67" s="11">
        <f>N67*G67*2</f>
        <v>67.705025224981753</v>
      </c>
      <c r="S67" s="11">
        <f>Q67/40</f>
        <v>1.6926256306245437</v>
      </c>
      <c r="U67" s="47" t="s">
        <v>132</v>
      </c>
      <c r="V67" s="11">
        <v>408</v>
      </c>
      <c r="W67" s="11">
        <v>2709.3333333333335</v>
      </c>
      <c r="X67" s="11">
        <f>((E67-W67)/E67)*100</f>
        <v>0.71155901664375687</v>
      </c>
      <c r="Y67" s="11">
        <v>25.8</v>
      </c>
      <c r="Z67" s="11">
        <f>((F67-Y67)/F67)*100</f>
        <v>53.96966993755575</v>
      </c>
      <c r="AA67" s="2">
        <v>0.91800000000000004</v>
      </c>
      <c r="AB67" s="11">
        <v>7.91</v>
      </c>
      <c r="AC67" s="11">
        <v>3825</v>
      </c>
      <c r="AD67" s="17">
        <v>667.5</v>
      </c>
      <c r="AE67" s="11">
        <v>2.6236784585161939</v>
      </c>
      <c r="AF67" s="11">
        <v>26.236784585161942</v>
      </c>
      <c r="AG67" s="11">
        <v>73.584945208571341</v>
      </c>
      <c r="AH67" s="11">
        <f>AG67*AF67/100</f>
        <v>19.306323561482305</v>
      </c>
      <c r="AI67" s="11">
        <f>Y67*2</f>
        <v>51.6</v>
      </c>
      <c r="AJ67" s="11">
        <f>AF67*AA67*2</f>
        <v>48.170736498357329</v>
      </c>
      <c r="AK67" s="11">
        <f>AH67*AA67*2</f>
        <v>35.446410058881511</v>
      </c>
      <c r="AL67" s="11">
        <f>P67-AJ67</f>
        <v>35.968284698126809</v>
      </c>
      <c r="AM67" s="11">
        <f>Q67-AK67</f>
        <v>32.258615166100242</v>
      </c>
      <c r="AN67" s="11">
        <f>O67-AI67</f>
        <v>60.499999999999993</v>
      </c>
      <c r="AO67" s="11">
        <f>AM67/Q67</f>
        <v>0.47645821058194482</v>
      </c>
      <c r="AP67" s="11">
        <f>AL67/P67</f>
        <v>0.42748636942343932</v>
      </c>
      <c r="AQ67" s="2">
        <v>24.779596423432189</v>
      </c>
      <c r="AR67" s="2">
        <f>AQ67</f>
        <v>24.779596423432189</v>
      </c>
      <c r="AS67" s="2">
        <v>13.028616207512176</v>
      </c>
      <c r="AT67" s="2">
        <f>AS67</f>
        <v>13.028616207512176</v>
      </c>
      <c r="AU67" s="47">
        <f>AR67/AM67</f>
        <v>0.76815437661665142</v>
      </c>
      <c r="AV67" s="38">
        <f>AR67/AL67</f>
        <v>0.68892905601146681</v>
      </c>
      <c r="AW67" s="38">
        <f>AR67/AN67</f>
        <v>0.4095801061724329</v>
      </c>
      <c r="AX67" s="38">
        <f>AR67/Q67</f>
        <v>0.36599345973345904</v>
      </c>
      <c r="AY67" s="38">
        <f>AR67/P67</f>
        <v>0.29450778094465924</v>
      </c>
      <c r="AZ67" s="38">
        <f>AT67/AM67</f>
        <v>0.40388020813750297</v>
      </c>
      <c r="BA67" s="38">
        <f>AT67/AL67</f>
        <v>0.362225119069709</v>
      </c>
      <c r="BB67" s="38">
        <f>AT67/AN67</f>
        <v>0.21534902822334179</v>
      </c>
      <c r="BC67" s="38">
        <f>AT67/Q67</f>
        <v>0.19243204125865809</v>
      </c>
      <c r="BD67" s="73">
        <f>AT67/P67</f>
        <v>0.15484630106508293</v>
      </c>
    </row>
    <row r="68" spans="3:56" s="17" customFormat="1">
      <c r="C68" s="17" t="s">
        <v>133</v>
      </c>
      <c r="D68" s="11"/>
      <c r="E68" s="11"/>
      <c r="F68" s="11"/>
      <c r="G68" s="2"/>
      <c r="H68" s="11"/>
      <c r="I68" s="11"/>
      <c r="K68" s="11"/>
      <c r="L68" s="11"/>
      <c r="M68" s="11"/>
      <c r="N68" s="11"/>
      <c r="O68" s="11"/>
      <c r="P68" s="11"/>
      <c r="Q68" s="11"/>
      <c r="U68" s="47" t="s">
        <v>134</v>
      </c>
      <c r="V68" s="11"/>
      <c r="W68" s="11"/>
      <c r="X68" s="11"/>
      <c r="Y68" s="11"/>
      <c r="Z68" s="11"/>
      <c r="AA68" s="2"/>
      <c r="AB68" s="11"/>
      <c r="AC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U68" s="47"/>
      <c r="AV68" s="38"/>
      <c r="AW68" s="38"/>
      <c r="AX68" s="38"/>
      <c r="AY68" s="38"/>
      <c r="AZ68" s="38"/>
      <c r="BA68" s="38"/>
      <c r="BB68" s="38"/>
      <c r="BC68" s="38"/>
      <c r="BD68" s="73"/>
    </row>
    <row r="69" spans="3:56" s="17" customFormat="1">
      <c r="C69" s="17" t="s">
        <v>135</v>
      </c>
      <c r="D69" s="11"/>
      <c r="E69" s="11"/>
      <c r="F69" s="11"/>
      <c r="G69" s="2"/>
      <c r="H69" s="11"/>
      <c r="I69" s="11"/>
      <c r="K69" s="11"/>
      <c r="L69" s="11"/>
      <c r="M69" s="11"/>
      <c r="N69" s="11"/>
      <c r="O69" s="11"/>
      <c r="P69" s="11"/>
      <c r="Q69" s="11"/>
      <c r="U69" s="47" t="s">
        <v>136</v>
      </c>
      <c r="V69" s="11"/>
      <c r="W69" s="11"/>
      <c r="X69" s="11"/>
      <c r="Y69" s="11"/>
      <c r="Z69" s="11"/>
      <c r="AA69" s="2"/>
      <c r="AB69" s="11"/>
      <c r="AC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U69" s="47"/>
      <c r="AV69" s="38"/>
      <c r="AW69" s="38"/>
      <c r="AX69" s="38"/>
      <c r="AY69" s="38"/>
      <c r="AZ69" s="38"/>
      <c r="BA69" s="38"/>
      <c r="BB69" s="38"/>
      <c r="BC69" s="38"/>
      <c r="BD69" s="73"/>
    </row>
    <row r="70" spans="3:56" s="17" customFormat="1">
      <c r="C70" s="17" t="s">
        <v>137</v>
      </c>
      <c r="D70" s="11"/>
      <c r="E70" s="11"/>
      <c r="F70" s="11"/>
      <c r="G70" s="2"/>
      <c r="H70" s="11"/>
      <c r="I70" s="11"/>
      <c r="K70" s="11"/>
      <c r="L70" s="11"/>
      <c r="M70" s="11"/>
      <c r="N70" s="11"/>
      <c r="O70" s="11"/>
      <c r="P70" s="11"/>
      <c r="Q70" s="11"/>
      <c r="U70" s="47" t="s">
        <v>138</v>
      </c>
      <c r="V70" s="11"/>
      <c r="W70" s="11"/>
      <c r="X70" s="11"/>
      <c r="Y70" s="11"/>
      <c r="Z70" s="11"/>
      <c r="AA70" s="2"/>
      <c r="AB70" s="11"/>
      <c r="AC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U70" s="47"/>
      <c r="AV70" s="38"/>
      <c r="AW70" s="38"/>
      <c r="AX70" s="38"/>
      <c r="AY70" s="38"/>
      <c r="AZ70" s="38"/>
      <c r="BA70" s="38"/>
      <c r="BB70" s="38"/>
      <c r="BC70" s="38"/>
      <c r="BD70" s="73"/>
    </row>
    <row r="71" spans="3:56" s="17" customFormat="1">
      <c r="C71" s="17" t="s">
        <v>139</v>
      </c>
      <c r="D71" s="11">
        <v>1086.6666666666667</v>
      </c>
      <c r="E71" s="11">
        <v>4318.333333333333</v>
      </c>
      <c r="F71" s="11">
        <v>52.1</v>
      </c>
      <c r="G71" s="2">
        <v>0.98299999999999998</v>
      </c>
      <c r="H71" s="11">
        <v>6.33</v>
      </c>
      <c r="I71" s="11">
        <v>750</v>
      </c>
      <c r="J71" s="17">
        <v>1289</v>
      </c>
      <c r="K71" s="11">
        <v>4.1136574270323871</v>
      </c>
      <c r="L71" s="11">
        <v>41.136574270323877</v>
      </c>
      <c r="M71" s="11">
        <v>83.993647980832236</v>
      </c>
      <c r="N71" s="11">
        <f>M71*L71/100</f>
        <v>34.552109383989446</v>
      </c>
      <c r="O71" s="11">
        <f>F71*2</f>
        <v>104.2</v>
      </c>
      <c r="P71" s="11">
        <f>L71*G71*2</f>
        <v>80.874505015456734</v>
      </c>
      <c r="Q71" s="11">
        <f>N71*G71*2</f>
        <v>67.929447048923251</v>
      </c>
      <c r="S71" s="11">
        <f>Q71/40</f>
        <v>1.6982361762230813</v>
      </c>
      <c r="U71" s="47" t="s">
        <v>140</v>
      </c>
      <c r="V71" s="11">
        <v>393</v>
      </c>
      <c r="W71" s="11">
        <v>2888</v>
      </c>
      <c r="X71" s="11">
        <f>((E71-W71)/E71)*100</f>
        <v>33.122346584330373</v>
      </c>
      <c r="Y71" s="11">
        <v>24.833333333333332</v>
      </c>
      <c r="Z71" s="11">
        <f>((F71-Y71)/F71)*100</f>
        <v>52.335252719129876</v>
      </c>
      <c r="AA71" s="2">
        <v>0.95150000000000001</v>
      </c>
      <c r="AB71" s="11">
        <v>7.51</v>
      </c>
      <c r="AC71" s="11">
        <v>3400</v>
      </c>
      <c r="AD71" s="17">
        <v>379.4</v>
      </c>
      <c r="AE71" s="11">
        <v>2.5338287100476147</v>
      </c>
      <c r="AF71" s="11">
        <v>25.338287100476148</v>
      </c>
      <c r="AG71" s="11">
        <v>72.617015115761035</v>
      </c>
      <c r="AH71" s="11">
        <f>AG71*AF71/100</f>
        <v>18.399907773827692</v>
      </c>
      <c r="AI71" s="11">
        <f>Y71*2</f>
        <v>49.666666666666664</v>
      </c>
      <c r="AJ71" s="11">
        <f>AF71*AA71*2</f>
        <v>48.218760352206111</v>
      </c>
      <c r="AK71" s="11">
        <f>AH71*AA71*2</f>
        <v>35.015024493594098</v>
      </c>
      <c r="AL71" s="11">
        <f>P71-AJ71</f>
        <v>32.655744663250623</v>
      </c>
      <c r="AM71" s="11">
        <f>Q71-AK71</f>
        <v>32.914422555329153</v>
      </c>
      <c r="AN71" s="11">
        <f>O71-AI71</f>
        <v>54.533333333333339</v>
      </c>
      <c r="AO71" s="11">
        <f>AM71/Q71</f>
        <v>0.4845383553854628</v>
      </c>
      <c r="AP71" s="11">
        <f>AL71/P71</f>
        <v>0.40378293081372746</v>
      </c>
      <c r="AQ71" s="2">
        <v>24.074086924687496</v>
      </c>
      <c r="AR71" s="2">
        <f>AQ71</f>
        <v>24.074086924687496</v>
      </c>
      <c r="AS71" s="2">
        <v>12.448469607886658</v>
      </c>
      <c r="AT71" s="2">
        <f>AS71</f>
        <v>12.448469607886658</v>
      </c>
      <c r="AU71" s="47">
        <f>AR71/AM71</f>
        <v>0.73141453064287998</v>
      </c>
      <c r="AV71" s="38">
        <f>AR71/AL71</f>
        <v>0.73720832805810865</v>
      </c>
      <c r="AW71" s="38">
        <f>AR71/AN71</f>
        <v>0.44145636169964841</v>
      </c>
      <c r="AX71" s="38">
        <f>AR71/Q71</f>
        <v>0.3543983937827313</v>
      </c>
      <c r="AY71" s="38">
        <f>AR71/P71</f>
        <v>0.29767213932359099</v>
      </c>
      <c r="AZ71" s="38">
        <f>AT71/AM71</f>
        <v>0.37820713965012681</v>
      </c>
      <c r="BA71" s="38">
        <f>AT71/AL71</f>
        <v>0.38120305435556739</v>
      </c>
      <c r="BB71" s="38">
        <f>AT71/AN71</f>
        <v>0.22827267007127119</v>
      </c>
      <c r="BC71" s="38">
        <f>AT71/Q71</f>
        <v>0.18325586544111253</v>
      </c>
      <c r="BD71" s="73">
        <f>AT71/P71</f>
        <v>0.15392328652283568</v>
      </c>
    </row>
    <row r="72" spans="3:56" s="17" customFormat="1">
      <c r="C72" s="17" t="s">
        <v>141</v>
      </c>
      <c r="D72" s="11"/>
      <c r="E72" s="11"/>
      <c r="F72" s="11"/>
      <c r="G72" s="2"/>
      <c r="H72" s="11"/>
      <c r="I72" s="11"/>
      <c r="K72" s="11"/>
      <c r="L72" s="11"/>
      <c r="M72" s="11"/>
      <c r="N72" s="11"/>
      <c r="O72" s="11"/>
      <c r="P72" s="11"/>
      <c r="Q72" s="11"/>
      <c r="U72" s="47" t="s">
        <v>142</v>
      </c>
      <c r="V72" s="11"/>
      <c r="W72" s="11"/>
      <c r="X72" s="11"/>
      <c r="Y72" s="11"/>
      <c r="Z72" s="11"/>
      <c r="AA72" s="2"/>
      <c r="AB72" s="11"/>
      <c r="AC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2">
        <v>23.484878760726001</v>
      </c>
      <c r="AR72" s="2"/>
      <c r="AS72" s="2">
        <v>12.154599002613743</v>
      </c>
      <c r="AT72" s="2"/>
      <c r="AU72" s="47"/>
      <c r="AV72" s="38"/>
      <c r="AW72" s="38"/>
      <c r="AX72" s="38"/>
      <c r="AY72" s="38"/>
      <c r="AZ72" s="38"/>
      <c r="BA72" s="38"/>
      <c r="BB72" s="38"/>
      <c r="BC72" s="38"/>
      <c r="BD72" s="73"/>
    </row>
    <row r="73" spans="3:56" s="17" customFormat="1">
      <c r="C73" s="17" t="s">
        <v>143</v>
      </c>
      <c r="D73" s="11"/>
      <c r="E73" s="11"/>
      <c r="F73" s="11"/>
      <c r="G73" s="2"/>
      <c r="H73" s="11"/>
      <c r="I73" s="11"/>
      <c r="K73" s="11"/>
      <c r="L73" s="11"/>
      <c r="M73" s="11"/>
      <c r="N73" s="11"/>
      <c r="O73" s="11"/>
      <c r="P73" s="11"/>
      <c r="Q73" s="11"/>
      <c r="U73" s="47" t="s">
        <v>144</v>
      </c>
      <c r="V73" s="11"/>
      <c r="W73" s="11"/>
      <c r="X73" s="11"/>
      <c r="Y73" s="11"/>
      <c r="Z73" s="11"/>
      <c r="AA73" s="2"/>
      <c r="AB73" s="11"/>
      <c r="AC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2">
        <v>24.768069524119998</v>
      </c>
      <c r="AR73" s="2"/>
      <c r="AS73" s="2">
        <v>12.827878567932231</v>
      </c>
      <c r="AT73" s="2"/>
      <c r="AU73" s="47"/>
      <c r="AV73" s="38"/>
      <c r="AW73" s="38"/>
      <c r="AX73" s="38"/>
      <c r="AY73" s="38"/>
      <c r="AZ73" s="38"/>
      <c r="BA73" s="38"/>
      <c r="BB73" s="38"/>
      <c r="BC73" s="38"/>
      <c r="BD73" s="73"/>
    </row>
    <row r="74" spans="3:56" s="17" customFormat="1">
      <c r="C74" s="17" t="s">
        <v>145</v>
      </c>
      <c r="D74" s="11">
        <v>1086.6666666666667</v>
      </c>
      <c r="E74" s="11">
        <v>4318.333333333333</v>
      </c>
      <c r="F74" s="11">
        <v>52.1</v>
      </c>
      <c r="G74" s="2">
        <v>0.98299999999999998</v>
      </c>
      <c r="H74" s="11">
        <v>6.33</v>
      </c>
      <c r="I74" s="11">
        <v>750</v>
      </c>
      <c r="J74" s="17">
        <v>1289</v>
      </c>
      <c r="K74" s="11">
        <v>4.1136574270323871</v>
      </c>
      <c r="L74" s="11">
        <v>41.136574270323877</v>
      </c>
      <c r="M74" s="11">
        <v>83.993647980832236</v>
      </c>
      <c r="N74" s="11">
        <f>M74*L74/100</f>
        <v>34.552109383989446</v>
      </c>
      <c r="O74" s="11">
        <f>F74*2</f>
        <v>104.2</v>
      </c>
      <c r="P74" s="11">
        <f>L74*G74*2</f>
        <v>80.874505015456734</v>
      </c>
      <c r="Q74" s="11">
        <f>N74*G74*2</f>
        <v>67.929447048923251</v>
      </c>
      <c r="S74" s="11">
        <f>Q74/40</f>
        <v>1.6982361762230813</v>
      </c>
      <c r="U74" s="47" t="s">
        <v>146</v>
      </c>
      <c r="V74" s="11">
        <v>403.33333333333331</v>
      </c>
      <c r="W74" s="11">
        <v>2217</v>
      </c>
      <c r="X74" s="11">
        <f>((E74-W74)/E74)*100</f>
        <v>48.660748745658047</v>
      </c>
      <c r="Y74" s="11">
        <v>33.533333333333331</v>
      </c>
      <c r="Z74" s="11">
        <f>((F74-Y74)/F74)*100</f>
        <v>35.636596289187466</v>
      </c>
      <c r="AA74" s="2">
        <v>0.96699999999999997</v>
      </c>
      <c r="AB74" s="11">
        <v>8</v>
      </c>
      <c r="AC74" s="11">
        <v>3300</v>
      </c>
      <c r="AD74" s="17">
        <v>309.60000000000002</v>
      </c>
      <c r="AE74" s="11">
        <v>2.6277028093495876</v>
      </c>
      <c r="AF74" s="11">
        <v>26.277028093495876</v>
      </c>
      <c r="AG74" s="11">
        <v>77.572585270165746</v>
      </c>
      <c r="AH74" s="11">
        <f>AG74*AF74/100</f>
        <v>20.383770024292495</v>
      </c>
      <c r="AI74" s="11">
        <f>Y74*2</f>
        <v>67.066666666666663</v>
      </c>
      <c r="AJ74" s="11">
        <f>AF74*AA74*2</f>
        <v>50.819772332821024</v>
      </c>
      <c r="AK74" s="11">
        <f>AH74*AA74*2</f>
        <v>39.422211226981688</v>
      </c>
      <c r="AL74" s="11">
        <f>P74-AJ74</f>
        <v>30.054732682635709</v>
      </c>
      <c r="AM74" s="11">
        <f>Q74-AK74</f>
        <v>28.507235821941563</v>
      </c>
      <c r="AN74" s="11">
        <f>O74-AI74</f>
        <v>37.13333333333334</v>
      </c>
      <c r="AO74" s="11">
        <f>AM74/Q74</f>
        <v>0.41965947111876911</v>
      </c>
      <c r="AP74" s="11">
        <f>AL74/P74</f>
        <v>0.37162184395306841</v>
      </c>
      <c r="AQ74" s="2">
        <v>25.386230593269268</v>
      </c>
      <c r="AR74" s="2">
        <f>AQ74</f>
        <v>25.386230593269268</v>
      </c>
      <c r="AS74" s="2">
        <v>13.048268662634472</v>
      </c>
      <c r="AT74" s="2">
        <f>AS74</f>
        <v>13.048268662634472</v>
      </c>
      <c r="AU74" s="47">
        <f>AR74/AM74</f>
        <v>0.89051884061413955</v>
      </c>
      <c r="AV74" s="38">
        <f>AR74/AL74</f>
        <v>0.84466665737261093</v>
      </c>
      <c r="AW74" s="38">
        <f>AR74/AN74</f>
        <v>0.68365073410958521</v>
      </c>
      <c r="AX74" s="38">
        <f>AR74/Q74</f>
        <v>0.37371466567342926</v>
      </c>
      <c r="AY74" s="38">
        <f>AR74/P74</f>
        <v>0.31389658073848431</v>
      </c>
      <c r="AZ74" s="38">
        <f>AT74/AM74</f>
        <v>0.45771777888726162</v>
      </c>
      <c r="BA74" s="38">
        <f>AT74/AL74</f>
        <v>0.43415021522294833</v>
      </c>
      <c r="BB74" s="38">
        <f>AT74/AN74</f>
        <v>0.35138964082498569</v>
      </c>
      <c r="BC74" s="38">
        <f>AT74/Q74</f>
        <v>0.19208560100948591</v>
      </c>
      <c r="BD74" s="73">
        <f>AT74/P74</f>
        <v>0.16133970353377355</v>
      </c>
    </row>
    <row r="75" spans="3:56" s="17" customFormat="1">
      <c r="C75" s="17" t="s">
        <v>147</v>
      </c>
      <c r="D75" s="11"/>
      <c r="E75" s="11"/>
      <c r="F75" s="11"/>
      <c r="G75" s="2"/>
      <c r="H75" s="11"/>
      <c r="I75" s="11"/>
      <c r="K75" s="11"/>
      <c r="L75" s="11"/>
      <c r="M75" s="11"/>
      <c r="N75" s="11"/>
      <c r="O75" s="11"/>
      <c r="P75" s="11"/>
      <c r="Q75" s="11"/>
      <c r="U75" s="47" t="s">
        <v>148</v>
      </c>
      <c r="V75" s="11"/>
      <c r="W75" s="11"/>
      <c r="X75" s="11"/>
      <c r="Y75" s="11"/>
      <c r="Z75" s="11"/>
      <c r="AA75" s="2"/>
      <c r="AB75" s="11"/>
      <c r="AC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2">
        <v>25.456378089498081</v>
      </c>
      <c r="AR75" s="2"/>
      <c r="AS75" s="2">
        <v>13.067013437120261</v>
      </c>
      <c r="AT75" s="2"/>
      <c r="AU75" s="47"/>
      <c r="AV75" s="38"/>
      <c r="AW75" s="38"/>
      <c r="AX75" s="38"/>
      <c r="AY75" s="38"/>
      <c r="AZ75" s="38"/>
      <c r="BA75" s="38"/>
      <c r="BB75" s="38"/>
      <c r="BC75" s="38"/>
      <c r="BD75" s="73"/>
    </row>
    <row r="76" spans="3:56" s="17" customFormat="1">
      <c r="C76" s="17" t="s">
        <v>149</v>
      </c>
      <c r="D76" s="11"/>
      <c r="E76" s="11"/>
      <c r="F76" s="11"/>
      <c r="G76" s="2"/>
      <c r="H76" s="11"/>
      <c r="I76" s="11"/>
      <c r="K76" s="11"/>
      <c r="L76" s="11"/>
      <c r="M76" s="11"/>
      <c r="N76" s="11"/>
      <c r="O76" s="11"/>
      <c r="P76" s="11"/>
      <c r="Q76" s="11"/>
      <c r="U76" s="47" t="s">
        <v>150</v>
      </c>
      <c r="V76" s="11"/>
      <c r="W76" s="11"/>
      <c r="X76" s="11"/>
      <c r="Y76" s="11"/>
      <c r="Z76" s="11"/>
      <c r="AA76" s="2"/>
      <c r="AB76" s="11"/>
      <c r="AC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U76" s="47"/>
      <c r="AV76" s="38"/>
      <c r="AW76" s="38"/>
      <c r="AX76" s="38"/>
      <c r="AY76" s="38"/>
      <c r="AZ76" s="38"/>
      <c r="BA76" s="38"/>
      <c r="BB76" s="38"/>
      <c r="BC76" s="38"/>
      <c r="BD76" s="73"/>
    </row>
    <row r="77" spans="3:56" s="17" customFormat="1">
      <c r="C77" s="17" t="s">
        <v>112</v>
      </c>
      <c r="D77" s="11"/>
      <c r="E77" s="11"/>
      <c r="F77" s="11"/>
      <c r="G77" s="2"/>
      <c r="H77" s="11"/>
      <c r="I77" s="11"/>
      <c r="K77" s="11"/>
      <c r="L77" s="11"/>
      <c r="M77" s="11"/>
      <c r="N77" s="11"/>
      <c r="O77" s="11"/>
      <c r="P77" s="11"/>
      <c r="Q77" s="11"/>
      <c r="U77" s="47" t="s">
        <v>151</v>
      </c>
      <c r="V77" s="11"/>
      <c r="W77" s="11"/>
      <c r="X77" s="11"/>
      <c r="Y77" s="11"/>
      <c r="Z77" s="11"/>
      <c r="AA77" s="2"/>
      <c r="AB77" s="11"/>
      <c r="AC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U77" s="47"/>
      <c r="AV77" s="38"/>
      <c r="AW77" s="38"/>
      <c r="AX77" s="38"/>
      <c r="AY77" s="38"/>
      <c r="AZ77" s="38"/>
      <c r="BA77" s="38"/>
      <c r="BB77" s="38"/>
      <c r="BC77" s="38"/>
      <c r="BD77" s="73"/>
    </row>
    <row r="78" spans="3:56" s="17" customFormat="1">
      <c r="C78" s="17" t="s">
        <v>114</v>
      </c>
      <c r="D78" s="11">
        <v>479</v>
      </c>
      <c r="E78" s="11">
        <v>2239</v>
      </c>
      <c r="F78" s="11">
        <v>48.733333333333327</v>
      </c>
      <c r="G78" s="2">
        <v>0.97299999999999998</v>
      </c>
      <c r="H78" s="11">
        <v>6.67</v>
      </c>
      <c r="I78" s="11">
        <v>600</v>
      </c>
      <c r="J78" s="17">
        <v>767</v>
      </c>
      <c r="K78" s="11">
        <v>4.4739016758525372</v>
      </c>
      <c r="L78" s="11">
        <v>44.739016758525366</v>
      </c>
      <c r="M78" s="11">
        <v>84.117988666170859</v>
      </c>
      <c r="N78" s="11">
        <f>M78*L78/100</f>
        <v>37.633561046292648</v>
      </c>
      <c r="O78" s="11">
        <f>F78*2</f>
        <v>97.466666666666654</v>
      </c>
      <c r="P78" s="11">
        <f>L78*G78*2</f>
        <v>87.062126612090367</v>
      </c>
      <c r="Q78" s="11">
        <f>N78*G78*2</f>
        <v>73.234909796085489</v>
      </c>
      <c r="S78" s="11">
        <f>Q78/40</f>
        <v>1.8308727449021371</v>
      </c>
      <c r="U78" s="47" t="s">
        <v>152</v>
      </c>
      <c r="V78" s="11">
        <v>363.66666666666669</v>
      </c>
      <c r="W78" s="11">
        <v>2304.6666666666665</v>
      </c>
      <c r="X78" s="11">
        <f>((E78-W78)/E78)*100</f>
        <v>-2.9328569301771559</v>
      </c>
      <c r="Y78" s="11">
        <v>25.833333333333332</v>
      </c>
      <c r="Z78" s="11">
        <f>((F78-Y78)/F78)*100</f>
        <v>46.990424076607383</v>
      </c>
      <c r="AA78" s="2">
        <v>0.97</v>
      </c>
      <c r="AB78" s="11">
        <v>7.39</v>
      </c>
      <c r="AC78" s="11">
        <v>3075</v>
      </c>
      <c r="AD78" s="17">
        <v>281.8</v>
      </c>
      <c r="AE78" s="11">
        <v>2.7542456492082885</v>
      </c>
      <c r="AF78" s="11">
        <v>27.542456492082881</v>
      </c>
      <c r="AG78" s="11">
        <v>68.362397172256223</v>
      </c>
      <c r="AH78" s="11">
        <f>AG78*AF78/100</f>
        <v>18.82868349811357</v>
      </c>
      <c r="AI78" s="11">
        <f>Y78*2</f>
        <v>51.666666666666664</v>
      </c>
      <c r="AJ78" s="11">
        <f>AF78*AA78*2</f>
        <v>53.432365594640785</v>
      </c>
      <c r="AK78" s="11">
        <f>AH78*AA78*2</f>
        <v>36.527645986340325</v>
      </c>
      <c r="AL78" s="11">
        <f>P78-AJ78</f>
        <v>33.629761017449582</v>
      </c>
      <c r="AM78" s="11">
        <f>Q78-AK78</f>
        <v>36.707263809745164</v>
      </c>
      <c r="AN78" s="11">
        <f>O78-AI78</f>
        <v>45.79999999999999</v>
      </c>
      <c r="AO78" s="11">
        <f>AM78/Q78</f>
        <v>0.50122631286025321</v>
      </c>
      <c r="AP78" s="11">
        <f>AL78/P78</f>
        <v>0.38627313995313545</v>
      </c>
      <c r="AQ78" s="2">
        <v>25.650863296029002</v>
      </c>
      <c r="AR78" s="2">
        <f>AQ78</f>
        <v>25.650863296029002</v>
      </c>
      <c r="AS78" s="2">
        <v>13.1781310183349</v>
      </c>
      <c r="AT78" s="2">
        <f>AS78</f>
        <v>13.1781310183349</v>
      </c>
      <c r="AU78" s="47">
        <f>AR78/AM78</f>
        <v>0.6987952964562596</v>
      </c>
      <c r="AV78" s="38">
        <f>AR78/AL78</f>
        <v>0.76274295504863854</v>
      </c>
      <c r="AW78" s="38">
        <f>AR78/AN78</f>
        <v>0.56006251738054602</v>
      </c>
      <c r="AX78" s="38">
        <f>AR78/Q78</f>
        <v>0.35025458988685854</v>
      </c>
      <c r="AY78" s="38">
        <f>AR78/P78</f>
        <v>0.29462711622377086</v>
      </c>
      <c r="AZ78" s="38">
        <f>AT78/AM78</f>
        <v>0.35900608355440339</v>
      </c>
      <c r="BA78" s="38">
        <f>AT78/AL78</f>
        <v>0.39185919315623807</v>
      </c>
      <c r="BB78" s="38">
        <f>AT78/AN78</f>
        <v>0.28773211830425555</v>
      </c>
      <c r="BC78" s="38">
        <f>AT78/Q78</f>
        <v>0.17994329555437358</v>
      </c>
      <c r="BD78" s="73">
        <f>AT78/P78</f>
        <v>0.15136468095996228</v>
      </c>
    </row>
    <row r="79" spans="3:56" s="17" customFormat="1">
      <c r="C79" s="17" t="s">
        <v>116</v>
      </c>
      <c r="D79" s="11"/>
      <c r="E79" s="11"/>
      <c r="F79" s="11"/>
      <c r="G79" s="2"/>
      <c r="H79" s="11"/>
      <c r="I79" s="11"/>
      <c r="K79" s="11"/>
      <c r="L79" s="11"/>
      <c r="M79" s="11"/>
      <c r="N79" s="11"/>
      <c r="O79" s="11"/>
      <c r="P79" s="11"/>
      <c r="Q79" s="11"/>
      <c r="U79" s="49" t="s">
        <v>153</v>
      </c>
      <c r="V79" s="11"/>
      <c r="W79" s="11"/>
      <c r="X79" s="11"/>
      <c r="Y79" s="11"/>
      <c r="Z79" s="11"/>
      <c r="AA79" s="2"/>
      <c r="AB79" s="11"/>
      <c r="AC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50"/>
      <c r="AR79" s="2"/>
      <c r="AS79" s="50"/>
      <c r="AT79" s="2"/>
      <c r="AU79" s="47"/>
      <c r="AV79" s="38"/>
      <c r="AW79" s="38"/>
      <c r="AX79" s="38"/>
      <c r="AY79" s="38"/>
      <c r="AZ79" s="38"/>
      <c r="BA79" s="38"/>
      <c r="BB79" s="38"/>
      <c r="BC79" s="38"/>
      <c r="BD79" s="73"/>
    </row>
    <row r="80" spans="3:56" s="17" customFormat="1">
      <c r="C80" s="17" t="s">
        <v>118</v>
      </c>
      <c r="D80" s="11"/>
      <c r="E80" s="11"/>
      <c r="F80" s="11"/>
      <c r="G80" s="2"/>
      <c r="H80" s="11"/>
      <c r="I80" s="11"/>
      <c r="K80" s="11"/>
      <c r="L80" s="11"/>
      <c r="M80" s="11"/>
      <c r="N80" s="11"/>
      <c r="O80" s="11"/>
      <c r="P80" s="11"/>
      <c r="Q80" s="11"/>
      <c r="U80" s="49" t="s">
        <v>154</v>
      </c>
      <c r="V80" s="11"/>
      <c r="W80" s="11"/>
      <c r="X80" s="11"/>
      <c r="Y80" s="11"/>
      <c r="Z80" s="11"/>
      <c r="AA80" s="2"/>
      <c r="AB80" s="11"/>
      <c r="AC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2">
        <v>28.283656222509023</v>
      </c>
      <c r="AR80" s="2"/>
      <c r="AS80" s="2">
        <v>14.721643063815945</v>
      </c>
      <c r="AT80" s="2"/>
      <c r="AU80" s="47"/>
      <c r="AV80" s="38"/>
      <c r="AW80" s="38"/>
      <c r="AX80" s="38"/>
      <c r="AY80" s="38"/>
      <c r="AZ80" s="38"/>
      <c r="BA80" s="38"/>
      <c r="BB80" s="38"/>
      <c r="BC80" s="38"/>
      <c r="BD80" s="73"/>
    </row>
    <row r="81" spans="3:56" s="17" customFormat="1">
      <c r="C81" s="17" t="s">
        <v>120</v>
      </c>
      <c r="D81" s="11">
        <v>479</v>
      </c>
      <c r="E81" s="11">
        <v>2239</v>
      </c>
      <c r="F81" s="11">
        <v>48.733333333333327</v>
      </c>
      <c r="G81" s="2">
        <v>0.97299999999999998</v>
      </c>
      <c r="H81" s="11">
        <v>6.67</v>
      </c>
      <c r="I81" s="11">
        <v>600</v>
      </c>
      <c r="J81" s="17">
        <v>767</v>
      </c>
      <c r="K81" s="11">
        <v>4.4739016758525372</v>
      </c>
      <c r="L81" s="11">
        <v>44.739016758525366</v>
      </c>
      <c r="M81" s="11">
        <v>84.117988666170859</v>
      </c>
      <c r="N81" s="11">
        <f>M81*L81/100</f>
        <v>37.633561046292648</v>
      </c>
      <c r="O81" s="11">
        <f>F81*2</f>
        <v>97.466666666666654</v>
      </c>
      <c r="P81" s="11">
        <f>L81*G81*2</f>
        <v>87.062126612090367</v>
      </c>
      <c r="Q81" s="11">
        <f>N81*G81*2</f>
        <v>73.234909796085489</v>
      </c>
      <c r="S81" s="11">
        <f>Q81/40</f>
        <v>1.8308727449021371</v>
      </c>
      <c r="U81" s="49" t="s">
        <v>155</v>
      </c>
      <c r="V81" s="11">
        <v>431.66666666666669</v>
      </c>
      <c r="W81" s="11">
        <v>1319.3333333333333</v>
      </c>
      <c r="X81" s="11">
        <f>((E81-W81)/E81)*100</f>
        <v>41.07488462111062</v>
      </c>
      <c r="Y81" s="11">
        <v>26.033333333333331</v>
      </c>
      <c r="Z81" s="11">
        <f>((F81-Y81)/F81)*100</f>
        <v>46.58002735978112</v>
      </c>
      <c r="AA81" s="2">
        <v>0.9415</v>
      </c>
      <c r="AB81" s="11">
        <v>7.62</v>
      </c>
      <c r="AC81" s="11">
        <v>3300</v>
      </c>
      <c r="AD81" s="17">
        <v>478.5</v>
      </c>
      <c r="AE81" s="11">
        <v>2.8761097430629179</v>
      </c>
      <c r="AF81" s="11">
        <v>28.761097430629178</v>
      </c>
      <c r="AG81" s="11">
        <v>73.032993281653162</v>
      </c>
      <c r="AH81" s="11">
        <f>AG81*AF81/100</f>
        <v>21.00509035424113</v>
      </c>
      <c r="AI81" s="11">
        <f>Y81*2</f>
        <v>52.066666666666663</v>
      </c>
      <c r="AJ81" s="11">
        <f>AF81*AA81*2</f>
        <v>54.157146461874746</v>
      </c>
      <c r="AK81" s="11">
        <f>AH81*AA81*2</f>
        <v>39.552585137036047</v>
      </c>
      <c r="AL81" s="11">
        <f>P81-AJ81</f>
        <v>32.904980150215621</v>
      </c>
      <c r="AM81" s="11">
        <f>Q81-AK81</f>
        <v>33.682324659049442</v>
      </c>
      <c r="AN81" s="11">
        <f>O81-AI81</f>
        <v>45.399999999999991</v>
      </c>
      <c r="AO81" s="11">
        <f>AM81/Q81</f>
        <v>0.45992170609391275</v>
      </c>
      <c r="AP81" s="11">
        <f>AL81/P81</f>
        <v>0.37794827016832927</v>
      </c>
      <c r="AQ81" s="2">
        <v>28.011217366932776</v>
      </c>
      <c r="AR81" s="2">
        <f>AQ81</f>
        <v>28.011217366932776</v>
      </c>
      <c r="AS81" s="2">
        <v>14.598045930777015</v>
      </c>
      <c r="AT81" s="2">
        <f>AS81</f>
        <v>14.598045930777015</v>
      </c>
      <c r="AU81" s="47">
        <f>AR81/AM81</f>
        <v>0.83162957576347074</v>
      </c>
      <c r="AV81" s="38">
        <f>AR81/AL81</f>
        <v>0.8512759235549705</v>
      </c>
      <c r="AW81" s="38">
        <f>AR81/AN81</f>
        <v>0.61698716667252818</v>
      </c>
      <c r="AX81" s="38">
        <f>AR81/Q81</f>
        <v>0.38248449332329232</v>
      </c>
      <c r="AY81" s="38">
        <f>AR81/P81</f>
        <v>0.32173826274354805</v>
      </c>
      <c r="AZ81" s="38">
        <f>AT81/AM81</f>
        <v>0.43340375340913273</v>
      </c>
      <c r="BA81" s="38">
        <f>AT81/AL81</f>
        <v>0.44364244756067289</v>
      </c>
      <c r="BB81" s="38">
        <f>AT81/AN81</f>
        <v>0.32154286191138809</v>
      </c>
      <c r="BC81" s="38">
        <f>AT81/Q81</f>
        <v>0.19933179369543377</v>
      </c>
      <c r="BD81" s="73">
        <f>AT81/P81</f>
        <v>0.16767389562880006</v>
      </c>
    </row>
    <row r="82" spans="3:56" s="17" customFormat="1">
      <c r="C82" s="17" t="s">
        <v>122</v>
      </c>
      <c r="D82" s="11"/>
      <c r="E82" s="11"/>
      <c r="F82" s="11"/>
      <c r="G82" s="2"/>
      <c r="H82" s="11"/>
      <c r="I82" s="11"/>
      <c r="K82" s="11"/>
      <c r="L82" s="11"/>
      <c r="M82" s="11"/>
      <c r="N82" s="11"/>
      <c r="O82" s="11"/>
      <c r="P82" s="11"/>
      <c r="Q82" s="11"/>
      <c r="U82" s="49" t="s">
        <v>156</v>
      </c>
      <c r="V82" s="11"/>
      <c r="W82" s="11"/>
      <c r="X82" s="11"/>
      <c r="Y82" s="11"/>
      <c r="Z82" s="11"/>
      <c r="AA82" s="2"/>
      <c r="AB82" s="11"/>
      <c r="AC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2">
        <v>28.361106054281045</v>
      </c>
      <c r="AR82" s="2"/>
      <c r="AS82" s="2">
        <v>14.680275715816954</v>
      </c>
      <c r="AT82" s="2"/>
      <c r="AU82" s="47"/>
      <c r="AV82" s="38"/>
      <c r="AW82" s="38"/>
      <c r="AX82" s="38"/>
      <c r="AY82" s="38"/>
      <c r="AZ82" s="38"/>
      <c r="BA82" s="38"/>
      <c r="BB82" s="38"/>
      <c r="BC82" s="38"/>
      <c r="BD82" s="73"/>
    </row>
    <row r="83" spans="3:56" s="17" customFormat="1">
      <c r="C83" s="17" t="s">
        <v>124</v>
      </c>
      <c r="D83" s="11"/>
      <c r="E83" s="11"/>
      <c r="F83" s="11"/>
      <c r="G83" s="2"/>
      <c r="H83" s="11"/>
      <c r="I83" s="11"/>
      <c r="K83" s="11"/>
      <c r="L83" s="11"/>
      <c r="M83" s="11"/>
      <c r="N83" s="11"/>
      <c r="O83" s="11"/>
      <c r="P83" s="11"/>
      <c r="Q83" s="11"/>
      <c r="U83" s="49" t="s">
        <v>157</v>
      </c>
      <c r="V83" s="11"/>
      <c r="W83" s="11"/>
      <c r="X83" s="11"/>
      <c r="Y83" s="11"/>
      <c r="Z83" s="11"/>
      <c r="AA83" s="2"/>
      <c r="AB83" s="11"/>
      <c r="AC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U83" s="47"/>
      <c r="AV83" s="38"/>
      <c r="AW83" s="38"/>
      <c r="AX83" s="38"/>
      <c r="AY83" s="38"/>
      <c r="AZ83" s="38"/>
      <c r="BA83" s="38"/>
      <c r="BB83" s="38"/>
      <c r="BC83" s="38"/>
      <c r="BD83" s="73"/>
    </row>
    <row r="84" spans="3:56" s="17" customFormat="1">
      <c r="C84" s="17" t="s">
        <v>126</v>
      </c>
      <c r="D84" s="11"/>
      <c r="E84" s="11"/>
      <c r="F84" s="11"/>
      <c r="G84" s="2"/>
      <c r="H84" s="11"/>
      <c r="I84" s="11"/>
      <c r="K84" s="11"/>
      <c r="L84" s="11"/>
      <c r="M84" s="11"/>
      <c r="N84" s="11"/>
      <c r="O84" s="11"/>
      <c r="P84" s="11"/>
      <c r="Q84" s="11"/>
      <c r="U84" s="49" t="s">
        <v>158</v>
      </c>
      <c r="V84" s="11"/>
      <c r="W84" s="11"/>
      <c r="X84" s="11"/>
      <c r="Y84" s="11"/>
      <c r="Z84" s="11"/>
      <c r="AA84" s="2"/>
      <c r="AB84" s="11"/>
      <c r="AC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U84" s="47"/>
      <c r="AV84" s="38"/>
      <c r="AW84" s="38"/>
      <c r="AX84" s="38"/>
      <c r="AY84" s="38"/>
      <c r="AZ84" s="38"/>
      <c r="BA84" s="38"/>
      <c r="BB84" s="38"/>
      <c r="BC84" s="38"/>
      <c r="BD84" s="73"/>
    </row>
    <row r="85" spans="3:56" s="17" customFormat="1">
      <c r="C85" s="17" t="s">
        <v>128</v>
      </c>
      <c r="D85" s="11"/>
      <c r="E85" s="11"/>
      <c r="F85" s="11"/>
      <c r="G85" s="2"/>
      <c r="H85" s="11"/>
      <c r="I85" s="11"/>
      <c r="K85" s="11"/>
      <c r="L85" s="11"/>
      <c r="M85" s="11"/>
      <c r="N85" s="11"/>
      <c r="O85" s="11"/>
      <c r="P85" s="11"/>
      <c r="Q85" s="11"/>
      <c r="U85" s="49" t="s">
        <v>159</v>
      </c>
      <c r="V85" s="11"/>
      <c r="W85" s="11"/>
      <c r="X85" s="11"/>
      <c r="Y85" s="11"/>
      <c r="Z85" s="11"/>
      <c r="AA85" s="2"/>
      <c r="AB85" s="11"/>
      <c r="AC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51"/>
      <c r="AP85" s="51"/>
      <c r="AQ85" s="2"/>
      <c r="AR85" s="2"/>
      <c r="AS85" s="2"/>
      <c r="AT85" s="2"/>
      <c r="AU85" s="75"/>
      <c r="AV85" s="74"/>
      <c r="AW85" s="38"/>
      <c r="AX85" s="74"/>
      <c r="AY85" s="74"/>
      <c r="AZ85" s="74"/>
      <c r="BA85" s="74"/>
      <c r="BB85" s="38"/>
      <c r="BC85" s="74"/>
      <c r="BD85" s="76"/>
    </row>
    <row r="86" spans="3:56" s="17" customFormat="1">
      <c r="C86" s="17" t="s">
        <v>130</v>
      </c>
      <c r="D86" s="11"/>
      <c r="E86" s="11"/>
      <c r="F86" s="11"/>
      <c r="G86" s="2"/>
      <c r="H86" s="11"/>
      <c r="I86" s="11"/>
      <c r="K86" s="11"/>
      <c r="L86" s="11"/>
      <c r="M86" s="11"/>
      <c r="N86" s="11"/>
      <c r="O86" s="11"/>
      <c r="P86" s="11"/>
      <c r="Q86" s="11"/>
      <c r="U86" s="49" t="s">
        <v>160</v>
      </c>
      <c r="V86" s="11"/>
      <c r="W86" s="11"/>
      <c r="X86" s="11"/>
      <c r="Y86" s="11"/>
      <c r="Z86" s="11"/>
      <c r="AA86" s="2"/>
      <c r="AB86" s="11"/>
      <c r="AC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2">
        <v>30.577321202002434</v>
      </c>
      <c r="AR86" s="2"/>
      <c r="AS86" s="2">
        <v>15.900818571465306</v>
      </c>
      <c r="AT86" s="2"/>
      <c r="AU86" s="47"/>
      <c r="AV86" s="38"/>
      <c r="AW86" s="38"/>
      <c r="AX86" s="38"/>
      <c r="AY86" s="38"/>
      <c r="AZ86" s="38"/>
      <c r="BA86" s="38"/>
      <c r="BB86" s="38"/>
      <c r="BC86" s="38"/>
      <c r="BD86" s="73"/>
    </row>
    <row r="87" spans="3:56" s="17" customFormat="1">
      <c r="C87" s="17" t="s">
        <v>132</v>
      </c>
      <c r="D87" s="11"/>
      <c r="E87" s="11"/>
      <c r="F87" s="11"/>
      <c r="G87" s="2"/>
      <c r="H87" s="11"/>
      <c r="I87" s="11"/>
      <c r="K87" s="11"/>
      <c r="L87" s="11"/>
      <c r="M87" s="11"/>
      <c r="N87" s="11"/>
      <c r="O87" s="11"/>
      <c r="P87" s="11"/>
      <c r="Q87" s="11"/>
      <c r="U87" s="49" t="s">
        <v>161</v>
      </c>
      <c r="V87" s="11"/>
      <c r="W87" s="11"/>
      <c r="X87" s="11"/>
      <c r="Y87" s="11"/>
      <c r="Z87" s="11"/>
      <c r="AA87" s="2"/>
      <c r="AB87" s="11"/>
      <c r="AC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2">
        <v>30.909702275383399</v>
      </c>
      <c r="AR87" s="2"/>
      <c r="AS87" s="2">
        <v>16.137337363932165</v>
      </c>
      <c r="AT87" s="2"/>
      <c r="AU87" s="47"/>
      <c r="AV87" s="38"/>
      <c r="AW87" s="38"/>
      <c r="AX87" s="38"/>
      <c r="AY87" s="38"/>
      <c r="AZ87" s="38"/>
      <c r="BA87" s="38"/>
      <c r="BB87" s="38"/>
      <c r="BC87" s="38"/>
      <c r="BD87" s="73"/>
    </row>
    <row r="88" spans="3:56" s="17" customFormat="1">
      <c r="C88" s="17" t="s">
        <v>134</v>
      </c>
      <c r="D88" s="11"/>
      <c r="E88" s="11"/>
      <c r="F88" s="11"/>
      <c r="G88" s="2"/>
      <c r="H88" s="11"/>
      <c r="I88" s="11"/>
      <c r="K88" s="11"/>
      <c r="L88" s="11"/>
      <c r="M88" s="11"/>
      <c r="N88" s="11"/>
      <c r="O88" s="11"/>
      <c r="P88" s="11"/>
      <c r="Q88" s="11"/>
      <c r="U88" s="49" t="s">
        <v>162</v>
      </c>
      <c r="V88" s="11"/>
      <c r="W88" s="11"/>
      <c r="X88" s="11"/>
      <c r="Y88" s="11"/>
      <c r="Z88" s="11"/>
      <c r="AA88" s="2"/>
      <c r="AB88" s="11"/>
      <c r="AC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51"/>
      <c r="AP88" s="51"/>
      <c r="AQ88" s="2"/>
      <c r="AR88" s="2"/>
      <c r="AS88" s="2"/>
      <c r="AT88" s="2"/>
      <c r="AU88" s="75"/>
      <c r="AV88" s="74"/>
      <c r="AW88" s="74"/>
      <c r="AX88" s="74"/>
      <c r="AY88" s="74"/>
      <c r="AZ88" s="74"/>
      <c r="BA88" s="74"/>
      <c r="BB88" s="74"/>
      <c r="BC88" s="74"/>
      <c r="BD88" s="76"/>
    </row>
    <row r="89" spans="3:56" s="17" customFormat="1">
      <c r="C89" s="17" t="s">
        <v>136</v>
      </c>
      <c r="D89" s="11"/>
      <c r="E89" s="11"/>
      <c r="F89" s="11"/>
      <c r="G89" s="2"/>
      <c r="H89" s="11"/>
      <c r="I89" s="11"/>
      <c r="K89" s="11"/>
      <c r="L89" s="11"/>
      <c r="M89" s="11"/>
      <c r="N89" s="11"/>
      <c r="O89" s="11"/>
      <c r="P89" s="11"/>
      <c r="Q89" s="11"/>
      <c r="U89" s="49" t="s">
        <v>163</v>
      </c>
      <c r="V89" s="11"/>
      <c r="W89" s="11"/>
      <c r="X89" s="11"/>
      <c r="Y89" s="11"/>
      <c r="Z89" s="11"/>
      <c r="AA89" s="2"/>
      <c r="AB89" s="11"/>
      <c r="AC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2">
        <v>31.950572335332001</v>
      </c>
      <c r="AR89" s="2"/>
      <c r="AS89" s="2">
        <v>16.753602109754691</v>
      </c>
      <c r="AT89" s="2"/>
      <c r="AU89" s="47"/>
      <c r="AV89" s="38"/>
      <c r="AW89" s="38"/>
      <c r="AX89" s="38"/>
      <c r="AY89" s="38"/>
      <c r="AZ89" s="38"/>
      <c r="BA89" s="38"/>
      <c r="BB89" s="38"/>
      <c r="BC89" s="38"/>
      <c r="BD89" s="73"/>
    </row>
    <row r="90" spans="3:56" s="17" customFormat="1">
      <c r="C90" s="17" t="s">
        <v>138</v>
      </c>
      <c r="D90" s="11"/>
      <c r="E90" s="11"/>
      <c r="F90" s="11"/>
      <c r="G90" s="2"/>
      <c r="H90" s="11"/>
      <c r="I90" s="11"/>
      <c r="K90" s="11"/>
      <c r="L90" s="11"/>
      <c r="M90" s="11"/>
      <c r="N90" s="11"/>
      <c r="O90" s="11"/>
      <c r="P90" s="11"/>
      <c r="Q90" s="11"/>
      <c r="U90" s="49" t="s">
        <v>164</v>
      </c>
      <c r="V90" s="11"/>
      <c r="W90" s="11"/>
      <c r="X90" s="11"/>
      <c r="Y90" s="11"/>
      <c r="Z90" s="11"/>
      <c r="AA90" s="2"/>
      <c r="AB90" s="11"/>
      <c r="AC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U90" s="47"/>
      <c r="AV90" s="38"/>
      <c r="AW90" s="38"/>
      <c r="AX90" s="38"/>
      <c r="AY90" s="38"/>
      <c r="AZ90" s="38"/>
      <c r="BA90" s="38"/>
      <c r="BB90" s="38"/>
      <c r="BC90" s="38"/>
      <c r="BD90" s="73"/>
    </row>
    <row r="91" spans="3:56" s="17" customFormat="1">
      <c r="C91" s="17" t="s">
        <v>140</v>
      </c>
      <c r="D91" s="11"/>
      <c r="E91" s="11"/>
      <c r="F91" s="11"/>
      <c r="G91" s="2"/>
      <c r="H91" s="11"/>
      <c r="I91" s="11"/>
      <c r="K91" s="11"/>
      <c r="L91" s="11"/>
      <c r="M91" s="11"/>
      <c r="N91" s="11"/>
      <c r="O91" s="11"/>
      <c r="P91" s="11"/>
      <c r="Q91" s="11"/>
      <c r="U91" s="49" t="s">
        <v>165</v>
      </c>
      <c r="V91" s="11"/>
      <c r="W91" s="11"/>
      <c r="X91" s="11"/>
      <c r="Y91" s="11"/>
      <c r="Z91" s="11"/>
      <c r="AA91" s="2"/>
      <c r="AB91" s="11"/>
      <c r="AC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U91" s="47"/>
      <c r="AV91" s="38"/>
      <c r="AW91" s="38"/>
      <c r="AX91" s="38"/>
      <c r="AY91" s="38"/>
      <c r="AZ91" s="38"/>
      <c r="BA91" s="38"/>
      <c r="BB91" s="38"/>
      <c r="BC91" s="38"/>
      <c r="BD91" s="73"/>
    </row>
    <row r="92" spans="3:56" s="17" customFormat="1">
      <c r="C92" s="17" t="s">
        <v>142</v>
      </c>
      <c r="D92" s="11">
        <v>809.33333333333337</v>
      </c>
      <c r="E92" s="11">
        <v>2043</v>
      </c>
      <c r="F92" s="11">
        <v>45.1</v>
      </c>
      <c r="G92" s="2">
        <v>0.96699999999999997</v>
      </c>
      <c r="H92" s="11">
        <v>6.64</v>
      </c>
      <c r="I92" s="11">
        <v>1000</v>
      </c>
      <c r="J92" s="17">
        <v>623.20000000000005</v>
      </c>
      <c r="K92" s="11">
        <v>4.4326242145818648</v>
      </c>
      <c r="L92" s="11">
        <v>44.326242145818647</v>
      </c>
      <c r="M92" s="11">
        <v>75.787069353814033</v>
      </c>
      <c r="N92" s="11">
        <f>M92*L92/100</f>
        <v>33.593559876991122</v>
      </c>
      <c r="O92" s="11">
        <f>F92*2</f>
        <v>90.2</v>
      </c>
      <c r="P92" s="11">
        <f>L92*G92*2</f>
        <v>85.72695231001326</v>
      </c>
      <c r="Q92" s="11">
        <f>N92*G92*2</f>
        <v>64.969944802100827</v>
      </c>
      <c r="S92" s="11">
        <f>Q92/40</f>
        <v>1.6242486200525206</v>
      </c>
      <c r="U92" s="49" t="s">
        <v>166</v>
      </c>
      <c r="V92" s="11">
        <v>528.66666666666663</v>
      </c>
      <c r="W92" s="11">
        <v>3176.3333333333335</v>
      </c>
      <c r="X92" s="11">
        <f>((E92-W92)/E92)*100</f>
        <v>-55.473976178822006</v>
      </c>
      <c r="Y92" s="11">
        <v>30.133333333333336</v>
      </c>
      <c r="Z92" s="11">
        <f>((F92-Y92)/F92)*100</f>
        <v>33.185513673318546</v>
      </c>
      <c r="AA92" s="2">
        <v>0.96050000000000002</v>
      </c>
      <c r="AB92" s="11">
        <v>8.0500000000000007</v>
      </c>
      <c r="AC92" s="11">
        <v>3325</v>
      </c>
      <c r="AD92" s="17">
        <v>248</v>
      </c>
      <c r="AE92" s="11">
        <v>3.1123146521967207</v>
      </c>
      <c r="AF92" s="11">
        <v>31.123146521967204</v>
      </c>
      <c r="AG92" s="11">
        <v>71.627457213146641</v>
      </c>
      <c r="AH92" s="11">
        <f>AG92*AF92/100</f>
        <v>22.292718458406998</v>
      </c>
      <c r="AI92" s="11">
        <f>Y92*2</f>
        <v>60.266666666666673</v>
      </c>
      <c r="AJ92" s="11">
        <f>AF92*AA92*2</f>
        <v>59.787564468699003</v>
      </c>
      <c r="AK92" s="11">
        <f>AH92*AA92*2</f>
        <v>42.824312158599845</v>
      </c>
      <c r="AL92" s="11">
        <f>P92-AJ92</f>
        <v>25.939387841314257</v>
      </c>
      <c r="AM92" s="11">
        <f>Q92-AK92</f>
        <v>22.145632643500981</v>
      </c>
      <c r="AN92" s="11">
        <f>O92-AI92</f>
        <v>29.93333333333333</v>
      </c>
      <c r="AO92" s="11">
        <f>AM92/Q92</f>
        <v>0.34085964996517737</v>
      </c>
      <c r="AP92" s="11">
        <f>AL92/P92</f>
        <v>0.30258147691416798</v>
      </c>
      <c r="AQ92" s="2">
        <v>32.484667712779</v>
      </c>
      <c r="AR92" s="2">
        <f>AQ92</f>
        <v>32.484667712779</v>
      </c>
      <c r="AS92" s="2">
        <v>17.148331238898905</v>
      </c>
      <c r="AT92" s="2">
        <f>AS92</f>
        <v>17.148331238898905</v>
      </c>
      <c r="AU92" s="47">
        <f>AR92/AM92</f>
        <v>1.4668656450558519</v>
      </c>
      <c r="AV92" s="38">
        <f>AR92/AL92</f>
        <v>1.2523297739910395</v>
      </c>
      <c r="AW92" s="38"/>
      <c r="AX92" s="38">
        <f>AR92/Q92</f>
        <v>0.49999531031968181</v>
      </c>
      <c r="AY92" s="38">
        <f>AR92/P92</f>
        <v>0.37893179259779491</v>
      </c>
      <c r="AZ92" s="38">
        <f>AT92/AM92</f>
        <v>0.7743437053685337</v>
      </c>
      <c r="BA92" s="38">
        <f>AT92/AL92</f>
        <v>0.66109236439212971</v>
      </c>
      <c r="BB92" s="74"/>
      <c r="BC92" s="38">
        <f>AT92/Q92</f>
        <v>0.26394252436465682</v>
      </c>
      <c r="BD92" s="73">
        <f>AT92/P92</f>
        <v>0.20003430399444994</v>
      </c>
    </row>
    <row r="93" spans="3:56" s="17" customFormat="1">
      <c r="C93" s="17" t="s">
        <v>144</v>
      </c>
      <c r="D93" s="11"/>
      <c r="E93" s="11"/>
      <c r="F93" s="11"/>
      <c r="G93" s="2"/>
      <c r="H93" s="11"/>
      <c r="I93" s="11"/>
      <c r="K93" s="11"/>
      <c r="L93" s="11"/>
      <c r="M93" s="11"/>
      <c r="N93" s="11"/>
      <c r="O93" s="11"/>
      <c r="P93" s="11"/>
      <c r="Q93" s="11"/>
      <c r="U93" s="49" t="s">
        <v>167</v>
      </c>
      <c r="V93" s="11"/>
      <c r="W93" s="11"/>
      <c r="X93" s="11"/>
      <c r="Y93" s="11"/>
      <c r="Z93" s="11"/>
      <c r="AA93" s="2"/>
      <c r="AB93" s="11"/>
      <c r="AC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2">
        <v>31.408012526510404</v>
      </c>
      <c r="AR93" s="2"/>
      <c r="AS93" s="2">
        <v>16.551394441220452</v>
      </c>
      <c r="AT93" s="2"/>
      <c r="AU93" s="47"/>
      <c r="AV93" s="38"/>
      <c r="AW93" s="38"/>
      <c r="AX93" s="38"/>
      <c r="AY93" s="38"/>
      <c r="AZ93" s="38"/>
      <c r="BA93" s="38"/>
      <c r="BB93" s="38"/>
      <c r="BC93" s="38"/>
      <c r="BD93" s="73"/>
    </row>
    <row r="94" spans="3:56" s="17" customFormat="1">
      <c r="C94" s="17" t="s">
        <v>146</v>
      </c>
      <c r="D94" s="11"/>
      <c r="E94" s="11"/>
      <c r="F94" s="11"/>
      <c r="G94" s="2"/>
      <c r="H94" s="11"/>
      <c r="I94" s="11"/>
      <c r="K94" s="11"/>
      <c r="L94" s="11"/>
      <c r="M94" s="11"/>
      <c r="N94" s="11"/>
      <c r="O94" s="11"/>
      <c r="P94" s="11"/>
      <c r="Q94" s="11"/>
      <c r="U94" s="49" t="s">
        <v>168</v>
      </c>
      <c r="V94" s="11"/>
      <c r="W94" s="11"/>
      <c r="X94" s="11"/>
      <c r="Y94" s="11"/>
      <c r="Z94" s="11"/>
      <c r="AA94" s="2"/>
      <c r="AB94" s="11"/>
      <c r="AC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2">
        <v>32.267365540206001</v>
      </c>
      <c r="AR94" s="2"/>
      <c r="AS94" s="2">
        <v>17.103317104586193</v>
      </c>
      <c r="AT94" s="2"/>
      <c r="AU94" s="47"/>
      <c r="AV94" s="38"/>
      <c r="AW94" s="38"/>
      <c r="AX94" s="38"/>
      <c r="AY94" s="38"/>
      <c r="AZ94" s="38"/>
      <c r="BA94" s="38"/>
      <c r="BB94" s="38"/>
      <c r="BC94" s="38"/>
      <c r="BD94" s="73"/>
    </row>
    <row r="95" spans="3:56" s="17" customFormat="1">
      <c r="C95" s="17" t="s">
        <v>148</v>
      </c>
      <c r="D95" s="11">
        <v>809.33333333333337</v>
      </c>
      <c r="E95" s="11">
        <v>2043</v>
      </c>
      <c r="F95" s="11">
        <v>45.1</v>
      </c>
      <c r="G95" s="2">
        <v>0.96699999999999997</v>
      </c>
      <c r="H95" s="11">
        <v>6.64</v>
      </c>
      <c r="I95" s="11">
        <v>1000</v>
      </c>
      <c r="J95" s="17">
        <v>623.20000000000005</v>
      </c>
      <c r="K95" s="11">
        <v>4.4326242145818648</v>
      </c>
      <c r="L95" s="11">
        <v>44.326242145818647</v>
      </c>
      <c r="M95" s="11">
        <v>75.787069353814033</v>
      </c>
      <c r="N95" s="11">
        <f>M95*L95/100</f>
        <v>33.593559876991122</v>
      </c>
      <c r="O95" s="11">
        <f>F95*2</f>
        <v>90.2</v>
      </c>
      <c r="P95" s="11">
        <f>L95*G95*2</f>
        <v>85.72695231001326</v>
      </c>
      <c r="Q95" s="11">
        <f>N95*G95*2</f>
        <v>64.969944802100827</v>
      </c>
      <c r="S95" s="11">
        <f>Q95/40</f>
        <v>1.6242486200525206</v>
      </c>
      <c r="U95" s="49" t="s">
        <v>169</v>
      </c>
      <c r="V95" s="11">
        <v>520.33333333333337</v>
      </c>
      <c r="W95" s="11">
        <v>3482</v>
      </c>
      <c r="X95" s="11">
        <f>((E95-W95)/E95)*100</f>
        <v>-70.435633871757219</v>
      </c>
      <c r="Y95" s="11">
        <v>31.7</v>
      </c>
      <c r="Z95" s="11">
        <f>((F95-Y95)/F95)*100</f>
        <v>29.711751662971182</v>
      </c>
      <c r="AA95" s="2">
        <v>0.96850000000000003</v>
      </c>
      <c r="AB95" s="11">
        <v>7.98</v>
      </c>
      <c r="AC95" s="11">
        <v>3350</v>
      </c>
      <c r="AD95" s="17">
        <v>221.4</v>
      </c>
      <c r="AE95" s="11">
        <v>3.0981763237580613</v>
      </c>
      <c r="AF95" s="11">
        <v>30.981763237580619</v>
      </c>
      <c r="AG95" s="11">
        <v>72.33319469572146</v>
      </c>
      <c r="AH95" s="11">
        <f>AG95*AF95/100</f>
        <v>22.410099122806646</v>
      </c>
      <c r="AI95" s="11">
        <f>Y95*2</f>
        <v>63.4</v>
      </c>
      <c r="AJ95" s="11">
        <f>AF95*AA95*2</f>
        <v>60.011675391193663</v>
      </c>
      <c r="AK95" s="11">
        <f>AH95*AA95*2</f>
        <v>43.408362000876473</v>
      </c>
      <c r="AL95" s="11">
        <f>P95-AJ95</f>
        <v>25.715276918819598</v>
      </c>
      <c r="AM95" s="11">
        <f>Q95-AK95</f>
        <v>21.561582801224354</v>
      </c>
      <c r="AN95" s="11">
        <f>O95-AI95</f>
        <v>26.800000000000004</v>
      </c>
      <c r="AO95" s="11">
        <f>AM95/Q95</f>
        <v>0.33187011112447723</v>
      </c>
      <c r="AP95" s="11">
        <f>AL95/P95</f>
        <v>0.29996723580964102</v>
      </c>
      <c r="AQ95" s="2">
        <v>33.841960228230036</v>
      </c>
      <c r="AR95" s="2">
        <f>AQ95</f>
        <v>33.841960228230036</v>
      </c>
      <c r="AS95" s="2">
        <v>17.987340280906547</v>
      </c>
      <c r="AT95" s="2">
        <f>AS95</f>
        <v>17.987340280906547</v>
      </c>
      <c r="AU95" s="47">
        <f>AR95/AM95</f>
        <v>1.5695489770031332</v>
      </c>
      <c r="AV95" s="38">
        <f>AR95/AL95</f>
        <v>1.3160255024694276</v>
      </c>
      <c r="AW95" s="74"/>
      <c r="AX95" s="38">
        <f>AR95/Q95</f>
        <v>0.52088639341333942</v>
      </c>
      <c r="AY95" s="38">
        <f>AR95/P95</f>
        <v>0.39476453223074809</v>
      </c>
      <c r="AZ95" s="38">
        <f>AT95/AM95</f>
        <v>0.83423097676693536</v>
      </c>
      <c r="BA95" s="38">
        <f>AT95/AL95</f>
        <v>0.6994807148175255</v>
      </c>
      <c r="BB95" s="74"/>
      <c r="BC95" s="38">
        <f>AT95/Q95</f>
        <v>0.27685632696312401</v>
      </c>
      <c r="BD95" s="73">
        <f>AT95/P95</f>
        <v>0.20982129652596493</v>
      </c>
    </row>
    <row r="96" spans="3:56" s="17" customFormat="1">
      <c r="C96" s="17" t="s">
        <v>150</v>
      </c>
      <c r="D96" s="11"/>
      <c r="E96" s="11"/>
      <c r="F96" s="11"/>
      <c r="G96" s="2"/>
      <c r="H96" s="11"/>
      <c r="I96" s="11"/>
      <c r="U96" s="47"/>
      <c r="AO96" s="11"/>
      <c r="AP96" s="11"/>
      <c r="AU96" s="47"/>
      <c r="AV96" s="38"/>
      <c r="AW96" s="38"/>
      <c r="AX96" s="38"/>
      <c r="AY96" s="38"/>
      <c r="AZ96" s="38"/>
      <c r="BA96" s="38"/>
      <c r="BB96" s="38"/>
      <c r="BC96" s="38"/>
      <c r="BD96" s="73"/>
    </row>
    <row r="97" spans="3:56" s="17" customFormat="1">
      <c r="C97" s="17" t="s">
        <v>151</v>
      </c>
      <c r="D97" s="11"/>
      <c r="E97" s="11"/>
      <c r="F97" s="11"/>
      <c r="G97" s="2"/>
      <c r="H97" s="11"/>
      <c r="I97" s="11"/>
      <c r="U97" s="47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1"/>
      <c r="AP97" s="11"/>
      <c r="AQ97" s="18"/>
      <c r="AR97" s="18"/>
      <c r="AS97" s="18"/>
      <c r="AT97" s="18"/>
      <c r="AU97" s="45"/>
      <c r="AV97" s="46"/>
      <c r="AW97" s="46"/>
      <c r="AX97" s="46"/>
      <c r="AY97" s="46"/>
      <c r="AZ97" s="46"/>
      <c r="BA97" s="46"/>
      <c r="BB97" s="38"/>
      <c r="BC97" s="38"/>
      <c r="BD97" s="73"/>
    </row>
    <row r="98" spans="3:56" s="17" customFormat="1">
      <c r="C98" s="17" t="s">
        <v>152</v>
      </c>
      <c r="D98" s="11"/>
      <c r="E98" s="11"/>
      <c r="F98" s="11"/>
      <c r="G98" s="2"/>
      <c r="H98" s="11"/>
      <c r="I98" s="11"/>
      <c r="U98" s="47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1"/>
      <c r="AP98" s="11"/>
      <c r="AQ98" s="18"/>
      <c r="AR98" s="18"/>
      <c r="AS98" s="18"/>
      <c r="AT98" s="18"/>
      <c r="AU98" s="45"/>
      <c r="AV98" s="46"/>
      <c r="AW98" s="46"/>
      <c r="AX98" s="46"/>
      <c r="AY98" s="46"/>
      <c r="AZ98" s="46"/>
      <c r="BA98" s="46"/>
      <c r="BB98" s="38"/>
      <c r="BC98" s="38"/>
      <c r="BD98" s="73"/>
    </row>
    <row r="99" spans="3:56" s="89" customFormat="1">
      <c r="C99" s="89" t="s">
        <v>191</v>
      </c>
      <c r="D99" s="90">
        <f>AVERAGE(D57:D98)</f>
        <v>699.7</v>
      </c>
      <c r="E99" s="90">
        <f t="shared" ref="E99:AT99" si="10">AVERAGE(E57:E98)</f>
        <v>2879.8166666666666</v>
      </c>
      <c r="F99" s="90">
        <f t="shared" si="10"/>
        <v>50.39166666666668</v>
      </c>
      <c r="G99" s="90">
        <f t="shared" si="10"/>
        <v>0.99269999999999992</v>
      </c>
      <c r="H99" s="90">
        <f t="shared" si="10"/>
        <v>6.6</v>
      </c>
      <c r="I99" s="90">
        <f t="shared" si="10"/>
        <v>785</v>
      </c>
      <c r="J99" s="90">
        <f t="shared" si="10"/>
        <v>891.86</v>
      </c>
      <c r="K99" s="90">
        <f t="shared" si="10"/>
        <v>4.3020361530165623</v>
      </c>
      <c r="L99" s="90">
        <f t="shared" si="10"/>
        <v>43.02036153016563</v>
      </c>
      <c r="M99" s="90">
        <f t="shared" si="10"/>
        <v>80.984399785173366</v>
      </c>
      <c r="N99" s="90">
        <f t="shared" si="10"/>
        <v>34.826936790882087</v>
      </c>
      <c r="O99" s="90">
        <f t="shared" si="10"/>
        <v>100.78333333333336</v>
      </c>
      <c r="P99" s="90">
        <f t="shared" si="10"/>
        <v>85.379648912052772</v>
      </c>
      <c r="Q99" s="90">
        <f t="shared" si="10"/>
        <v>69.122108065771968</v>
      </c>
      <c r="R99" s="90" t="e">
        <f t="shared" si="10"/>
        <v>#DIV/0!</v>
      </c>
      <c r="S99" s="90">
        <f t="shared" si="10"/>
        <v>1.7280527016442995</v>
      </c>
      <c r="T99" s="90"/>
      <c r="U99" s="90"/>
      <c r="V99" s="90">
        <f t="shared" si="10"/>
        <v>424.9</v>
      </c>
      <c r="W99" s="90">
        <f t="shared" si="10"/>
        <v>2712.666666666667</v>
      </c>
      <c r="X99" s="90">
        <f t="shared" si="10"/>
        <v>-1.3011240498745047</v>
      </c>
      <c r="Y99" s="90">
        <f t="shared" si="10"/>
        <v>28.133333333333333</v>
      </c>
      <c r="Z99" s="90">
        <f t="shared" si="10"/>
        <v>43.744332308635059</v>
      </c>
      <c r="AA99" s="90">
        <f t="shared" si="10"/>
        <v>0.95684999999999998</v>
      </c>
      <c r="AB99" s="90">
        <f t="shared" si="10"/>
        <v>7.7640000000000002</v>
      </c>
      <c r="AC99" s="90">
        <f t="shared" si="10"/>
        <v>3292.5</v>
      </c>
      <c r="AD99" s="90">
        <f t="shared" si="10"/>
        <v>417.58000000000004</v>
      </c>
      <c r="AE99" s="90">
        <f t="shared" si="10"/>
        <v>2.7541260118303579</v>
      </c>
      <c r="AF99" s="90">
        <f t="shared" si="10"/>
        <v>27.54126011830358</v>
      </c>
      <c r="AG99" s="90">
        <f t="shared" si="10"/>
        <v>73.101397118327142</v>
      </c>
      <c r="AH99" s="90">
        <f t="shared" si="10"/>
        <v>20.117257136792599</v>
      </c>
      <c r="AI99" s="90">
        <f t="shared" si="10"/>
        <v>56.266666666666666</v>
      </c>
      <c r="AJ99" s="90">
        <f t="shared" si="10"/>
        <v>52.716003637147104</v>
      </c>
      <c r="AK99" s="90">
        <f t="shared" si="10"/>
        <v>38.504173343805384</v>
      </c>
      <c r="AL99" s="90">
        <f t="shared" si="10"/>
        <v>32.663645274905647</v>
      </c>
      <c r="AM99" s="90">
        <f t="shared" si="10"/>
        <v>30.617934721966588</v>
      </c>
      <c r="AN99" s="90">
        <f t="shared" si="10"/>
        <v>44.516666666666666</v>
      </c>
      <c r="AO99" s="90">
        <f t="shared" si="10"/>
        <v>0.44107010876327779</v>
      </c>
      <c r="AP99" s="90">
        <f t="shared" si="10"/>
        <v>0.38235440104523688</v>
      </c>
      <c r="AQ99" s="90">
        <f t="shared" si="10"/>
        <v>28.134175335227201</v>
      </c>
      <c r="AR99" s="90">
        <f t="shared" si="10"/>
        <v>27.844333265934097</v>
      </c>
      <c r="AS99" s="90">
        <f t="shared" si="10"/>
        <v>14.6827738930831</v>
      </c>
      <c r="AT99" s="90">
        <f t="shared" si="10"/>
        <v>14.561323641117303</v>
      </c>
      <c r="AU99" s="91">
        <f t="shared" ref="AU99:BD99" si="11">AVERAGE(AU57:AU98)</f>
        <v>0.95508811866274868</v>
      </c>
      <c r="AV99" s="92">
        <f t="shared" si="11"/>
        <v>0.87817473395457957</v>
      </c>
      <c r="AW99" s="92">
        <f t="shared" si="11"/>
        <v>0.5574057401815451</v>
      </c>
      <c r="AX99" s="92">
        <f t="shared" si="11"/>
        <v>0.4046821840412963</v>
      </c>
      <c r="AY99" s="92">
        <f t="shared" si="11"/>
        <v>0.32616759413579732</v>
      </c>
      <c r="AZ99" s="92">
        <f t="shared" si="11"/>
        <v>0.50015742850740452</v>
      </c>
      <c r="BA99" s="92">
        <f t="shared" si="11"/>
        <v>0.45952968254580517</v>
      </c>
      <c r="BB99" s="92">
        <f t="shared" si="11"/>
        <v>0.29010435172502197</v>
      </c>
      <c r="BC99" s="92">
        <f t="shared" si="11"/>
        <v>0.21169244018155742</v>
      </c>
      <c r="BD99" s="93">
        <f t="shared" si="11"/>
        <v>0.17055491749011828</v>
      </c>
    </row>
    <row r="100" spans="3:56" s="17" customFormat="1">
      <c r="C100" s="14" t="s">
        <v>18</v>
      </c>
      <c r="D100" s="11">
        <f>STDEV(D57:D98)</f>
        <v>235.12340206268462</v>
      </c>
      <c r="E100" s="11">
        <f t="shared" ref="E100:AT100" si="12">STDEV(E57:E98)</f>
        <v>848.42719483658266</v>
      </c>
      <c r="F100" s="11">
        <f t="shared" si="12"/>
        <v>3.8256605981639233</v>
      </c>
      <c r="G100" s="11">
        <f t="shared" si="12"/>
        <v>2.432100144136979E-2</v>
      </c>
      <c r="H100" s="11">
        <f t="shared" si="12"/>
        <v>0.14696938456700206</v>
      </c>
      <c r="I100" s="11">
        <f t="shared" si="12"/>
        <v>137.03203194062976</v>
      </c>
      <c r="J100" s="11">
        <f t="shared" si="12"/>
        <v>236.42426647401845</v>
      </c>
      <c r="K100" s="11">
        <f t="shared" si="12"/>
        <v>0.16304239701369819</v>
      </c>
      <c r="L100" s="11">
        <f t="shared" si="12"/>
        <v>1.6304239701365983</v>
      </c>
      <c r="M100" s="11">
        <f t="shared" si="12"/>
        <v>3.2089455249177905</v>
      </c>
      <c r="N100" s="11">
        <f t="shared" si="12"/>
        <v>1.6602369293681889</v>
      </c>
      <c r="O100" s="11">
        <f t="shared" si="12"/>
        <v>7.6513211963278467</v>
      </c>
      <c r="P100" s="11">
        <f t="shared" si="12"/>
        <v>2.9286104031471583</v>
      </c>
      <c r="Q100" s="11">
        <f t="shared" si="12"/>
        <v>3.1483301144304479</v>
      </c>
      <c r="R100" s="11" t="e">
        <f t="shared" si="12"/>
        <v>#DIV/0!</v>
      </c>
      <c r="S100" s="11">
        <f t="shared" si="12"/>
        <v>7.8708252860752365E-2</v>
      </c>
      <c r="T100" s="11"/>
      <c r="U100" s="11"/>
      <c r="V100" s="11">
        <f t="shared" si="12"/>
        <v>69.495545642850502</v>
      </c>
      <c r="W100" s="11">
        <f t="shared" si="12"/>
        <v>672.70829075048903</v>
      </c>
      <c r="X100" s="11">
        <f t="shared" si="12"/>
        <v>39.821441129478671</v>
      </c>
      <c r="Y100" s="11">
        <f t="shared" si="12"/>
        <v>2.860846805483392</v>
      </c>
      <c r="Z100" s="11">
        <f t="shared" si="12"/>
        <v>8.2979955546734772</v>
      </c>
      <c r="AA100" s="11">
        <f t="shared" si="12"/>
        <v>1.671002692996033E-2</v>
      </c>
      <c r="AB100" s="11">
        <f t="shared" si="12"/>
        <v>0.22988886203748263</v>
      </c>
      <c r="AC100" s="11">
        <f t="shared" si="12"/>
        <v>260.35499269693719</v>
      </c>
      <c r="AD100" s="11">
        <f t="shared" si="12"/>
        <v>222.88907953907875</v>
      </c>
      <c r="AE100" s="11">
        <f t="shared" si="12"/>
        <v>0.20849126175051941</v>
      </c>
      <c r="AF100" s="11">
        <f t="shared" si="12"/>
        <v>2.0849126175050698</v>
      </c>
      <c r="AG100" s="11">
        <f t="shared" si="12"/>
        <v>2.3203388974838917</v>
      </c>
      <c r="AH100" s="11">
        <f t="shared" si="12"/>
        <v>1.4079119120278787</v>
      </c>
      <c r="AI100" s="11">
        <f t="shared" si="12"/>
        <v>5.721693610966784</v>
      </c>
      <c r="AJ100" s="11">
        <f t="shared" si="12"/>
        <v>4.2485388198712712</v>
      </c>
      <c r="AK100" s="11">
        <f t="shared" si="12"/>
        <v>2.8713773800778175</v>
      </c>
      <c r="AL100" s="11">
        <f t="shared" si="12"/>
        <v>4.4580125120322505</v>
      </c>
      <c r="AM100" s="11">
        <f t="shared" si="12"/>
        <v>5.1682398474455251</v>
      </c>
      <c r="AN100" s="11">
        <f t="shared" si="12"/>
        <v>10.974504685242962</v>
      </c>
      <c r="AO100" s="11">
        <f t="shared" si="12"/>
        <v>5.9988149133177716E-2</v>
      </c>
      <c r="AP100" s="11">
        <f t="shared" si="12"/>
        <v>4.8023843977645544E-2</v>
      </c>
      <c r="AQ100" s="11">
        <f t="shared" si="12"/>
        <v>3.1483671361138628</v>
      </c>
      <c r="AR100" s="11">
        <f t="shared" si="12"/>
        <v>3.6579217180067483</v>
      </c>
      <c r="AS100" s="11">
        <f t="shared" si="12"/>
        <v>1.7305324901480901</v>
      </c>
      <c r="AT100" s="11">
        <f t="shared" si="12"/>
        <v>2.018928936843098</v>
      </c>
      <c r="AU100" s="49">
        <f t="shared" ref="AU100:BD100" si="13">STDEV(AU57:AU98)</f>
        <v>0.3154626606923549</v>
      </c>
      <c r="AV100" s="39">
        <f t="shared" si="13"/>
        <v>0.232584136386496</v>
      </c>
      <c r="AW100" s="39">
        <f t="shared" si="13"/>
        <v>9.4528929952138172E-2</v>
      </c>
      <c r="AX100" s="39">
        <f t="shared" si="13"/>
        <v>6.5777000894858537E-2</v>
      </c>
      <c r="AY100" s="39">
        <f t="shared" si="13"/>
        <v>4.160186589424212E-2</v>
      </c>
      <c r="AZ100" s="39">
        <f t="shared" si="13"/>
        <v>0.17003441176650974</v>
      </c>
      <c r="BA100" s="39">
        <f t="shared" si="13"/>
        <v>0.12556812069054557</v>
      </c>
      <c r="BB100" s="39">
        <f t="shared" si="13"/>
        <v>4.7921526194441844E-2</v>
      </c>
      <c r="BC100" s="39">
        <f t="shared" si="13"/>
        <v>3.6188949107610315E-2</v>
      </c>
      <c r="BD100" s="80">
        <f t="shared" si="13"/>
        <v>2.294932783723902E-2</v>
      </c>
    </row>
    <row r="101" spans="3:56" s="17" customFormat="1">
      <c r="C101" s="14" t="s">
        <v>254</v>
      </c>
      <c r="D101" s="11">
        <f>CONFIDENCE(0.05,D100,10)</f>
        <v>145.72831657700004</v>
      </c>
      <c r="E101" s="11">
        <f t="shared" ref="E101:AT101" si="14">CONFIDENCE(0.05,E100,10)</f>
        <v>525.85096063180833</v>
      </c>
      <c r="F101" s="11">
        <f t="shared" si="14"/>
        <v>2.3711254340252967</v>
      </c>
      <c r="G101" s="11">
        <f t="shared" si="14"/>
        <v>1.5074035874033076E-2</v>
      </c>
      <c r="H101" s="11">
        <f t="shared" si="14"/>
        <v>9.1090894455486571E-2</v>
      </c>
      <c r="I101" s="11">
        <f t="shared" si="14"/>
        <v>84.931772663402327</v>
      </c>
      <c r="J101" s="11">
        <f t="shared" si="14"/>
        <v>146.53458587684653</v>
      </c>
      <c r="K101" s="11">
        <f t="shared" si="14"/>
        <v>0.10105286772411821</v>
      </c>
      <c r="L101" s="11">
        <f t="shared" si="14"/>
        <v>1.0105286772409443</v>
      </c>
      <c r="M101" s="11">
        <f t="shared" si="14"/>
        <v>1.9888884952800001</v>
      </c>
      <c r="N101" s="11">
        <f t="shared" si="14"/>
        <v>1.0290066012709826</v>
      </c>
      <c r="O101" s="11">
        <f t="shared" si="14"/>
        <v>4.7422508680505935</v>
      </c>
      <c r="P101" s="11">
        <f t="shared" si="14"/>
        <v>1.8151381794260679</v>
      </c>
      <c r="Q101" s="11">
        <f t="shared" si="14"/>
        <v>1.9513193649788434</v>
      </c>
      <c r="R101" s="11" t="e">
        <f t="shared" si="14"/>
        <v>#DIV/0!</v>
      </c>
      <c r="S101" s="11">
        <f t="shared" si="14"/>
        <v>4.8782984124465613E-2</v>
      </c>
      <c r="T101" s="11"/>
      <c r="U101" s="11"/>
      <c r="V101" s="11">
        <f t="shared" si="14"/>
        <v>43.072993956733654</v>
      </c>
      <c r="W101" s="11">
        <f t="shared" si="14"/>
        <v>416.94125679724573</v>
      </c>
      <c r="X101" s="11">
        <f t="shared" si="14"/>
        <v>24.681131391259431</v>
      </c>
      <c r="Y101" s="11">
        <f t="shared" si="14"/>
        <v>1.7731386382229808</v>
      </c>
      <c r="Z101" s="11">
        <f t="shared" si="14"/>
        <v>5.1430564228719557</v>
      </c>
      <c r="AA101" s="11">
        <f t="shared" si="14"/>
        <v>1.0356791680864856E-2</v>
      </c>
      <c r="AB101" s="11">
        <f t="shared" si="14"/>
        <v>0.14248397467298043</v>
      </c>
      <c r="AC101" s="11">
        <f t="shared" si="14"/>
        <v>161.36673110925207</v>
      </c>
      <c r="AD101" s="11">
        <f t="shared" si="14"/>
        <v>138.1455442532573</v>
      </c>
      <c r="AE101" s="11">
        <f t="shared" si="14"/>
        <v>0.12922184831188196</v>
      </c>
      <c r="AF101" s="11">
        <f t="shared" si="14"/>
        <v>1.2922184831187427</v>
      </c>
      <c r="AG101" s="11">
        <f t="shared" si="14"/>
        <v>1.4381345219235593</v>
      </c>
      <c r="AH101" s="11">
        <f t="shared" si="14"/>
        <v>0.8726168089972961</v>
      </c>
      <c r="AI101" s="11">
        <f t="shared" si="14"/>
        <v>3.5462772764459616</v>
      </c>
      <c r="AJ101" s="11">
        <f t="shared" si="14"/>
        <v>2.6332232551092982</v>
      </c>
      <c r="AK101" s="11">
        <f t="shared" si="14"/>
        <v>1.7796654360439181</v>
      </c>
      <c r="AL101" s="11">
        <f t="shared" si="14"/>
        <v>2.7630540089091684</v>
      </c>
      <c r="AM101" s="11">
        <f t="shared" si="14"/>
        <v>3.2032493832052213</v>
      </c>
      <c r="AN101" s="11">
        <f t="shared" si="14"/>
        <v>6.8019434859167234</v>
      </c>
      <c r="AO101" s="11">
        <f t="shared" si="14"/>
        <v>3.7180356829888739E-2</v>
      </c>
      <c r="AP101" s="11">
        <f t="shared" si="14"/>
        <v>2.9764939929514043E-2</v>
      </c>
      <c r="AQ101" s="11">
        <f t="shared" si="14"/>
        <v>1.9513423108343115</v>
      </c>
      <c r="AR101" s="11">
        <f t="shared" si="14"/>
        <v>2.2671617093795495</v>
      </c>
      <c r="AS101" s="11">
        <f t="shared" si="14"/>
        <v>1.0725754406354289</v>
      </c>
      <c r="AT101" s="11">
        <f t="shared" si="14"/>
        <v>1.2513221256312821</v>
      </c>
      <c r="AU101" s="49">
        <f t="shared" ref="AU101:BD101" si="15">CONFIDENCE(0.05,AU100,10)</f>
        <v>0.19552218997470105</v>
      </c>
      <c r="AV101" s="39">
        <f t="shared" si="15"/>
        <v>0.14415449232519684</v>
      </c>
      <c r="AW101" s="39">
        <f>CONFIDENCE(0.05,AW100,8)</f>
        <v>6.5504002766175545E-2</v>
      </c>
      <c r="AX101" s="39">
        <f t="shared" si="15"/>
        <v>4.0768258394526018E-2</v>
      </c>
      <c r="AY101" s="39">
        <f t="shared" si="15"/>
        <v>2.578462981585183E-2</v>
      </c>
      <c r="AZ101" s="39">
        <f t="shared" si="15"/>
        <v>0.10538648373371101</v>
      </c>
      <c r="BA101" s="39">
        <f t="shared" si="15"/>
        <v>7.7826497419819785E-2</v>
      </c>
      <c r="BB101" s="39">
        <f>CONFIDENCE(0.05,BB100,8)</f>
        <v>3.3207313210775108E-2</v>
      </c>
      <c r="BC101" s="39">
        <f t="shared" si="15"/>
        <v>2.2429730881219467E-2</v>
      </c>
      <c r="BD101" s="80">
        <f t="shared" si="15"/>
        <v>1.4223879388249532E-2</v>
      </c>
    </row>
    <row r="102" spans="3:56" s="17" customFormat="1">
      <c r="C102" s="14" t="s">
        <v>41</v>
      </c>
      <c r="D102" s="11">
        <f>D99+D101</f>
        <v>845.42831657700003</v>
      </c>
      <c r="E102" s="11">
        <f t="shared" ref="E102:AT102" si="16">E99+E101</f>
        <v>3405.6676272984751</v>
      </c>
      <c r="F102" s="11">
        <f t="shared" si="16"/>
        <v>52.762792100691975</v>
      </c>
      <c r="G102" s="11">
        <f t="shared" si="16"/>
        <v>1.007774035874033</v>
      </c>
      <c r="H102" s="11">
        <f t="shared" si="16"/>
        <v>6.6910908944554865</v>
      </c>
      <c r="I102" s="11">
        <f t="shared" si="16"/>
        <v>869.93177266340228</v>
      </c>
      <c r="J102" s="11">
        <f t="shared" si="16"/>
        <v>1038.3945858768466</v>
      </c>
      <c r="K102" s="11">
        <f t="shared" si="16"/>
        <v>4.4030890207406808</v>
      </c>
      <c r="L102" s="11">
        <f t="shared" si="16"/>
        <v>44.030890207406571</v>
      </c>
      <c r="M102" s="11">
        <f t="shared" si="16"/>
        <v>82.97328828045336</v>
      </c>
      <c r="N102" s="11">
        <f t="shared" si="16"/>
        <v>35.855943392153073</v>
      </c>
      <c r="O102" s="11">
        <f t="shared" si="16"/>
        <v>105.52558420138395</v>
      </c>
      <c r="P102" s="11">
        <f t="shared" si="16"/>
        <v>87.194787091478844</v>
      </c>
      <c r="Q102" s="11">
        <f t="shared" si="16"/>
        <v>71.073427430750812</v>
      </c>
      <c r="R102" s="11" t="e">
        <f t="shared" si="16"/>
        <v>#DIV/0!</v>
      </c>
      <c r="S102" s="11">
        <f t="shared" si="16"/>
        <v>1.776835685768765</v>
      </c>
      <c r="T102" s="11"/>
      <c r="U102" s="11"/>
      <c r="V102" s="11">
        <f t="shared" si="16"/>
        <v>467.9729939567336</v>
      </c>
      <c r="W102" s="11">
        <f t="shared" si="16"/>
        <v>3129.6079234639128</v>
      </c>
      <c r="X102" s="11"/>
      <c r="Y102" s="11">
        <f t="shared" si="16"/>
        <v>29.906471971556314</v>
      </c>
      <c r="Z102" s="11"/>
      <c r="AA102" s="11">
        <f t="shared" si="16"/>
        <v>0.96720679168086487</v>
      </c>
      <c r="AB102" s="11">
        <f t="shared" si="16"/>
        <v>7.9064839746729803</v>
      </c>
      <c r="AC102" s="11">
        <f t="shared" si="16"/>
        <v>3453.8667311092522</v>
      </c>
      <c r="AD102" s="11">
        <f t="shared" si="16"/>
        <v>555.72554425325734</v>
      </c>
      <c r="AE102" s="11">
        <f t="shared" si="16"/>
        <v>2.8833478601422398</v>
      </c>
      <c r="AF102" s="11">
        <f t="shared" si="16"/>
        <v>28.833478601422321</v>
      </c>
      <c r="AG102" s="11">
        <f t="shared" si="16"/>
        <v>74.539531640250701</v>
      </c>
      <c r="AH102" s="11">
        <f t="shared" si="16"/>
        <v>20.989873945789896</v>
      </c>
      <c r="AI102" s="11">
        <f t="shared" si="16"/>
        <v>59.812943943112629</v>
      </c>
      <c r="AJ102" s="11">
        <f t="shared" si="16"/>
        <v>55.349226892256404</v>
      </c>
      <c r="AK102" s="11">
        <f t="shared" si="16"/>
        <v>40.283838779849305</v>
      </c>
      <c r="AL102" s="11">
        <f t="shared" si="16"/>
        <v>35.426699283814813</v>
      </c>
      <c r="AM102" s="11">
        <f t="shared" si="16"/>
        <v>33.82118410517181</v>
      </c>
      <c r="AN102" s="11">
        <f t="shared" si="16"/>
        <v>51.318610152583389</v>
      </c>
      <c r="AO102" s="11">
        <f t="shared" si="16"/>
        <v>0.47825046559316653</v>
      </c>
      <c r="AP102" s="11">
        <f t="shared" si="16"/>
        <v>0.41211934097475095</v>
      </c>
      <c r="AQ102" s="11">
        <f t="shared" si="16"/>
        <v>30.085517646061511</v>
      </c>
      <c r="AR102" s="11">
        <f t="shared" si="16"/>
        <v>30.111494975313647</v>
      </c>
      <c r="AS102" s="11">
        <f t="shared" si="16"/>
        <v>15.755349333718529</v>
      </c>
      <c r="AT102" s="11">
        <f t="shared" si="16"/>
        <v>15.812645766748584</v>
      </c>
      <c r="AU102" s="49">
        <f t="shared" ref="AU102:BD102" si="17">AU99+AU101</f>
        <v>1.1506103086374497</v>
      </c>
      <c r="AV102" s="39">
        <f t="shared" si="17"/>
        <v>1.0223292262797763</v>
      </c>
      <c r="AW102" s="39">
        <f t="shared" si="17"/>
        <v>0.62290974294772061</v>
      </c>
      <c r="AX102" s="39">
        <f t="shared" si="17"/>
        <v>0.44545044243582232</v>
      </c>
      <c r="AY102" s="39">
        <f t="shared" si="17"/>
        <v>0.35195222395164916</v>
      </c>
      <c r="AZ102" s="39">
        <f t="shared" si="17"/>
        <v>0.60554391224111548</v>
      </c>
      <c r="BA102" s="39">
        <f t="shared" si="17"/>
        <v>0.53735617996562501</v>
      </c>
      <c r="BB102" s="39">
        <f t="shared" si="17"/>
        <v>0.32331166493579711</v>
      </c>
      <c r="BC102" s="39">
        <f t="shared" si="17"/>
        <v>0.23412217106277688</v>
      </c>
      <c r="BD102" s="80">
        <f t="shared" si="17"/>
        <v>0.18477879687836782</v>
      </c>
    </row>
    <row r="103" spans="3:56" s="17" customFormat="1">
      <c r="C103" s="20" t="s">
        <v>42</v>
      </c>
      <c r="D103" s="11">
        <f>D99-D101</f>
        <v>553.97168342300006</v>
      </c>
      <c r="E103" s="11">
        <f t="shared" ref="E103:AT103" si="18">E99-E101</f>
        <v>2353.9657060348582</v>
      </c>
      <c r="F103" s="11">
        <f t="shared" si="18"/>
        <v>48.020541232641385</v>
      </c>
      <c r="G103" s="11">
        <f t="shared" si="18"/>
        <v>0.97762596412596681</v>
      </c>
      <c r="H103" s="11">
        <f t="shared" si="18"/>
        <v>6.5089091055445127</v>
      </c>
      <c r="I103" s="11">
        <f t="shared" si="18"/>
        <v>700.06822733659772</v>
      </c>
      <c r="J103" s="11">
        <f t="shared" si="18"/>
        <v>745.32541412315345</v>
      </c>
      <c r="K103" s="11">
        <f t="shared" si="18"/>
        <v>4.2009832852924438</v>
      </c>
      <c r="L103" s="11">
        <f t="shared" si="18"/>
        <v>42.009832852924688</v>
      </c>
      <c r="M103" s="11">
        <f t="shared" si="18"/>
        <v>78.995511289893372</v>
      </c>
      <c r="N103" s="11">
        <f t="shared" si="18"/>
        <v>33.797930189611101</v>
      </c>
      <c r="O103" s="11">
        <f t="shared" si="18"/>
        <v>96.04108246528277</v>
      </c>
      <c r="P103" s="11">
        <f t="shared" si="18"/>
        <v>83.564510732626701</v>
      </c>
      <c r="Q103" s="11">
        <f t="shared" si="18"/>
        <v>67.170788700793125</v>
      </c>
      <c r="R103" s="11" t="e">
        <f t="shared" si="18"/>
        <v>#DIV/0!</v>
      </c>
      <c r="S103" s="11">
        <f t="shared" si="18"/>
        <v>1.6792697175198339</v>
      </c>
      <c r="T103" s="11"/>
      <c r="U103" s="11"/>
      <c r="V103" s="11">
        <f t="shared" si="18"/>
        <v>381.82700604326635</v>
      </c>
      <c r="W103" s="11">
        <f t="shared" si="18"/>
        <v>2295.7254098694211</v>
      </c>
      <c r="X103" s="11"/>
      <c r="Y103" s="11">
        <f t="shared" si="18"/>
        <v>26.360194695110351</v>
      </c>
      <c r="Z103" s="11"/>
      <c r="AA103" s="11">
        <f t="shared" si="18"/>
        <v>0.94649320831913508</v>
      </c>
      <c r="AB103" s="11">
        <f t="shared" si="18"/>
        <v>7.6215160253270202</v>
      </c>
      <c r="AC103" s="11">
        <f t="shared" si="18"/>
        <v>3131.1332688907478</v>
      </c>
      <c r="AD103" s="11">
        <f t="shared" si="18"/>
        <v>279.43445574674274</v>
      </c>
      <c r="AE103" s="11">
        <f t="shared" si="18"/>
        <v>2.624904163518476</v>
      </c>
      <c r="AF103" s="11">
        <f t="shared" si="18"/>
        <v>26.249041635184838</v>
      </c>
      <c r="AG103" s="11">
        <f t="shared" si="18"/>
        <v>71.663262596403584</v>
      </c>
      <c r="AH103" s="11">
        <f t="shared" si="18"/>
        <v>19.244640327795302</v>
      </c>
      <c r="AI103" s="11">
        <f t="shared" si="18"/>
        <v>52.720389390220703</v>
      </c>
      <c r="AJ103" s="11">
        <f t="shared" si="18"/>
        <v>50.082780382037804</v>
      </c>
      <c r="AK103" s="11">
        <f t="shared" si="18"/>
        <v>36.724507907761463</v>
      </c>
      <c r="AL103" s="11">
        <f t="shared" si="18"/>
        <v>29.900591265996479</v>
      </c>
      <c r="AM103" s="11">
        <f t="shared" si="18"/>
        <v>27.414685338761366</v>
      </c>
      <c r="AN103" s="11">
        <f t="shared" si="18"/>
        <v>37.714723180749942</v>
      </c>
      <c r="AO103" s="11">
        <f t="shared" si="18"/>
        <v>0.40388975193338905</v>
      </c>
      <c r="AP103" s="11">
        <f t="shared" si="18"/>
        <v>0.35258946111572281</v>
      </c>
      <c r="AQ103" s="11">
        <f t="shared" si="18"/>
        <v>26.182833024392892</v>
      </c>
      <c r="AR103" s="11">
        <f t="shared" si="18"/>
        <v>25.577171556554546</v>
      </c>
      <c r="AS103" s="11">
        <f t="shared" si="18"/>
        <v>13.610198452447671</v>
      </c>
      <c r="AT103" s="11">
        <f t="shared" si="18"/>
        <v>13.310001515486022</v>
      </c>
      <c r="AU103" s="49">
        <f t="shared" ref="AU103:BD103" si="19">AU99-AU101</f>
        <v>0.75956592868804762</v>
      </c>
      <c r="AV103" s="39">
        <f t="shared" si="19"/>
        <v>0.73402024162938273</v>
      </c>
      <c r="AW103" s="39">
        <f t="shared" si="19"/>
        <v>0.49190173741536958</v>
      </c>
      <c r="AX103" s="39">
        <f t="shared" si="19"/>
        <v>0.36391392564677028</v>
      </c>
      <c r="AY103" s="39">
        <f t="shared" si="19"/>
        <v>0.30038296431994549</v>
      </c>
      <c r="AZ103" s="39">
        <f t="shared" si="19"/>
        <v>0.39477094477369351</v>
      </c>
      <c r="BA103" s="39">
        <f t="shared" si="19"/>
        <v>0.38170318512598539</v>
      </c>
      <c r="BB103" s="39">
        <f t="shared" si="19"/>
        <v>0.25689703851424683</v>
      </c>
      <c r="BC103" s="39">
        <f t="shared" si="19"/>
        <v>0.18926270930033795</v>
      </c>
      <c r="BD103" s="80">
        <f t="shared" si="19"/>
        <v>0.15633103810186874</v>
      </c>
    </row>
  </sheetData>
  <mergeCells count="14">
    <mergeCell ref="AZ2:BD2"/>
    <mergeCell ref="D53:F53"/>
    <mergeCell ref="V53:Y53"/>
    <mergeCell ref="D54:F54"/>
    <mergeCell ref="V54:Y54"/>
    <mergeCell ref="AU54:AY54"/>
    <mergeCell ref="AZ54:BD54"/>
    <mergeCell ref="O2:Q2"/>
    <mergeCell ref="D1:S1"/>
    <mergeCell ref="V1:Y1"/>
    <mergeCell ref="AD1:AY1"/>
    <mergeCell ref="D2:F2"/>
    <mergeCell ref="V2:Y2"/>
    <mergeCell ref="AU2:AY2"/>
  </mergeCells>
  <pageMargins left="0.7" right="0.7" top="0.75" bottom="0.75" header="0.3" footer="0.3"/>
  <pageSetup paperSize="9" scale="17" orientation="portrait" r:id="rId1"/>
  <colBreaks count="1" manualBreakCount="1"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96"/>
  <sheetViews>
    <sheetView view="pageBreakPreview" topLeftCell="A55" zoomScale="60" workbookViewId="0">
      <selection activeCell="S12" sqref="S12"/>
    </sheetView>
  </sheetViews>
  <sheetFormatPr defaultRowHeight="15"/>
  <cols>
    <col min="8" max="8" width="12.28515625" customWidth="1"/>
    <col min="48" max="48" width="9.140625" style="81"/>
    <col min="49" max="56" width="9.140625" style="16"/>
    <col min="57" max="57" width="9.140625" style="82"/>
  </cols>
  <sheetData>
    <row r="1" spans="1:59" s="17" customFormat="1">
      <c r="A1" s="18"/>
      <c r="B1" s="141" t="s">
        <v>1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42"/>
      <c r="U1" s="42"/>
      <c r="V1" s="43"/>
      <c r="W1" s="141" t="s">
        <v>3</v>
      </c>
      <c r="X1" s="141"/>
      <c r="Y1" s="141"/>
      <c r="Z1" s="141"/>
      <c r="AA1" s="18"/>
      <c r="AB1" s="44"/>
      <c r="AC1" s="44"/>
      <c r="AD1" s="44"/>
      <c r="AE1" s="143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83"/>
      <c r="BB1" s="83"/>
      <c r="BC1" s="83"/>
      <c r="BD1" s="83"/>
      <c r="BE1" s="84"/>
    </row>
    <row r="2" spans="1:59" s="17" customFormat="1">
      <c r="A2" s="18"/>
      <c r="B2" s="141" t="s">
        <v>6</v>
      </c>
      <c r="C2" s="141"/>
      <c r="D2" s="141"/>
      <c r="E2" s="18" t="s">
        <v>28</v>
      </c>
      <c r="F2" s="12">
        <v>2</v>
      </c>
      <c r="G2" s="18" t="s">
        <v>101</v>
      </c>
      <c r="H2" s="18" t="s">
        <v>230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V2" s="43"/>
      <c r="W2" s="141" t="s">
        <v>6</v>
      </c>
      <c r="X2" s="141"/>
      <c r="Y2" s="141"/>
      <c r="Z2" s="141"/>
      <c r="AA2" s="18"/>
      <c r="AB2" s="18"/>
      <c r="AC2" s="68">
        <v>2</v>
      </c>
      <c r="AD2" s="18" t="s">
        <v>110</v>
      </c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43" t="s">
        <v>182</v>
      </c>
      <c r="AW2" s="144"/>
      <c r="AX2" s="144"/>
      <c r="AY2" s="144"/>
      <c r="AZ2" s="144"/>
      <c r="BA2" s="144" t="s">
        <v>183</v>
      </c>
      <c r="BB2" s="144"/>
      <c r="BC2" s="144"/>
      <c r="BD2" s="144"/>
      <c r="BE2" s="142"/>
    </row>
    <row r="3" spans="1:59" s="17" customFormat="1">
      <c r="A3" s="18" t="s">
        <v>103</v>
      </c>
      <c r="B3" s="18" t="s">
        <v>0</v>
      </c>
      <c r="C3" s="18" t="s">
        <v>2</v>
      </c>
      <c r="D3" s="18" t="s">
        <v>10</v>
      </c>
      <c r="E3" s="18" t="s">
        <v>97</v>
      </c>
      <c r="F3" s="18" t="s">
        <v>13</v>
      </c>
      <c r="G3" s="18" t="s">
        <v>14</v>
      </c>
      <c r="H3" s="18" t="s">
        <v>31</v>
      </c>
      <c r="I3" s="18" t="s">
        <v>12</v>
      </c>
      <c r="J3" s="18" t="s">
        <v>12</v>
      </c>
      <c r="K3" s="18" t="s">
        <v>11</v>
      </c>
      <c r="L3" s="18" t="s">
        <v>11</v>
      </c>
      <c r="M3" s="18" t="s">
        <v>174</v>
      </c>
      <c r="N3" s="18" t="s">
        <v>175</v>
      </c>
      <c r="O3" s="18" t="s">
        <v>176</v>
      </c>
      <c r="P3" s="18"/>
      <c r="Q3" s="18" t="s">
        <v>104</v>
      </c>
      <c r="R3" s="18"/>
      <c r="S3" s="18"/>
      <c r="V3" s="43"/>
      <c r="W3" s="17" t="s">
        <v>0</v>
      </c>
      <c r="X3" s="17" t="s">
        <v>2</v>
      </c>
      <c r="Y3" s="17" t="s">
        <v>2</v>
      </c>
      <c r="Z3" s="17" t="s">
        <v>10</v>
      </c>
      <c r="AA3" s="17" t="s">
        <v>105</v>
      </c>
      <c r="AB3" s="17" t="s">
        <v>97</v>
      </c>
      <c r="AC3" s="17" t="s">
        <v>178</v>
      </c>
      <c r="AD3" s="17" t="s">
        <v>14</v>
      </c>
      <c r="AE3" s="17" t="s">
        <v>31</v>
      </c>
      <c r="AF3" s="17" t="s">
        <v>12</v>
      </c>
      <c r="AG3" s="17" t="s">
        <v>12</v>
      </c>
      <c r="AH3" s="17" t="s">
        <v>11</v>
      </c>
      <c r="AI3" s="17" t="s">
        <v>11</v>
      </c>
      <c r="AJ3" s="17" t="s">
        <v>181</v>
      </c>
      <c r="AK3" s="17" t="s">
        <v>175</v>
      </c>
      <c r="AL3" s="17" t="s">
        <v>176</v>
      </c>
      <c r="AM3" s="17" t="s">
        <v>179</v>
      </c>
      <c r="AN3" s="17" t="s">
        <v>176</v>
      </c>
      <c r="AO3" s="17" t="s">
        <v>180</v>
      </c>
      <c r="AP3" s="17" t="s">
        <v>106</v>
      </c>
      <c r="AQ3" s="17" t="s">
        <v>107</v>
      </c>
      <c r="AR3" s="17" t="s">
        <v>182</v>
      </c>
      <c r="AS3" s="17" t="s">
        <v>182</v>
      </c>
      <c r="AT3" s="17" t="s">
        <v>183</v>
      </c>
      <c r="AU3" s="17" t="s">
        <v>183</v>
      </c>
      <c r="AV3" s="47" t="s">
        <v>184</v>
      </c>
      <c r="AW3" s="38" t="s">
        <v>185</v>
      </c>
      <c r="AX3" s="38" t="s">
        <v>186</v>
      </c>
      <c r="AY3" s="38" t="s">
        <v>184</v>
      </c>
      <c r="AZ3" s="38" t="s">
        <v>184</v>
      </c>
      <c r="BA3" s="38" t="s">
        <v>184</v>
      </c>
      <c r="BB3" s="38" t="s">
        <v>185</v>
      </c>
      <c r="BC3" s="38" t="s">
        <v>186</v>
      </c>
      <c r="BD3" s="38" t="s">
        <v>184</v>
      </c>
      <c r="BE3" s="73" t="s">
        <v>184</v>
      </c>
    </row>
    <row r="4" spans="1:59" s="17" customFormat="1" ht="17.25">
      <c r="A4" s="18"/>
      <c r="B4" s="18" t="s">
        <v>32</v>
      </c>
      <c r="C4" s="18" t="s">
        <v>32</v>
      </c>
      <c r="D4" s="18" t="s">
        <v>33</v>
      </c>
      <c r="E4" s="18" t="s">
        <v>34</v>
      </c>
      <c r="F4" s="18" t="s">
        <v>13</v>
      </c>
      <c r="G4" s="18" t="s">
        <v>35</v>
      </c>
      <c r="H4" s="18" t="s">
        <v>32</v>
      </c>
      <c r="I4" s="18" t="s">
        <v>17</v>
      </c>
      <c r="J4" s="18" t="s">
        <v>30</v>
      </c>
      <c r="K4" s="18" t="s">
        <v>17</v>
      </c>
      <c r="L4" s="18" t="s">
        <v>30</v>
      </c>
      <c r="M4" s="18" t="s">
        <v>109</v>
      </c>
      <c r="N4" s="18" t="s">
        <v>109</v>
      </c>
      <c r="O4" s="18" t="s">
        <v>109</v>
      </c>
      <c r="P4" s="18"/>
      <c r="Q4" s="18"/>
      <c r="R4" s="18"/>
      <c r="S4" s="18"/>
      <c r="V4" s="43"/>
      <c r="W4" s="17" t="s">
        <v>32</v>
      </c>
      <c r="X4" s="17" t="s">
        <v>32</v>
      </c>
      <c r="Z4" s="17" t="s">
        <v>33</v>
      </c>
      <c r="AB4" s="17" t="s">
        <v>34</v>
      </c>
      <c r="AC4" s="17" t="s">
        <v>13</v>
      </c>
      <c r="AD4" s="17" t="s">
        <v>35</v>
      </c>
      <c r="AE4" s="17" t="s">
        <v>32</v>
      </c>
      <c r="AF4" s="17" t="s">
        <v>17</v>
      </c>
      <c r="AG4" s="17" t="s">
        <v>30</v>
      </c>
      <c r="AH4" s="17" t="s">
        <v>17</v>
      </c>
      <c r="AI4" s="17" t="s">
        <v>30</v>
      </c>
      <c r="AJ4" s="17" t="s">
        <v>109</v>
      </c>
      <c r="AK4" s="17" t="s">
        <v>109</v>
      </c>
      <c r="AL4" s="17" t="s">
        <v>109</v>
      </c>
      <c r="AM4" s="17" t="s">
        <v>109</v>
      </c>
      <c r="AN4" s="17" t="s">
        <v>109</v>
      </c>
      <c r="AO4" s="17" t="s">
        <v>109</v>
      </c>
      <c r="AP4" s="17" t="s">
        <v>25</v>
      </c>
      <c r="AQ4" s="17" t="s">
        <v>25</v>
      </c>
      <c r="AR4" s="17" t="s">
        <v>110</v>
      </c>
      <c r="AS4" s="17" t="s">
        <v>110</v>
      </c>
      <c r="AT4" s="17" t="s">
        <v>110</v>
      </c>
      <c r="AU4" s="17" t="s">
        <v>110</v>
      </c>
      <c r="AV4" s="47"/>
      <c r="AW4" s="38"/>
      <c r="AX4" s="38"/>
      <c r="AY4" s="38"/>
      <c r="AZ4" s="38"/>
      <c r="BA4" s="38"/>
      <c r="BB4" s="38"/>
      <c r="BC4" s="38"/>
      <c r="BD4" s="38"/>
      <c r="BE4" s="73"/>
    </row>
    <row r="5" spans="1:59" s="17" customFormat="1">
      <c r="A5" s="18" t="s">
        <v>232</v>
      </c>
      <c r="B5" s="12"/>
      <c r="C5" s="12"/>
      <c r="D5" s="12"/>
      <c r="E5" s="13"/>
      <c r="F5" s="12"/>
      <c r="G5" s="12"/>
      <c r="H5" s="12"/>
      <c r="I5" s="12"/>
      <c r="J5" s="18"/>
      <c r="K5" s="12"/>
      <c r="L5" s="12"/>
      <c r="M5" s="12"/>
      <c r="N5" s="12"/>
      <c r="O5" s="12"/>
      <c r="P5" s="12"/>
      <c r="Q5" s="12"/>
      <c r="R5" s="12"/>
      <c r="S5" s="12"/>
      <c r="T5" s="11"/>
      <c r="U5" s="11"/>
      <c r="V5" s="43" t="s">
        <v>193</v>
      </c>
      <c r="W5" s="12"/>
      <c r="X5" s="12"/>
      <c r="Y5" s="12"/>
      <c r="Z5" s="12"/>
      <c r="AA5" s="12"/>
      <c r="AB5" s="13"/>
      <c r="AC5" s="12"/>
      <c r="AD5" s="12"/>
      <c r="AE5" s="18"/>
      <c r="AF5" s="12"/>
      <c r="AG5" s="12"/>
      <c r="AH5" s="12"/>
      <c r="AI5" s="12"/>
      <c r="AJ5" s="12"/>
      <c r="AK5" s="12"/>
      <c r="AL5" s="12"/>
      <c r="AM5" s="18"/>
      <c r="AN5" s="18"/>
      <c r="AO5" s="18"/>
      <c r="AP5" s="12"/>
      <c r="AQ5" s="12"/>
      <c r="AR5" s="67"/>
      <c r="AS5" s="18"/>
      <c r="AT5" s="67"/>
      <c r="AU5" s="18"/>
      <c r="AV5" s="45"/>
      <c r="AW5" s="46"/>
      <c r="AX5" s="46"/>
      <c r="AY5" s="46"/>
      <c r="AZ5" s="46"/>
      <c r="BA5" s="46"/>
      <c r="BB5" s="46"/>
      <c r="BC5" s="46"/>
      <c r="BD5" s="46"/>
      <c r="BE5" s="55"/>
      <c r="BF5" s="18"/>
      <c r="BG5" s="18"/>
    </row>
    <row r="6" spans="1:59" s="17" customFormat="1">
      <c r="A6" s="18" t="s">
        <v>233</v>
      </c>
      <c r="B6" s="12">
        <f>'[1]moje analizy'!E21</f>
        <v>1547</v>
      </c>
      <c r="C6" s="12">
        <f>'[1]moje analizy'!F21</f>
        <v>3314.3333333333335</v>
      </c>
      <c r="D6" s="12">
        <f>'[1]moje analizy'!G21</f>
        <v>44.70000000000001</v>
      </c>
      <c r="E6" s="13">
        <v>0.97850000000000004</v>
      </c>
      <c r="F6" s="12">
        <v>5.87</v>
      </c>
      <c r="G6" s="12">
        <v>925</v>
      </c>
      <c r="H6" s="12">
        <v>963.9</v>
      </c>
      <c r="I6" s="12">
        <v>4.07365105892843</v>
      </c>
      <c r="J6" s="12">
        <v>40.7365105892843</v>
      </c>
      <c r="K6" s="12">
        <v>76.314619059983968</v>
      </c>
      <c r="L6" s="12">
        <f>K6*J6/100</f>
        <v>31.087912874542344</v>
      </c>
      <c r="M6" s="12">
        <f>D6*2</f>
        <v>89.40000000000002</v>
      </c>
      <c r="N6" s="12">
        <f>J6*E6*2</f>
        <v>79.721351223229377</v>
      </c>
      <c r="O6" s="12">
        <f>L6*E6*2</f>
        <v>60.839045495479368</v>
      </c>
      <c r="P6" s="12"/>
      <c r="Q6" s="12">
        <f>O6/40</f>
        <v>1.5209761373869841</v>
      </c>
      <c r="R6" s="12"/>
      <c r="S6" s="12"/>
      <c r="T6" s="11"/>
      <c r="U6" s="11"/>
      <c r="V6" s="43" t="s">
        <v>194</v>
      </c>
      <c r="W6" s="12">
        <f>'[1]moje analizy'!E80</f>
        <v>459</v>
      </c>
      <c r="X6" s="12">
        <f>'[1]moje analizy'!F80</f>
        <v>2780</v>
      </c>
      <c r="Y6" s="12">
        <f>((C6-X6)/C6)*100</f>
        <v>16.121894800362067</v>
      </c>
      <c r="Z6" s="12">
        <f>'[1]moje analizy'!G80</f>
        <v>30.899999999999995</v>
      </c>
      <c r="AA6" s="12">
        <f>((D6-Z6)/D6)*100</f>
        <v>30.872483221476539</v>
      </c>
      <c r="AB6" s="13">
        <v>1.0029999999999999</v>
      </c>
      <c r="AC6" s="12">
        <v>7.63</v>
      </c>
      <c r="AD6" s="12">
        <v>3800</v>
      </c>
      <c r="AE6" s="12">
        <v>289.8</v>
      </c>
      <c r="AF6" s="12">
        <v>2.7492334504024853</v>
      </c>
      <c r="AG6" s="18">
        <v>27.492334504024853</v>
      </c>
      <c r="AH6" s="12">
        <v>64.956360090850794</v>
      </c>
      <c r="AI6" s="12">
        <f>AH6*AG6/100</f>
        <v>17.858019797815601</v>
      </c>
      <c r="AJ6" s="12">
        <f>Z6*2</f>
        <v>61.79999999999999</v>
      </c>
      <c r="AK6" s="12">
        <f>AG6*AB6*2</f>
        <v>55.14962301507385</v>
      </c>
      <c r="AL6" s="12">
        <f>AI6*AB6*2</f>
        <v>35.82318771441809</v>
      </c>
      <c r="AM6" s="12">
        <f>N6-AK6</f>
        <v>24.571728208155527</v>
      </c>
      <c r="AN6" s="12">
        <f>O6-AL6</f>
        <v>25.015857781061278</v>
      </c>
      <c r="AO6" s="12">
        <f>M6-AJ6</f>
        <v>27.60000000000003</v>
      </c>
      <c r="AP6" s="12">
        <f>AN6/O6</f>
        <v>0.41118097066332304</v>
      </c>
      <c r="AQ6" s="12">
        <f>AM6/N6</f>
        <v>0.30822016725922935</v>
      </c>
      <c r="AR6" s="67">
        <v>28.529135066301791</v>
      </c>
      <c r="AS6" s="13">
        <f>AR6</f>
        <v>28.529135066301791</v>
      </c>
      <c r="AT6" s="67">
        <v>16.369732409693306</v>
      </c>
      <c r="AU6" s="13">
        <f>AT6</f>
        <v>16.369732409693306</v>
      </c>
      <c r="AV6" s="45">
        <f>AS6/AN6</f>
        <v>1.1404420074653727</v>
      </c>
      <c r="AW6" s="46">
        <f>AS6/AM6</f>
        <v>1.1610552918631409</v>
      </c>
      <c r="AX6" s="46">
        <f>AS6/AO6</f>
        <v>1.0336643139964405</v>
      </c>
      <c r="AY6" s="46">
        <f>AS6/O6</f>
        <v>0.46892805161484069</v>
      </c>
      <c r="AZ6" s="46">
        <f>AS6/N6</f>
        <v>0.35786065625527069</v>
      </c>
      <c r="BA6" s="46">
        <f>AU6/AN6</f>
        <v>0.65437421946355634</v>
      </c>
      <c r="BB6" s="46">
        <f>AU6/AM6</f>
        <v>0.6662019159181517</v>
      </c>
      <c r="BC6" s="46">
        <f>AU6/AO6</f>
        <v>0.59310624672801771</v>
      </c>
      <c r="BD6" s="46">
        <f>AU6/O6</f>
        <v>0.26906622673607949</v>
      </c>
      <c r="BE6" s="55">
        <f>AU6/N6</f>
        <v>0.20533686595271178</v>
      </c>
      <c r="BF6" s="18"/>
      <c r="BG6" s="18"/>
    </row>
    <row r="7" spans="1:59" s="17" customFormat="1">
      <c r="A7" s="18" t="s">
        <v>234</v>
      </c>
      <c r="B7" s="12"/>
      <c r="C7" s="12"/>
      <c r="D7" s="12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1"/>
      <c r="U7" s="11"/>
      <c r="V7" s="43" t="s">
        <v>195</v>
      </c>
      <c r="W7" s="12"/>
      <c r="X7" s="12"/>
      <c r="Y7" s="12"/>
      <c r="Z7" s="12"/>
      <c r="AA7" s="12"/>
      <c r="AB7" s="13"/>
      <c r="AC7" s="12"/>
      <c r="AD7" s="12"/>
      <c r="AE7" s="18"/>
      <c r="AF7" s="12"/>
      <c r="AG7" s="18"/>
      <c r="AH7" s="12"/>
      <c r="AI7" s="12"/>
      <c r="AJ7" s="12"/>
      <c r="AK7" s="12"/>
      <c r="AL7" s="12"/>
      <c r="AM7" s="18"/>
      <c r="AN7" s="18"/>
      <c r="AO7" s="18"/>
      <c r="AP7" s="12"/>
      <c r="AQ7" s="12"/>
      <c r="AR7" s="67">
        <v>26.484293000411984</v>
      </c>
      <c r="AS7" s="13"/>
      <c r="AT7" s="67">
        <v>15.183180334206186</v>
      </c>
      <c r="AU7" s="13"/>
      <c r="AV7" s="45"/>
      <c r="AW7" s="46"/>
      <c r="AX7" s="46"/>
      <c r="AY7" s="46"/>
      <c r="AZ7" s="46"/>
      <c r="BA7" s="46"/>
      <c r="BB7" s="46"/>
      <c r="BC7" s="46"/>
      <c r="BD7" s="46"/>
      <c r="BE7" s="55"/>
      <c r="BF7" s="18"/>
      <c r="BG7" s="18"/>
    </row>
    <row r="8" spans="1:59" s="17" customFormat="1">
      <c r="A8" s="18" t="s">
        <v>235</v>
      </c>
      <c r="B8" s="12"/>
      <c r="C8" s="12"/>
      <c r="D8" s="12"/>
      <c r="E8" s="13"/>
      <c r="F8" s="12"/>
      <c r="G8" s="12"/>
      <c r="H8" s="12"/>
      <c r="I8" s="12"/>
      <c r="J8" s="18"/>
      <c r="K8" s="12"/>
      <c r="L8" s="12"/>
      <c r="M8" s="12"/>
      <c r="N8" s="12"/>
      <c r="O8" s="12"/>
      <c r="P8" s="12"/>
      <c r="Q8" s="12"/>
      <c r="R8" s="12"/>
      <c r="S8" s="12"/>
      <c r="T8" s="11"/>
      <c r="U8" s="11"/>
      <c r="V8" s="70" t="s">
        <v>196</v>
      </c>
      <c r="W8" s="18"/>
      <c r="X8" s="18"/>
      <c r="Y8" s="18"/>
      <c r="Z8" s="18"/>
      <c r="AA8" s="18"/>
      <c r="AB8" s="18"/>
      <c r="AC8" s="18"/>
      <c r="AD8" s="18"/>
      <c r="AE8" s="18"/>
      <c r="AF8" s="12"/>
      <c r="AG8" s="18"/>
      <c r="AH8" s="12"/>
      <c r="AI8" s="12"/>
      <c r="AJ8" s="12"/>
      <c r="AK8" s="12"/>
      <c r="AL8" s="12"/>
      <c r="AM8" s="18"/>
      <c r="AN8" s="18"/>
      <c r="AO8" s="18"/>
      <c r="AP8" s="12"/>
      <c r="AQ8" s="12"/>
      <c r="AR8" s="67">
        <v>28.382071765283964</v>
      </c>
      <c r="AS8" s="13"/>
      <c r="AT8" s="67">
        <v>16.006353192749543</v>
      </c>
      <c r="AU8" s="13"/>
      <c r="AV8" s="45"/>
      <c r="AW8" s="46"/>
      <c r="AX8" s="46"/>
      <c r="AY8" s="46"/>
      <c r="AZ8" s="46"/>
      <c r="BA8" s="46"/>
      <c r="BB8" s="46"/>
      <c r="BC8" s="46"/>
      <c r="BD8" s="46"/>
      <c r="BE8" s="55"/>
      <c r="BF8" s="18"/>
      <c r="BG8" s="18"/>
    </row>
    <row r="9" spans="1:59" s="17" customFormat="1">
      <c r="A9" s="18" t="s">
        <v>236</v>
      </c>
      <c r="B9" s="12">
        <f>'[1]moje analizy'!E24</f>
        <v>1783</v>
      </c>
      <c r="C9" s="12">
        <f>'[1]moje analizy'!F24</f>
        <v>3340</v>
      </c>
      <c r="D9" s="12">
        <f>'[1]moje analizy'!G24</f>
        <v>44.5</v>
      </c>
      <c r="E9" s="13">
        <v>0.97850000000000004</v>
      </c>
      <c r="F9" s="12">
        <v>5.87</v>
      </c>
      <c r="G9" s="12">
        <v>925</v>
      </c>
      <c r="H9" s="12">
        <v>963.9</v>
      </c>
      <c r="I9" s="12">
        <v>4.07365105892843</v>
      </c>
      <c r="J9" s="12">
        <v>40.7365105892843</v>
      </c>
      <c r="K9" s="12">
        <v>76.314619059983968</v>
      </c>
      <c r="L9" s="12">
        <f>K9*J9/100</f>
        <v>31.087912874542344</v>
      </c>
      <c r="M9" s="12">
        <f>D9*2</f>
        <v>89</v>
      </c>
      <c r="N9" s="12">
        <f>J9*E9*2</f>
        <v>79.721351223229377</v>
      </c>
      <c r="O9" s="12">
        <f>L9*E9*2</f>
        <v>60.839045495479368</v>
      </c>
      <c r="P9" s="12"/>
      <c r="Q9" s="12">
        <f>O9/40</f>
        <v>1.5209761373869841</v>
      </c>
      <c r="R9" s="12"/>
      <c r="S9" s="12"/>
      <c r="T9" s="11"/>
      <c r="U9" s="11"/>
      <c r="V9" s="43" t="s">
        <v>197</v>
      </c>
      <c r="W9" s="12">
        <f>'[1]moje analizy'!E85</f>
        <v>426.66666666666669</v>
      </c>
      <c r="X9" s="12">
        <f>'[1]moje analizy'!F85</f>
        <v>2624</v>
      </c>
      <c r="Y9" s="12">
        <f>((C9-X9)/C9)*100</f>
        <v>21.437125748502993</v>
      </c>
      <c r="Z9" s="12">
        <f>'[1]moje analizy'!G85</f>
        <v>27.5</v>
      </c>
      <c r="AA9" s="12">
        <f>((D9-Z9)/D9)*100</f>
        <v>38.202247191011232</v>
      </c>
      <c r="AB9" s="13">
        <v>0.99950000000000006</v>
      </c>
      <c r="AC9" s="12">
        <v>7.74</v>
      </c>
      <c r="AD9" s="12">
        <v>3800</v>
      </c>
      <c r="AE9" s="12">
        <v>146.19999999999999</v>
      </c>
      <c r="AF9" s="12">
        <v>2.9839020470569046</v>
      </c>
      <c r="AG9" s="18">
        <v>29.839020470569043</v>
      </c>
      <c r="AH9" s="12">
        <v>70.149908284671724</v>
      </c>
      <c r="AI9" s="12">
        <f>AH9*AG9/100</f>
        <v>20.932045493148603</v>
      </c>
      <c r="AJ9" s="12">
        <f>Z9*2</f>
        <v>55</v>
      </c>
      <c r="AK9" s="12">
        <f>AG9*AB9*2</f>
        <v>59.648201920667518</v>
      </c>
      <c r="AL9" s="12">
        <f>AI9*AB9*2</f>
        <v>41.843158940804059</v>
      </c>
      <c r="AM9" s="12">
        <f>N9-AK9</f>
        <v>20.073149302561859</v>
      </c>
      <c r="AN9" s="12">
        <f>O9-AL9</f>
        <v>18.995886554675309</v>
      </c>
      <c r="AO9" s="12">
        <f>M9-AJ9</f>
        <v>34</v>
      </c>
      <c r="AP9" s="12">
        <f>AN9/O9</f>
        <v>0.31223183072598987</v>
      </c>
      <c r="AQ9" s="12">
        <f>AM9/N9</f>
        <v>0.25179138329397638</v>
      </c>
      <c r="AR9" s="67">
        <v>28.410108366582744</v>
      </c>
      <c r="AS9" s="13">
        <f>AR9</f>
        <v>28.410108366582744</v>
      </c>
      <c r="AT9" s="67">
        <v>16.093189985334462</v>
      </c>
      <c r="AU9" s="13">
        <f>AT9</f>
        <v>16.093189985334462</v>
      </c>
      <c r="AV9" s="45">
        <f>AS9/AN9</f>
        <v>1.4955926529046566</v>
      </c>
      <c r="AW9" s="46">
        <f>AS9/AM9</f>
        <v>1.4153289022244691</v>
      </c>
      <c r="AX9" s="46">
        <f>AS9/AO9</f>
        <v>0.83559142254655128</v>
      </c>
      <c r="AY9" s="46">
        <f>AS9/O9</f>
        <v>0.46697163203676084</v>
      </c>
      <c r="AZ9" s="46">
        <f>AS9/N9</f>
        <v>0.35636762210704409</v>
      </c>
      <c r="BA9" s="46">
        <f>AU9/AN9</f>
        <v>0.84719341416437188</v>
      </c>
      <c r="BB9" s="46">
        <f>AU9/AM9</f>
        <v>0.80172720995407276</v>
      </c>
      <c r="BC9" s="46">
        <f>AU9/AO9</f>
        <v>0.47332911721571946</v>
      </c>
      <c r="BD9" s="46">
        <f>AU9/O9</f>
        <v>0.26452075068354358</v>
      </c>
      <c r="BE9" s="55">
        <f>AU9/N9</f>
        <v>0.2018680032187562</v>
      </c>
      <c r="BF9" s="18"/>
      <c r="BG9" s="18"/>
    </row>
    <row r="10" spans="1:59" s="17" customFormat="1">
      <c r="A10" s="18" t="s">
        <v>237</v>
      </c>
      <c r="B10" s="12"/>
      <c r="C10" s="12"/>
      <c r="D10" s="12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1"/>
      <c r="U10" s="11"/>
      <c r="V10" s="43" t="s">
        <v>198</v>
      </c>
      <c r="W10" s="12"/>
      <c r="X10" s="12"/>
      <c r="Y10" s="12"/>
      <c r="Z10" s="12"/>
      <c r="AA10" s="12"/>
      <c r="AB10" s="13"/>
      <c r="AC10" s="12"/>
      <c r="AD10" s="12"/>
      <c r="AE10" s="18"/>
      <c r="AF10" s="12"/>
      <c r="AG10" s="18"/>
      <c r="AH10" s="12"/>
      <c r="AI10" s="12"/>
      <c r="AJ10" s="12"/>
      <c r="AK10" s="12"/>
      <c r="AL10" s="12"/>
      <c r="AM10" s="18"/>
      <c r="AN10" s="18"/>
      <c r="AO10" s="18"/>
      <c r="AP10" s="12"/>
      <c r="AQ10" s="12"/>
      <c r="AR10" s="67"/>
      <c r="AS10" s="13"/>
      <c r="AT10" s="67"/>
      <c r="AU10" s="13"/>
      <c r="AV10" s="45"/>
      <c r="AW10" s="46"/>
      <c r="AX10" s="46"/>
      <c r="AY10" s="46"/>
      <c r="AZ10" s="46"/>
      <c r="BA10" s="46"/>
      <c r="BB10" s="46"/>
      <c r="BC10" s="46"/>
      <c r="BD10" s="46"/>
      <c r="BE10" s="55"/>
      <c r="BF10" s="18"/>
      <c r="BG10" s="18"/>
    </row>
    <row r="11" spans="1:59" s="17" customFormat="1">
      <c r="A11" s="18" t="s">
        <v>238</v>
      </c>
      <c r="B11" s="12"/>
      <c r="C11" s="12"/>
      <c r="D11" s="12"/>
      <c r="E11" s="1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1"/>
      <c r="U11" s="11"/>
      <c r="V11" s="43" t="s">
        <v>199</v>
      </c>
      <c r="W11" s="12"/>
      <c r="X11" s="12"/>
      <c r="Y11" s="12"/>
      <c r="Z11" s="12"/>
      <c r="AA11" s="12"/>
      <c r="AB11" s="13"/>
      <c r="AC11" s="12"/>
      <c r="AD11" s="12"/>
      <c r="AE11" s="18"/>
      <c r="AF11" s="12"/>
      <c r="AG11" s="12"/>
      <c r="AH11" s="12"/>
      <c r="AI11" s="12"/>
      <c r="AJ11" s="12"/>
      <c r="AK11" s="12"/>
      <c r="AL11" s="12"/>
      <c r="AM11" s="18"/>
      <c r="AN11" s="18"/>
      <c r="AO11" s="18"/>
      <c r="AP11" s="12"/>
      <c r="AQ11" s="12"/>
      <c r="AR11" s="67"/>
      <c r="AS11" s="13"/>
      <c r="AT11" s="67"/>
      <c r="AU11" s="13"/>
      <c r="AV11" s="45"/>
      <c r="AW11" s="46"/>
      <c r="AX11" s="46"/>
      <c r="AY11" s="46"/>
      <c r="AZ11" s="46"/>
      <c r="BA11" s="46"/>
      <c r="BB11" s="46"/>
      <c r="BC11" s="46"/>
      <c r="BD11" s="46"/>
      <c r="BE11" s="55"/>
      <c r="BF11" s="18"/>
      <c r="BG11" s="18"/>
    </row>
    <row r="12" spans="1:59" s="17" customFormat="1">
      <c r="A12" s="18" t="s">
        <v>239</v>
      </c>
      <c r="B12" s="12"/>
      <c r="C12" s="12"/>
      <c r="D12" s="12"/>
      <c r="E12" s="13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1"/>
      <c r="U12" s="11"/>
      <c r="V12" s="43" t="s">
        <v>200</v>
      </c>
      <c r="W12" s="12"/>
      <c r="X12" s="12"/>
      <c r="Y12" s="12"/>
      <c r="Z12" s="12"/>
      <c r="AA12" s="12"/>
      <c r="AB12" s="13"/>
      <c r="AC12" s="12"/>
      <c r="AD12" s="12"/>
      <c r="AE12" s="18"/>
      <c r="AF12" s="12"/>
      <c r="AG12" s="12"/>
      <c r="AH12" s="12"/>
      <c r="AI12" s="12"/>
      <c r="AJ12" s="12"/>
      <c r="AK12" s="12"/>
      <c r="AL12" s="12"/>
      <c r="AM12" s="18"/>
      <c r="AN12" s="18"/>
      <c r="AO12" s="18"/>
      <c r="AP12" s="12"/>
      <c r="AQ12" s="12"/>
      <c r="AR12" s="67"/>
      <c r="AS12" s="18"/>
      <c r="AT12" s="67"/>
      <c r="AU12" s="18"/>
      <c r="AV12" s="45"/>
      <c r="AW12" s="46"/>
      <c r="AX12" s="46"/>
      <c r="AY12" s="46"/>
      <c r="AZ12" s="46"/>
      <c r="BA12" s="46"/>
      <c r="BB12" s="46"/>
      <c r="BC12" s="46"/>
      <c r="BD12" s="46"/>
      <c r="BE12" s="55"/>
      <c r="BF12" s="18"/>
      <c r="BG12" s="18"/>
    </row>
    <row r="13" spans="1:59" s="17" customFormat="1">
      <c r="A13" s="18" t="s">
        <v>240</v>
      </c>
      <c r="B13" s="12">
        <f>'[1]moje analizy'!E26</f>
        <v>1783</v>
      </c>
      <c r="C13" s="12">
        <f>'[1]moje analizy'!F26</f>
        <v>3340.3333333333335</v>
      </c>
      <c r="D13" s="12">
        <f>'[1]moje analizy'!G26</f>
        <v>44.5</v>
      </c>
      <c r="E13" s="13">
        <v>1.0215000000000001</v>
      </c>
      <c r="F13" s="12">
        <v>5.88</v>
      </c>
      <c r="G13" s="12">
        <v>875</v>
      </c>
      <c r="H13" s="12">
        <v>1008</v>
      </c>
      <c r="I13" s="12">
        <v>3.480166974847593</v>
      </c>
      <c r="J13" s="12">
        <v>34.801669748475923</v>
      </c>
      <c r="K13" s="12">
        <v>70.496331549963699</v>
      </c>
      <c r="L13" s="12">
        <f>K13*J13/100</f>
        <v>24.533900490809007</v>
      </c>
      <c r="M13" s="12">
        <f>D13*2</f>
        <v>89</v>
      </c>
      <c r="N13" s="12">
        <f>J13*E13*2</f>
        <v>71.099811296136323</v>
      </c>
      <c r="O13" s="12">
        <f>L13*E13*2</f>
        <v>50.122758702722805</v>
      </c>
      <c r="P13" s="12"/>
      <c r="Q13" s="12">
        <f>O13/40</f>
        <v>1.2530689675680702</v>
      </c>
      <c r="R13" s="12"/>
      <c r="S13" s="12"/>
      <c r="T13" s="11"/>
      <c r="U13" s="11"/>
      <c r="V13" s="43" t="s">
        <v>201</v>
      </c>
      <c r="W13" s="12">
        <f>'[1]moje analizy'!E90</f>
        <v>448</v>
      </c>
      <c r="X13" s="12">
        <f>'[1]moje analizy'!F90</f>
        <v>2838.3333333333335</v>
      </c>
      <c r="Y13" s="12">
        <f>((C13-X13)/C13)*100</f>
        <v>15.028440275421614</v>
      </c>
      <c r="Z13" s="12">
        <f>'[1]moje analizy'!G90</f>
        <v>27.3</v>
      </c>
      <c r="AA13" s="12">
        <f>((D13-Z13)/D13)*100</f>
        <v>38.651685393258425</v>
      </c>
      <c r="AB13" s="13">
        <v>0.99550000000000005</v>
      </c>
      <c r="AC13" s="12">
        <v>7.62</v>
      </c>
      <c r="AD13" s="12">
        <v>3875</v>
      </c>
      <c r="AE13" s="12">
        <v>943</v>
      </c>
      <c r="AF13" s="12">
        <v>2.8654237034918495</v>
      </c>
      <c r="AG13" s="12">
        <v>28.654237034918498</v>
      </c>
      <c r="AH13" s="12">
        <v>64.732445019631257</v>
      </c>
      <c r="AI13" s="12">
        <f>AH13*AG13/100</f>
        <v>18.548588234423434</v>
      </c>
      <c r="AJ13" s="12">
        <f>Z13*2</f>
        <v>54.6</v>
      </c>
      <c r="AK13" s="12">
        <f>AG13*AB13*2</f>
        <v>57.050585936522737</v>
      </c>
      <c r="AL13" s="12">
        <f>AI13*AB13*2</f>
        <v>36.930239174737061</v>
      </c>
      <c r="AM13" s="12">
        <f>N13-AK13</f>
        <v>14.049225359613587</v>
      </c>
      <c r="AN13" s="12">
        <f>O13-AL13</f>
        <v>13.192519527985745</v>
      </c>
      <c r="AO13" s="12">
        <f>M13-AJ13</f>
        <v>34.4</v>
      </c>
      <c r="AP13" s="12">
        <f>AN13/O13</f>
        <v>0.26320417848966265</v>
      </c>
      <c r="AQ13" s="12">
        <f>AM13/N13</f>
        <v>0.19759863076285047</v>
      </c>
      <c r="AR13" s="67">
        <v>32.064893714373362</v>
      </c>
      <c r="AS13" s="13">
        <f>AR13</f>
        <v>32.064893714373362</v>
      </c>
      <c r="AT13" s="67">
        <v>18.111213916689504</v>
      </c>
      <c r="AU13" s="13">
        <f>AT13</f>
        <v>18.111213916689504</v>
      </c>
      <c r="AV13" s="45">
        <f>AS13/AN13</f>
        <v>2.4305360053743335</v>
      </c>
      <c r="AW13" s="46">
        <f>AS13/AM13</f>
        <v>2.2823246758179474</v>
      </c>
      <c r="AX13" s="46">
        <f>AS13/AO13</f>
        <v>0.93211900332480702</v>
      </c>
      <c r="AY13" s="46">
        <f>AS13/O13</f>
        <v>0.6397272325840978</v>
      </c>
      <c r="AZ13" s="46">
        <f>AS13/N13</f>
        <v>0.45098423089789297</v>
      </c>
      <c r="BA13" s="46">
        <f>AU13/AN13</f>
        <v>1.3728396519155848</v>
      </c>
      <c r="BB13" s="46">
        <f>AU13/AM13</f>
        <v>1.289125446642251</v>
      </c>
      <c r="BC13" s="46">
        <f>AU13/AO13</f>
        <v>0.52648877664795068</v>
      </c>
      <c r="BD13" s="46">
        <f>AU13/O13</f>
        <v>0.36133713278047591</v>
      </c>
      <c r="BE13" s="55">
        <f>AU13/N13</f>
        <v>0.25472942313805685</v>
      </c>
      <c r="BF13" s="18"/>
      <c r="BG13" s="18"/>
    </row>
    <row r="14" spans="1:59" s="17" customFormat="1">
      <c r="A14" s="18" t="s">
        <v>241</v>
      </c>
      <c r="B14" s="12"/>
      <c r="C14" s="12"/>
      <c r="D14" s="12"/>
      <c r="E14" s="1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/>
      <c r="U14" s="11"/>
      <c r="V14" s="61" t="s">
        <v>202</v>
      </c>
      <c r="W14" s="12"/>
      <c r="X14" s="12"/>
      <c r="Y14" s="12"/>
      <c r="Z14" s="12"/>
      <c r="AA14" s="12"/>
      <c r="AB14" s="13"/>
      <c r="AC14" s="12"/>
      <c r="AD14" s="12"/>
      <c r="AE14" s="18"/>
      <c r="AF14" s="12"/>
      <c r="AG14" s="12"/>
      <c r="AH14" s="12"/>
      <c r="AI14" s="12"/>
      <c r="AJ14" s="12"/>
      <c r="AK14" s="12"/>
      <c r="AL14" s="12"/>
      <c r="AM14" s="18"/>
      <c r="AN14" s="18"/>
      <c r="AO14" s="18"/>
      <c r="AP14" s="12"/>
      <c r="AQ14" s="12"/>
      <c r="AR14" s="67">
        <v>30.28637543440858</v>
      </c>
      <c r="AS14" s="13"/>
      <c r="AT14" s="67">
        <v>17.11271071170388</v>
      </c>
      <c r="AU14" s="13"/>
      <c r="AV14" s="45"/>
      <c r="AW14" s="46"/>
      <c r="AX14" s="46"/>
      <c r="AY14" s="46"/>
      <c r="AZ14" s="46"/>
      <c r="BA14" s="46"/>
      <c r="BB14" s="46"/>
      <c r="BC14" s="46"/>
      <c r="BD14" s="46"/>
      <c r="BE14" s="55"/>
      <c r="BF14" s="18"/>
      <c r="BG14" s="18"/>
    </row>
    <row r="15" spans="1:59" s="17" customFormat="1">
      <c r="A15" s="18" t="s">
        <v>242</v>
      </c>
      <c r="B15" s="12"/>
      <c r="C15" s="12"/>
      <c r="D15" s="12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1"/>
      <c r="U15" s="11"/>
      <c r="V15" s="61" t="s">
        <v>203</v>
      </c>
      <c r="W15" s="12"/>
      <c r="X15" s="12"/>
      <c r="Y15" s="12"/>
      <c r="Z15" s="12"/>
      <c r="AA15" s="12"/>
      <c r="AB15" s="13"/>
      <c r="AC15" s="12"/>
      <c r="AD15" s="12"/>
      <c r="AE15" s="18"/>
      <c r="AF15" s="12"/>
      <c r="AG15" s="12"/>
      <c r="AH15" s="12"/>
      <c r="AI15" s="12"/>
      <c r="AJ15" s="12"/>
      <c r="AK15" s="12"/>
      <c r="AL15" s="12"/>
      <c r="AM15" s="18"/>
      <c r="AN15" s="18"/>
      <c r="AO15" s="18"/>
      <c r="AP15" s="12"/>
      <c r="AQ15" s="12"/>
      <c r="AR15" s="67">
        <v>31.169097131597159</v>
      </c>
      <c r="AS15" s="13"/>
      <c r="AT15" s="67">
        <v>17.608358042553185</v>
      </c>
      <c r="AU15" s="13"/>
      <c r="AV15" s="45"/>
      <c r="AW15" s="46"/>
      <c r="AX15" s="46"/>
      <c r="AY15" s="46"/>
      <c r="AZ15" s="46"/>
      <c r="BA15" s="46"/>
      <c r="BB15" s="46"/>
      <c r="BC15" s="46"/>
      <c r="BD15" s="46"/>
      <c r="BE15" s="55"/>
      <c r="BF15" s="18"/>
      <c r="BG15" s="18"/>
    </row>
    <row r="16" spans="1:59" s="17" customFormat="1">
      <c r="A16" s="18" t="s">
        <v>243</v>
      </c>
      <c r="B16" s="12">
        <f>'[1]moje analizy'!E29</f>
        <v>570</v>
      </c>
      <c r="C16" s="12">
        <f>'[1]moje analizy'!F29</f>
        <v>3759</v>
      </c>
      <c r="D16" s="12">
        <f>'[1]moje analizy'!G29</f>
        <v>45.6</v>
      </c>
      <c r="E16" s="13">
        <v>1.0215000000000001</v>
      </c>
      <c r="F16" s="12">
        <v>5.88</v>
      </c>
      <c r="G16" s="12">
        <v>875</v>
      </c>
      <c r="H16" s="12">
        <v>1008</v>
      </c>
      <c r="I16" s="12">
        <v>3.480166974847593</v>
      </c>
      <c r="J16" s="12">
        <v>34.801669748475923</v>
      </c>
      <c r="K16" s="12">
        <v>70.496331549963699</v>
      </c>
      <c r="L16" s="12">
        <f>K16*J16/100</f>
        <v>24.533900490809007</v>
      </c>
      <c r="M16" s="12">
        <f>D16*2</f>
        <v>91.2</v>
      </c>
      <c r="N16" s="12">
        <f>J16*E16*2</f>
        <v>71.099811296136323</v>
      </c>
      <c r="O16" s="12">
        <f>L16*E16*2</f>
        <v>50.122758702722805</v>
      </c>
      <c r="P16" s="12"/>
      <c r="Q16" s="12">
        <f>O16/40</f>
        <v>1.2530689675680702</v>
      </c>
      <c r="R16" s="12"/>
      <c r="S16" s="12"/>
      <c r="T16" s="11"/>
      <c r="U16" s="11"/>
      <c r="V16" s="61" t="s">
        <v>204</v>
      </c>
      <c r="W16" s="12">
        <f>'[1]moje analizy'!E95</f>
        <v>510.33333333333331</v>
      </c>
      <c r="X16" s="12">
        <f>'[1]moje analizy'!F95</f>
        <v>2828.6666666666665</v>
      </c>
      <c r="Y16" s="12">
        <f>((C16-X16)/C16)*100</f>
        <v>24.749490112618609</v>
      </c>
      <c r="Z16" s="12">
        <f>'[1]moje analizy'!G95</f>
        <v>26.733333333333334</v>
      </c>
      <c r="AA16" s="12">
        <f>((D16-Z16)/D16)*100</f>
        <v>41.37426900584795</v>
      </c>
      <c r="AB16" s="13">
        <v>0.98250000000000004</v>
      </c>
      <c r="AC16" s="12">
        <v>7.74</v>
      </c>
      <c r="AD16" s="12">
        <v>3900</v>
      </c>
      <c r="AE16" s="12">
        <v>201.3</v>
      </c>
      <c r="AF16" s="12">
        <v>2.7329911168858403</v>
      </c>
      <c r="AG16" s="12">
        <v>27.329911168858406</v>
      </c>
      <c r="AH16" s="12">
        <v>64.999966553975426</v>
      </c>
      <c r="AI16" s="12">
        <f>AH16*AG16/100</f>
        <v>17.76443311898916</v>
      </c>
      <c r="AJ16" s="12">
        <f>Z16*2</f>
        <v>53.466666666666669</v>
      </c>
      <c r="AK16" s="12">
        <f>AG16*AB16*2</f>
        <v>53.703275446806771</v>
      </c>
      <c r="AL16" s="12">
        <f>AI16*AB16*2</f>
        <v>34.907111078813699</v>
      </c>
      <c r="AM16" s="12">
        <f>N16-AK16</f>
        <v>17.396535849329553</v>
      </c>
      <c r="AN16" s="12">
        <f>O16-AL16</f>
        <v>15.215647623909106</v>
      </c>
      <c r="AO16" s="12">
        <f>M16-AJ16</f>
        <v>37.733333333333334</v>
      </c>
      <c r="AP16" s="12">
        <f>AN16/O16</f>
        <v>0.30356764108202511</v>
      </c>
      <c r="AQ16" s="12">
        <f>AM16/N16</f>
        <v>0.24467766555485793</v>
      </c>
      <c r="AR16" s="67">
        <v>31.299544191584676</v>
      </c>
      <c r="AS16" s="13">
        <f>AR16</f>
        <v>31.299544191584676</v>
      </c>
      <c r="AT16" s="67">
        <v>17.758422387979397</v>
      </c>
      <c r="AU16" s="13">
        <f>AT16</f>
        <v>17.758422387979397</v>
      </c>
      <c r="AV16" s="45">
        <f>AS16/AN16</f>
        <v>2.0570628976976399</v>
      </c>
      <c r="AW16" s="46">
        <f>AS16/AM16</f>
        <v>1.7991825765007654</v>
      </c>
      <c r="AX16" s="46">
        <f>AS16/AO16</f>
        <v>0.82949322062503561</v>
      </c>
      <c r="AY16" s="46">
        <f>AS16/O16</f>
        <v>0.62445773141142769</v>
      </c>
      <c r="AZ16" s="46">
        <f>AS16/N16</f>
        <v>0.44021979272518186</v>
      </c>
      <c r="BA16" s="46">
        <f>AU16/AN16</f>
        <v>1.1671157762667099</v>
      </c>
      <c r="BB16" s="46">
        <f>AU16/AM16</f>
        <v>1.0208022184292393</v>
      </c>
      <c r="BC16" s="46">
        <f>AU16/AO16</f>
        <v>0.47062956858602645</v>
      </c>
      <c r="BD16" s="46">
        <f>AU16/O16</f>
        <v>0.35429858307090173</v>
      </c>
      <c r="BE16" s="55">
        <f>AU16/N16</f>
        <v>0.24976750379848642</v>
      </c>
      <c r="BF16" s="18"/>
      <c r="BG16" s="18"/>
    </row>
    <row r="17" spans="1:59" s="17" customFormat="1">
      <c r="A17" s="18" t="s">
        <v>244</v>
      </c>
      <c r="B17" s="12"/>
      <c r="C17" s="12"/>
      <c r="D17" s="12"/>
      <c r="E17" s="1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1"/>
      <c r="U17" s="11"/>
      <c r="V17" s="61" t="s">
        <v>205</v>
      </c>
      <c r="W17" s="12"/>
      <c r="X17" s="12"/>
      <c r="Y17" s="12"/>
      <c r="Z17" s="12"/>
      <c r="AA17" s="12"/>
      <c r="AB17" s="13"/>
      <c r="AC17" s="12"/>
      <c r="AD17" s="12"/>
      <c r="AE17" s="18"/>
      <c r="AF17" s="12"/>
      <c r="AG17" s="12"/>
      <c r="AH17" s="12"/>
      <c r="AI17" s="12"/>
      <c r="AJ17" s="12"/>
      <c r="AK17" s="12"/>
      <c r="AL17" s="12"/>
      <c r="AM17" s="18"/>
      <c r="AN17" s="18"/>
      <c r="AO17" s="18"/>
      <c r="AP17" s="12"/>
      <c r="AQ17" s="12"/>
      <c r="AR17" s="67">
        <v>23.757004999326622</v>
      </c>
      <c r="AS17" s="13"/>
      <c r="AT17" s="67">
        <v>13.572376956115299</v>
      </c>
      <c r="AU17" s="13"/>
      <c r="AV17" s="45"/>
      <c r="AW17" s="46"/>
      <c r="AX17" s="46"/>
      <c r="AY17" s="46"/>
      <c r="AZ17" s="46"/>
      <c r="BA17" s="46"/>
      <c r="BB17" s="46"/>
      <c r="BC17" s="46"/>
      <c r="BD17" s="46"/>
      <c r="BE17" s="55"/>
      <c r="BF17" s="18"/>
      <c r="BG17" s="18"/>
    </row>
    <row r="18" spans="1:59" s="17" customFormat="1">
      <c r="A18" s="18" t="s">
        <v>245</v>
      </c>
      <c r="B18" s="12"/>
      <c r="C18" s="12"/>
      <c r="D18" s="12"/>
      <c r="E18" s="1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/>
      <c r="U18" s="11"/>
      <c r="V18" s="61" t="s">
        <v>206</v>
      </c>
      <c r="W18" s="12"/>
      <c r="X18" s="12"/>
      <c r="Y18" s="12"/>
      <c r="Z18" s="12"/>
      <c r="AA18" s="12"/>
      <c r="AB18" s="13"/>
      <c r="AC18" s="12"/>
      <c r="AD18" s="12"/>
      <c r="AE18" s="18"/>
      <c r="AF18" s="12"/>
      <c r="AG18" s="12"/>
      <c r="AH18" s="12"/>
      <c r="AI18" s="12"/>
      <c r="AJ18" s="12"/>
      <c r="AK18" s="12"/>
      <c r="AL18" s="12"/>
      <c r="AM18" s="18"/>
      <c r="AN18" s="18"/>
      <c r="AO18" s="18"/>
      <c r="AP18" s="12"/>
      <c r="AQ18" s="12"/>
      <c r="AR18" s="67"/>
      <c r="AS18" s="18"/>
      <c r="AT18" s="67"/>
      <c r="AU18" s="18"/>
      <c r="AV18" s="45"/>
      <c r="AW18" s="46"/>
      <c r="AX18" s="46"/>
      <c r="AY18" s="46"/>
      <c r="AZ18" s="46"/>
      <c r="BA18" s="46"/>
      <c r="BB18" s="46"/>
      <c r="BC18" s="46"/>
      <c r="BD18" s="46"/>
      <c r="BE18" s="55"/>
      <c r="BF18" s="18"/>
      <c r="BG18" s="18"/>
    </row>
    <row r="19" spans="1:59" s="17" customFormat="1">
      <c r="A19" s="18" t="s">
        <v>246</v>
      </c>
      <c r="B19" s="12"/>
      <c r="C19" s="12"/>
      <c r="D19" s="12"/>
      <c r="E19" s="1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1"/>
      <c r="U19" s="11"/>
      <c r="V19" s="61" t="s">
        <v>207</v>
      </c>
      <c r="W19" s="12"/>
      <c r="X19" s="12"/>
      <c r="Y19" s="12"/>
      <c r="Z19" s="12"/>
      <c r="AA19" s="12"/>
      <c r="AB19" s="13"/>
      <c r="AC19" s="12"/>
      <c r="AD19" s="12"/>
      <c r="AE19" s="18"/>
      <c r="AF19" s="12"/>
      <c r="AG19" s="12"/>
      <c r="AH19" s="12"/>
      <c r="AI19" s="12"/>
      <c r="AJ19" s="12"/>
      <c r="AK19" s="12"/>
      <c r="AL19" s="12"/>
      <c r="AM19" s="18"/>
      <c r="AN19" s="18"/>
      <c r="AO19" s="18"/>
      <c r="AP19" s="12"/>
      <c r="AQ19" s="12"/>
      <c r="AR19" s="67"/>
      <c r="AS19" s="18"/>
      <c r="AT19" s="67"/>
      <c r="AU19" s="18"/>
      <c r="AV19" s="45"/>
      <c r="AW19" s="46"/>
      <c r="AX19" s="46"/>
      <c r="AY19" s="46"/>
      <c r="AZ19" s="46"/>
      <c r="BA19" s="46"/>
      <c r="BB19" s="46"/>
      <c r="BC19" s="46"/>
      <c r="BD19" s="46"/>
      <c r="BE19" s="55"/>
    </row>
    <row r="20" spans="1:59" s="17" customFormat="1">
      <c r="A20" s="18" t="s">
        <v>247</v>
      </c>
      <c r="B20" s="12">
        <f>'[1]moje analizy'!E31</f>
        <v>571</v>
      </c>
      <c r="C20" s="12">
        <f>'[1]moje analizy'!F31</f>
        <v>3758.6666666666665</v>
      </c>
      <c r="D20" s="12">
        <f>'[1]moje analizy'!G31</f>
        <v>45.633333333333333</v>
      </c>
      <c r="E20" s="13">
        <v>1.008</v>
      </c>
      <c r="F20" s="12">
        <v>5.97</v>
      </c>
      <c r="G20" s="12">
        <v>1000</v>
      </c>
      <c r="H20" s="12">
        <v>1185</v>
      </c>
      <c r="I20" s="12">
        <v>4.2086734936242296</v>
      </c>
      <c r="J20" s="12">
        <v>42.086734936242301</v>
      </c>
      <c r="K20" s="12">
        <v>75.72126161727607</v>
      </c>
      <c r="L20" s="12">
        <f>K20*J20/100</f>
        <v>31.868606667241561</v>
      </c>
      <c r="M20" s="12">
        <f>D20*2</f>
        <v>91.266666666666666</v>
      </c>
      <c r="N20" s="12">
        <f>J20*E20*2</f>
        <v>84.846857631464474</v>
      </c>
      <c r="O20" s="12">
        <f>L20*E20*2</f>
        <v>64.247111041158988</v>
      </c>
      <c r="P20" s="12"/>
      <c r="Q20" s="12">
        <f>O20/40</f>
        <v>1.6061777760289746</v>
      </c>
      <c r="R20" s="12"/>
      <c r="S20" s="12"/>
      <c r="T20" s="11"/>
      <c r="U20" s="11"/>
      <c r="V20" s="61" t="s">
        <v>208</v>
      </c>
      <c r="W20" s="12">
        <f>'[1]moje analizy'!E100</f>
        <v>447</v>
      </c>
      <c r="X20" s="12">
        <f>'[1]moje analizy'!F100</f>
        <v>2586.3333333333335</v>
      </c>
      <c r="Y20" s="12">
        <f>((C20-X20)/C20)*100</f>
        <v>31.19013834693153</v>
      </c>
      <c r="Z20" s="12">
        <f>'[1]moje analizy'!G100</f>
        <v>22.100000000000005</v>
      </c>
      <c r="AA20" s="12">
        <f>((D20-Z20)/D20)*100</f>
        <v>51.570489408327234</v>
      </c>
      <c r="AB20" s="13">
        <v>0.999</v>
      </c>
      <c r="AC20" s="12">
        <v>7.36</v>
      </c>
      <c r="AD20" s="12">
        <v>3750</v>
      </c>
      <c r="AE20" s="12">
        <v>265.5</v>
      </c>
      <c r="AF20" s="12">
        <v>2.6236298358910797</v>
      </c>
      <c r="AG20" s="12">
        <v>26.236298358910798</v>
      </c>
      <c r="AH20" s="12">
        <v>64.336487485986197</v>
      </c>
      <c r="AI20" s="12">
        <f>AH20*AG20/100</f>
        <v>16.879512810466647</v>
      </c>
      <c r="AJ20" s="12">
        <f>Z20*2</f>
        <v>44.20000000000001</v>
      </c>
      <c r="AK20" s="12">
        <f>AG20*AB20*2</f>
        <v>52.420124121103775</v>
      </c>
      <c r="AL20" s="12">
        <f>AI20*AB20*2</f>
        <v>33.725266595312362</v>
      </c>
      <c r="AM20" s="12">
        <f>N20-AK20</f>
        <v>32.426733510360698</v>
      </c>
      <c r="AN20" s="12">
        <f>O20-AL20</f>
        <v>30.521844445846625</v>
      </c>
      <c r="AO20" s="12">
        <f>M20-AJ20</f>
        <v>47.066666666666656</v>
      </c>
      <c r="AP20" s="12">
        <f>AN20/O20</f>
        <v>0.47506952376883133</v>
      </c>
      <c r="AQ20" s="12">
        <f>AM20/N20</f>
        <v>0.38217954577890717</v>
      </c>
      <c r="AR20" s="67">
        <v>31.707307341637737</v>
      </c>
      <c r="AS20" s="67">
        <v>31.707307341637737</v>
      </c>
      <c r="AT20" s="67">
        <v>17.892750605959591</v>
      </c>
      <c r="AU20" s="67">
        <v>17.892750605959591</v>
      </c>
      <c r="AV20" s="45">
        <f>AS20/AN20</f>
        <v>1.0388398184092189</v>
      </c>
      <c r="AW20" s="46">
        <f>AS20/AM20</f>
        <v>0.97781379464283391</v>
      </c>
      <c r="AX20" s="46">
        <f>AS20/AO20</f>
        <v>0.67366800300930052</v>
      </c>
      <c r="AY20" s="46">
        <f>AS20/O20</f>
        <v>0.49352113780376689</v>
      </c>
      <c r="AZ20" s="46">
        <f>AS20/N20</f>
        <v>0.37370043189294788</v>
      </c>
      <c r="BA20" s="46">
        <f>AU20/AN20</f>
        <v>0.58622769792650631</v>
      </c>
      <c r="BB20" s="46">
        <f>AU20/AM20</f>
        <v>0.55179010245489757</v>
      </c>
      <c r="BC20" s="46">
        <f>AU20/AO20</f>
        <v>0.3801575907781784</v>
      </c>
      <c r="BD20" s="46">
        <f>AU20/O20</f>
        <v>0.27849891327404369</v>
      </c>
      <c r="BE20" s="55">
        <f>AU20/N20</f>
        <v>0.21088289072150943</v>
      </c>
    </row>
    <row r="21" spans="1:59" s="17" customFormat="1">
      <c r="A21" s="18" t="s">
        <v>248</v>
      </c>
      <c r="B21" s="12"/>
      <c r="C21" s="12"/>
      <c r="D21" s="12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1"/>
      <c r="U21" s="11"/>
      <c r="V21" s="61" t="s">
        <v>209</v>
      </c>
      <c r="W21" s="12"/>
      <c r="X21" s="12"/>
      <c r="Y21" s="12"/>
      <c r="Z21" s="12"/>
      <c r="AA21" s="12"/>
      <c r="AB21" s="13"/>
      <c r="AC21" s="12"/>
      <c r="AD21" s="12"/>
      <c r="AE21" s="18"/>
      <c r="AF21" s="12"/>
      <c r="AG21" s="12"/>
      <c r="AH21" s="12"/>
      <c r="AI21" s="12"/>
      <c r="AJ21" s="12"/>
      <c r="AK21" s="12"/>
      <c r="AL21" s="12"/>
      <c r="AM21" s="18"/>
      <c r="AN21" s="18"/>
      <c r="AO21" s="18"/>
      <c r="AP21" s="12"/>
      <c r="AQ21" s="12"/>
      <c r="AR21" s="67">
        <v>27.812297241144435</v>
      </c>
      <c r="AS21" s="13"/>
      <c r="AT21" s="67">
        <v>16.012652013616499</v>
      </c>
      <c r="AU21" s="13"/>
      <c r="AV21" s="45"/>
      <c r="AW21" s="46"/>
      <c r="AX21" s="46"/>
      <c r="AY21" s="46"/>
      <c r="AZ21" s="46"/>
      <c r="BA21" s="46"/>
      <c r="BB21" s="46"/>
      <c r="BC21" s="46"/>
      <c r="BD21" s="46"/>
      <c r="BE21" s="55"/>
    </row>
    <row r="22" spans="1:59" s="17" customFormat="1">
      <c r="A22" s="18" t="s">
        <v>249</v>
      </c>
      <c r="B22" s="12"/>
      <c r="C22" s="12"/>
      <c r="D22" s="12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1"/>
      <c r="U22" s="11"/>
      <c r="V22" s="61" t="s">
        <v>210</v>
      </c>
      <c r="W22" s="12"/>
      <c r="X22" s="12"/>
      <c r="Y22" s="12"/>
      <c r="Z22" s="12"/>
      <c r="AA22" s="12"/>
      <c r="AB22" s="13"/>
      <c r="AC22" s="12"/>
      <c r="AD22" s="12"/>
      <c r="AE22" s="18"/>
      <c r="AF22" s="12"/>
      <c r="AG22" s="12"/>
      <c r="AH22" s="12"/>
      <c r="AI22" s="12"/>
      <c r="AJ22" s="12"/>
      <c r="AK22" s="12"/>
      <c r="AL22" s="12"/>
      <c r="AM22" s="18"/>
      <c r="AN22" s="18"/>
      <c r="AO22" s="18"/>
      <c r="AP22" s="12"/>
      <c r="AQ22" s="12"/>
      <c r="AR22" s="67">
        <v>30.400702185847475</v>
      </c>
      <c r="AS22" s="13"/>
      <c r="AT22" s="67">
        <v>17.261822708146056</v>
      </c>
      <c r="AU22" s="13"/>
      <c r="AV22" s="45"/>
      <c r="AW22" s="46"/>
      <c r="AX22" s="46"/>
      <c r="AY22" s="46"/>
      <c r="AZ22" s="46"/>
      <c r="BA22" s="46"/>
      <c r="BB22" s="46"/>
      <c r="BC22" s="46"/>
      <c r="BD22" s="46"/>
      <c r="BE22" s="55"/>
    </row>
    <row r="23" spans="1:59" s="17" customFormat="1">
      <c r="A23" s="18" t="s">
        <v>250</v>
      </c>
      <c r="B23" s="12">
        <f>'[1]moje analizy'!E34</f>
        <v>2053</v>
      </c>
      <c r="C23" s="12">
        <f>'[1]moje analizy'!F34</f>
        <v>3957</v>
      </c>
      <c r="D23" s="12">
        <f>'[1]moje analizy'!G34</f>
        <v>51.5</v>
      </c>
      <c r="E23" s="13">
        <v>1.008</v>
      </c>
      <c r="F23" s="12">
        <v>5.97</v>
      </c>
      <c r="G23" s="12">
        <v>1000</v>
      </c>
      <c r="H23" s="12">
        <v>1185</v>
      </c>
      <c r="I23" s="12">
        <v>4.2086734936242296</v>
      </c>
      <c r="J23" s="12">
        <v>42.086734936242301</v>
      </c>
      <c r="K23" s="12">
        <v>75.72126161727607</v>
      </c>
      <c r="L23" s="12">
        <f>K23*J23/100</f>
        <v>31.868606667241561</v>
      </c>
      <c r="M23" s="12">
        <f>D23*2</f>
        <v>103</v>
      </c>
      <c r="N23" s="12">
        <f>J23*E23*2</f>
        <v>84.846857631464474</v>
      </c>
      <c r="O23" s="12">
        <f>L23*E23*2</f>
        <v>64.247111041158988</v>
      </c>
      <c r="P23" s="12"/>
      <c r="Q23" s="12">
        <f>O23/40</f>
        <v>1.6061777760289746</v>
      </c>
      <c r="R23" s="12"/>
      <c r="S23" s="12"/>
      <c r="T23" s="11"/>
      <c r="U23" s="11"/>
      <c r="V23" s="61" t="s">
        <v>211</v>
      </c>
      <c r="W23" s="12">
        <f>'[1]moje analizy'!E105</f>
        <v>432.33333333333331</v>
      </c>
      <c r="X23" s="12">
        <f>'[1]moje analizy'!F105</f>
        <v>2458</v>
      </c>
      <c r="Y23" s="12">
        <f>((C23-X23)/C23)*100</f>
        <v>37.882234015668438</v>
      </c>
      <c r="Z23" s="12">
        <f>'[1]moje analizy'!G105</f>
        <v>30.5</v>
      </c>
      <c r="AA23" s="12">
        <f>((D23-Z23)/D23)*100</f>
        <v>40.776699029126213</v>
      </c>
      <c r="AB23" s="13">
        <v>0.995</v>
      </c>
      <c r="AC23" s="12">
        <v>7.26</v>
      </c>
      <c r="AD23" s="12">
        <v>3800</v>
      </c>
      <c r="AE23" s="12">
        <v>253.1</v>
      </c>
      <c r="AF23" s="12">
        <v>2.8466756933648867</v>
      </c>
      <c r="AG23" s="12">
        <v>28.466756933648867</v>
      </c>
      <c r="AH23" s="12">
        <v>66.234120680702929</v>
      </c>
      <c r="AI23" s="12">
        <f>AH23*AG23/100</f>
        <v>18.854706141315361</v>
      </c>
      <c r="AJ23" s="12">
        <f>Z23*2</f>
        <v>61</v>
      </c>
      <c r="AK23" s="12">
        <f>AG23*AB23*2</f>
        <v>56.648846297961242</v>
      </c>
      <c r="AL23" s="12">
        <f>AI23*AB23*2</f>
        <v>37.520865221217569</v>
      </c>
      <c r="AM23" s="18">
        <f>N23-AK23</f>
        <v>28.198011333503231</v>
      </c>
      <c r="AN23" s="12">
        <f>O23-AL23</f>
        <v>26.726245819941418</v>
      </c>
      <c r="AO23" s="12">
        <f>M23-AJ23</f>
        <v>42</v>
      </c>
      <c r="AP23" s="12">
        <f>AN23/O23</f>
        <v>0.41599140236546406</v>
      </c>
      <c r="AQ23" s="12">
        <f>AM23/N23</f>
        <v>0.33234007859174181</v>
      </c>
      <c r="AR23" s="67">
        <v>31.707307341637737</v>
      </c>
      <c r="AS23" s="13">
        <f>AR23</f>
        <v>31.707307341637737</v>
      </c>
      <c r="AT23" s="67">
        <v>17.892750605959591</v>
      </c>
      <c r="AU23" s="67">
        <v>17.892750605959591</v>
      </c>
      <c r="AV23" s="45">
        <f>AS23/AN23</f>
        <v>1.1863734081941193</v>
      </c>
      <c r="AW23" s="46">
        <f>AS23/AM23</f>
        <v>1.1244518972146438</v>
      </c>
      <c r="AX23" s="46">
        <f>AS23/AO23</f>
        <v>0.7549358890866128</v>
      </c>
      <c r="AY23" s="46">
        <f>AS23/O23</f>
        <v>0.49352113780376689</v>
      </c>
      <c r="AZ23" s="46">
        <f>AS23/N23</f>
        <v>0.37370043189294788</v>
      </c>
      <c r="BA23" s="46">
        <f>AU23/AN23</f>
        <v>0.66948237797802346</v>
      </c>
      <c r="BB23" s="46">
        <f>AU23/AM23</f>
        <v>0.6345394501171957</v>
      </c>
      <c r="BC23" s="46">
        <f>AU23/AO23</f>
        <v>0.42601787157046644</v>
      </c>
      <c r="BD23" s="46">
        <f>AU23/O23</f>
        <v>0.27849891327404369</v>
      </c>
      <c r="BE23" s="55">
        <f>AU23/N23</f>
        <v>0.21088289072150943</v>
      </c>
    </row>
    <row r="24" spans="1:59" s="17" customFormat="1">
      <c r="A24" s="18" t="s">
        <v>251</v>
      </c>
      <c r="B24" s="12"/>
      <c r="C24" s="12"/>
      <c r="D24" s="12"/>
      <c r="E24" s="1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1"/>
      <c r="U24" s="11"/>
      <c r="V24" s="61" t="s">
        <v>212</v>
      </c>
      <c r="W24" s="12"/>
      <c r="X24" s="12"/>
      <c r="Y24" s="12"/>
      <c r="Z24" s="12"/>
      <c r="AA24" s="12"/>
      <c r="AB24" s="13"/>
      <c r="AC24" s="12"/>
      <c r="AD24" s="12"/>
      <c r="AE24" s="18"/>
      <c r="AF24" s="12"/>
      <c r="AG24" s="12"/>
      <c r="AH24" s="12"/>
      <c r="AI24" s="12"/>
      <c r="AJ24" s="12"/>
      <c r="AK24" s="12"/>
      <c r="AL24" s="12"/>
      <c r="AM24" s="18"/>
      <c r="AN24" s="18"/>
      <c r="AO24" s="18"/>
      <c r="AP24" s="12"/>
      <c r="AQ24" s="12"/>
      <c r="AR24" s="67">
        <v>32.107815157492823</v>
      </c>
      <c r="AS24" s="13"/>
      <c r="AT24" s="67">
        <v>18.148621439621241</v>
      </c>
      <c r="AU24" s="13"/>
      <c r="AV24" s="45"/>
      <c r="AW24" s="46"/>
      <c r="AX24" s="46"/>
      <c r="AY24" s="46"/>
      <c r="AZ24" s="46"/>
      <c r="BA24" s="46"/>
      <c r="BB24" s="46"/>
      <c r="BC24" s="46"/>
      <c r="BD24" s="46"/>
      <c r="BE24" s="55"/>
    </row>
    <row r="25" spans="1:59" s="17" customFormat="1">
      <c r="A25" s="18" t="s">
        <v>193</v>
      </c>
      <c r="B25" s="12"/>
      <c r="C25" s="12"/>
      <c r="D25" s="12"/>
      <c r="E25" s="1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1"/>
      <c r="U25" s="11"/>
      <c r="V25" s="61" t="s">
        <v>213</v>
      </c>
      <c r="W25" s="12"/>
      <c r="X25" s="12"/>
      <c r="Y25" s="12"/>
      <c r="Z25" s="12"/>
      <c r="AA25" s="12"/>
      <c r="AB25" s="13"/>
      <c r="AC25" s="12"/>
      <c r="AD25" s="12"/>
      <c r="AE25" s="18"/>
      <c r="AF25" s="12"/>
      <c r="AG25" s="12"/>
      <c r="AH25" s="12"/>
      <c r="AI25" s="12"/>
      <c r="AJ25" s="12"/>
      <c r="AK25" s="12"/>
      <c r="AL25" s="12"/>
      <c r="AM25" s="18"/>
      <c r="AN25" s="18"/>
      <c r="AO25" s="18"/>
      <c r="AP25" s="12"/>
      <c r="AQ25" s="12"/>
      <c r="AR25" s="67"/>
      <c r="AS25" s="18"/>
      <c r="AT25" s="67"/>
      <c r="AU25" s="18"/>
      <c r="AV25" s="45"/>
      <c r="AW25" s="46"/>
      <c r="AX25" s="46"/>
      <c r="AY25" s="46"/>
      <c r="AZ25" s="46"/>
      <c r="BA25" s="46"/>
      <c r="BB25" s="46"/>
      <c r="BC25" s="46"/>
      <c r="BD25" s="46"/>
      <c r="BE25" s="55"/>
    </row>
    <row r="26" spans="1:59" s="17" customFormat="1">
      <c r="A26" s="18" t="s">
        <v>194</v>
      </c>
      <c r="B26" s="12"/>
      <c r="C26" s="12"/>
      <c r="D26" s="12"/>
      <c r="E26" s="1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1"/>
      <c r="U26" s="11"/>
      <c r="V26" s="61" t="s">
        <v>214</v>
      </c>
      <c r="W26" s="12"/>
      <c r="X26" s="12"/>
      <c r="Y26" s="12"/>
      <c r="Z26" s="12"/>
      <c r="AA26" s="12"/>
      <c r="AB26" s="13"/>
      <c r="AC26" s="12"/>
      <c r="AD26" s="12"/>
      <c r="AE26" s="18"/>
      <c r="AF26" s="12"/>
      <c r="AG26" s="12"/>
      <c r="AH26" s="12"/>
      <c r="AI26" s="12"/>
      <c r="AJ26" s="12"/>
      <c r="AK26" s="12"/>
      <c r="AL26" s="12"/>
      <c r="AM26" s="18"/>
      <c r="AN26" s="18"/>
      <c r="AO26" s="18"/>
      <c r="AP26" s="12"/>
      <c r="AQ26" s="12"/>
      <c r="AR26" s="67"/>
      <c r="AS26" s="18"/>
      <c r="AT26" s="67"/>
      <c r="AU26" s="18"/>
      <c r="AV26" s="45"/>
      <c r="AW26" s="46"/>
      <c r="AX26" s="46"/>
      <c r="AY26" s="46"/>
      <c r="AZ26" s="46"/>
      <c r="BA26" s="46"/>
      <c r="BB26" s="46"/>
      <c r="BC26" s="46"/>
      <c r="BD26" s="46"/>
      <c r="BE26" s="55"/>
    </row>
    <row r="27" spans="1:59" s="17" customFormat="1">
      <c r="A27" s="18" t="s">
        <v>195</v>
      </c>
      <c r="B27" s="12">
        <f>'[1]moje analizy'!E36</f>
        <v>2052.3333333333335</v>
      </c>
      <c r="C27" s="12">
        <f>'[1]moje analizy'!F36</f>
        <v>3958</v>
      </c>
      <c r="D27" s="12">
        <f>'[1]moje analizy'!G36</f>
        <v>51.6</v>
      </c>
      <c r="E27" s="13">
        <v>1.0165</v>
      </c>
      <c r="F27" s="12">
        <v>5.76</v>
      </c>
      <c r="G27" s="12">
        <v>1000</v>
      </c>
      <c r="H27" s="12">
        <v>1280</v>
      </c>
      <c r="I27" s="12">
        <v>4.0910823986583447</v>
      </c>
      <c r="J27" s="12">
        <v>40.910823986583452</v>
      </c>
      <c r="K27" s="12">
        <v>68.699397114654531</v>
      </c>
      <c r="L27" s="12">
        <f>K27*J27/100</f>
        <v>28.105489433420306</v>
      </c>
      <c r="M27" s="12">
        <f>D27*2</f>
        <v>103.2</v>
      </c>
      <c r="N27" s="12">
        <f>J27*E27*2</f>
        <v>83.171705164724159</v>
      </c>
      <c r="O27" s="12">
        <f>L27*E27*2</f>
        <v>57.138460018143483</v>
      </c>
      <c r="P27" s="12"/>
      <c r="Q27" s="12">
        <f>O27/40</f>
        <v>1.428461500453587</v>
      </c>
      <c r="R27" s="12"/>
      <c r="S27" s="12"/>
      <c r="T27" s="11"/>
      <c r="U27" s="11"/>
      <c r="V27" s="61" t="s">
        <v>215</v>
      </c>
      <c r="W27" s="12">
        <f>'[1]moje analizy'!E110</f>
        <v>451.33333333333331</v>
      </c>
      <c r="X27" s="12">
        <f>'[1]moje analizy'!F110</f>
        <v>2842.3333333333335</v>
      </c>
      <c r="Y27" s="12">
        <f>((C27-X27)/C27)*100</f>
        <v>28.187636853629776</v>
      </c>
      <c r="Z27" s="12">
        <f>'[1]moje analizy'!G110</f>
        <v>30.5</v>
      </c>
      <c r="AA27" s="12">
        <f>((D27-Z27)/D27)*100</f>
        <v>40.891472868217058</v>
      </c>
      <c r="AB27" s="13">
        <v>0.97899999999999998</v>
      </c>
      <c r="AC27" s="12">
        <v>7.17</v>
      </c>
      <c r="AD27" s="12">
        <v>3850</v>
      </c>
      <c r="AE27" s="12">
        <v>277.39999999999998</v>
      </c>
      <c r="AF27" s="12">
        <v>3.0372446225271972</v>
      </c>
      <c r="AG27" s="12">
        <v>30.372446225271972</v>
      </c>
      <c r="AH27" s="62">
        <v>66.162620354986231</v>
      </c>
      <c r="AI27" s="12">
        <f>AH27*AG27/100</f>
        <v>20.09520628854904</v>
      </c>
      <c r="AJ27" s="12">
        <f>Z27*2</f>
        <v>61</v>
      </c>
      <c r="AK27" s="12">
        <f>AG27*AB27*2</f>
        <v>59.469249709082519</v>
      </c>
      <c r="AL27" s="12">
        <f>AI27*AB27*2</f>
        <v>39.346413912979017</v>
      </c>
      <c r="AM27" s="12">
        <f>N27-AK27</f>
        <v>23.70245545564164</v>
      </c>
      <c r="AN27" s="12">
        <f>O27-AL27</f>
        <v>17.792046105164466</v>
      </c>
      <c r="AO27" s="12">
        <f>M27-AJ27</f>
        <v>42.2</v>
      </c>
      <c r="AP27" s="12">
        <f>AN27/O27</f>
        <v>0.31138476779939223</v>
      </c>
      <c r="AQ27" s="12">
        <f>AM27/N27</f>
        <v>0.28498219927916818</v>
      </c>
      <c r="AR27" s="67">
        <v>32.686591052999589</v>
      </c>
      <c r="AS27" s="13">
        <f>AR27</f>
        <v>32.686591052999589</v>
      </c>
      <c r="AT27" s="67">
        <v>18.785310744069392</v>
      </c>
      <c r="AU27" s="13">
        <f>AT27</f>
        <v>18.785310744069392</v>
      </c>
      <c r="AV27" s="45">
        <f>AS27/AN27</f>
        <v>1.8371462652354362</v>
      </c>
      <c r="AW27" s="46">
        <f>AS27/AM27</f>
        <v>1.3790381808404391</v>
      </c>
      <c r="AX27" s="46">
        <f>AS27/AO27</f>
        <v>0.77456376902842627</v>
      </c>
      <c r="AY27" s="46">
        <f>AS27/O27</f>
        <v>0.57205936321385698</v>
      </c>
      <c r="AZ27" s="46">
        <f>AS27/N27</f>
        <v>0.39300133366585155</v>
      </c>
      <c r="BA27" s="46">
        <f>AU27/AN27</f>
        <v>1.0558263300934574</v>
      </c>
      <c r="BB27" s="46">
        <f>AU27/AM27</f>
        <v>0.79254703291080864</v>
      </c>
      <c r="BC27" s="46">
        <f>AU27/AO27</f>
        <v>0.44514954369832677</v>
      </c>
      <c r="BD27" s="46">
        <f>AU27/O27</f>
        <v>0.32876823663263571</v>
      </c>
      <c r="BE27" s="55">
        <f>AU27/N27</f>
        <v>0.22586179647110152</v>
      </c>
    </row>
    <row r="28" spans="1:59" s="17" customFormat="1">
      <c r="A28" s="18" t="s">
        <v>196</v>
      </c>
      <c r="B28" s="12"/>
      <c r="C28" s="12"/>
      <c r="D28" s="12"/>
      <c r="E28" s="13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1"/>
      <c r="U28" s="11"/>
      <c r="V28" s="61" t="s">
        <v>216</v>
      </c>
      <c r="W28" s="12"/>
      <c r="X28" s="12"/>
      <c r="Y28" s="12"/>
      <c r="Z28" s="12"/>
      <c r="AA28" s="12"/>
      <c r="AB28" s="13"/>
      <c r="AC28" s="12"/>
      <c r="AD28" s="12"/>
      <c r="AE28" s="18"/>
      <c r="AF28" s="12"/>
      <c r="AG28" s="12"/>
      <c r="AH28" s="12"/>
      <c r="AI28" s="12"/>
      <c r="AJ28" s="12"/>
      <c r="AK28" s="12"/>
      <c r="AL28" s="12"/>
      <c r="AM28" s="18"/>
      <c r="AN28" s="18"/>
      <c r="AO28" s="18"/>
      <c r="AP28" s="12"/>
      <c r="AQ28" s="12"/>
      <c r="AR28" s="67">
        <v>30.46387578743159</v>
      </c>
      <c r="AS28" s="13"/>
      <c r="AT28" s="67">
        <v>17.361972088773012</v>
      </c>
      <c r="AU28" s="13"/>
      <c r="AV28" s="45"/>
      <c r="AW28" s="46"/>
      <c r="AX28" s="46"/>
      <c r="AY28" s="46"/>
      <c r="AZ28" s="46"/>
      <c r="BA28" s="46"/>
      <c r="BB28" s="46"/>
      <c r="BC28" s="46"/>
      <c r="BD28" s="46"/>
      <c r="BE28" s="55"/>
    </row>
    <row r="29" spans="1:59" s="17" customFormat="1">
      <c r="A29" s="18" t="s">
        <v>197</v>
      </c>
      <c r="B29" s="12"/>
      <c r="C29" s="12"/>
      <c r="D29" s="12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1"/>
      <c r="U29" s="11"/>
      <c r="V29" s="61" t="s">
        <v>217</v>
      </c>
      <c r="W29" s="12"/>
      <c r="X29" s="12"/>
      <c r="Y29" s="12"/>
      <c r="Z29" s="12"/>
      <c r="AA29" s="12"/>
      <c r="AB29" s="13"/>
      <c r="AC29" s="12"/>
      <c r="AD29" s="12"/>
      <c r="AE29" s="18"/>
      <c r="AF29" s="12"/>
      <c r="AG29" s="12"/>
      <c r="AH29" s="12"/>
      <c r="AI29" s="12"/>
      <c r="AJ29" s="12"/>
      <c r="AK29" s="12"/>
      <c r="AL29" s="12"/>
      <c r="AM29" s="18"/>
      <c r="AN29" s="18"/>
      <c r="AO29" s="18"/>
      <c r="AP29" s="12"/>
      <c r="AQ29" s="12"/>
      <c r="AR29" s="67">
        <v>28.901718909484153</v>
      </c>
      <c r="AS29" s="13"/>
      <c r="AT29" s="67">
        <v>16.644210902782827</v>
      </c>
      <c r="AU29" s="13"/>
      <c r="AV29" s="45"/>
      <c r="AW29" s="46"/>
      <c r="AX29" s="46"/>
      <c r="AY29" s="46"/>
      <c r="AZ29" s="46"/>
      <c r="BA29" s="46"/>
      <c r="BB29" s="46"/>
      <c r="BC29" s="46"/>
      <c r="BD29" s="46"/>
      <c r="BE29" s="55"/>
    </row>
    <row r="30" spans="1:59" s="17" customFormat="1">
      <c r="A30" s="18" t="s">
        <v>198</v>
      </c>
      <c r="B30" s="12">
        <f>'[1]moje analizy'!E39</f>
        <v>2180</v>
      </c>
      <c r="C30" s="12">
        <f>'[1]moje analizy'!F39</f>
        <v>4355</v>
      </c>
      <c r="D30" s="12">
        <f>'[1]moje analizy'!G39</f>
        <v>46</v>
      </c>
      <c r="E30" s="13">
        <v>1.0165</v>
      </c>
      <c r="F30" s="12">
        <v>5.76</v>
      </c>
      <c r="G30" s="12">
        <v>1000</v>
      </c>
      <c r="H30" s="12">
        <v>1280</v>
      </c>
      <c r="I30" s="12">
        <v>4.0910823986583447</v>
      </c>
      <c r="J30" s="12">
        <v>40.910823986583452</v>
      </c>
      <c r="K30" s="12">
        <v>68.699397114654531</v>
      </c>
      <c r="L30" s="12">
        <f>K30*J30/100</f>
        <v>28.105489433420306</v>
      </c>
      <c r="M30" s="12">
        <f>D30*2</f>
        <v>92</v>
      </c>
      <c r="N30" s="12">
        <f>J30*E30*2</f>
        <v>83.171705164724159</v>
      </c>
      <c r="O30" s="12">
        <f>L30*E30*2</f>
        <v>57.138460018143483</v>
      </c>
      <c r="P30" s="12"/>
      <c r="Q30" s="12">
        <f>O30/40</f>
        <v>1.428461500453587</v>
      </c>
      <c r="R30" s="12"/>
      <c r="S30" s="12"/>
      <c r="T30" s="11"/>
      <c r="U30" s="11"/>
      <c r="V30" s="61" t="s">
        <v>218</v>
      </c>
      <c r="W30" s="12">
        <f>'[1]moje analizy'!E115</f>
        <v>458.66666666666669</v>
      </c>
      <c r="X30" s="12">
        <f>'[1]moje analizy'!F115</f>
        <v>2820.3333333333335</v>
      </c>
      <c r="Y30" s="12">
        <f>((C30-X30)/C30)*100</f>
        <v>35.23918867202449</v>
      </c>
      <c r="Z30" s="12">
        <f>'[1]moje analizy'!G115</f>
        <v>28.399999999999995</v>
      </c>
      <c r="AA30" s="12">
        <f>((D30-Z30)/D30)*100</f>
        <v>38.260869565217405</v>
      </c>
      <c r="AB30" s="13">
        <v>0.99850000000000005</v>
      </c>
      <c r="AC30" s="12">
        <v>7.08</v>
      </c>
      <c r="AD30" s="12">
        <v>3850</v>
      </c>
      <c r="AE30" s="12">
        <v>233.3</v>
      </c>
      <c r="AF30" s="12">
        <v>3.0637715717147689</v>
      </c>
      <c r="AG30" s="12">
        <v>30.637715717147689</v>
      </c>
      <c r="AH30" s="12">
        <v>66.672855480265753</v>
      </c>
      <c r="AI30" s="12">
        <f>AH30*AG30/100</f>
        <v>20.427039922548545</v>
      </c>
      <c r="AJ30" s="12">
        <f>Z30*2</f>
        <v>56.79999999999999</v>
      </c>
      <c r="AK30" s="12">
        <f>AG30*AB30*2</f>
        <v>61.18351828714394</v>
      </c>
      <c r="AL30" s="12">
        <f>AI30*AB30*2</f>
        <v>40.792798725329448</v>
      </c>
      <c r="AM30" s="12">
        <f>N30-AK30</f>
        <v>21.988186877580219</v>
      </c>
      <c r="AN30" s="12">
        <f>O30-AL30</f>
        <v>16.345661292814036</v>
      </c>
      <c r="AO30" s="12">
        <f>M30-AJ30</f>
        <v>35.20000000000001</v>
      </c>
      <c r="AP30" s="12">
        <f>AN30/O30</f>
        <v>0.28607108570345979</v>
      </c>
      <c r="AQ30" s="12">
        <f>AM30/N30</f>
        <v>0.26437100013799075</v>
      </c>
      <c r="AR30" s="67">
        <v>29.09011277754156</v>
      </c>
      <c r="AS30" s="13">
        <f>AR30</f>
        <v>29.09011277754156</v>
      </c>
      <c r="AT30" s="67">
        <v>16.825430329402263</v>
      </c>
      <c r="AU30" s="13">
        <f>AT30</f>
        <v>16.825430329402263</v>
      </c>
      <c r="AV30" s="45">
        <f>AS30/AN30</f>
        <v>1.7796840553847952</v>
      </c>
      <c r="AW30" s="46">
        <f>AS30/AM30</f>
        <v>1.3229882454384025</v>
      </c>
      <c r="AX30" s="46">
        <f>AS30/AO30</f>
        <v>0.82642365845288501</v>
      </c>
      <c r="AY30" s="46">
        <f>AS30/O30</f>
        <v>0.50911614993306464</v>
      </c>
      <c r="AZ30" s="46">
        <f>AS30/N30</f>
        <v>0.34975972561735608</v>
      </c>
      <c r="BA30" s="46">
        <f>AU30/AN30</f>
        <v>1.0293514607940117</v>
      </c>
      <c r="BB30" s="46">
        <f>AU30/AM30</f>
        <v>0.76520317127911763</v>
      </c>
      <c r="BC30" s="46">
        <f>AU30/AO30</f>
        <v>0.47799517981256412</v>
      </c>
      <c r="BD30" s="46">
        <f>AU30/O30</f>
        <v>0.29446768995978528</v>
      </c>
      <c r="BE30" s="55">
        <f>AU30/N30</f>
        <v>0.20229752769982259</v>
      </c>
    </row>
    <row r="31" spans="1:59" s="17" customFormat="1">
      <c r="A31" s="18" t="s">
        <v>199</v>
      </c>
      <c r="B31" s="12"/>
      <c r="C31" s="12"/>
      <c r="D31" s="12"/>
      <c r="E31" s="13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1"/>
      <c r="U31" s="11"/>
      <c r="V31" s="61" t="s">
        <v>219</v>
      </c>
      <c r="W31" s="18"/>
      <c r="X31" s="12"/>
      <c r="Y31" s="12"/>
      <c r="Z31" s="12"/>
      <c r="AA31" s="12"/>
      <c r="AB31" s="13"/>
      <c r="AC31" s="12"/>
      <c r="AD31" s="12"/>
      <c r="AE31" s="18"/>
      <c r="AF31" s="18"/>
      <c r="AG31" s="18"/>
      <c r="AH31" s="18"/>
      <c r="AI31" s="12"/>
      <c r="AJ31" s="12"/>
      <c r="AK31" s="12"/>
      <c r="AL31" s="12"/>
      <c r="AM31" s="12"/>
      <c r="AN31" s="12"/>
      <c r="AO31" s="12"/>
      <c r="AP31" s="12"/>
      <c r="AQ31" s="12"/>
      <c r="AR31" s="67">
        <v>27.188914256947328</v>
      </c>
      <c r="AS31" s="18"/>
      <c r="AT31" s="67">
        <v>15.637432145740686</v>
      </c>
      <c r="AU31" s="18"/>
      <c r="AV31" s="45"/>
      <c r="AW31" s="46"/>
      <c r="AX31" s="46"/>
      <c r="AY31" s="46"/>
      <c r="AZ31" s="46"/>
      <c r="BA31" s="46"/>
      <c r="BB31" s="46"/>
      <c r="BC31" s="46"/>
      <c r="BD31" s="46"/>
      <c r="BE31" s="55"/>
    </row>
    <row r="32" spans="1:59" s="17" customFormat="1">
      <c r="A32" s="18" t="s">
        <v>200</v>
      </c>
      <c r="B32" s="12"/>
      <c r="C32" s="12"/>
      <c r="D32" s="12"/>
      <c r="E32" s="13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1"/>
      <c r="U32" s="11"/>
      <c r="V32" s="61" t="s">
        <v>220</v>
      </c>
      <c r="W32" s="12"/>
      <c r="X32" s="12"/>
      <c r="Y32" s="12"/>
      <c r="Z32" s="12"/>
      <c r="AA32" s="12"/>
      <c r="AB32" s="13"/>
      <c r="AC32" s="12"/>
      <c r="AD32" s="12"/>
      <c r="AE32" s="18"/>
      <c r="AF32" s="18"/>
      <c r="AG32" s="18"/>
      <c r="AH32" s="18"/>
      <c r="AI32" s="12"/>
      <c r="AJ32" s="12"/>
      <c r="AK32" s="12"/>
      <c r="AL32" s="12"/>
      <c r="AM32" s="12"/>
      <c r="AN32" s="12"/>
      <c r="AO32" s="12"/>
      <c r="AP32" s="12"/>
      <c r="AQ32" s="12"/>
      <c r="AR32" s="18"/>
      <c r="AS32" s="18"/>
      <c r="AT32" s="18"/>
      <c r="AU32" s="18"/>
      <c r="AV32" s="45"/>
      <c r="AW32" s="46"/>
      <c r="AX32" s="46"/>
      <c r="AY32" s="46"/>
      <c r="AZ32" s="46"/>
      <c r="BA32" s="46"/>
      <c r="BB32" s="46"/>
      <c r="BC32" s="46"/>
      <c r="BD32" s="46"/>
      <c r="BE32" s="55"/>
    </row>
    <row r="33" spans="1:57" s="17" customFormat="1">
      <c r="A33" s="18" t="s">
        <v>201</v>
      </c>
      <c r="B33" s="12"/>
      <c r="C33" s="12"/>
      <c r="D33" s="12"/>
      <c r="E33" s="1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1"/>
      <c r="U33" s="11"/>
      <c r="V33" s="61" t="s">
        <v>221</v>
      </c>
      <c r="W33" s="12"/>
      <c r="X33" s="12"/>
      <c r="Y33" s="12"/>
      <c r="Z33" s="12"/>
      <c r="AA33" s="12"/>
      <c r="AB33" s="13"/>
      <c r="AC33" s="12"/>
      <c r="AD33" s="12"/>
      <c r="AE33" s="18"/>
      <c r="AF33" s="18"/>
      <c r="AG33" s="18"/>
      <c r="AH33" s="18"/>
      <c r="AI33" s="12"/>
      <c r="AJ33" s="12"/>
      <c r="AK33" s="12"/>
      <c r="AL33" s="12"/>
      <c r="AM33" s="12"/>
      <c r="AN33" s="12"/>
      <c r="AO33" s="12"/>
      <c r="AP33" s="12"/>
      <c r="AQ33" s="12"/>
      <c r="AR33" s="18"/>
      <c r="AS33" s="18"/>
      <c r="AT33" s="18"/>
      <c r="AU33" s="18"/>
      <c r="AV33" s="45"/>
      <c r="AW33" s="46"/>
      <c r="AX33" s="46"/>
      <c r="AY33" s="46"/>
      <c r="AZ33" s="46"/>
      <c r="BA33" s="46"/>
      <c r="BB33" s="46"/>
      <c r="BC33" s="46"/>
      <c r="BD33" s="46"/>
      <c r="BE33" s="55"/>
    </row>
    <row r="34" spans="1:57" s="17" customFormat="1">
      <c r="A34" s="18" t="s">
        <v>202</v>
      </c>
      <c r="B34" s="12">
        <f>'[1]moje analizy'!E41</f>
        <v>2180.6666666666665</v>
      </c>
      <c r="C34" s="12">
        <f>'[1]moje analizy'!F41</f>
        <v>4352</v>
      </c>
      <c r="D34" s="12">
        <f>'[1]moje analizy'!G41</f>
        <v>45.933333333333337</v>
      </c>
      <c r="E34" s="13">
        <v>1.0125</v>
      </c>
      <c r="F34" s="12">
        <v>5.58</v>
      </c>
      <c r="G34" s="12">
        <v>875</v>
      </c>
      <c r="H34" s="12">
        <v>1536</v>
      </c>
      <c r="I34" s="12">
        <v>4.0889314575119746</v>
      </c>
      <c r="J34" s="12">
        <v>40.889314575119734</v>
      </c>
      <c r="K34" s="12">
        <v>73.985090750268895</v>
      </c>
      <c r="L34" s="12">
        <f>K34*J34/100</f>
        <v>30.251996495565262</v>
      </c>
      <c r="M34" s="12">
        <f>D34*2</f>
        <v>91.866666666666674</v>
      </c>
      <c r="N34" s="12">
        <f>J34*E34*2</f>
        <v>82.800862014617451</v>
      </c>
      <c r="O34" s="12">
        <f>L34*E34*2</f>
        <v>61.260292903519655</v>
      </c>
      <c r="P34" s="12"/>
      <c r="Q34" s="12">
        <f>O34/40</f>
        <v>1.5315073225879914</v>
      </c>
      <c r="R34" s="12"/>
      <c r="S34" s="12"/>
      <c r="T34" s="11"/>
      <c r="U34" s="11"/>
      <c r="V34" s="61" t="s">
        <v>222</v>
      </c>
      <c r="W34" s="12">
        <f>'[1]moje analizy'!E120</f>
        <v>423</v>
      </c>
      <c r="X34" s="12">
        <f>'[1]moje analizy'!F120</f>
        <v>2630.6666666666665</v>
      </c>
      <c r="Y34" s="12">
        <f>((C34-X34)/C34)*100</f>
        <v>39.552696078431374</v>
      </c>
      <c r="Z34" s="12">
        <f>'[1]moje analizy'!G120</f>
        <v>31.966666666666669</v>
      </c>
      <c r="AA34" s="12">
        <f>((D34-Z34)/D34)*100</f>
        <v>30.406386066763424</v>
      </c>
      <c r="AB34" s="13">
        <v>0.99950000000000006</v>
      </c>
      <c r="AC34" s="12">
        <v>7.1</v>
      </c>
      <c r="AD34" s="12">
        <v>3850</v>
      </c>
      <c r="AE34" s="12">
        <v>231.1</v>
      </c>
      <c r="AF34" s="18">
        <v>3.03958653692959</v>
      </c>
      <c r="AG34" s="18">
        <v>30.395865369295894</v>
      </c>
      <c r="AH34" s="18">
        <v>64.854813451686297</v>
      </c>
      <c r="AI34" s="12">
        <f>AH34*AG34/100</f>
        <v>19.713181782282572</v>
      </c>
      <c r="AJ34" s="12">
        <f>Z34*2</f>
        <v>63.933333333333337</v>
      </c>
      <c r="AK34" s="12">
        <f>AG34*AB34*2</f>
        <v>60.761334873222495</v>
      </c>
      <c r="AL34" s="12">
        <f>AI34*AB34*2</f>
        <v>39.406650382782864</v>
      </c>
      <c r="AM34" s="12">
        <f>N34-AK34</f>
        <v>22.039527141394956</v>
      </c>
      <c r="AN34" s="12">
        <f>O34-AL34</f>
        <v>21.853642520736791</v>
      </c>
      <c r="AO34" s="12">
        <f>M34-AJ34</f>
        <v>27.933333333333337</v>
      </c>
      <c r="AP34" s="12">
        <f>AN34/O34</f>
        <v>0.35673421534491567</v>
      </c>
      <c r="AQ34" s="12">
        <f>AM34/N34</f>
        <v>0.26617509292963826</v>
      </c>
      <c r="AR34" s="67">
        <v>29.199529527048416</v>
      </c>
      <c r="AS34" s="67">
        <f>AR34</f>
        <v>29.199529527048416</v>
      </c>
      <c r="AT34" s="67">
        <v>16.643264637945158</v>
      </c>
      <c r="AU34" s="67">
        <f>AT34</f>
        <v>16.643264637945158</v>
      </c>
      <c r="AV34" s="45">
        <f>AS34/AN34</f>
        <v>1.3361401651619933</v>
      </c>
      <c r="AW34" s="46">
        <f>AS34/AM34</f>
        <v>1.3248709620546006</v>
      </c>
      <c r="AX34" s="46">
        <f>AS34/AO34</f>
        <v>1.0453292193454085</v>
      </c>
      <c r="AY34" s="46">
        <f>AS34/O34</f>
        <v>0.47664691340988974</v>
      </c>
      <c r="AZ34" s="46">
        <f>AS34/N34</f>
        <v>0.35264765144466259</v>
      </c>
      <c r="BA34" s="46">
        <f>AU34/AN34</f>
        <v>0.76157851589969328</v>
      </c>
      <c r="BB34" s="46">
        <f>AU34/AM34</f>
        <v>0.75515525043572918</v>
      </c>
      <c r="BC34" s="46">
        <f>AU34/AO34</f>
        <v>0.59582092975937317</v>
      </c>
      <c r="BD34" s="46">
        <f>AU34/O34</f>
        <v>0.2716811142930225</v>
      </c>
      <c r="BE34" s="55">
        <f>AU34/N34</f>
        <v>0.20100351896103447</v>
      </c>
    </row>
    <row r="35" spans="1:57" s="17" customFormat="1">
      <c r="A35" s="18" t="s">
        <v>203</v>
      </c>
      <c r="B35" s="12"/>
      <c r="C35" s="12"/>
      <c r="D35" s="12"/>
      <c r="E35" s="13"/>
      <c r="F35" s="12"/>
      <c r="G35" s="12"/>
      <c r="H35" s="18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1"/>
      <c r="U35" s="11"/>
      <c r="V35" s="61" t="s">
        <v>223</v>
      </c>
      <c r="W35" s="12"/>
      <c r="X35" s="12"/>
      <c r="Y35" s="12"/>
      <c r="Z35" s="12"/>
      <c r="AA35" s="12"/>
      <c r="AB35" s="13"/>
      <c r="AC35" s="12"/>
      <c r="AD35" s="12"/>
      <c r="AE35" s="18"/>
      <c r="AF35" s="18"/>
      <c r="AG35" s="18"/>
      <c r="AH35" s="18"/>
      <c r="AI35" s="12"/>
      <c r="AJ35" s="12"/>
      <c r="AK35" s="12"/>
      <c r="AL35" s="12"/>
      <c r="AM35" s="12"/>
      <c r="AN35" s="12"/>
      <c r="AO35" s="12"/>
      <c r="AP35" s="12"/>
      <c r="AQ35" s="12"/>
      <c r="AR35" s="67">
        <v>28.379093724032987</v>
      </c>
      <c r="AS35" s="67"/>
      <c r="AT35" s="67">
        <v>16.175629357199213</v>
      </c>
      <c r="AU35" s="67"/>
      <c r="AV35" s="45"/>
      <c r="AW35" s="46"/>
      <c r="AX35" s="46"/>
      <c r="AY35" s="46"/>
      <c r="AZ35" s="46"/>
      <c r="BA35" s="46"/>
      <c r="BB35" s="46"/>
      <c r="BC35" s="46"/>
      <c r="BD35" s="46"/>
      <c r="BE35" s="55"/>
    </row>
    <row r="36" spans="1:57" s="17" customFormat="1">
      <c r="A36" s="18" t="s">
        <v>204</v>
      </c>
      <c r="B36" s="12"/>
      <c r="C36" s="12"/>
      <c r="D36" s="12"/>
      <c r="E36" s="13"/>
      <c r="F36" s="12"/>
      <c r="G36" s="12"/>
      <c r="H36" s="18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1"/>
      <c r="U36" s="11"/>
      <c r="V36" s="61" t="s">
        <v>224</v>
      </c>
      <c r="W36" s="12"/>
      <c r="X36" s="12"/>
      <c r="Y36" s="12"/>
      <c r="Z36" s="12"/>
      <c r="AA36" s="12"/>
      <c r="AB36" s="13"/>
      <c r="AC36" s="12"/>
      <c r="AD36" s="12"/>
      <c r="AE36" s="18"/>
      <c r="AF36" s="18"/>
      <c r="AG36" s="18"/>
      <c r="AH36" s="18"/>
      <c r="AI36" s="12"/>
      <c r="AJ36" s="12"/>
      <c r="AK36" s="12"/>
      <c r="AL36" s="12"/>
      <c r="AM36" s="12"/>
      <c r="AN36" s="12"/>
      <c r="AO36" s="12"/>
      <c r="AP36" s="12"/>
      <c r="AQ36" s="12"/>
      <c r="AR36" s="67">
        <v>29.03152269268611</v>
      </c>
      <c r="AS36" s="67"/>
      <c r="AT36" s="67">
        <v>16.547503430467994</v>
      </c>
      <c r="AU36" s="67"/>
      <c r="AV36" s="45"/>
      <c r="AW36" s="46"/>
      <c r="AX36" s="46"/>
      <c r="AY36" s="46"/>
      <c r="AZ36" s="46"/>
      <c r="BA36" s="46"/>
      <c r="BB36" s="46"/>
      <c r="BC36" s="46"/>
      <c r="BD36" s="46"/>
      <c r="BE36" s="55"/>
    </row>
    <row r="37" spans="1:57" s="17" customFormat="1">
      <c r="A37" s="18" t="s">
        <v>205</v>
      </c>
      <c r="B37" s="12">
        <f>'[1]moje analizy'!E44</f>
        <v>1977</v>
      </c>
      <c r="C37" s="12">
        <f>'[1]moje analizy'!F44</f>
        <v>3834</v>
      </c>
      <c r="D37" s="12">
        <f>'[1]moje analizy'!G44</f>
        <v>58.3</v>
      </c>
      <c r="E37" s="13">
        <v>1.0125</v>
      </c>
      <c r="F37" s="12">
        <v>5.58</v>
      </c>
      <c r="G37" s="12">
        <v>875</v>
      </c>
      <c r="H37" s="12">
        <v>1536</v>
      </c>
      <c r="I37" s="12">
        <v>4.0889314575119746</v>
      </c>
      <c r="J37" s="12">
        <v>40.889314575119734</v>
      </c>
      <c r="K37" s="12">
        <v>73.985090750268895</v>
      </c>
      <c r="L37" s="12">
        <f>K37*J37/100</f>
        <v>30.251996495565262</v>
      </c>
      <c r="M37" s="12">
        <f>D37*2</f>
        <v>116.6</v>
      </c>
      <c r="N37" s="12">
        <f>J37*E37*2</f>
        <v>82.800862014617451</v>
      </c>
      <c r="O37" s="12">
        <f>L37*E37*2</f>
        <v>61.260292903519655</v>
      </c>
      <c r="P37" s="12"/>
      <c r="Q37" s="12">
        <f>O37/40</f>
        <v>1.5315073225879914</v>
      </c>
      <c r="R37" s="12"/>
      <c r="S37" s="12"/>
      <c r="T37" s="11"/>
      <c r="U37" s="11"/>
      <c r="V37" s="61" t="s">
        <v>225</v>
      </c>
      <c r="W37" s="12">
        <f>'[1]moje analizy'!E125</f>
        <v>431</v>
      </c>
      <c r="X37" s="12">
        <f>'[1]moje analizy'!F125</f>
        <v>2535.6666666666665</v>
      </c>
      <c r="Y37" s="12">
        <f>((C37-X37)/C37)*100</f>
        <v>33.863675882455233</v>
      </c>
      <c r="Z37" s="12">
        <f>'[1]moje analizy'!G125</f>
        <v>29.600000000000005</v>
      </c>
      <c r="AA37" s="12">
        <f>((D37-Z37)/D37)*100</f>
        <v>49.228130360205817</v>
      </c>
      <c r="AB37" s="13">
        <v>0.99650000000000005</v>
      </c>
      <c r="AC37" s="12">
        <v>7.11</v>
      </c>
      <c r="AD37" s="12">
        <v>3800</v>
      </c>
      <c r="AE37" s="12">
        <v>222.9</v>
      </c>
      <c r="AF37" s="18">
        <v>2.7518278551406348</v>
      </c>
      <c r="AG37" s="18">
        <v>27.518278551406343</v>
      </c>
      <c r="AH37" s="62">
        <f>AVERAGE(AH34:AH36)</f>
        <v>64.854813451686297</v>
      </c>
      <c r="AI37" s="12">
        <f>AH37*AG37/100</f>
        <v>17.846928219629987</v>
      </c>
      <c r="AJ37" s="12">
        <f>Z37*2</f>
        <v>59.20000000000001</v>
      </c>
      <c r="AK37" s="12">
        <f>AG37*AB37*2</f>
        <v>54.843929152952846</v>
      </c>
      <c r="AL37" s="12">
        <f>AI37*AB37*2</f>
        <v>35.568927941722563</v>
      </c>
      <c r="AM37" s="12">
        <f>N37-AK37</f>
        <v>27.956932861664605</v>
      </c>
      <c r="AN37" s="12">
        <f>O37-AL37</f>
        <v>25.691364961797092</v>
      </c>
      <c r="AO37" s="12">
        <f>M37-AJ37</f>
        <v>57.399999999999984</v>
      </c>
      <c r="AP37" s="12">
        <f>AN37/O37</f>
        <v>0.41938038073469636</v>
      </c>
      <c r="AQ37" s="12">
        <f>AM37/N37</f>
        <v>0.33764060157645653</v>
      </c>
      <c r="AR37" s="67">
        <v>24.460439954298323</v>
      </c>
      <c r="AS37" s="67">
        <f>AR37</f>
        <v>24.460439954298323</v>
      </c>
      <c r="AT37" s="67">
        <v>13.94205940691077</v>
      </c>
      <c r="AU37" s="67">
        <f>AT37</f>
        <v>13.94205940691077</v>
      </c>
      <c r="AV37" s="45">
        <f>AS37/AN37</f>
        <v>0.95208798717665855</v>
      </c>
      <c r="AW37" s="46">
        <f>AS37/AM37</f>
        <v>0.8749328860691733</v>
      </c>
      <c r="AX37" s="46">
        <f>AS37/AO37</f>
        <v>0.42614006889021483</v>
      </c>
      <c r="AY37" s="46">
        <f>AS37/O37</f>
        <v>0.39928702255507775</v>
      </c>
      <c r="AZ37" s="46">
        <f>AS37/N37</f>
        <v>0.29541286599142097</v>
      </c>
      <c r="BA37" s="46">
        <f>AU37/AN37</f>
        <v>0.54267491928290035</v>
      </c>
      <c r="BB37" s="46">
        <f>AU37/AM37</f>
        <v>0.49869774613325146</v>
      </c>
      <c r="BC37" s="46">
        <f>AU37/AO37</f>
        <v>0.2428930210263201</v>
      </c>
      <c r="BD37" s="46">
        <f>AU37/O37</f>
        <v>0.22758721426403336</v>
      </c>
      <c r="BE37" s="55">
        <f>AU37/N37</f>
        <v>0.16838060700925403</v>
      </c>
    </row>
    <row r="38" spans="1:57" s="17" customFormat="1">
      <c r="A38" s="18" t="s">
        <v>206</v>
      </c>
      <c r="B38" s="12"/>
      <c r="C38" s="12"/>
      <c r="D38" s="12"/>
      <c r="E38" s="13"/>
      <c r="F38" s="12"/>
      <c r="G38" s="12"/>
      <c r="H38" s="18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61" t="s">
        <v>226</v>
      </c>
      <c r="W38" s="12"/>
      <c r="X38" s="12"/>
      <c r="Y38" s="12"/>
      <c r="Z38" s="12"/>
      <c r="AA38" s="12"/>
      <c r="AB38" s="13"/>
      <c r="AC38" s="12"/>
      <c r="AD38" s="12"/>
      <c r="AE38" s="18"/>
      <c r="AF38" s="18"/>
      <c r="AG38" s="18"/>
      <c r="AH38" s="18"/>
      <c r="AI38" s="12"/>
      <c r="AJ38" s="12"/>
      <c r="AK38" s="12"/>
      <c r="AL38" s="12"/>
      <c r="AM38" s="12"/>
      <c r="AN38" s="12"/>
      <c r="AO38" s="12"/>
      <c r="AP38" s="12"/>
      <c r="AQ38" s="12"/>
      <c r="AR38" s="67">
        <v>25.130791594787151</v>
      </c>
      <c r="AS38" s="67"/>
      <c r="AT38" s="67">
        <v>14.324149116363156</v>
      </c>
      <c r="AU38" s="67"/>
      <c r="AV38" s="45"/>
      <c r="AW38" s="46"/>
      <c r="AX38" s="46"/>
      <c r="AY38" s="46"/>
      <c r="AZ38" s="46"/>
      <c r="BA38" s="46"/>
      <c r="BB38" s="46"/>
      <c r="BC38" s="46"/>
      <c r="BD38" s="46"/>
      <c r="BE38" s="55"/>
    </row>
    <row r="39" spans="1:57" s="17" customFormat="1">
      <c r="A39" s="18" t="s">
        <v>207</v>
      </c>
      <c r="B39" s="12"/>
      <c r="C39" s="12"/>
      <c r="D39" s="12"/>
      <c r="E39" s="13"/>
      <c r="F39" s="12"/>
      <c r="G39" s="12"/>
      <c r="H39" s="18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61" t="s">
        <v>227</v>
      </c>
      <c r="W39" s="12"/>
      <c r="X39" s="12"/>
      <c r="Y39" s="12"/>
      <c r="Z39" s="12"/>
      <c r="AA39" s="12"/>
      <c r="AB39" s="13"/>
      <c r="AC39" s="12"/>
      <c r="AD39" s="12"/>
      <c r="AE39" s="18"/>
      <c r="AF39" s="18"/>
      <c r="AG39" s="18"/>
      <c r="AH39" s="18"/>
      <c r="AI39" s="12"/>
      <c r="AJ39" s="12"/>
      <c r="AK39" s="12"/>
      <c r="AL39" s="12"/>
      <c r="AM39" s="12"/>
      <c r="AN39" s="12"/>
      <c r="AO39" s="12"/>
      <c r="AP39" s="12"/>
      <c r="AQ39" s="12"/>
      <c r="AR39" s="67">
        <v>25.658126142538208</v>
      </c>
      <c r="AS39" s="67"/>
      <c r="AT39" s="67">
        <v>14.624721371228494</v>
      </c>
      <c r="AU39" s="67"/>
      <c r="AV39" s="45"/>
      <c r="AW39" s="46"/>
      <c r="AX39" s="46"/>
      <c r="AY39" s="46"/>
      <c r="AZ39" s="46"/>
      <c r="BA39" s="46"/>
      <c r="BB39" s="46"/>
      <c r="BC39" s="46"/>
      <c r="BD39" s="46"/>
      <c r="BE39" s="55"/>
    </row>
    <row r="40" spans="1:57" s="17" customFormat="1">
      <c r="A40" s="18" t="s">
        <v>208</v>
      </c>
      <c r="B40" s="12"/>
      <c r="C40" s="12"/>
      <c r="D40" s="12"/>
      <c r="E40" s="13"/>
      <c r="F40" s="12"/>
      <c r="G40" s="12"/>
      <c r="H40" s="18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40" t="s">
        <v>228</v>
      </c>
      <c r="W40" s="12"/>
      <c r="X40" s="12"/>
      <c r="Y40" s="12"/>
      <c r="Z40" s="12"/>
      <c r="AA40" s="12"/>
      <c r="AB40" s="13"/>
      <c r="AC40" s="12"/>
      <c r="AD40" s="12"/>
      <c r="AE40" s="18"/>
      <c r="AF40" s="18"/>
      <c r="AG40" s="18"/>
      <c r="AH40" s="18"/>
      <c r="AI40" s="12"/>
      <c r="AJ40" s="12"/>
      <c r="AK40" s="12"/>
      <c r="AL40" s="12"/>
      <c r="AM40" s="12"/>
      <c r="AN40" s="12"/>
      <c r="AO40" s="12"/>
      <c r="AP40" s="12"/>
      <c r="AQ40" s="12"/>
      <c r="AR40" s="67">
        <v>24.829821849448674</v>
      </c>
      <c r="AS40" s="67"/>
      <c r="AT40" s="67">
        <v>14.152601177036148</v>
      </c>
      <c r="AU40" s="67"/>
      <c r="AV40" s="45"/>
      <c r="AW40" s="46"/>
      <c r="AX40" s="46"/>
      <c r="AY40" s="46"/>
      <c r="AZ40" s="46"/>
      <c r="BA40" s="46"/>
      <c r="BB40" s="46"/>
      <c r="BC40" s="46"/>
      <c r="BD40" s="46"/>
      <c r="BE40" s="55"/>
    </row>
    <row r="41" spans="1:57" s="17" customFormat="1">
      <c r="A41" s="18" t="s">
        <v>209</v>
      </c>
      <c r="B41" s="12">
        <f>'[1]moje analizy'!E47</f>
        <v>1976</v>
      </c>
      <c r="C41" s="12">
        <f>'[1]moje analizy'!F47</f>
        <v>3833.3333333333335</v>
      </c>
      <c r="D41" s="12">
        <f>'[1]moje analizy'!G47</f>
        <v>58.333333333333336</v>
      </c>
      <c r="E41" s="13">
        <v>0.99650000000000005</v>
      </c>
      <c r="F41" s="12">
        <v>6.09</v>
      </c>
      <c r="G41" s="12">
        <v>900</v>
      </c>
      <c r="H41" s="12">
        <v>1239</v>
      </c>
      <c r="I41" s="12">
        <v>4.7946737241174091</v>
      </c>
      <c r="J41" s="12">
        <v>47.946737241174084</v>
      </c>
      <c r="K41" s="12">
        <v>71.8979450695888</v>
      </c>
      <c r="L41" s="12">
        <f>K41*J41/100</f>
        <v>34.47271880431942</v>
      </c>
      <c r="M41" s="12">
        <f>D41*2</f>
        <v>116.66666666666667</v>
      </c>
      <c r="N41" s="12">
        <f>J41*E41*2</f>
        <v>95.557847321659949</v>
      </c>
      <c r="O41" s="12">
        <f>L41*E41*2</f>
        <v>68.704128577008603</v>
      </c>
      <c r="P41" s="12"/>
      <c r="Q41" s="12">
        <f>O41/40</f>
        <v>1.7176032144252151</v>
      </c>
      <c r="R41" s="12"/>
      <c r="S41" s="12"/>
      <c r="T41" s="12"/>
      <c r="U41" s="12"/>
      <c r="V41" s="40" t="s">
        <v>229</v>
      </c>
      <c r="W41" s="12">
        <f>'[1]moje analizy'!E130</f>
        <v>412.33333333333331</v>
      </c>
      <c r="X41" s="12">
        <f>'[1]moje analizy'!F130</f>
        <v>2553.6666666666665</v>
      </c>
      <c r="Y41" s="12">
        <f>((C41-X41)/C41)*100</f>
        <v>33.382608695652181</v>
      </c>
      <c r="Z41" s="12">
        <f>'[1]moje analizy'!G130</f>
        <v>31.100000000000005</v>
      </c>
      <c r="AA41" s="12">
        <f>((D41-Z41)/D41)*100</f>
        <v>46.685714285714283</v>
      </c>
      <c r="AB41" s="13">
        <v>1</v>
      </c>
      <c r="AC41" s="12">
        <v>7.11</v>
      </c>
      <c r="AD41" s="12">
        <v>3800</v>
      </c>
      <c r="AE41" s="12">
        <v>222.9</v>
      </c>
      <c r="AF41" s="18">
        <v>2.7958406332483619</v>
      </c>
      <c r="AG41" s="18">
        <v>27.958406332483616</v>
      </c>
      <c r="AH41" s="18">
        <v>64.708218685023184</v>
      </c>
      <c r="AI41" s="12">
        <f>AH41*AG41/100</f>
        <v>18.091386710470868</v>
      </c>
      <c r="AJ41" s="12">
        <f>Z41*2</f>
        <v>62.20000000000001</v>
      </c>
      <c r="AK41" s="12">
        <f>AG41*AB41*2</f>
        <v>55.916812664967232</v>
      </c>
      <c r="AL41" s="12">
        <f>AI41*AB41*2</f>
        <v>36.182773420941736</v>
      </c>
      <c r="AM41" s="12">
        <f>N41-AK41</f>
        <v>39.641034656692717</v>
      </c>
      <c r="AN41" s="12">
        <f>O41-AL41</f>
        <v>32.521355156066868</v>
      </c>
      <c r="AO41" s="12">
        <f>M41-AJ41</f>
        <v>54.466666666666661</v>
      </c>
      <c r="AP41" s="12">
        <f>AN41/O41</f>
        <v>0.47335372458169755</v>
      </c>
      <c r="AQ41" s="12">
        <f>AM41/N41</f>
        <v>0.41483808779467291</v>
      </c>
      <c r="AR41" s="67">
        <v>25.622717937204282</v>
      </c>
      <c r="AS41" s="67">
        <f>AR41</f>
        <v>25.622717937204282</v>
      </c>
      <c r="AT41" s="67">
        <v>14.604539260719442</v>
      </c>
      <c r="AU41" s="67">
        <f>AT41</f>
        <v>14.604539260719442</v>
      </c>
      <c r="AV41" s="86">
        <f>AS41/AN41</f>
        <v>0.78787362378484271</v>
      </c>
      <c r="AW41" s="87">
        <f>AS41/AM41</f>
        <v>0.64636854610651084</v>
      </c>
      <c r="AX41" s="87">
        <f>AS41/AO41</f>
        <v>0.47042933789236752</v>
      </c>
      <c r="AY41" s="87">
        <f>AS41/O41</f>
        <v>0.37294291431823445</v>
      </c>
      <c r="AZ41" s="87">
        <f>AS41/N41</f>
        <v>0.26813829167744785</v>
      </c>
      <c r="BA41" s="87">
        <f>AU41/AN41</f>
        <v>0.44907535957937966</v>
      </c>
      <c r="BB41" s="87">
        <f>AU41/AM41</f>
        <v>0.36841972938397338</v>
      </c>
      <c r="BC41" s="87">
        <f>AU41/AO41</f>
        <v>0.26813719572924316</v>
      </c>
      <c r="BD41" s="87">
        <f>AU41/O41</f>
        <v>0.21257149407476447</v>
      </c>
      <c r="BE41" s="88">
        <f>AU41/N41</f>
        <v>0.15283453604347838</v>
      </c>
    </row>
    <row r="42" spans="1:57" s="89" customFormat="1">
      <c r="A42" s="89" t="s">
        <v>191</v>
      </c>
      <c r="B42" s="90">
        <f t="shared" ref="B42:O42" si="0">AVERAGE(B5:B41)</f>
        <v>1697.5454545454545</v>
      </c>
      <c r="C42" s="90">
        <f t="shared" si="0"/>
        <v>3800.1515151515155</v>
      </c>
      <c r="D42" s="90">
        <f t="shared" si="0"/>
        <v>48.781818181818181</v>
      </c>
      <c r="E42" s="90">
        <f t="shared" si="0"/>
        <v>1.0064090909090906</v>
      </c>
      <c r="F42" s="90">
        <f t="shared" si="0"/>
        <v>5.8372727272727269</v>
      </c>
      <c r="G42" s="90">
        <f t="shared" si="0"/>
        <v>931.81818181818187</v>
      </c>
      <c r="H42" s="90">
        <f t="shared" si="0"/>
        <v>1198.6181818181817</v>
      </c>
      <c r="I42" s="90">
        <f t="shared" si="0"/>
        <v>4.0617894992053225</v>
      </c>
      <c r="J42" s="90">
        <f t="shared" si="0"/>
        <v>40.61789499205323</v>
      </c>
      <c r="K42" s="90">
        <f t="shared" si="0"/>
        <v>72.939213204898465</v>
      </c>
      <c r="L42" s="90">
        <f t="shared" si="0"/>
        <v>29.65168461158876</v>
      </c>
      <c r="M42" s="90">
        <f t="shared" si="0"/>
        <v>97.563636363636363</v>
      </c>
      <c r="N42" s="90">
        <f t="shared" si="0"/>
        <v>81.71263836200032</v>
      </c>
      <c r="O42" s="90">
        <f t="shared" si="0"/>
        <v>59.629042263550666</v>
      </c>
      <c r="P42" s="90"/>
      <c r="Q42" s="90">
        <f>AVERAGE(Q5:Q41)</f>
        <v>1.4907260565887661</v>
      </c>
      <c r="R42" s="90"/>
      <c r="S42" s="90"/>
      <c r="T42" s="90"/>
      <c r="U42" s="90"/>
      <c r="V42" s="89" t="s">
        <v>191</v>
      </c>
      <c r="W42" s="90">
        <f>AVERAGE(W5:W41)</f>
        <v>445.42424242424244</v>
      </c>
      <c r="X42" s="90">
        <f>AVERAGE(X5:X41)</f>
        <v>2681.636363636364</v>
      </c>
      <c r="Y42" s="90">
        <f>AVERAGE(Y5:Y41)</f>
        <v>28.785011771063481</v>
      </c>
      <c r="Z42" s="90">
        <f>AVERAGE(Z5:Z41)</f>
        <v>28.781818181818185</v>
      </c>
      <c r="AA42" s="90">
        <f>AVERAGE(AA5:AA41)</f>
        <v>40.629131490469597</v>
      </c>
      <c r="AB42" s="90">
        <f>AVERAGE(AB5:AB37)</f>
        <v>0.99479999999999991</v>
      </c>
      <c r="AC42" s="90">
        <f>AVERAGE(AC5:AC37)</f>
        <v>7.3810000000000002</v>
      </c>
      <c r="AD42" s="90">
        <f>AVERAGE(AD5:AD37)</f>
        <v>3827.5</v>
      </c>
      <c r="AE42" s="90">
        <f t="shared" ref="AE42:BE42" si="1">AVERAGE(AE5:AE41)</f>
        <v>298.77272727272731</v>
      </c>
      <c r="AF42" s="90">
        <f t="shared" si="1"/>
        <v>2.8627388242412359</v>
      </c>
      <c r="AG42" s="90">
        <f t="shared" si="1"/>
        <v>28.627388242412362</v>
      </c>
      <c r="AH42" s="90">
        <f t="shared" si="1"/>
        <v>65.696600867224191</v>
      </c>
      <c r="AI42" s="90">
        <f t="shared" si="1"/>
        <v>18.819186229058161</v>
      </c>
      <c r="AJ42" s="90">
        <f t="shared" si="1"/>
        <v>57.56363636363637</v>
      </c>
      <c r="AK42" s="90">
        <f t="shared" si="1"/>
        <v>56.981409220500446</v>
      </c>
      <c r="AL42" s="90">
        <f t="shared" si="1"/>
        <v>37.458853919005314</v>
      </c>
      <c r="AM42" s="90">
        <f t="shared" si="1"/>
        <v>24.731229141499874</v>
      </c>
      <c r="AN42" s="90">
        <f t="shared" si="1"/>
        <v>22.170188344545341</v>
      </c>
      <c r="AO42" s="90">
        <f t="shared" si="1"/>
        <v>39.999999999999993</v>
      </c>
      <c r="AP42" s="90">
        <f t="shared" si="1"/>
        <v>0.36619724738722342</v>
      </c>
      <c r="AQ42" s="90">
        <f t="shared" si="1"/>
        <v>0.29861949572358998</v>
      </c>
      <c r="AR42" s="90">
        <f t="shared" si="1"/>
        <v>28.694859597928868</v>
      </c>
      <c r="AS42" s="90">
        <f t="shared" si="1"/>
        <v>29.525244297382752</v>
      </c>
      <c r="AT42" s="90">
        <f t="shared" si="1"/>
        <v>16.34418367699875</v>
      </c>
      <c r="AU42" s="90">
        <f t="shared" si="1"/>
        <v>16.810787662787533</v>
      </c>
      <c r="AV42" s="91">
        <f t="shared" si="1"/>
        <v>1.4583435351626426</v>
      </c>
      <c r="AW42" s="92">
        <f t="shared" si="1"/>
        <v>1.3007596326157205</v>
      </c>
      <c r="AX42" s="92">
        <f t="shared" si="1"/>
        <v>0.78203253692709562</v>
      </c>
      <c r="AY42" s="92">
        <f t="shared" si="1"/>
        <v>0.50156175333498043</v>
      </c>
      <c r="AZ42" s="92">
        <f t="shared" si="1"/>
        <v>0.36470845765163862</v>
      </c>
      <c r="BA42" s="92">
        <f t="shared" si="1"/>
        <v>0.83052179303310858</v>
      </c>
      <c r="BB42" s="92">
        <f t="shared" si="1"/>
        <v>0.74038266124169894</v>
      </c>
      <c r="BC42" s="92">
        <f t="shared" si="1"/>
        <v>0.44542954923201689</v>
      </c>
      <c r="BD42" s="92">
        <f t="shared" si="1"/>
        <v>0.28557238809484814</v>
      </c>
      <c r="BE42" s="93">
        <f t="shared" si="1"/>
        <v>0.20762232397597466</v>
      </c>
    </row>
    <row r="43" spans="1:57" s="18" customFormat="1">
      <c r="A43" s="14" t="s">
        <v>18</v>
      </c>
      <c r="B43" s="12">
        <f>STDEV(B5:B41)</f>
        <v>587.51637845212031</v>
      </c>
      <c r="C43" s="12">
        <f t="shared" ref="C43:AU43" si="2">STDEV(C5:C41)</f>
        <v>364.24769849455936</v>
      </c>
      <c r="D43" s="12">
        <f t="shared" si="2"/>
        <v>5.35141442645181</v>
      </c>
      <c r="E43" s="12">
        <f t="shared" si="2"/>
        <v>1.5473878282153724E-2</v>
      </c>
      <c r="F43" s="12">
        <f t="shared" si="2"/>
        <v>0.15786645679757544</v>
      </c>
      <c r="G43" s="12">
        <f t="shared" si="2"/>
        <v>57.108349970592478</v>
      </c>
      <c r="H43" s="12">
        <f t="shared" si="2"/>
        <v>206.33865763924072</v>
      </c>
      <c r="I43" s="12">
        <f t="shared" si="2"/>
        <v>0.35500838544388541</v>
      </c>
      <c r="J43" s="12">
        <f t="shared" si="2"/>
        <v>3.5500838544387374</v>
      </c>
      <c r="K43" s="12">
        <f t="shared" si="2"/>
        <v>2.9904129754663775</v>
      </c>
      <c r="L43" s="12">
        <f t="shared" si="2"/>
        <v>3.0835527743765487</v>
      </c>
      <c r="M43" s="12">
        <f t="shared" si="2"/>
        <v>10.70282885290362</v>
      </c>
      <c r="N43" s="12">
        <f t="shared" si="2"/>
        <v>6.7168246284877586</v>
      </c>
      <c r="O43" s="12">
        <f t="shared" si="2"/>
        <v>5.7131894518693196</v>
      </c>
      <c r="P43" s="12"/>
      <c r="Q43" s="12">
        <f>STDEV(Q5:Q41)</f>
        <v>0.14282973629673745</v>
      </c>
      <c r="R43" s="12"/>
      <c r="S43" s="12"/>
      <c r="T43" s="12"/>
      <c r="U43" s="12"/>
      <c r="V43" s="12" t="s">
        <v>255</v>
      </c>
      <c r="W43" s="12">
        <f t="shared" si="2"/>
        <v>26.355303454939989</v>
      </c>
      <c r="X43" s="12">
        <f t="shared" si="2"/>
        <v>142.69084332105578</v>
      </c>
      <c r="Y43" s="12">
        <f>STDEV(Y5:Y41)</f>
        <v>8.4457430072179704</v>
      </c>
      <c r="Z43" s="12">
        <f t="shared" si="2"/>
        <v>2.8178937617527717</v>
      </c>
      <c r="AA43" s="12">
        <f>STDEV(AA5:AA41)</f>
        <v>6.6789935870421537</v>
      </c>
      <c r="AB43" s="12">
        <f t="shared" si="2"/>
        <v>7.5609643444590948E-3</v>
      </c>
      <c r="AC43" s="12">
        <f t="shared" si="2"/>
        <v>0.27317659955685492</v>
      </c>
      <c r="AD43" s="12">
        <f t="shared" si="2"/>
        <v>43.301270189221931</v>
      </c>
      <c r="AE43" s="12">
        <f t="shared" si="2"/>
        <v>217.23676986601077</v>
      </c>
      <c r="AF43" s="12">
        <f t="shared" si="2"/>
        <v>0.14857825169841776</v>
      </c>
      <c r="AG43" s="12">
        <f t="shared" si="2"/>
        <v>1.4857825169840515</v>
      </c>
      <c r="AH43" s="12">
        <f t="shared" si="2"/>
        <v>1.6582519067476416</v>
      </c>
      <c r="AI43" s="12">
        <f t="shared" si="2"/>
        <v>1.297110778942633</v>
      </c>
      <c r="AJ43" s="12">
        <f t="shared" si="2"/>
        <v>5.6357875235055435</v>
      </c>
      <c r="AK43" s="12">
        <f t="shared" si="2"/>
        <v>2.9320843444497608</v>
      </c>
      <c r="AL43" s="12">
        <f t="shared" si="2"/>
        <v>2.5749575265717937</v>
      </c>
      <c r="AM43" s="12">
        <f t="shared" si="2"/>
        <v>7.137232137775392</v>
      </c>
      <c r="AN43" s="12">
        <f t="shared" si="2"/>
        <v>6.4061283549146752</v>
      </c>
      <c r="AO43" s="12">
        <f t="shared" si="2"/>
        <v>9.8271279855532949</v>
      </c>
      <c r="AP43" s="12">
        <f t="shared" si="2"/>
        <v>7.5910201405444203E-2</v>
      </c>
      <c r="AQ43" s="12">
        <f t="shared" si="2"/>
        <v>6.4000252580009659E-2</v>
      </c>
      <c r="AR43" s="12">
        <f t="shared" si="2"/>
        <v>2.6016830753574798</v>
      </c>
      <c r="AS43" s="12">
        <f t="shared" si="2"/>
        <v>2.6931026189960448</v>
      </c>
      <c r="AT43" s="12">
        <f t="shared" si="2"/>
        <v>1.4429662552340328</v>
      </c>
      <c r="AU43" s="12">
        <f t="shared" si="2"/>
        <v>1.5054579829984354</v>
      </c>
      <c r="AV43" s="61">
        <f t="shared" ref="AV43:BE43" si="3">STDEV(AV5:AV41)</f>
        <v>0.51220431025567847</v>
      </c>
      <c r="AW43" s="40">
        <f t="shared" si="3"/>
        <v>0.44684184315508257</v>
      </c>
      <c r="AX43" s="40">
        <f t="shared" si="3"/>
        <v>0.19963721333431333</v>
      </c>
      <c r="AY43" s="40">
        <f t="shared" si="3"/>
        <v>8.3207281244093101E-2</v>
      </c>
      <c r="AZ43" s="40">
        <f t="shared" si="3"/>
        <v>5.3591729161932694E-2</v>
      </c>
      <c r="BA43" s="40">
        <f t="shared" si="3"/>
        <v>0.29115788317146457</v>
      </c>
      <c r="BB43" s="40">
        <f t="shared" si="3"/>
        <v>0.25221282232186604</v>
      </c>
      <c r="BC43" s="40">
        <f t="shared" si="3"/>
        <v>0.11426349543710385</v>
      </c>
      <c r="BD43" s="40">
        <f t="shared" si="3"/>
        <v>4.7019852649355591E-2</v>
      </c>
      <c r="BE43" s="85">
        <f t="shared" si="3"/>
        <v>3.0002245815332715E-2</v>
      </c>
    </row>
    <row r="44" spans="1:57" s="18" customFormat="1">
      <c r="A44" s="14" t="s">
        <v>254</v>
      </c>
      <c r="B44" s="12">
        <f>CONFIDENCE(0.05,B43,11)</f>
        <v>347.19361244663656</v>
      </c>
      <c r="C44" s="12">
        <f t="shared" ref="C44:AU44" si="4">CONFIDENCE(0.05,C43,11)</f>
        <v>215.25267874043723</v>
      </c>
      <c r="D44" s="12">
        <f t="shared" si="4"/>
        <v>3.1624257204776218</v>
      </c>
      <c r="E44" s="12">
        <f t="shared" si="4"/>
        <v>9.1443096675786276E-3</v>
      </c>
      <c r="F44" s="12">
        <f t="shared" si="4"/>
        <v>9.3291399916552054E-2</v>
      </c>
      <c r="G44" s="12">
        <f t="shared" si="4"/>
        <v>33.748258013495757</v>
      </c>
      <c r="H44" s="12">
        <f t="shared" si="4"/>
        <v>121.93611371635325</v>
      </c>
      <c r="I44" s="12">
        <f t="shared" si="4"/>
        <v>0.2097926939770503</v>
      </c>
      <c r="J44" s="12">
        <f t="shared" si="4"/>
        <v>2.0979269397704341</v>
      </c>
      <c r="K44" s="12">
        <f t="shared" si="4"/>
        <v>1.7671886635651968</v>
      </c>
      <c r="L44" s="12">
        <f t="shared" si="4"/>
        <v>1.8222297559197156</v>
      </c>
      <c r="M44" s="12">
        <f t="shared" si="4"/>
        <v>6.3248514409552437</v>
      </c>
      <c r="N44" s="12">
        <f t="shared" si="4"/>
        <v>3.9693167585884628</v>
      </c>
      <c r="O44" s="12">
        <f t="shared" si="4"/>
        <v>3.37621716966003</v>
      </c>
      <c r="P44" s="12"/>
      <c r="Q44" s="12">
        <f>CONFIDENCE(0.05,Q43,11)</f>
        <v>8.4405429241503391E-2</v>
      </c>
      <c r="R44" s="12"/>
      <c r="S44" s="12"/>
      <c r="T44" s="12"/>
      <c r="U44" s="12"/>
      <c r="V44" s="12" t="s">
        <v>254</v>
      </c>
      <c r="W44" s="12">
        <f t="shared" si="4"/>
        <v>15.574702849571111</v>
      </c>
      <c r="X44" s="12">
        <f t="shared" si="4"/>
        <v>84.323350246365536</v>
      </c>
      <c r="Y44" s="12">
        <f>CONFIDENCE(0.05,Y43,11)</f>
        <v>4.9910234540140506</v>
      </c>
      <c r="Z44" s="12">
        <f t="shared" si="4"/>
        <v>1.6652381967824883</v>
      </c>
      <c r="AA44" s="12">
        <f>CONFIDENCE(0.05,AA43,11)</f>
        <v>3.9469604525792192</v>
      </c>
      <c r="AB44" s="12">
        <f t="shared" si="4"/>
        <v>4.4681622855334635E-3</v>
      </c>
      <c r="AC44" s="12">
        <f t="shared" si="4"/>
        <v>0.16143408748180479</v>
      </c>
      <c r="AD44" s="12">
        <f t="shared" si="4"/>
        <v>25.588945213974164</v>
      </c>
      <c r="AE44" s="12">
        <f t="shared" si="4"/>
        <v>128.37636813586388</v>
      </c>
      <c r="AF44" s="12">
        <f t="shared" si="4"/>
        <v>8.7802522329823426E-2</v>
      </c>
      <c r="AG44" s="12">
        <f t="shared" si="4"/>
        <v>0.8780252232981598</v>
      </c>
      <c r="AH44" s="12">
        <f t="shared" si="4"/>
        <v>0.97994624654903362</v>
      </c>
      <c r="AI44" s="12">
        <f t="shared" si="4"/>
        <v>0.76652940003316794</v>
      </c>
      <c r="AJ44" s="12">
        <f t="shared" si="4"/>
        <v>3.3304763935649766</v>
      </c>
      <c r="AK44" s="12">
        <f t="shared" si="4"/>
        <v>1.732719278788077</v>
      </c>
      <c r="AL44" s="12">
        <f t="shared" si="4"/>
        <v>1.5216746942485018</v>
      </c>
      <c r="AM44" s="12">
        <f t="shared" si="4"/>
        <v>4.2177571548099637</v>
      </c>
      <c r="AN44" s="12">
        <f t="shared" si="4"/>
        <v>3.7857103681083406</v>
      </c>
      <c r="AO44" s="12">
        <f t="shared" si="4"/>
        <v>5.8073548081651341</v>
      </c>
      <c r="AP44" s="12">
        <f t="shared" si="4"/>
        <v>4.4859237995959582E-2</v>
      </c>
      <c r="AQ44" s="12">
        <f t="shared" si="4"/>
        <v>3.7821037345874754E-2</v>
      </c>
      <c r="AR44" s="12">
        <f t="shared" si="4"/>
        <v>1.537468194085847</v>
      </c>
      <c r="AS44" s="12">
        <f t="shared" si="4"/>
        <v>1.5914926992200185</v>
      </c>
      <c r="AT44" s="12">
        <f t="shared" si="4"/>
        <v>0.85272289448885108</v>
      </c>
      <c r="AU44" s="12">
        <f t="shared" si="4"/>
        <v>0.88965246701875622</v>
      </c>
      <c r="AV44" s="61">
        <f t="shared" ref="AV44:BE44" si="5">CONFIDENCE(0.05,AV43,11)</f>
        <v>0.30268784209374933</v>
      </c>
      <c r="AW44" s="40">
        <f t="shared" si="5"/>
        <v>0.26406180220211461</v>
      </c>
      <c r="AX44" s="40">
        <f t="shared" si="5"/>
        <v>0.11797588598114077</v>
      </c>
      <c r="AY44" s="40">
        <f t="shared" si="5"/>
        <v>4.9171457369599554E-2</v>
      </c>
      <c r="AZ44" s="40">
        <f t="shared" si="5"/>
        <v>3.1670106106683679E-2</v>
      </c>
      <c r="BA44" s="40">
        <f t="shared" si="5"/>
        <v>0.17206015178154688</v>
      </c>
      <c r="BB44" s="40">
        <f t="shared" si="5"/>
        <v>0.14904551447228567</v>
      </c>
      <c r="BC44" s="40">
        <f t="shared" si="5"/>
        <v>6.7524169889709551E-2</v>
      </c>
      <c r="BD44" s="40">
        <f t="shared" si="5"/>
        <v>2.7786446636685093E-2</v>
      </c>
      <c r="BE44" s="85">
        <f t="shared" si="5"/>
        <v>1.7729868456741675E-2</v>
      </c>
    </row>
    <row r="45" spans="1:57" s="18" customFormat="1">
      <c r="A45" s="14" t="s">
        <v>41</v>
      </c>
      <c r="B45" s="12">
        <f>B42+B44</f>
        <v>2044.739066992091</v>
      </c>
      <c r="C45" s="12">
        <f t="shared" ref="C45:AU45" si="6">C42+C44</f>
        <v>4015.4041938919527</v>
      </c>
      <c r="D45" s="12">
        <f t="shared" si="6"/>
        <v>51.944243902295803</v>
      </c>
      <c r="E45" s="12">
        <f t="shared" si="6"/>
        <v>1.0155534005766693</v>
      </c>
      <c r="F45" s="12">
        <f t="shared" si="6"/>
        <v>5.9305641271892791</v>
      </c>
      <c r="G45" s="12">
        <f t="shared" si="6"/>
        <v>965.5664398316776</v>
      </c>
      <c r="H45" s="12">
        <f t="shared" si="6"/>
        <v>1320.554295534535</v>
      </c>
      <c r="I45" s="12">
        <f t="shared" si="6"/>
        <v>4.2715821931823728</v>
      </c>
      <c r="J45" s="12">
        <f t="shared" si="6"/>
        <v>42.715821931823662</v>
      </c>
      <c r="K45" s="12">
        <f t="shared" si="6"/>
        <v>74.706401868463658</v>
      </c>
      <c r="L45" s="12">
        <f t="shared" si="6"/>
        <v>31.473914367508474</v>
      </c>
      <c r="M45" s="12">
        <f t="shared" si="6"/>
        <v>103.88848780459161</v>
      </c>
      <c r="N45" s="12">
        <f t="shared" si="6"/>
        <v>85.681955120588782</v>
      </c>
      <c r="O45" s="12">
        <f t="shared" si="6"/>
        <v>63.005259433210696</v>
      </c>
      <c r="P45" s="12"/>
      <c r="Q45" s="12">
        <f>Q42+Q44</f>
        <v>1.5751314858302694</v>
      </c>
      <c r="R45" s="12"/>
      <c r="S45" s="12"/>
      <c r="T45" s="12"/>
      <c r="U45" s="12"/>
      <c r="V45" s="12" t="s">
        <v>41</v>
      </c>
      <c r="W45" s="12">
        <f t="shared" si="6"/>
        <v>460.99894527381355</v>
      </c>
      <c r="X45" s="12">
        <f t="shared" si="6"/>
        <v>2765.9597138827294</v>
      </c>
      <c r="Y45" s="12"/>
      <c r="Z45" s="12">
        <f t="shared" si="6"/>
        <v>30.447056378600674</v>
      </c>
      <c r="AA45" s="12"/>
      <c r="AB45" s="12">
        <f t="shared" si="6"/>
        <v>0.99926816228553339</v>
      </c>
      <c r="AC45" s="12">
        <f t="shared" si="6"/>
        <v>7.542434087481805</v>
      </c>
      <c r="AD45" s="12">
        <f t="shared" si="6"/>
        <v>3853.0889452139741</v>
      </c>
      <c r="AE45" s="12">
        <f t="shared" si="6"/>
        <v>427.14909540859117</v>
      </c>
      <c r="AF45" s="12">
        <f t="shared" si="6"/>
        <v>2.9505413465710593</v>
      </c>
      <c r="AG45" s="12">
        <f t="shared" si="6"/>
        <v>29.505413465710522</v>
      </c>
      <c r="AH45" s="12">
        <f t="shared" si="6"/>
        <v>66.676547113773225</v>
      </c>
      <c r="AI45" s="12">
        <f t="shared" si="6"/>
        <v>19.585715629091329</v>
      </c>
      <c r="AJ45" s="12">
        <f t="shared" si="6"/>
        <v>60.894112757201349</v>
      </c>
      <c r="AK45" s="12">
        <f t="shared" si="6"/>
        <v>58.71412849928852</v>
      </c>
      <c r="AL45" s="12">
        <f t="shared" si="6"/>
        <v>38.980528613253817</v>
      </c>
      <c r="AM45" s="12">
        <f t="shared" si="6"/>
        <v>28.948986296309837</v>
      </c>
      <c r="AN45" s="12">
        <f t="shared" si="6"/>
        <v>25.955898712653681</v>
      </c>
      <c r="AO45" s="12">
        <f t="shared" si="6"/>
        <v>45.80735480816513</v>
      </c>
      <c r="AP45" s="12">
        <f t="shared" si="6"/>
        <v>0.41105648538318301</v>
      </c>
      <c r="AQ45" s="12">
        <f t="shared" si="6"/>
        <v>0.33644053306946475</v>
      </c>
      <c r="AR45" s="12">
        <f t="shared" si="6"/>
        <v>30.232327792014715</v>
      </c>
      <c r="AS45" s="12">
        <f t="shared" si="6"/>
        <v>31.116736996602771</v>
      </c>
      <c r="AT45" s="12">
        <f t="shared" si="6"/>
        <v>17.196906571487602</v>
      </c>
      <c r="AU45" s="12">
        <f t="shared" si="6"/>
        <v>17.700440129806289</v>
      </c>
      <c r="AV45" s="61">
        <f t="shared" ref="AV45:BE45" si="7">AV42+AV44</f>
        <v>1.7610313772563919</v>
      </c>
      <c r="AW45" s="40">
        <f t="shared" si="7"/>
        <v>1.5648214348178351</v>
      </c>
      <c r="AX45" s="40">
        <f t="shared" si="7"/>
        <v>0.90000842290823635</v>
      </c>
      <c r="AY45" s="40">
        <f t="shared" si="7"/>
        <v>0.55073321070458003</v>
      </c>
      <c r="AZ45" s="40">
        <f t="shared" si="7"/>
        <v>0.39637856375832231</v>
      </c>
      <c r="BA45" s="40">
        <f t="shared" si="7"/>
        <v>1.0025819448146556</v>
      </c>
      <c r="BB45" s="40">
        <f t="shared" si="7"/>
        <v>0.88942817571398458</v>
      </c>
      <c r="BC45" s="40">
        <f t="shared" si="7"/>
        <v>0.51295371912172638</v>
      </c>
      <c r="BD45" s="40">
        <f t="shared" si="7"/>
        <v>0.31335883473153325</v>
      </c>
      <c r="BE45" s="85">
        <f t="shared" si="7"/>
        <v>0.22535219243271634</v>
      </c>
    </row>
    <row r="46" spans="1:57" s="18" customFormat="1">
      <c r="A46" s="18" t="s">
        <v>42</v>
      </c>
      <c r="B46" s="12">
        <f>B42-B44</f>
        <v>1350.351842098818</v>
      </c>
      <c r="C46" s="12">
        <f t="shared" ref="C46:AU46" si="8">C42-C44</f>
        <v>3584.8988364110783</v>
      </c>
      <c r="D46" s="12">
        <f t="shared" si="8"/>
        <v>45.61939246134056</v>
      </c>
      <c r="E46" s="12">
        <f t="shared" si="8"/>
        <v>0.99726478124151197</v>
      </c>
      <c r="F46" s="12">
        <f t="shared" si="8"/>
        <v>5.7439813273561748</v>
      </c>
      <c r="G46" s="12">
        <f t="shared" si="8"/>
        <v>898.06992380468614</v>
      </c>
      <c r="H46" s="12">
        <f t="shared" si="8"/>
        <v>1076.6820681018285</v>
      </c>
      <c r="I46" s="12">
        <f t="shared" si="8"/>
        <v>3.8519968052282723</v>
      </c>
      <c r="J46" s="12">
        <f t="shared" si="8"/>
        <v>38.519968052282799</v>
      </c>
      <c r="K46" s="12">
        <f t="shared" si="8"/>
        <v>71.172024541333272</v>
      </c>
      <c r="L46" s="12">
        <f t="shared" si="8"/>
        <v>27.829454855669045</v>
      </c>
      <c r="M46" s="12">
        <f t="shared" si="8"/>
        <v>91.23878492268112</v>
      </c>
      <c r="N46" s="12">
        <f t="shared" si="8"/>
        <v>77.743321603411857</v>
      </c>
      <c r="O46" s="12">
        <f t="shared" si="8"/>
        <v>56.252825093890635</v>
      </c>
      <c r="P46" s="12"/>
      <c r="Q46" s="12">
        <f>Q42-Q44</f>
        <v>1.4063206273472628</v>
      </c>
      <c r="R46" s="12"/>
      <c r="S46" s="12"/>
      <c r="T46" s="12"/>
      <c r="U46" s="12"/>
      <c r="V46" s="12" t="s">
        <v>42</v>
      </c>
      <c r="W46" s="12">
        <f t="shared" si="8"/>
        <v>429.84953957467133</v>
      </c>
      <c r="X46" s="12">
        <f t="shared" si="8"/>
        <v>2597.3130133899986</v>
      </c>
      <c r="Y46" s="12"/>
      <c r="Z46" s="12">
        <f t="shared" si="8"/>
        <v>27.116579985035695</v>
      </c>
      <c r="AA46" s="12"/>
      <c r="AB46" s="12">
        <f t="shared" si="8"/>
        <v>0.99033183771446642</v>
      </c>
      <c r="AC46" s="12">
        <f t="shared" si="8"/>
        <v>7.2195659125181955</v>
      </c>
      <c r="AD46" s="12">
        <f t="shared" si="8"/>
        <v>3801.9110547860259</v>
      </c>
      <c r="AE46" s="12">
        <f t="shared" si="8"/>
        <v>170.39635913686342</v>
      </c>
      <c r="AF46" s="12">
        <f t="shared" si="8"/>
        <v>2.7749363019114126</v>
      </c>
      <c r="AG46" s="12">
        <f t="shared" si="8"/>
        <v>27.749363019114202</v>
      </c>
      <c r="AH46" s="12">
        <f t="shared" si="8"/>
        <v>64.716654620675158</v>
      </c>
      <c r="AI46" s="12">
        <f t="shared" si="8"/>
        <v>18.052656829024993</v>
      </c>
      <c r="AJ46" s="12">
        <f t="shared" si="8"/>
        <v>54.233159970071391</v>
      </c>
      <c r="AK46" s="12">
        <f t="shared" si="8"/>
        <v>55.248689941712371</v>
      </c>
      <c r="AL46" s="12">
        <f t="shared" si="8"/>
        <v>35.937179224756811</v>
      </c>
      <c r="AM46" s="12">
        <f t="shared" si="8"/>
        <v>20.513471986689911</v>
      </c>
      <c r="AN46" s="12">
        <f t="shared" si="8"/>
        <v>18.384477976437001</v>
      </c>
      <c r="AO46" s="12">
        <f t="shared" si="8"/>
        <v>34.192645191834856</v>
      </c>
      <c r="AP46" s="12">
        <f t="shared" si="8"/>
        <v>0.32133800939126383</v>
      </c>
      <c r="AQ46" s="12">
        <f t="shared" si="8"/>
        <v>0.2607984583777152</v>
      </c>
      <c r="AR46" s="12">
        <f t="shared" si="8"/>
        <v>27.157391403843022</v>
      </c>
      <c r="AS46" s="12">
        <f t="shared" si="8"/>
        <v>27.933751598162733</v>
      </c>
      <c r="AT46" s="12">
        <f t="shared" si="8"/>
        <v>15.491460782509899</v>
      </c>
      <c r="AU46" s="12">
        <f t="shared" si="8"/>
        <v>15.921135195768777</v>
      </c>
      <c r="AV46" s="61">
        <f t="shared" ref="AV46:BE46" si="9">AV42-AV44</f>
        <v>1.1556556930688933</v>
      </c>
      <c r="AW46" s="40">
        <f t="shared" si="9"/>
        <v>1.0366978304136059</v>
      </c>
      <c r="AX46" s="40">
        <f t="shared" si="9"/>
        <v>0.6640566509459549</v>
      </c>
      <c r="AY46" s="40">
        <f t="shared" si="9"/>
        <v>0.45239029596538088</v>
      </c>
      <c r="AZ46" s="40">
        <f t="shared" si="9"/>
        <v>0.33303835154495492</v>
      </c>
      <c r="BA46" s="40">
        <f t="shared" si="9"/>
        <v>0.6584616412515617</v>
      </c>
      <c r="BB46" s="40">
        <f t="shared" si="9"/>
        <v>0.59133714676941329</v>
      </c>
      <c r="BC46" s="40">
        <f t="shared" si="9"/>
        <v>0.37790537934230733</v>
      </c>
      <c r="BD46" s="40">
        <f t="shared" si="9"/>
        <v>0.25778594145816303</v>
      </c>
      <c r="BE46" s="85">
        <f t="shared" si="9"/>
        <v>0.18989245551923298</v>
      </c>
    </row>
    <row r="47" spans="1:57" s="17" customFormat="1">
      <c r="R47" s="18"/>
      <c r="S47" s="18"/>
      <c r="T47" s="18"/>
      <c r="U47" s="18"/>
      <c r="V47" s="47"/>
      <c r="AG47" s="66"/>
      <c r="AI47" s="66"/>
      <c r="AP47" s="11"/>
      <c r="AQ47" s="11"/>
      <c r="AV47" s="47"/>
      <c r="AW47" s="38"/>
      <c r="AX47" s="38"/>
      <c r="AY47" s="38"/>
      <c r="AZ47" s="38"/>
      <c r="BA47" s="38"/>
      <c r="BB47" s="38"/>
      <c r="BC47" s="38"/>
      <c r="BD47" s="38"/>
      <c r="BE47" s="73"/>
    </row>
    <row r="48" spans="1:57" s="17" customFormat="1">
      <c r="A48" s="18"/>
      <c r="B48" s="141" t="s">
        <v>100</v>
      </c>
      <c r="C48" s="141"/>
      <c r="D48" s="141"/>
      <c r="E48" s="18" t="s">
        <v>28</v>
      </c>
      <c r="F48" s="12">
        <v>2.2000000000000002</v>
      </c>
      <c r="G48" s="18" t="s">
        <v>101</v>
      </c>
      <c r="H48" s="18"/>
      <c r="I48" s="18"/>
      <c r="J48" s="18" t="s">
        <v>252</v>
      </c>
      <c r="K48" s="18"/>
      <c r="L48" s="18"/>
      <c r="M48" s="18"/>
      <c r="N48" s="18"/>
      <c r="O48" s="18"/>
      <c r="R48" s="18"/>
      <c r="S48" s="18"/>
      <c r="T48" s="18"/>
      <c r="U48" s="18"/>
      <c r="V48" s="43"/>
      <c r="W48" s="141" t="s">
        <v>3</v>
      </c>
      <c r="X48" s="141"/>
      <c r="Y48" s="141"/>
      <c r="Z48" s="141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2"/>
      <c r="AQ48" s="12"/>
      <c r="AR48" s="18"/>
      <c r="AS48" s="18"/>
      <c r="AT48" s="18"/>
      <c r="AU48" s="18"/>
      <c r="AV48" s="45"/>
      <c r="AW48" s="46"/>
      <c r="AX48" s="46"/>
      <c r="AY48" s="46"/>
      <c r="AZ48" s="46"/>
      <c r="BA48" s="46"/>
      <c r="BB48" s="46"/>
      <c r="BC48" s="46"/>
      <c r="BD48" s="46"/>
      <c r="BE48" s="55"/>
    </row>
    <row r="49" spans="1:57" s="17" customFormat="1">
      <c r="A49" s="18"/>
      <c r="B49" s="141" t="s">
        <v>7</v>
      </c>
      <c r="C49" s="141"/>
      <c r="D49" s="141"/>
      <c r="E49" s="18" t="s">
        <v>29</v>
      </c>
      <c r="F49" s="12">
        <v>22</v>
      </c>
      <c r="G49" s="18" t="s">
        <v>171</v>
      </c>
      <c r="H49" s="18">
        <v>2.2000000000000002</v>
      </c>
      <c r="I49" s="18" t="s">
        <v>110</v>
      </c>
      <c r="J49" s="18">
        <v>18</v>
      </c>
      <c r="K49" s="18" t="s">
        <v>253</v>
      </c>
      <c r="L49" s="18"/>
      <c r="M49" s="18"/>
      <c r="N49" s="18"/>
      <c r="O49" s="18"/>
      <c r="V49" s="43"/>
      <c r="W49" s="141" t="s">
        <v>7</v>
      </c>
      <c r="X49" s="141"/>
      <c r="Y49" s="141"/>
      <c r="Z49" s="141"/>
      <c r="AA49" s="18"/>
      <c r="AB49" s="18"/>
      <c r="AC49" s="18">
        <v>2.2000000000000002</v>
      </c>
      <c r="AD49" s="18" t="s">
        <v>110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2"/>
      <c r="AQ49" s="12"/>
      <c r="AR49" s="18"/>
      <c r="AS49" s="18"/>
      <c r="AT49" s="18"/>
      <c r="AU49" s="18"/>
      <c r="AV49" s="143" t="s">
        <v>102</v>
      </c>
      <c r="AW49" s="144"/>
      <c r="AX49" s="144"/>
      <c r="AY49" s="144"/>
      <c r="AZ49" s="144"/>
      <c r="BA49" s="144" t="s">
        <v>53</v>
      </c>
      <c r="BB49" s="144"/>
      <c r="BC49" s="144"/>
      <c r="BD49" s="144"/>
      <c r="BE49" s="142"/>
    </row>
    <row r="50" spans="1:57" s="17" customFormat="1">
      <c r="A50" s="18" t="s">
        <v>103</v>
      </c>
      <c r="B50" s="18" t="s">
        <v>0</v>
      </c>
      <c r="C50" s="18" t="s">
        <v>2</v>
      </c>
      <c r="D50" s="18" t="s">
        <v>10</v>
      </c>
      <c r="E50" s="18" t="s">
        <v>97</v>
      </c>
      <c r="F50" s="18" t="s">
        <v>13</v>
      </c>
      <c r="G50" s="18" t="s">
        <v>14</v>
      </c>
      <c r="H50" s="18" t="s">
        <v>31</v>
      </c>
      <c r="I50" s="18" t="s">
        <v>12</v>
      </c>
      <c r="J50" s="18" t="s">
        <v>12</v>
      </c>
      <c r="K50" s="18" t="s">
        <v>11</v>
      </c>
      <c r="L50" s="18" t="s">
        <v>11</v>
      </c>
      <c r="M50" s="18" t="s">
        <v>174</v>
      </c>
      <c r="N50" s="18" t="s">
        <v>175</v>
      </c>
      <c r="O50" s="18" t="s">
        <v>176</v>
      </c>
      <c r="P50" s="18"/>
      <c r="Q50" s="18" t="s">
        <v>104</v>
      </c>
      <c r="V50" s="43"/>
      <c r="W50" s="18" t="s">
        <v>0</v>
      </c>
      <c r="X50" s="18" t="s">
        <v>2</v>
      </c>
      <c r="Y50" s="69" t="s">
        <v>231</v>
      </c>
      <c r="Z50" s="18" t="s">
        <v>10</v>
      </c>
      <c r="AA50" s="69" t="s">
        <v>231</v>
      </c>
      <c r="AB50" s="18" t="s">
        <v>97</v>
      </c>
      <c r="AC50" s="18" t="s">
        <v>178</v>
      </c>
      <c r="AD50" s="18" t="s">
        <v>14</v>
      </c>
      <c r="AE50" s="18" t="s">
        <v>31</v>
      </c>
      <c r="AF50" s="18" t="s">
        <v>12</v>
      </c>
      <c r="AG50" s="18" t="s">
        <v>12</v>
      </c>
      <c r="AH50" s="18" t="s">
        <v>11</v>
      </c>
      <c r="AI50" s="18" t="s">
        <v>11</v>
      </c>
      <c r="AJ50" s="18" t="s">
        <v>174</v>
      </c>
      <c r="AK50" s="18" t="s">
        <v>175</v>
      </c>
      <c r="AL50" s="18" t="s">
        <v>176</v>
      </c>
      <c r="AM50" s="18" t="s">
        <v>175</v>
      </c>
      <c r="AN50" s="18" t="s">
        <v>176</v>
      </c>
      <c r="AO50" s="18" t="s">
        <v>174</v>
      </c>
      <c r="AP50" s="18" t="s">
        <v>106</v>
      </c>
      <c r="AQ50" s="18" t="s">
        <v>107</v>
      </c>
      <c r="AR50" s="18" t="s">
        <v>102</v>
      </c>
      <c r="AS50" s="18" t="s">
        <v>102</v>
      </c>
      <c r="AT50" s="18" t="s">
        <v>108</v>
      </c>
      <c r="AU50" s="18" t="s">
        <v>108</v>
      </c>
      <c r="AV50" s="45" t="s">
        <v>54</v>
      </c>
      <c r="AW50" s="46" t="s">
        <v>55</v>
      </c>
      <c r="AX50" s="46" t="s">
        <v>56</v>
      </c>
      <c r="AY50" s="46" t="s">
        <v>54</v>
      </c>
      <c r="AZ50" s="46" t="s">
        <v>55</v>
      </c>
      <c r="BA50" s="46" t="s">
        <v>54</v>
      </c>
      <c r="BB50" s="46" t="s">
        <v>55</v>
      </c>
      <c r="BC50" s="46" t="s">
        <v>56</v>
      </c>
      <c r="BD50" s="46" t="s">
        <v>54</v>
      </c>
      <c r="BE50" s="55" t="s">
        <v>55</v>
      </c>
    </row>
    <row r="51" spans="1:57" s="17" customFormat="1" ht="17.25">
      <c r="A51" s="18"/>
      <c r="B51" s="18" t="s">
        <v>32</v>
      </c>
      <c r="C51" s="18" t="s">
        <v>32</v>
      </c>
      <c r="D51" s="18" t="s">
        <v>33</v>
      </c>
      <c r="E51" s="18" t="s">
        <v>34</v>
      </c>
      <c r="F51" s="18" t="s">
        <v>13</v>
      </c>
      <c r="G51" s="18" t="s">
        <v>35</v>
      </c>
      <c r="H51" s="18" t="s">
        <v>32</v>
      </c>
      <c r="I51" s="18" t="s">
        <v>17</v>
      </c>
      <c r="J51" s="18" t="s">
        <v>30</v>
      </c>
      <c r="K51" s="18" t="s">
        <v>17</v>
      </c>
      <c r="L51" s="18" t="s">
        <v>30</v>
      </c>
      <c r="M51" s="18" t="s">
        <v>109</v>
      </c>
      <c r="N51" s="18" t="s">
        <v>109</v>
      </c>
      <c r="O51" s="18" t="s">
        <v>109</v>
      </c>
      <c r="P51" s="18"/>
      <c r="Q51" s="18"/>
      <c r="V51" s="43"/>
      <c r="W51" s="18" t="s">
        <v>32</v>
      </c>
      <c r="X51" s="18" t="s">
        <v>32</v>
      </c>
      <c r="Y51" s="18"/>
      <c r="Z51" s="18" t="s">
        <v>33</v>
      </c>
      <c r="AA51" s="18"/>
      <c r="AB51" s="18" t="s">
        <v>34</v>
      </c>
      <c r="AC51" s="18" t="s">
        <v>13</v>
      </c>
      <c r="AD51" s="18" t="s">
        <v>35</v>
      </c>
      <c r="AE51" s="18" t="s">
        <v>32</v>
      </c>
      <c r="AF51" s="18" t="s">
        <v>17</v>
      </c>
      <c r="AG51" s="18" t="s">
        <v>30</v>
      </c>
      <c r="AH51" s="18" t="s">
        <v>17</v>
      </c>
      <c r="AI51" s="18" t="s">
        <v>30</v>
      </c>
      <c r="AJ51" s="18" t="s">
        <v>109</v>
      </c>
      <c r="AK51" s="18" t="s">
        <v>109</v>
      </c>
      <c r="AL51" s="18" t="s">
        <v>109</v>
      </c>
      <c r="AM51" s="18" t="s">
        <v>109</v>
      </c>
      <c r="AN51" s="18" t="s">
        <v>109</v>
      </c>
      <c r="AO51" s="18" t="s">
        <v>109</v>
      </c>
      <c r="AP51" s="18" t="s">
        <v>25</v>
      </c>
      <c r="AQ51" s="18" t="s">
        <v>25</v>
      </c>
      <c r="AR51" s="18" t="s">
        <v>110</v>
      </c>
      <c r="AS51" s="18" t="s">
        <v>110</v>
      </c>
      <c r="AT51" s="18" t="s">
        <v>110</v>
      </c>
      <c r="AU51" s="18" t="s">
        <v>110</v>
      </c>
      <c r="AV51" s="45"/>
      <c r="AW51" s="46"/>
      <c r="AX51" s="46"/>
      <c r="AY51" s="46"/>
      <c r="AZ51" s="46"/>
      <c r="BA51" s="46"/>
      <c r="BB51" s="46"/>
      <c r="BC51" s="46"/>
      <c r="BD51" s="46"/>
      <c r="BE51" s="55"/>
    </row>
    <row r="52" spans="1:57" s="17" customFormat="1">
      <c r="A52" s="18" t="s">
        <v>232</v>
      </c>
      <c r="B52" s="12"/>
      <c r="C52" s="12"/>
      <c r="D52" s="12"/>
      <c r="E52" s="13"/>
      <c r="F52" s="12"/>
      <c r="G52" s="12"/>
      <c r="H52" s="44"/>
      <c r="I52" s="40"/>
      <c r="J52" s="40"/>
      <c r="K52" s="40"/>
      <c r="L52" s="12"/>
      <c r="M52" s="12"/>
      <c r="N52" s="12"/>
      <c r="O52" s="12"/>
      <c r="V52" s="43" t="s">
        <v>250</v>
      </c>
      <c r="W52" s="12"/>
      <c r="X52" s="12"/>
      <c r="Y52" s="12"/>
      <c r="Z52" s="12"/>
      <c r="AA52" s="12"/>
      <c r="AB52" s="13"/>
      <c r="AC52" s="12"/>
      <c r="AD52" s="12"/>
      <c r="AE52" s="18"/>
      <c r="AF52" s="12"/>
      <c r="AG52" s="18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67"/>
      <c r="AS52" s="18"/>
      <c r="AT52" s="67"/>
      <c r="AU52" s="18"/>
      <c r="AV52" s="45"/>
      <c r="AW52" s="46"/>
      <c r="AX52" s="46"/>
      <c r="AY52" s="46"/>
      <c r="AZ52" s="46"/>
      <c r="BA52" s="46"/>
      <c r="BB52" s="46"/>
      <c r="BC52" s="46"/>
      <c r="BD52" s="46"/>
      <c r="BE52" s="55"/>
    </row>
    <row r="53" spans="1:57" s="17" customFormat="1">
      <c r="A53" s="18" t="s">
        <v>233</v>
      </c>
      <c r="B53" s="12">
        <f>'[1]moje analizy'!J21</f>
        <v>1641</v>
      </c>
      <c r="C53" s="12">
        <f>'[1]moje analizy'!K21</f>
        <v>3391.6666666666665</v>
      </c>
      <c r="D53" s="12">
        <f>'[1]moje analizy'!L21</f>
        <v>63.766666666666673</v>
      </c>
      <c r="E53" s="13">
        <v>0.97599999999999998</v>
      </c>
      <c r="F53" s="12">
        <v>5.49</v>
      </c>
      <c r="G53" s="12">
        <v>850</v>
      </c>
      <c r="H53" s="44">
        <v>1071</v>
      </c>
      <c r="I53" s="40">
        <v>3.6915796520657156</v>
      </c>
      <c r="J53" s="40">
        <v>36.915796520657153</v>
      </c>
      <c r="K53" s="40">
        <v>75.181799964893003</v>
      </c>
      <c r="L53" s="12">
        <f>K53*J53/100</f>
        <v>27.753960295607396</v>
      </c>
      <c r="M53" s="12">
        <f>D53*$H$49</f>
        <v>140.28666666666669</v>
      </c>
      <c r="N53" s="12">
        <f>J53*E53*$H$49</f>
        <v>79.265598289155037</v>
      </c>
      <c r="O53" s="12">
        <f>L53*E53*$H$49</f>
        <v>59.593303546728201</v>
      </c>
      <c r="Q53" s="11">
        <f>O53/40</f>
        <v>1.4898325886682051</v>
      </c>
      <c r="V53" s="43" t="s">
        <v>251</v>
      </c>
      <c r="W53" s="12">
        <f>'[1]moje analizy'!J80</f>
        <v>631</v>
      </c>
      <c r="X53" s="12">
        <f>'[1]moje analizy'!K80</f>
        <v>3837.6666666666665</v>
      </c>
      <c r="Y53" s="12">
        <f>((C53-X53)/C53)*100</f>
        <v>-13.149877149877151</v>
      </c>
      <c r="Z53" s="12">
        <f>'[1]moje analizy'!L80</f>
        <v>30.066666666666666</v>
      </c>
      <c r="AA53" s="12">
        <f>((D53-Z53)/D53)*100</f>
        <v>52.848928384736013</v>
      </c>
      <c r="AB53" s="13">
        <v>0.99790000000000001</v>
      </c>
      <c r="AC53" s="12">
        <v>7.7</v>
      </c>
      <c r="AD53" s="12">
        <v>3575</v>
      </c>
      <c r="AE53" s="12">
        <v>469.6</v>
      </c>
      <c r="AF53" s="12">
        <v>3.1513281651193998</v>
      </c>
      <c r="AG53" s="12">
        <v>31.513281651193982</v>
      </c>
      <c r="AH53" s="12">
        <v>60.780630622783825</v>
      </c>
      <c r="AI53" s="12">
        <f>AH53*AG53/100</f>
        <v>19.153971317529724</v>
      </c>
      <c r="AJ53" s="12">
        <f>Z53*$AC$49</f>
        <v>66.146666666666675</v>
      </c>
      <c r="AK53" s="12">
        <f>AG53*AB53*$AC$49</f>
        <v>69.183628271398248</v>
      </c>
      <c r="AL53" s="12">
        <f>AI53*AB53*$AC$49</f>
        <v>42.050245551078412</v>
      </c>
      <c r="AM53" s="12">
        <f>N53-AK53</f>
        <v>10.081970017756788</v>
      </c>
      <c r="AN53" s="12">
        <f>O53-AL53</f>
        <v>17.543057995649789</v>
      </c>
      <c r="AO53" s="12">
        <f>M53-AJ53</f>
        <v>74.140000000000015</v>
      </c>
      <c r="AP53" s="12">
        <f>AN53/O53</f>
        <v>0.29437968616547588</v>
      </c>
      <c r="AQ53" s="12">
        <f>AM53/N53</f>
        <v>0.12719225282295238</v>
      </c>
      <c r="AR53" s="67">
        <v>38.130323261491711</v>
      </c>
      <c r="AS53" s="13">
        <f>AR53</f>
        <v>38.130323261491711</v>
      </c>
      <c r="AT53" s="67">
        <v>20.882834140621163</v>
      </c>
      <c r="AU53" s="13">
        <f>AT53</f>
        <v>20.882834140621163</v>
      </c>
      <c r="AV53" s="45">
        <f>AS53/AN53</f>
        <v>2.173527743620697</v>
      </c>
      <c r="AW53" s="46">
        <f>AS53/AM53</f>
        <v>3.7820310112344102</v>
      </c>
      <c r="AX53" s="46">
        <f>AS53/AO53</f>
        <v>0.51430163557447672</v>
      </c>
      <c r="AY53" s="46">
        <f>AS53/O53</f>
        <v>0.63984241503901573</v>
      </c>
      <c r="AZ53" s="46">
        <f>AS53/N53</f>
        <v>0.48104504456517333</v>
      </c>
      <c r="BA53" s="46">
        <f>AU53/AN53</f>
        <v>1.190375939348747</v>
      </c>
      <c r="BB53" s="46">
        <f>AU53/AM53</f>
        <v>2.0713049239227495</v>
      </c>
      <c r="BC53" s="46">
        <f>AU53/AO53</f>
        <v>0.28166757675507365</v>
      </c>
      <c r="BD53" s="46">
        <f>AU53/O53</f>
        <v>0.35042249544441767</v>
      </c>
      <c r="BE53" s="55">
        <f>AU53/N53</f>
        <v>0.26345393955700847</v>
      </c>
    </row>
    <row r="54" spans="1:57" s="17" customFormat="1">
      <c r="A54" s="18" t="s">
        <v>234</v>
      </c>
      <c r="B54" s="12"/>
      <c r="C54" s="12"/>
      <c r="D54" s="12"/>
      <c r="E54" s="13"/>
      <c r="F54" s="12"/>
      <c r="G54" s="12"/>
      <c r="H54" s="44"/>
      <c r="I54" s="40"/>
      <c r="J54" s="40"/>
      <c r="K54" s="40"/>
      <c r="L54" s="12"/>
      <c r="M54" s="12"/>
      <c r="N54" s="12"/>
      <c r="O54" s="12"/>
      <c r="V54" s="43" t="s">
        <v>193</v>
      </c>
      <c r="W54" s="12"/>
      <c r="X54" s="12"/>
      <c r="Y54" s="12"/>
      <c r="Z54" s="12"/>
      <c r="AA54" s="12"/>
      <c r="AB54" s="13"/>
      <c r="AC54" s="12"/>
      <c r="AD54" s="12"/>
      <c r="AE54" s="18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67">
        <v>36.243661157101847</v>
      </c>
      <c r="AS54" s="13"/>
      <c r="AT54" s="67">
        <v>19.799187216901597</v>
      </c>
      <c r="AU54" s="13"/>
      <c r="AV54" s="45"/>
      <c r="AW54" s="46"/>
      <c r="AX54" s="46"/>
      <c r="AY54" s="46"/>
      <c r="AZ54" s="46"/>
      <c r="BA54" s="46"/>
      <c r="BB54" s="46"/>
      <c r="BC54" s="46"/>
      <c r="BD54" s="46"/>
      <c r="BE54" s="55"/>
    </row>
    <row r="55" spans="1:57" s="17" customFormat="1">
      <c r="A55" s="18" t="s">
        <v>235</v>
      </c>
      <c r="B55" s="12"/>
      <c r="C55" s="12"/>
      <c r="D55" s="12"/>
      <c r="E55" s="13"/>
      <c r="F55" s="12"/>
      <c r="G55" s="12"/>
      <c r="H55" s="44"/>
      <c r="I55" s="40"/>
      <c r="J55" s="40"/>
      <c r="K55" s="40"/>
      <c r="L55" s="12"/>
      <c r="M55" s="12"/>
      <c r="N55" s="12"/>
      <c r="O55" s="12"/>
      <c r="V55" s="43" t="s">
        <v>194</v>
      </c>
      <c r="W55" s="12"/>
      <c r="X55" s="12"/>
      <c r="Y55" s="12"/>
      <c r="Z55" s="12"/>
      <c r="AA55" s="12"/>
      <c r="AB55" s="13"/>
      <c r="AC55" s="12"/>
      <c r="AD55" s="12"/>
      <c r="AE55" s="18"/>
      <c r="AF55" s="18"/>
      <c r="AG55" s="18"/>
      <c r="AH55" s="18"/>
      <c r="AI55" s="12"/>
      <c r="AJ55" s="12"/>
      <c r="AK55" s="12"/>
      <c r="AL55" s="12"/>
      <c r="AM55" s="12"/>
      <c r="AN55" s="12"/>
      <c r="AO55" s="12"/>
      <c r="AP55" s="12"/>
      <c r="AQ55" s="12"/>
      <c r="AR55" s="67">
        <v>37.461388548562319</v>
      </c>
      <c r="AS55" s="13"/>
      <c r="AT55" s="67">
        <v>20.302948751664321</v>
      </c>
      <c r="AU55" s="13"/>
      <c r="AV55" s="45"/>
      <c r="AW55" s="46"/>
      <c r="AX55" s="46"/>
      <c r="AY55" s="46"/>
      <c r="AZ55" s="46"/>
      <c r="BA55" s="46"/>
      <c r="BB55" s="46"/>
      <c r="BC55" s="46"/>
      <c r="BD55" s="46"/>
      <c r="BE55" s="55"/>
    </row>
    <row r="56" spans="1:57" s="17" customFormat="1">
      <c r="A56" s="18" t="s">
        <v>236</v>
      </c>
      <c r="B56" s="12">
        <v>1641</v>
      </c>
      <c r="C56" s="12">
        <v>3391.6666666666665</v>
      </c>
      <c r="D56" s="12">
        <v>63.766666666666673</v>
      </c>
      <c r="E56" s="13">
        <v>0.97599999999999998</v>
      </c>
      <c r="F56" s="12">
        <v>5.49</v>
      </c>
      <c r="G56" s="12">
        <v>850</v>
      </c>
      <c r="H56" s="44">
        <v>1071</v>
      </c>
      <c r="I56" s="40">
        <v>3.6915796520657156</v>
      </c>
      <c r="J56" s="40">
        <v>36.915796520657153</v>
      </c>
      <c r="K56" s="40">
        <v>75.181799964893003</v>
      </c>
      <c r="L56" s="12">
        <f>K56*J56/100</f>
        <v>27.753960295607396</v>
      </c>
      <c r="M56" s="12">
        <f>D56*$H$49</f>
        <v>140.28666666666669</v>
      </c>
      <c r="N56" s="12">
        <f>J56*E56*$H$49</f>
        <v>79.265598289155037</v>
      </c>
      <c r="O56" s="12">
        <f>L56*E56*$H$49</f>
        <v>59.593303546728201</v>
      </c>
      <c r="Q56" s="11">
        <f>O56/40</f>
        <v>1.4898325886682051</v>
      </c>
      <c r="V56" s="43" t="s">
        <v>195</v>
      </c>
      <c r="W56" s="12">
        <f>'[1]moje analizy'!J85</f>
        <v>585.66666666666663</v>
      </c>
      <c r="X56" s="12">
        <f>'[1]moje analizy'!K85</f>
        <v>3749.6666666666665</v>
      </c>
      <c r="Y56" s="12">
        <f>((C56-X56)/C56)*100</f>
        <v>-10.555282555282556</v>
      </c>
      <c r="Z56" s="12">
        <f>'[1]moje analizy'!L85</f>
        <v>28.433333333333334</v>
      </c>
      <c r="AA56" s="12">
        <f>((D56-Z56)/D56)*100</f>
        <v>55.410350235232627</v>
      </c>
      <c r="AB56" s="13">
        <v>0.99250000000000005</v>
      </c>
      <c r="AC56" s="12">
        <v>7.6</v>
      </c>
      <c r="AD56" s="12">
        <v>3550</v>
      </c>
      <c r="AE56" s="12">
        <v>333.5</v>
      </c>
      <c r="AF56" s="12">
        <v>3.2032372509526739</v>
      </c>
      <c r="AG56" s="18">
        <v>32.032372509526731</v>
      </c>
      <c r="AH56" s="12">
        <v>70.917270695886813</v>
      </c>
      <c r="AI56" s="12">
        <f>AH56*AG56/100</f>
        <v>22.716484322895905</v>
      </c>
      <c r="AJ56" s="12">
        <f>Z56*$AC$49</f>
        <v>62.553333333333342</v>
      </c>
      <c r="AK56" s="12">
        <f>AG56*AB56*$AC$49</f>
        <v>69.94268537455163</v>
      </c>
      <c r="AL56" s="12">
        <f>AI56*AB56*$AC$49</f>
        <v>49.601443519043215</v>
      </c>
      <c r="AM56" s="12">
        <f>N56-AK56</f>
        <v>9.3229129146034069</v>
      </c>
      <c r="AN56" s="12">
        <f>O56-AL56</f>
        <v>9.9918600276849858</v>
      </c>
      <c r="AO56" s="12">
        <f>M56-AJ56</f>
        <v>77.733333333333348</v>
      </c>
      <c r="AP56" s="12">
        <f>AN56/O56</f>
        <v>0.1676674967322492</v>
      </c>
      <c r="AQ56" s="12">
        <f>AM56/N56</f>
        <v>0.11761613002142633</v>
      </c>
      <c r="AR56" s="67">
        <v>38.15989139188801</v>
      </c>
      <c r="AS56" s="13">
        <f>AR56</f>
        <v>38.15989139188801</v>
      </c>
      <c r="AT56" s="67">
        <v>20.695635497476545</v>
      </c>
      <c r="AU56" s="13">
        <f>AT56</f>
        <v>20.695635497476545</v>
      </c>
      <c r="AV56" s="45">
        <f>AS56/AN56</f>
        <v>3.8190978742853021</v>
      </c>
      <c r="AW56" s="46">
        <f>AS56/AM56</f>
        <v>4.0931296625236486</v>
      </c>
      <c r="AX56" s="46">
        <f>AS56/AO56</f>
        <v>0.49090769372068616</v>
      </c>
      <c r="AY56" s="46">
        <f>AS56/O56</f>
        <v>0.64033858035687086</v>
      </c>
      <c r="AZ56" s="46">
        <f>AS56/N56</f>
        <v>0.48141807058193836</v>
      </c>
      <c r="BA56" s="46">
        <f>AU56/AN56</f>
        <v>2.071249541139891</v>
      </c>
      <c r="BB56" s="46">
        <f>AU56/AM56</f>
        <v>2.2198679411730757</v>
      </c>
      <c r="BC56" s="46">
        <f>AU56/AO56</f>
        <v>0.26623887861247691</v>
      </c>
      <c r="BD56" s="46">
        <f>AU56/O56</f>
        <v>0.34728122567074532</v>
      </c>
      <c r="BE56" s="55">
        <f>AU56/N56</f>
        <v>0.26109227639940846</v>
      </c>
    </row>
    <row r="57" spans="1:57" s="17" customFormat="1">
      <c r="A57" s="18" t="s">
        <v>237</v>
      </c>
      <c r="B57" s="12"/>
      <c r="C57" s="12"/>
      <c r="D57" s="12"/>
      <c r="E57" s="13"/>
      <c r="F57" s="12"/>
      <c r="G57" s="12"/>
      <c r="H57" s="44"/>
      <c r="I57" s="40"/>
      <c r="J57" s="40"/>
      <c r="K57" s="40"/>
      <c r="L57" s="12"/>
      <c r="M57" s="12"/>
      <c r="N57" s="12"/>
      <c r="O57" s="12"/>
      <c r="V57" s="70" t="s">
        <v>196</v>
      </c>
      <c r="W57" s="12"/>
      <c r="X57" s="12"/>
      <c r="Y57" s="12"/>
      <c r="Z57" s="12"/>
      <c r="AA57" s="12"/>
      <c r="AB57" s="13"/>
      <c r="AC57" s="12"/>
      <c r="AD57" s="12"/>
      <c r="AE57" s="18"/>
      <c r="AF57" s="18"/>
      <c r="AG57" s="18"/>
      <c r="AH57" s="18"/>
      <c r="AI57" s="12"/>
      <c r="AJ57" s="12"/>
      <c r="AK57" s="12"/>
      <c r="AL57" s="12"/>
      <c r="AM57" s="12"/>
      <c r="AN57" s="12"/>
      <c r="AO57" s="12"/>
      <c r="AP57" s="12"/>
      <c r="AQ57" s="12"/>
      <c r="AR57" s="67"/>
      <c r="AS57" s="13"/>
      <c r="AT57" s="67"/>
      <c r="AU57" s="13"/>
      <c r="AV57" s="45"/>
      <c r="AW57" s="46"/>
      <c r="AX57" s="46"/>
      <c r="AY57" s="46"/>
      <c r="AZ57" s="46"/>
      <c r="BA57" s="46"/>
      <c r="BB57" s="46"/>
      <c r="BC57" s="46"/>
      <c r="BD57" s="46"/>
      <c r="BE57" s="55"/>
    </row>
    <row r="58" spans="1:57" s="17" customFormat="1">
      <c r="A58" s="18" t="s">
        <v>238</v>
      </c>
      <c r="B58" s="12"/>
      <c r="C58" s="12"/>
      <c r="D58" s="12"/>
      <c r="E58" s="13"/>
      <c r="F58" s="12"/>
      <c r="G58" s="12"/>
      <c r="H58" s="44"/>
      <c r="I58" s="40"/>
      <c r="J58" s="40"/>
      <c r="K58" s="40"/>
      <c r="L58" s="12"/>
      <c r="M58" s="12"/>
      <c r="N58" s="12"/>
      <c r="O58" s="12"/>
      <c r="V58" s="43" t="s">
        <v>197</v>
      </c>
      <c r="W58" s="12"/>
      <c r="X58" s="12"/>
      <c r="Y58" s="12"/>
      <c r="Z58" s="12"/>
      <c r="AA58" s="12"/>
      <c r="AB58" s="13"/>
      <c r="AC58" s="12"/>
      <c r="AD58" s="12"/>
      <c r="AE58" s="18"/>
      <c r="AF58" s="12"/>
      <c r="AG58" s="18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67"/>
      <c r="AS58" s="13"/>
      <c r="AT58" s="67"/>
      <c r="AU58" s="13"/>
      <c r="AV58" s="45"/>
      <c r="AW58" s="46"/>
      <c r="AX58" s="46"/>
      <c r="AY58" s="46"/>
      <c r="AZ58" s="46"/>
      <c r="BA58" s="46"/>
      <c r="BB58" s="46"/>
      <c r="BC58" s="46"/>
      <c r="BD58" s="46"/>
      <c r="BE58" s="55"/>
    </row>
    <row r="59" spans="1:57" s="17" customFormat="1">
      <c r="A59" s="18" t="s">
        <v>239</v>
      </c>
      <c r="B59" s="12"/>
      <c r="C59" s="12"/>
      <c r="D59" s="12"/>
      <c r="E59" s="13"/>
      <c r="F59" s="12"/>
      <c r="G59" s="12"/>
      <c r="H59" s="44"/>
      <c r="I59" s="40"/>
      <c r="J59" s="40"/>
      <c r="K59" s="40"/>
      <c r="L59" s="12"/>
      <c r="M59" s="12"/>
      <c r="N59" s="12"/>
      <c r="O59" s="12"/>
      <c r="V59" s="43" t="s">
        <v>198</v>
      </c>
      <c r="W59" s="12"/>
      <c r="X59" s="12"/>
      <c r="Y59" s="12"/>
      <c r="Z59" s="12"/>
      <c r="AA59" s="12"/>
      <c r="AB59" s="13"/>
      <c r="AC59" s="12"/>
      <c r="AD59" s="12"/>
      <c r="AE59" s="18"/>
      <c r="AF59" s="12"/>
      <c r="AG59" s="18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67"/>
      <c r="AS59" s="18"/>
      <c r="AT59" s="67"/>
      <c r="AU59" s="18"/>
      <c r="AV59" s="45"/>
      <c r="AW59" s="46"/>
      <c r="AX59" s="46"/>
      <c r="AY59" s="46"/>
      <c r="AZ59" s="46"/>
      <c r="BA59" s="46"/>
      <c r="BB59" s="46"/>
      <c r="BC59" s="46"/>
      <c r="BD59" s="46"/>
      <c r="BE59" s="55"/>
    </row>
    <row r="60" spans="1:57" s="17" customFormat="1">
      <c r="A60" s="18" t="s">
        <v>240</v>
      </c>
      <c r="B60" s="12">
        <f>'[1]moje analizy'!J26</f>
        <v>1649</v>
      </c>
      <c r="C60" s="12">
        <f>'[1]moje analizy'!K26</f>
        <v>3474.3333333333335</v>
      </c>
      <c r="D60" s="12">
        <f>'[1]moje analizy'!L26</f>
        <v>52.633333333333333</v>
      </c>
      <c r="E60" s="13">
        <v>1.0085</v>
      </c>
      <c r="F60" s="12">
        <v>5.69</v>
      </c>
      <c r="G60" s="12">
        <v>800</v>
      </c>
      <c r="H60" s="44">
        <v>1133</v>
      </c>
      <c r="I60" s="40">
        <v>4.7379641027464903</v>
      </c>
      <c r="J60" s="40">
        <v>47.379641027464857</v>
      </c>
      <c r="K60" s="40">
        <v>77.324607063864519</v>
      </c>
      <c r="L60" s="12">
        <f>K60*J60/100</f>
        <v>36.636121252756745</v>
      </c>
      <c r="M60" s="12">
        <f>D60*$H$49</f>
        <v>115.79333333333334</v>
      </c>
      <c r="N60" s="12">
        <f>J60*E60*$H$49</f>
        <v>105.12120954763628</v>
      </c>
      <c r="O60" s="12">
        <f>L60*E60*$H$49</f>
        <v>81.284562223491392</v>
      </c>
      <c r="Q60" s="11">
        <f>O60/40</f>
        <v>2.032114055587285</v>
      </c>
      <c r="V60" s="43" t="s">
        <v>199</v>
      </c>
      <c r="W60" s="12">
        <f>'[1]moje analizy'!J90</f>
        <v>609.66666666666663</v>
      </c>
      <c r="X60" s="12">
        <f>'[1]moje analizy'!K90</f>
        <v>3954.3333333333335</v>
      </c>
      <c r="Y60" s="12">
        <f>((C60-X60)/C60)*100</f>
        <v>-13.81560011513</v>
      </c>
      <c r="Z60" s="12">
        <f>'[1]moje analizy'!L90</f>
        <v>37.6</v>
      </c>
      <c r="AA60" s="12">
        <f>((D60-Z60)/D60)*100</f>
        <v>28.562381253958197</v>
      </c>
      <c r="AB60" s="13">
        <v>0.98499999999999999</v>
      </c>
      <c r="AC60" s="12">
        <v>7.42</v>
      </c>
      <c r="AD60" s="12">
        <v>3600</v>
      </c>
      <c r="AE60" s="12">
        <v>1324</v>
      </c>
      <c r="AF60" s="12">
        <v>3.3129881986866629</v>
      </c>
      <c r="AG60" s="18">
        <v>33.129881986866629</v>
      </c>
      <c r="AH60" s="12">
        <v>71.815342935730399</v>
      </c>
      <c r="AI60" s="12">
        <f>AH60*AG60/100</f>
        <v>23.792338363071039</v>
      </c>
      <c r="AJ60" s="12">
        <f>Z60*$AC$49</f>
        <v>82.720000000000013</v>
      </c>
      <c r="AK60" s="12">
        <f>AG60*AB60*$AC$49</f>
        <v>71.792454265539988</v>
      </c>
      <c r="AL60" s="12">
        <f>AI60*AB60*$AC$49</f>
        <v>51.557997232774945</v>
      </c>
      <c r="AM60" s="12">
        <f>N60-AK60</f>
        <v>33.328755282096296</v>
      </c>
      <c r="AN60" s="12">
        <f>O60-AL60</f>
        <v>29.726564990716447</v>
      </c>
      <c r="AO60" s="12">
        <f>M60-AJ60</f>
        <v>33.073333333333323</v>
      </c>
      <c r="AP60" s="12">
        <f>AN60/O60</f>
        <v>0.36570984917140165</v>
      </c>
      <c r="AQ60" s="12">
        <f>AM60/N60</f>
        <v>0.31705072102498189</v>
      </c>
      <c r="AR60" s="67">
        <v>38.39996682180967</v>
      </c>
      <c r="AS60" s="13">
        <f>AR60</f>
        <v>38.39996682180967</v>
      </c>
      <c r="AT60" s="67">
        <v>20.911085932484674</v>
      </c>
      <c r="AU60" s="13">
        <f>AT60</f>
        <v>20.911085932484674</v>
      </c>
      <c r="AV60" s="45">
        <f>AS60/AN60</f>
        <v>1.2917727572560742</v>
      </c>
      <c r="AW60" s="46">
        <f>AS60/AM60</f>
        <v>1.1521572437011338</v>
      </c>
      <c r="AX60" s="46">
        <f>AS60/AO60</f>
        <v>1.1610552354911212</v>
      </c>
      <c r="AY60" s="46">
        <f>AS60/O60</f>
        <v>0.47241402021984447</v>
      </c>
      <c r="AZ60" s="46">
        <f>AS60/N60</f>
        <v>0.36529228484960025</v>
      </c>
      <c r="BA60" s="46">
        <f>AU60/AN60</f>
        <v>0.70344777269136771</v>
      </c>
      <c r="BB60" s="46">
        <f>AU60/AM60</f>
        <v>0.62741874862988944</v>
      </c>
      <c r="BC60" s="46">
        <f>AU60/AO60</f>
        <v>0.63226423903904494</v>
      </c>
      <c r="BD60" s="46">
        <f>AU60/O60</f>
        <v>0.25725777885091849</v>
      </c>
      <c r="BE60" s="55">
        <f>AU60/N60</f>
        <v>0.19892356663769831</v>
      </c>
    </row>
    <row r="61" spans="1:57" s="17" customFormat="1">
      <c r="A61" s="18" t="s">
        <v>241</v>
      </c>
      <c r="B61" s="12"/>
      <c r="C61" s="12"/>
      <c r="D61" s="12"/>
      <c r="E61" s="13"/>
      <c r="F61" s="12"/>
      <c r="G61" s="12"/>
      <c r="H61" s="44"/>
      <c r="I61" s="40"/>
      <c r="J61" s="40"/>
      <c r="K61" s="40"/>
      <c r="L61" s="12"/>
      <c r="M61" s="12"/>
      <c r="N61" s="12"/>
      <c r="O61" s="12"/>
      <c r="V61" s="43" t="s">
        <v>200</v>
      </c>
      <c r="W61" s="12"/>
      <c r="X61" s="12"/>
      <c r="Y61" s="12"/>
      <c r="Z61" s="12"/>
      <c r="AA61" s="12"/>
      <c r="AB61" s="13"/>
      <c r="AC61" s="12"/>
      <c r="AD61" s="12"/>
      <c r="AE61" s="18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67">
        <v>37.2553064808925</v>
      </c>
      <c r="AS61" s="13"/>
      <c r="AT61" s="67">
        <v>20.255337580596443</v>
      </c>
      <c r="AU61" s="13"/>
      <c r="AV61" s="45"/>
      <c r="AW61" s="46"/>
      <c r="AX61" s="46"/>
      <c r="AY61" s="46"/>
      <c r="AZ61" s="46"/>
      <c r="BA61" s="46"/>
      <c r="BB61" s="46"/>
      <c r="BC61" s="46"/>
      <c r="BD61" s="46"/>
      <c r="BE61" s="55"/>
    </row>
    <row r="62" spans="1:57" s="17" customFormat="1">
      <c r="A62" s="18" t="s">
        <v>242</v>
      </c>
      <c r="B62" s="12"/>
      <c r="C62" s="12"/>
      <c r="D62" s="12"/>
      <c r="E62" s="13"/>
      <c r="F62" s="12"/>
      <c r="G62" s="12"/>
      <c r="H62" s="44"/>
      <c r="I62" s="40"/>
      <c r="J62" s="40"/>
      <c r="K62" s="40"/>
      <c r="L62" s="12"/>
      <c r="M62" s="12"/>
      <c r="N62" s="12"/>
      <c r="O62" s="12"/>
      <c r="V62" s="43" t="s">
        <v>201</v>
      </c>
      <c r="W62" s="12"/>
      <c r="X62" s="12"/>
      <c r="Y62" s="12"/>
      <c r="Z62" s="12"/>
      <c r="AA62" s="12"/>
      <c r="AB62" s="13"/>
      <c r="AC62" s="12"/>
      <c r="AD62" s="12"/>
      <c r="AE62" s="18"/>
      <c r="AF62" s="18"/>
      <c r="AG62" s="18"/>
      <c r="AH62" s="18"/>
      <c r="AI62" s="12"/>
      <c r="AJ62" s="12"/>
      <c r="AK62" s="12"/>
      <c r="AL62" s="12"/>
      <c r="AM62" s="12"/>
      <c r="AN62" s="12"/>
      <c r="AO62" s="12"/>
      <c r="AP62" s="12"/>
      <c r="AQ62" s="12"/>
      <c r="AR62" s="67">
        <v>38.60278201357383</v>
      </c>
      <c r="AS62" s="13"/>
      <c r="AT62" s="67">
        <v>20.925410046097969</v>
      </c>
      <c r="AU62" s="13"/>
      <c r="AV62" s="45"/>
      <c r="AW62" s="46"/>
      <c r="AX62" s="46"/>
      <c r="AY62" s="46"/>
      <c r="AZ62" s="46"/>
      <c r="BA62" s="46"/>
      <c r="BB62" s="46"/>
      <c r="BC62" s="46"/>
      <c r="BD62" s="46"/>
      <c r="BE62" s="55"/>
    </row>
    <row r="63" spans="1:57" s="17" customFormat="1">
      <c r="A63" s="18" t="s">
        <v>243</v>
      </c>
      <c r="B63" s="12">
        <v>1649</v>
      </c>
      <c r="C63" s="12">
        <v>3474.3333333333335</v>
      </c>
      <c r="D63" s="12">
        <v>52.633333333333333</v>
      </c>
      <c r="E63" s="13">
        <v>1.0085</v>
      </c>
      <c r="F63" s="12">
        <v>5.69</v>
      </c>
      <c r="G63" s="12">
        <v>800</v>
      </c>
      <c r="H63" s="44">
        <v>1133</v>
      </c>
      <c r="I63" s="40">
        <v>4.7379641027464903</v>
      </c>
      <c r="J63" s="40">
        <v>47.379641027464857</v>
      </c>
      <c r="K63" s="40">
        <v>77.324607063864519</v>
      </c>
      <c r="L63" s="12">
        <f>K63*J63/100</f>
        <v>36.636121252756745</v>
      </c>
      <c r="M63" s="12">
        <f>D63*$H$49</f>
        <v>115.79333333333334</v>
      </c>
      <c r="N63" s="12">
        <f>J63*E63*$H$49</f>
        <v>105.12120954763628</v>
      </c>
      <c r="O63" s="12">
        <f>L63*E63*$H$49</f>
        <v>81.284562223491392</v>
      </c>
      <c r="Q63" s="11">
        <f>O63/40</f>
        <v>2.032114055587285</v>
      </c>
      <c r="V63" s="61" t="s">
        <v>202</v>
      </c>
      <c r="W63" s="12">
        <f>'[1]moje analizy'!J95</f>
        <v>603.33333333333337</v>
      </c>
      <c r="X63" s="12">
        <f>'[1]moje analizy'!K95</f>
        <v>3797.6666666666665</v>
      </c>
      <c r="Y63" s="12">
        <f>((C63-X63)/C63)*100</f>
        <v>-9.3063417442195053</v>
      </c>
      <c r="Z63" s="12">
        <f>'[1]moje analizy'!L95</f>
        <v>34</v>
      </c>
      <c r="AA63" s="12">
        <f>((D63-Z63)/D63)*100</f>
        <v>35.402153261557942</v>
      </c>
      <c r="AB63" s="13">
        <v>0.98299999999999998</v>
      </c>
      <c r="AC63" s="12">
        <v>7.52</v>
      </c>
      <c r="AD63" s="12">
        <v>3450</v>
      </c>
      <c r="AE63" s="12">
        <v>313.8</v>
      </c>
      <c r="AF63" s="12">
        <v>3.3486350979879091</v>
      </c>
      <c r="AG63" s="12">
        <v>33.486350979879084</v>
      </c>
      <c r="AH63" s="12">
        <v>68.178375007783032</v>
      </c>
      <c r="AI63" s="12">
        <f>AH63*AG63/100</f>
        <v>22.830449947484389</v>
      </c>
      <c r="AJ63" s="12">
        <f>Z63*$AC$49</f>
        <v>74.800000000000011</v>
      </c>
      <c r="AK63" s="12">
        <f>AG63*AB63*$AC$49</f>
        <v>72.41758262908651</v>
      </c>
      <c r="AL63" s="12">
        <f>AI63*AB63*$AC$49</f>
        <v>49.373131056429742</v>
      </c>
      <c r="AM63" s="12">
        <f>N63-AK63</f>
        <v>32.703626918549773</v>
      </c>
      <c r="AN63" s="12">
        <f>O63-AL63</f>
        <v>31.91143116706165</v>
      </c>
      <c r="AO63" s="12">
        <f>M63-AJ63</f>
        <v>40.993333333333325</v>
      </c>
      <c r="AP63" s="12">
        <f>AN63/O63</f>
        <v>0.39258907588529995</v>
      </c>
      <c r="AQ63" s="12">
        <f>AM63/N63</f>
        <v>0.3111039823388822</v>
      </c>
      <c r="AR63" s="67">
        <v>37.880124988572049</v>
      </c>
      <c r="AS63" s="13">
        <f>AR63</f>
        <v>37.880124988572049</v>
      </c>
      <c r="AT63" s="67">
        <v>20.722322374998342</v>
      </c>
      <c r="AU63" s="13">
        <f>AT63</f>
        <v>20.722322374998342</v>
      </c>
      <c r="AV63" s="45">
        <f>AS63/AN63</f>
        <v>1.1870393649931679</v>
      </c>
      <c r="AW63" s="46">
        <f>AS63/AM63</f>
        <v>1.1582851370863128</v>
      </c>
      <c r="AX63" s="46">
        <f>AS63/AO63</f>
        <v>0.92405574049208139</v>
      </c>
      <c r="AY63" s="46">
        <f>AS63/O63</f>
        <v>0.46601868734214114</v>
      </c>
      <c r="AZ63" s="46">
        <f>AS63/N63</f>
        <v>0.36034711883148995</v>
      </c>
      <c r="BA63" s="46">
        <f>AU63/AN63</f>
        <v>0.64936988461951262</v>
      </c>
      <c r="BB63" s="46">
        <f>AU63/AM63</f>
        <v>0.63363988424306739</v>
      </c>
      <c r="BC63" s="46">
        <f>AU63/AO63</f>
        <v>0.50550469283619315</v>
      </c>
      <c r="BD63" s="46">
        <f>AU63/O63</f>
        <v>0.2549355229105183</v>
      </c>
      <c r="BE63" s="55">
        <f>AU63/N63</f>
        <v>0.19712789135676662</v>
      </c>
    </row>
    <row r="64" spans="1:57" s="17" customFormat="1">
      <c r="A64" s="18" t="s">
        <v>244</v>
      </c>
      <c r="B64" s="12"/>
      <c r="C64" s="12"/>
      <c r="D64" s="12"/>
      <c r="E64" s="13"/>
      <c r="F64" s="12"/>
      <c r="G64" s="12"/>
      <c r="H64" s="44"/>
      <c r="I64" s="40"/>
      <c r="J64" s="40"/>
      <c r="K64" s="40"/>
      <c r="L64" s="12"/>
      <c r="M64" s="12"/>
      <c r="N64" s="12"/>
      <c r="O64" s="12"/>
      <c r="V64" s="61" t="s">
        <v>203</v>
      </c>
      <c r="W64" s="12"/>
      <c r="X64" s="12"/>
      <c r="Y64" s="12"/>
      <c r="Z64" s="12"/>
      <c r="AA64" s="12"/>
      <c r="AB64" s="13"/>
      <c r="AC64" s="12"/>
      <c r="AD64" s="12"/>
      <c r="AE64" s="18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67">
        <v>38.006351149932065</v>
      </c>
      <c r="AS64" s="13"/>
      <c r="AT64" s="67">
        <v>20.819879159932789</v>
      </c>
      <c r="AU64" s="13"/>
      <c r="AV64" s="45"/>
      <c r="AW64" s="46"/>
      <c r="AX64" s="46"/>
      <c r="AY64" s="46"/>
      <c r="AZ64" s="46"/>
      <c r="BA64" s="46"/>
      <c r="BB64" s="46"/>
      <c r="BC64" s="46"/>
      <c r="BD64" s="46"/>
      <c r="BE64" s="55"/>
    </row>
    <row r="65" spans="1:57" s="17" customFormat="1">
      <c r="A65" s="18" t="s">
        <v>245</v>
      </c>
      <c r="B65" s="12"/>
      <c r="C65" s="12"/>
      <c r="D65" s="12"/>
      <c r="E65" s="13"/>
      <c r="F65" s="12"/>
      <c r="G65" s="12"/>
      <c r="H65" s="44"/>
      <c r="I65" s="40"/>
      <c r="J65" s="40"/>
      <c r="K65" s="40"/>
      <c r="L65" s="12"/>
      <c r="M65" s="12"/>
      <c r="N65" s="12"/>
      <c r="O65" s="12"/>
      <c r="V65" s="61" t="s">
        <v>204</v>
      </c>
      <c r="W65" s="12"/>
      <c r="X65" s="12"/>
      <c r="Y65" s="12"/>
      <c r="Z65" s="12"/>
      <c r="AA65" s="12"/>
      <c r="AB65" s="13"/>
      <c r="AC65" s="12"/>
      <c r="AD65" s="12"/>
      <c r="AE65" s="18"/>
      <c r="AF65" s="18"/>
      <c r="AG65" s="18"/>
      <c r="AH65" s="18"/>
      <c r="AI65" s="12"/>
      <c r="AJ65" s="12"/>
      <c r="AK65" s="12"/>
      <c r="AL65" s="12"/>
      <c r="AM65" s="12"/>
      <c r="AN65" s="12"/>
      <c r="AO65" s="12"/>
      <c r="AP65" s="12"/>
      <c r="AQ65" s="12"/>
      <c r="AR65" s="67"/>
      <c r="AS65" s="18"/>
      <c r="AT65" s="67"/>
      <c r="AU65" s="18"/>
      <c r="AV65" s="45"/>
      <c r="AW65" s="46"/>
      <c r="AX65" s="46"/>
      <c r="AY65" s="46"/>
      <c r="AZ65" s="46"/>
      <c r="BA65" s="46"/>
      <c r="BB65" s="46"/>
      <c r="BC65" s="46"/>
      <c r="BD65" s="46"/>
      <c r="BE65" s="55"/>
    </row>
    <row r="66" spans="1:57" s="17" customFormat="1">
      <c r="A66" s="18" t="s">
        <v>246</v>
      </c>
      <c r="B66" s="12"/>
      <c r="C66" s="12"/>
      <c r="D66" s="12"/>
      <c r="E66" s="13"/>
      <c r="F66" s="12"/>
      <c r="G66" s="12"/>
      <c r="H66" s="44"/>
      <c r="I66" s="40"/>
      <c r="J66" s="40"/>
      <c r="K66" s="40"/>
      <c r="L66" s="12"/>
      <c r="M66" s="12"/>
      <c r="N66" s="12"/>
      <c r="O66" s="12"/>
      <c r="V66" s="61" t="s">
        <v>205</v>
      </c>
      <c r="W66" s="12"/>
      <c r="X66" s="12"/>
      <c r="Y66" s="12"/>
      <c r="Z66" s="12"/>
      <c r="AA66" s="12"/>
      <c r="AB66" s="13"/>
      <c r="AC66" s="12"/>
      <c r="AD66" s="12"/>
      <c r="AE66" s="18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67"/>
      <c r="AS66" s="18"/>
      <c r="AT66" s="67"/>
      <c r="AU66" s="18"/>
      <c r="AV66" s="45"/>
      <c r="AW66" s="46"/>
      <c r="AX66" s="46"/>
      <c r="AY66" s="46"/>
      <c r="AZ66" s="46"/>
      <c r="BA66" s="46"/>
      <c r="BB66" s="46"/>
      <c r="BC66" s="46"/>
      <c r="BD66" s="46"/>
      <c r="BE66" s="55"/>
    </row>
    <row r="67" spans="1:57" s="17" customFormat="1">
      <c r="A67" s="18" t="s">
        <v>247</v>
      </c>
      <c r="B67" s="12">
        <f>'[1]moje analizy'!J31</f>
        <v>1528.6666666666667</v>
      </c>
      <c r="C67" s="12">
        <f>'[1]moje analizy'!K31</f>
        <v>3757.6666666666665</v>
      </c>
      <c r="D67" s="12">
        <f>'[1]moje analizy'!L31</f>
        <v>51.966666666666669</v>
      </c>
      <c r="E67" s="13">
        <v>1.0129999999999999</v>
      </c>
      <c r="F67" s="12">
        <v>5.8</v>
      </c>
      <c r="G67" s="12">
        <v>950</v>
      </c>
      <c r="H67" s="44">
        <v>1480</v>
      </c>
      <c r="I67" s="40">
        <v>4.8485539769141743</v>
      </c>
      <c r="J67" s="40">
        <v>48.485539769141745</v>
      </c>
      <c r="K67" s="40">
        <v>78.310464793480747</v>
      </c>
      <c r="L67" s="12">
        <f>K67*J67/100</f>
        <v>37.969251550842849</v>
      </c>
      <c r="M67" s="12">
        <f>D67*$H$49</f>
        <v>114.32666666666668</v>
      </c>
      <c r="N67" s="12">
        <f>J67*E67*$H$49</f>
        <v>108.05487392950928</v>
      </c>
      <c r="O67" s="12">
        <f>L67*E67*$H$49</f>
        <v>84.618274006208367</v>
      </c>
      <c r="Q67" s="11">
        <f>O67/40</f>
        <v>2.1154568501552093</v>
      </c>
      <c r="V67" s="61" t="s">
        <v>206</v>
      </c>
      <c r="W67" s="12">
        <f>'[1]moje analizy'!J100</f>
        <v>549.33333333333337</v>
      </c>
      <c r="X67" s="12">
        <f>'[1]moje analizy'!K100</f>
        <v>3465</v>
      </c>
      <c r="Y67" s="12">
        <f>((C67-X67)/C67)*100</f>
        <v>7.7885212454537349</v>
      </c>
      <c r="Z67" s="12">
        <f>'[1]moje analizy'!L100</f>
        <v>31.5</v>
      </c>
      <c r="AA67" s="12">
        <f>((D67-Z67)/D67)*100</f>
        <v>39.384220654265555</v>
      </c>
      <c r="AB67" s="13">
        <v>0.98350000000000004</v>
      </c>
      <c r="AC67" s="12">
        <v>7.31</v>
      </c>
      <c r="AD67" s="12">
        <v>3450</v>
      </c>
      <c r="AE67" s="12">
        <v>445.2</v>
      </c>
      <c r="AF67" s="12">
        <v>3.621685040536446</v>
      </c>
      <c r="AG67" s="12">
        <v>36.216850405364461</v>
      </c>
      <c r="AH67" s="12">
        <v>70.251108880107736</v>
      </c>
      <c r="AI67" s="12">
        <f>AH67*AG67/100</f>
        <v>25.442739011218329</v>
      </c>
      <c r="AJ67" s="12">
        <f>Z67*$AC$49</f>
        <v>69.300000000000011</v>
      </c>
      <c r="AK67" s="12">
        <f>AG67*AB67*$AC$49</f>
        <v>78.362399222087092</v>
      </c>
      <c r="AL67" s="12">
        <f>AI67*AB67*$AC$49</f>
        <v>55.050454398573109</v>
      </c>
      <c r="AM67" s="12">
        <f>N67-AK67</f>
        <v>29.692474707422193</v>
      </c>
      <c r="AN67" s="12">
        <f>O67-AL67</f>
        <v>29.567819607635258</v>
      </c>
      <c r="AO67" s="12">
        <f>M67-AJ67</f>
        <v>45.026666666666671</v>
      </c>
      <c r="AP67" s="12">
        <f>AN67/O67</f>
        <v>0.34942593612185818</v>
      </c>
      <c r="AQ67" s="12">
        <f>AM67/N67</f>
        <v>0.27479070242395903</v>
      </c>
      <c r="AR67" s="67">
        <v>37.616564073768316</v>
      </c>
      <c r="AS67" s="13">
        <f>AR67</f>
        <v>37.616564073768316</v>
      </c>
      <c r="AT67" s="67">
        <v>20.811364073812321</v>
      </c>
      <c r="AU67" s="13">
        <f>AT67</f>
        <v>20.811364073812321</v>
      </c>
      <c r="AV67" s="45">
        <f>AS67/AN67</f>
        <v>1.2722129860415761</v>
      </c>
      <c r="AW67" s="46">
        <f>AS67/AM67</f>
        <v>1.2668719749507895</v>
      </c>
      <c r="AX67" s="46">
        <f>AS67/AO67</f>
        <v>0.83542857729719378</v>
      </c>
      <c r="AY67" s="46">
        <f>AS67/O67</f>
        <v>0.44454421359396223</v>
      </c>
      <c r="AZ67" s="46">
        <f>AS67/N67</f>
        <v>0.34812463987795561</v>
      </c>
      <c r="BA67" s="46">
        <f>AU67/AN67</f>
        <v>0.703851834527502</v>
      </c>
      <c r="BB67" s="46">
        <f>AU67/AM67</f>
        <v>0.70089692014152427</v>
      </c>
      <c r="BC67" s="46">
        <f>AU67/AO67</f>
        <v>0.46220086038967245</v>
      </c>
      <c r="BD67" s="46">
        <f>AU67/O67</f>
        <v>0.24594408617085961</v>
      </c>
      <c r="BE67" s="55">
        <f>AU67/N67</f>
        <v>0.19259995701247895</v>
      </c>
    </row>
    <row r="68" spans="1:57" s="17" customFormat="1">
      <c r="A68" s="18" t="s">
        <v>248</v>
      </c>
      <c r="B68" s="12"/>
      <c r="C68" s="12"/>
      <c r="D68" s="12"/>
      <c r="E68" s="13"/>
      <c r="F68" s="12"/>
      <c r="G68" s="12"/>
      <c r="H68" s="44"/>
      <c r="I68" s="40"/>
      <c r="J68" s="40"/>
      <c r="K68" s="40"/>
      <c r="L68" s="12"/>
      <c r="M68" s="12"/>
      <c r="N68" s="12"/>
      <c r="O68" s="12"/>
      <c r="V68" s="61" t="s">
        <v>207</v>
      </c>
      <c r="W68" s="12"/>
      <c r="X68" s="12"/>
      <c r="Y68" s="12"/>
      <c r="Z68" s="12"/>
      <c r="AA68" s="12"/>
      <c r="AB68" s="13"/>
      <c r="AC68" s="12"/>
      <c r="AD68" s="12"/>
      <c r="AE68" s="18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67">
        <v>40.288234081477789</v>
      </c>
      <c r="AS68" s="13"/>
      <c r="AT68" s="67">
        <v>21.938152104387104</v>
      </c>
      <c r="AU68" s="13"/>
      <c r="AV68" s="45"/>
      <c r="AW68" s="46"/>
      <c r="AX68" s="46"/>
      <c r="AY68" s="46"/>
      <c r="AZ68" s="46"/>
      <c r="BA68" s="46"/>
      <c r="BB68" s="46"/>
      <c r="BC68" s="46"/>
      <c r="BD68" s="46"/>
      <c r="BE68" s="55"/>
    </row>
    <row r="69" spans="1:57" s="17" customFormat="1">
      <c r="A69" s="18" t="s">
        <v>249</v>
      </c>
      <c r="B69" s="12"/>
      <c r="C69" s="12"/>
      <c r="D69" s="12"/>
      <c r="E69" s="13"/>
      <c r="F69" s="12"/>
      <c r="G69" s="12"/>
      <c r="H69" s="44"/>
      <c r="I69" s="40"/>
      <c r="J69" s="40"/>
      <c r="K69" s="40"/>
      <c r="L69" s="12"/>
      <c r="M69" s="12"/>
      <c r="N69" s="12"/>
      <c r="O69" s="12"/>
      <c r="V69" s="61" t="s">
        <v>208</v>
      </c>
      <c r="W69" s="12"/>
      <c r="X69" s="12"/>
      <c r="Y69" s="12"/>
      <c r="Z69" s="12"/>
      <c r="AA69" s="12"/>
      <c r="AB69" s="13"/>
      <c r="AC69" s="12"/>
      <c r="AD69" s="12"/>
      <c r="AE69" s="18"/>
      <c r="AF69" s="18"/>
      <c r="AG69" s="18"/>
      <c r="AH69" s="18"/>
      <c r="AI69" s="12"/>
      <c r="AJ69" s="12"/>
      <c r="AK69" s="12"/>
      <c r="AL69" s="12"/>
      <c r="AM69" s="12"/>
      <c r="AN69" s="12"/>
      <c r="AO69" s="12"/>
      <c r="AP69" s="12"/>
      <c r="AQ69" s="12"/>
      <c r="AR69" s="67">
        <v>41.263598126499026</v>
      </c>
      <c r="AS69" s="13"/>
      <c r="AT69" s="67">
        <v>22.389215707457108</v>
      </c>
      <c r="AU69" s="13"/>
      <c r="AV69" s="45"/>
      <c r="AW69" s="46"/>
      <c r="AX69" s="46"/>
      <c r="AY69" s="46"/>
      <c r="AZ69" s="46"/>
      <c r="BA69" s="46"/>
      <c r="BB69" s="46"/>
      <c r="BC69" s="46"/>
      <c r="BD69" s="46"/>
      <c r="BE69" s="55"/>
    </row>
    <row r="70" spans="1:57" s="17" customFormat="1">
      <c r="A70" s="18" t="s">
        <v>250</v>
      </c>
      <c r="B70" s="12">
        <v>1528.6666666666667</v>
      </c>
      <c r="C70" s="12">
        <v>3757.6666666666665</v>
      </c>
      <c r="D70" s="12">
        <v>51.966666666666669</v>
      </c>
      <c r="E70" s="13">
        <v>1.0129999999999999</v>
      </c>
      <c r="F70" s="12">
        <v>5.8</v>
      </c>
      <c r="G70" s="12">
        <v>950</v>
      </c>
      <c r="H70" s="44">
        <v>1480</v>
      </c>
      <c r="I70" s="40">
        <v>4.8485539769141743</v>
      </c>
      <c r="J70" s="40">
        <v>48.485539769141745</v>
      </c>
      <c r="K70" s="40">
        <v>78.310464793480747</v>
      </c>
      <c r="L70" s="12">
        <f>K70*J70/100</f>
        <v>37.969251550842849</v>
      </c>
      <c r="M70" s="12">
        <f>D70*$H$49</f>
        <v>114.32666666666668</v>
      </c>
      <c r="N70" s="12">
        <f>J70*E70*$H$49</f>
        <v>108.05487392950928</v>
      </c>
      <c r="O70" s="12">
        <f>L70*E70*$H$49</f>
        <v>84.618274006208367</v>
      </c>
      <c r="Q70" s="11">
        <f>O70/40</f>
        <v>2.1154568501552093</v>
      </c>
      <c r="V70" s="61" t="s">
        <v>209</v>
      </c>
      <c r="W70" s="12">
        <f>'[1]moje analizy'!J105</f>
        <v>548.33333333333337</v>
      </c>
      <c r="X70" s="12">
        <f>'[1]moje analizy'!K105</f>
        <v>3326.6666666666665</v>
      </c>
      <c r="Y70" s="12">
        <f>((C70-X70)/C70)*100</f>
        <v>11.469883793134038</v>
      </c>
      <c r="Z70" s="12">
        <f>'[1]moje analizy'!L105</f>
        <v>33.700000000000003</v>
      </c>
      <c r="AA70" s="12">
        <f>((D70-Z70)/D70)*100</f>
        <v>35.150737652341242</v>
      </c>
      <c r="AB70" s="13">
        <v>0.98299999999999998</v>
      </c>
      <c r="AC70" s="12">
        <v>7.21</v>
      </c>
      <c r="AD70" s="12">
        <v>3400</v>
      </c>
      <c r="AE70" s="12">
        <v>322.2</v>
      </c>
      <c r="AF70" s="12">
        <v>3.2497090708735556</v>
      </c>
      <c r="AG70" s="12">
        <v>32.497090708735549</v>
      </c>
      <c r="AH70" s="12">
        <v>67.277908173342311</v>
      </c>
      <c r="AI70" s="12">
        <f>AH70*AG70/100</f>
        <v>21.86336284603086</v>
      </c>
      <c r="AJ70" s="12">
        <f>Z70*$AC$49</f>
        <v>74.140000000000015</v>
      </c>
      <c r="AK70" s="12">
        <f>AG70*AB70*$AC$49</f>
        <v>70.278208366711496</v>
      </c>
      <c r="AL70" s="12">
        <f>AI70*AB70*$AC$49</f>
        <v>47.28170849082634</v>
      </c>
      <c r="AM70" s="12">
        <f>N70-AK70</f>
        <v>37.776665562797788</v>
      </c>
      <c r="AN70" s="12">
        <f>O70-AL70</f>
        <v>37.336565515382027</v>
      </c>
      <c r="AO70" s="12">
        <f>M70-AJ70</f>
        <v>40.186666666666667</v>
      </c>
      <c r="AP70" s="12">
        <f>AN70/O70</f>
        <v>0.44123525271435665</v>
      </c>
      <c r="AQ70" s="12">
        <f>AM70/N70</f>
        <v>0.34960630824891609</v>
      </c>
      <c r="AR70" s="67">
        <v>41.894928941555193</v>
      </c>
      <c r="AS70" s="13">
        <f>AR69</f>
        <v>41.263598126499026</v>
      </c>
      <c r="AT70" s="67">
        <v>22.869603810616152</v>
      </c>
      <c r="AU70" s="13">
        <f>AT69</f>
        <v>22.389215707457108</v>
      </c>
      <c r="AV70" s="45">
        <f>AS70/AN70</f>
        <v>1.1051792674797345</v>
      </c>
      <c r="AW70" s="46">
        <f>AS70/AM70</f>
        <v>1.0923038736149107</v>
      </c>
      <c r="AX70" s="46">
        <f>AS70/AO70</f>
        <v>1.0267982280980181</v>
      </c>
      <c r="AY70" s="46">
        <f>AS70/O70</f>
        <v>0.48764405338108824</v>
      </c>
      <c r="AZ70" s="46">
        <f>AS70/N70</f>
        <v>0.38187632474049954</v>
      </c>
      <c r="BA70" s="46">
        <f>AU70/AN70</f>
        <v>0.59965921874182926</v>
      </c>
      <c r="BB70" s="46">
        <f>AU70/AM70</f>
        <v>0.59267315878471449</v>
      </c>
      <c r="BC70" s="46">
        <f>AU70/AO70</f>
        <v>0.5571304505837037</v>
      </c>
      <c r="BD70" s="46">
        <f>AU70/O70</f>
        <v>0.2645907869240447</v>
      </c>
      <c r="BE70" s="55">
        <f>AU70/N70</f>
        <v>0.20720227504094765</v>
      </c>
    </row>
    <row r="71" spans="1:57" s="17" customFormat="1">
      <c r="A71" s="18" t="s">
        <v>251</v>
      </c>
      <c r="B71" s="12"/>
      <c r="C71" s="12"/>
      <c r="D71" s="12"/>
      <c r="E71" s="13"/>
      <c r="F71" s="12"/>
      <c r="G71" s="12"/>
      <c r="H71" s="44"/>
      <c r="I71" s="40"/>
      <c r="J71" s="40"/>
      <c r="K71" s="40"/>
      <c r="L71" s="12"/>
      <c r="M71" s="12"/>
      <c r="N71" s="12"/>
      <c r="O71" s="12"/>
      <c r="V71" s="61" t="s">
        <v>210</v>
      </c>
      <c r="W71" s="12"/>
      <c r="X71" s="12"/>
      <c r="Y71" s="12"/>
      <c r="Z71" s="12"/>
      <c r="AA71" s="12"/>
      <c r="AB71" s="13"/>
      <c r="AC71" s="12"/>
      <c r="AD71" s="12"/>
      <c r="AE71" s="18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8"/>
      <c r="AS71" s="13"/>
      <c r="AT71" s="18"/>
      <c r="AU71" s="13"/>
      <c r="AV71" s="45"/>
      <c r="AW71" s="46"/>
      <c r="AX71" s="46"/>
      <c r="AY71" s="46"/>
      <c r="AZ71" s="46"/>
      <c r="BA71" s="46"/>
      <c r="BB71" s="46"/>
      <c r="BC71" s="46"/>
      <c r="BD71" s="46"/>
      <c r="BE71" s="55"/>
    </row>
    <row r="72" spans="1:57" s="17" customFormat="1">
      <c r="A72" s="18" t="s">
        <v>193</v>
      </c>
      <c r="B72" s="12"/>
      <c r="C72" s="12"/>
      <c r="D72" s="12"/>
      <c r="E72" s="13"/>
      <c r="F72" s="12"/>
      <c r="G72" s="12"/>
      <c r="H72" s="44"/>
      <c r="I72" s="40"/>
      <c r="J72" s="40"/>
      <c r="K72" s="40"/>
      <c r="L72" s="12"/>
      <c r="M72" s="12"/>
      <c r="N72" s="12"/>
      <c r="O72" s="12"/>
      <c r="V72" s="61" t="s">
        <v>211</v>
      </c>
      <c r="W72" s="12"/>
      <c r="X72" s="12"/>
      <c r="Y72" s="12"/>
      <c r="Z72" s="12"/>
      <c r="AA72" s="12"/>
      <c r="AB72" s="13"/>
      <c r="AC72" s="12"/>
      <c r="AD72" s="12"/>
      <c r="AE72" s="18"/>
      <c r="AF72" s="18"/>
      <c r="AG72" s="18"/>
      <c r="AH72" s="18"/>
      <c r="AI72" s="12"/>
      <c r="AJ72" s="12"/>
      <c r="AK72" s="12"/>
      <c r="AL72" s="12"/>
      <c r="AM72" s="12"/>
      <c r="AN72" s="12"/>
      <c r="AO72" s="12"/>
      <c r="AP72" s="12"/>
      <c r="AQ72" s="12"/>
      <c r="AR72" s="67"/>
      <c r="AS72" s="18"/>
      <c r="AT72" s="67"/>
      <c r="AU72" s="18"/>
      <c r="AV72" s="45"/>
      <c r="AW72" s="46"/>
      <c r="AX72" s="46"/>
      <c r="AY72" s="46"/>
      <c r="AZ72" s="46"/>
      <c r="BA72" s="46"/>
      <c r="BB72" s="46"/>
      <c r="BC72" s="46"/>
      <c r="BD72" s="46"/>
      <c r="BE72" s="55"/>
    </row>
    <row r="73" spans="1:57" s="17" customFormat="1">
      <c r="A73" s="18" t="s">
        <v>194</v>
      </c>
      <c r="B73" s="12"/>
      <c r="C73" s="12"/>
      <c r="D73" s="12"/>
      <c r="E73" s="13"/>
      <c r="F73" s="12"/>
      <c r="G73" s="12"/>
      <c r="H73" s="44"/>
      <c r="I73" s="40"/>
      <c r="J73" s="40"/>
      <c r="K73" s="40"/>
      <c r="L73" s="12"/>
      <c r="M73" s="12"/>
      <c r="N73" s="12"/>
      <c r="O73" s="12"/>
      <c r="V73" s="61" t="s">
        <v>212</v>
      </c>
      <c r="W73" s="12"/>
      <c r="X73" s="12"/>
      <c r="Y73" s="12"/>
      <c r="Z73" s="12"/>
      <c r="AA73" s="12"/>
      <c r="AB73" s="13"/>
      <c r="AC73" s="12"/>
      <c r="AD73" s="12"/>
      <c r="AE73" s="18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67"/>
      <c r="AS73" s="18"/>
      <c r="AT73" s="67"/>
      <c r="AU73" s="18"/>
      <c r="AV73" s="45"/>
      <c r="AW73" s="46"/>
      <c r="AX73" s="46"/>
      <c r="AY73" s="46"/>
      <c r="AZ73" s="46"/>
      <c r="BA73" s="46"/>
      <c r="BB73" s="46"/>
      <c r="BC73" s="46"/>
      <c r="BD73" s="46"/>
      <c r="BE73" s="55"/>
    </row>
    <row r="74" spans="1:57" s="17" customFormat="1">
      <c r="A74" s="18" t="s">
        <v>195</v>
      </c>
      <c r="B74" s="12">
        <f>'[1]moje analizy'!J36</f>
        <v>1842.6666666666667</v>
      </c>
      <c r="C74" s="12">
        <f>'[1]moje analizy'!K36</f>
        <v>3976.3333333333335</v>
      </c>
      <c r="D74" s="12">
        <f>'[1]moje analizy'!L36</f>
        <v>54.4</v>
      </c>
      <c r="E74" s="13">
        <v>1.0129999999999999</v>
      </c>
      <c r="F74" s="12">
        <v>5.68</v>
      </c>
      <c r="G74" s="12">
        <v>900</v>
      </c>
      <c r="H74" s="44">
        <v>1450</v>
      </c>
      <c r="I74" s="40">
        <v>5.0013730543530537</v>
      </c>
      <c r="J74" s="40">
        <v>50.013730543530535</v>
      </c>
      <c r="K74" s="40">
        <v>74.930546127215351</v>
      </c>
      <c r="L74" s="12">
        <f>K74*J74/100</f>
        <v>37.475561434861341</v>
      </c>
      <c r="M74" s="12">
        <f>D74*$H$49</f>
        <v>119.68</v>
      </c>
      <c r="N74" s="12">
        <f>J74*E74*$H$49</f>
        <v>111.46059988931215</v>
      </c>
      <c r="O74" s="12">
        <f>L74*E74*$H$49</f>
        <v>83.518036213731989</v>
      </c>
      <c r="Q74" s="11">
        <f>O74/40</f>
        <v>2.0879509053432996</v>
      </c>
      <c r="V74" s="61" t="s">
        <v>213</v>
      </c>
      <c r="W74" s="12">
        <f>'[1]moje analizy'!J110</f>
        <v>580.33333333333337</v>
      </c>
      <c r="X74" s="12">
        <f>'[1]moje analizy'!K110</f>
        <v>3827</v>
      </c>
      <c r="Y74" s="12">
        <f>((C74-X74)/C74)*100</f>
        <v>3.7555536926817039</v>
      </c>
      <c r="Z74" s="12">
        <f>'[1]moje analizy'!L110</f>
        <v>40.033333333333331</v>
      </c>
      <c r="AA74" s="12">
        <f>((D74-Z74)/D74)*100</f>
        <v>26.409313725490197</v>
      </c>
      <c r="AB74" s="13">
        <v>0.98</v>
      </c>
      <c r="AC74" s="12">
        <v>7.26</v>
      </c>
      <c r="AD74" s="12">
        <v>3525</v>
      </c>
      <c r="AE74" s="12">
        <v>216</v>
      </c>
      <c r="AF74" s="12">
        <v>3.4874694485539464</v>
      </c>
      <c r="AG74" s="12">
        <v>34.874694485539457</v>
      </c>
      <c r="AH74" s="12">
        <v>69.360117115750214</v>
      </c>
      <c r="AI74" s="12">
        <f>AH74*AG74/100</f>
        <v>24.189128938930249</v>
      </c>
      <c r="AJ74" s="12">
        <f>Z74*$AC$49</f>
        <v>88.073333333333338</v>
      </c>
      <c r="AK74" s="12">
        <f>AG74*AB74*$AC$49</f>
        <v>75.18984131082307</v>
      </c>
      <c r="AL74" s="12">
        <f>AI74*AB74*$AC$49</f>
        <v>52.151761992333618</v>
      </c>
      <c r="AM74" s="12">
        <f>N74-AK74</f>
        <v>36.27075857848908</v>
      </c>
      <c r="AN74" s="12">
        <f>O74-AL74</f>
        <v>31.366274221398371</v>
      </c>
      <c r="AO74" s="12">
        <f>M74-AJ74</f>
        <v>31.606666666666669</v>
      </c>
      <c r="AP74" s="12">
        <f>AN74/O74</f>
        <v>0.37556288010805916</v>
      </c>
      <c r="AQ74" s="12">
        <f>AM74/N74</f>
        <v>0.3254132726228674</v>
      </c>
      <c r="AR74" s="67">
        <v>43.989030415191436</v>
      </c>
      <c r="AS74" s="13">
        <f>AR74</f>
        <v>43.989030415191436</v>
      </c>
      <c r="AT74" s="67">
        <v>24.375641423970031</v>
      </c>
      <c r="AU74" s="13">
        <f>AT74</f>
        <v>24.375641423970031</v>
      </c>
      <c r="AV74" s="45">
        <f>AS74/AN74</f>
        <v>1.4024308435453805</v>
      </c>
      <c r="AW74" s="46">
        <f>AS74/AM74</f>
        <v>1.2127959860558251</v>
      </c>
      <c r="AX74" s="46">
        <f>AS74/AO74</f>
        <v>1.391764303370326</v>
      </c>
      <c r="AY74" s="46">
        <f>AS74/O74</f>
        <v>0.52670096675427802</v>
      </c>
      <c r="AZ74" s="46">
        <f>AS74/N74</f>
        <v>0.39465991084630347</v>
      </c>
      <c r="BA74" s="46">
        <f>AU74/AN74</f>
        <v>0.77712900333380164</v>
      </c>
      <c r="BB74" s="46">
        <f>AU74/AM74</f>
        <v>0.67204663975311429</v>
      </c>
      <c r="BC74" s="46">
        <f>AU74/AO74</f>
        <v>0.77121835342659872</v>
      </c>
      <c r="BD74" s="46">
        <f>AU74/O74</f>
        <v>0.29186080670754805</v>
      </c>
      <c r="BE74" s="55">
        <f>AU74/N74</f>
        <v>0.21869289639726214</v>
      </c>
    </row>
    <row r="75" spans="1:57" s="17" customFormat="1">
      <c r="A75" s="18" t="s">
        <v>196</v>
      </c>
      <c r="B75" s="12"/>
      <c r="C75" s="12"/>
      <c r="D75" s="12"/>
      <c r="E75" s="13"/>
      <c r="F75" s="12"/>
      <c r="G75" s="12"/>
      <c r="H75" s="44"/>
      <c r="I75" s="40"/>
      <c r="J75" s="40"/>
      <c r="K75" s="40"/>
      <c r="L75" s="12"/>
      <c r="M75" s="12"/>
      <c r="N75" s="12"/>
      <c r="O75" s="12"/>
      <c r="V75" s="61" t="s">
        <v>214</v>
      </c>
      <c r="W75" s="12"/>
      <c r="X75" s="12"/>
      <c r="Y75" s="12"/>
      <c r="Z75" s="12"/>
      <c r="AA75" s="12"/>
      <c r="AB75" s="13"/>
      <c r="AC75" s="12"/>
      <c r="AD75" s="12"/>
      <c r="AE75" s="18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67">
        <v>41.48778041984194</v>
      </c>
      <c r="AS75" s="13"/>
      <c r="AT75" s="67">
        <v>22.907477958815729</v>
      </c>
      <c r="AU75" s="13"/>
      <c r="AV75" s="45"/>
      <c r="AW75" s="46"/>
      <c r="AX75" s="46"/>
      <c r="AY75" s="46"/>
      <c r="AZ75" s="46"/>
      <c r="BA75" s="46"/>
      <c r="BB75" s="46"/>
      <c r="BC75" s="46"/>
      <c r="BD75" s="46"/>
      <c r="BE75" s="55"/>
    </row>
    <row r="76" spans="1:57" s="17" customFormat="1">
      <c r="A76" s="18" t="s">
        <v>197</v>
      </c>
      <c r="B76" s="12"/>
      <c r="C76" s="12"/>
      <c r="D76" s="12"/>
      <c r="E76" s="13"/>
      <c r="F76" s="12"/>
      <c r="G76" s="12"/>
      <c r="H76" s="44"/>
      <c r="I76" s="40"/>
      <c r="J76" s="40"/>
      <c r="K76" s="40"/>
      <c r="L76" s="12"/>
      <c r="M76" s="12"/>
      <c r="N76" s="12"/>
      <c r="O76" s="12"/>
      <c r="V76" s="61" t="s">
        <v>215</v>
      </c>
      <c r="W76" s="12"/>
      <c r="X76" s="12"/>
      <c r="Y76" s="12"/>
      <c r="Z76" s="12"/>
      <c r="AA76" s="12"/>
      <c r="AB76" s="13"/>
      <c r="AC76" s="12"/>
      <c r="AD76" s="12"/>
      <c r="AE76" s="18"/>
      <c r="AF76" s="18"/>
      <c r="AG76" s="18"/>
      <c r="AH76" s="18"/>
      <c r="AI76" s="12"/>
      <c r="AJ76" s="12"/>
      <c r="AK76" s="12"/>
      <c r="AL76" s="12"/>
      <c r="AM76" s="12"/>
      <c r="AN76" s="12"/>
      <c r="AO76" s="12"/>
      <c r="AP76" s="12"/>
      <c r="AQ76" s="12"/>
      <c r="AR76" s="67">
        <v>39.971763071154939</v>
      </c>
      <c r="AS76" s="13"/>
      <c r="AT76" s="67">
        <v>22.080401920505988</v>
      </c>
      <c r="AU76" s="13"/>
      <c r="AV76" s="45"/>
      <c r="AW76" s="46"/>
      <c r="AX76" s="46"/>
      <c r="AY76" s="46"/>
      <c r="AZ76" s="46"/>
      <c r="BA76" s="46"/>
      <c r="BB76" s="46"/>
      <c r="BC76" s="46"/>
      <c r="BD76" s="46"/>
      <c r="BE76" s="55"/>
    </row>
    <row r="77" spans="1:57" s="17" customFormat="1">
      <c r="A77" s="18" t="s">
        <v>198</v>
      </c>
      <c r="B77" s="12">
        <v>1842.6666666666667</v>
      </c>
      <c r="C77" s="12">
        <v>3976.3333333333335</v>
      </c>
      <c r="D77" s="12">
        <v>54.4</v>
      </c>
      <c r="E77" s="13">
        <v>1.0129999999999999</v>
      </c>
      <c r="F77" s="12">
        <v>5.68</v>
      </c>
      <c r="G77" s="12">
        <v>900</v>
      </c>
      <c r="H77" s="44">
        <v>1450</v>
      </c>
      <c r="I77" s="40">
        <v>5.0013730543530537</v>
      </c>
      <c r="J77" s="40">
        <v>50.013730543530535</v>
      </c>
      <c r="K77" s="40">
        <v>74.930546127215351</v>
      </c>
      <c r="L77" s="12">
        <f>K77*J77/100</f>
        <v>37.475561434861341</v>
      </c>
      <c r="M77" s="12">
        <f>D77*$H$49</f>
        <v>119.68</v>
      </c>
      <c r="N77" s="12">
        <f>J77*E77*$H$49</f>
        <v>111.46059988931215</v>
      </c>
      <c r="O77" s="12">
        <f>L77*E77*$H$49</f>
        <v>83.518036213731989</v>
      </c>
      <c r="Q77" s="11">
        <f>O77/40</f>
        <v>2.0879509053432996</v>
      </c>
      <c r="V77" s="61" t="s">
        <v>216</v>
      </c>
      <c r="W77" s="12">
        <f>'[1]moje analizy'!J115</f>
        <v>565.66666666666663</v>
      </c>
      <c r="X77" s="12">
        <f>'[1]moje analizy'!K115</f>
        <v>4053</v>
      </c>
      <c r="Y77" s="12">
        <f>((C77-X77)/C77)*100</f>
        <v>-1.928074440439262</v>
      </c>
      <c r="Z77" s="12">
        <f>'[1]moje analizy'!L115</f>
        <v>36.466666666666669</v>
      </c>
      <c r="AA77" s="12">
        <f>((D77-Z77)/D77)*100</f>
        <v>32.9656862745098</v>
      </c>
      <c r="AB77" s="13">
        <v>0.98450000000000004</v>
      </c>
      <c r="AC77" s="12">
        <v>7.14</v>
      </c>
      <c r="AD77" s="12">
        <v>3475</v>
      </c>
      <c r="AE77" s="12">
        <v>207.5</v>
      </c>
      <c r="AF77" s="12">
        <v>3.6056155390418998</v>
      </c>
      <c r="AG77" s="12">
        <v>36.056155390418951</v>
      </c>
      <c r="AH77" s="12">
        <v>70.693873702576056</v>
      </c>
      <c r="AI77" s="12">
        <f>AH77*AG77/100</f>
        <v>25.489492953707341</v>
      </c>
      <c r="AJ77" s="12">
        <f>Z77*$AC$49</f>
        <v>80.226666666666674</v>
      </c>
      <c r="AK77" s="12">
        <f>AG77*AB77*$AC$49</f>
        <v>78.094026960108422</v>
      </c>
      <c r="AL77" s="12">
        <f>AI77*AB77*$AC$49</f>
        <v>55.207692788434741</v>
      </c>
      <c r="AM77" s="12">
        <f>N77-AK77</f>
        <v>33.366572929203727</v>
      </c>
      <c r="AN77" s="12">
        <f>O77-AL77</f>
        <v>28.310343425297248</v>
      </c>
      <c r="AO77" s="12">
        <f>M77-AJ77</f>
        <v>39.453333333333333</v>
      </c>
      <c r="AP77" s="12">
        <f>AN77/O77</f>
        <v>0.33897281005084834</v>
      </c>
      <c r="AQ77" s="12">
        <f>AM77/N77</f>
        <v>0.29935755740000475</v>
      </c>
      <c r="AR77" s="67">
        <v>39.031440644389392</v>
      </c>
      <c r="AS77" s="13">
        <f>AR77</f>
        <v>39.031440644389392</v>
      </c>
      <c r="AT77" s="67">
        <v>21.620295601740175</v>
      </c>
      <c r="AU77" s="13">
        <f>AT77</f>
        <v>21.620295601740175</v>
      </c>
      <c r="AV77" s="45">
        <f>AS77/AN77</f>
        <v>1.378698946107171</v>
      </c>
      <c r="AW77" s="46">
        <f>AS77/AM77</f>
        <v>1.1697767321566175</v>
      </c>
      <c r="AX77" s="46">
        <f>AS77/AO77</f>
        <v>0.98930653880676056</v>
      </c>
      <c r="AY77" s="46">
        <f>AS77/O77</f>
        <v>0.46734145597609089</v>
      </c>
      <c r="AZ77" s="46">
        <f>AS77/N77</f>
        <v>0.35018150524176461</v>
      </c>
      <c r="BA77" s="46">
        <f>AU77/AN77</f>
        <v>0.7636889202276842</v>
      </c>
      <c r="BB77" s="46">
        <f>AU77/AM77</f>
        <v>0.64796272747619366</v>
      </c>
      <c r="BC77" s="46">
        <f>AU77/AO77</f>
        <v>0.54799667797584084</v>
      </c>
      <c r="BD77" s="46">
        <f>AU77/O77</f>
        <v>0.25886977929427629</v>
      </c>
      <c r="BE77" s="55">
        <f>AU77/N77</f>
        <v>0.19397253938351827</v>
      </c>
    </row>
    <row r="78" spans="1:57" s="17" customFormat="1">
      <c r="A78" s="18" t="s">
        <v>199</v>
      </c>
      <c r="B78" s="12"/>
      <c r="C78" s="12"/>
      <c r="D78" s="12"/>
      <c r="E78" s="13"/>
      <c r="F78" s="12"/>
      <c r="G78" s="12"/>
      <c r="H78" s="44"/>
      <c r="I78" s="44"/>
      <c r="J78" s="44"/>
      <c r="K78" s="44"/>
      <c r="L78" s="12"/>
      <c r="M78" s="18"/>
      <c r="N78" s="12"/>
      <c r="O78" s="18"/>
      <c r="V78" s="61" t="s">
        <v>217</v>
      </c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2"/>
      <c r="AJ78" s="12"/>
      <c r="AK78" s="12"/>
      <c r="AL78" s="12"/>
      <c r="AM78" s="12"/>
      <c r="AN78" s="12"/>
      <c r="AO78" s="12"/>
      <c r="AP78" s="12"/>
      <c r="AQ78" s="12"/>
      <c r="AR78" s="67">
        <v>39.933379179429167</v>
      </c>
      <c r="AS78" s="18"/>
      <c r="AT78" s="67">
        <v>22.107518047523779</v>
      </c>
      <c r="AU78" s="18"/>
      <c r="AV78" s="45"/>
      <c r="AW78" s="46"/>
      <c r="AX78" s="46"/>
      <c r="AY78" s="46"/>
      <c r="AZ78" s="46"/>
      <c r="BA78" s="46"/>
      <c r="BB78" s="46"/>
      <c r="BC78" s="46"/>
      <c r="BD78" s="46"/>
      <c r="BE78" s="55"/>
    </row>
    <row r="79" spans="1:57" s="17" customFormat="1">
      <c r="A79" s="18" t="s">
        <v>200</v>
      </c>
      <c r="B79" s="12"/>
      <c r="C79" s="12"/>
      <c r="D79" s="12"/>
      <c r="E79" s="13"/>
      <c r="F79" s="12"/>
      <c r="G79" s="12"/>
      <c r="H79" s="44"/>
      <c r="I79" s="44"/>
      <c r="J79" s="44"/>
      <c r="K79" s="44"/>
      <c r="L79" s="12"/>
      <c r="M79" s="18"/>
      <c r="N79" s="12"/>
      <c r="O79" s="18"/>
      <c r="V79" s="61" t="s">
        <v>218</v>
      </c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2"/>
      <c r="AJ79" s="12"/>
      <c r="AK79" s="12"/>
      <c r="AL79" s="12"/>
      <c r="AM79" s="12"/>
      <c r="AN79" s="12"/>
      <c r="AO79" s="12"/>
      <c r="AP79" s="12"/>
      <c r="AQ79" s="12"/>
      <c r="AR79" s="67"/>
      <c r="AS79" s="18"/>
      <c r="AT79" s="67"/>
      <c r="AU79" s="18"/>
      <c r="AV79" s="45"/>
      <c r="AW79" s="46"/>
      <c r="AX79" s="46"/>
      <c r="AY79" s="46"/>
      <c r="AZ79" s="46"/>
      <c r="BA79" s="46"/>
      <c r="BB79" s="46"/>
      <c r="BC79" s="46"/>
      <c r="BD79" s="46"/>
      <c r="BE79" s="55"/>
    </row>
    <row r="80" spans="1:57" s="17" customFormat="1">
      <c r="A80" s="18" t="s">
        <v>201</v>
      </c>
      <c r="B80" s="12"/>
      <c r="C80" s="12"/>
      <c r="D80" s="12"/>
      <c r="E80" s="13"/>
      <c r="F80" s="12"/>
      <c r="G80" s="12"/>
      <c r="H80" s="44"/>
      <c r="I80" s="44"/>
      <c r="J80" s="44"/>
      <c r="K80" s="44"/>
      <c r="L80" s="12"/>
      <c r="M80" s="18"/>
      <c r="N80" s="12"/>
      <c r="O80" s="18"/>
      <c r="V80" s="61" t="s">
        <v>219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2"/>
      <c r="AJ80" s="12"/>
      <c r="AK80" s="12"/>
      <c r="AL80" s="12"/>
      <c r="AM80" s="12"/>
      <c r="AN80" s="12"/>
      <c r="AO80" s="12"/>
      <c r="AP80" s="12"/>
      <c r="AQ80" s="12"/>
      <c r="AR80" s="67"/>
      <c r="AS80" s="18"/>
      <c r="AT80" s="67"/>
      <c r="AU80" s="18"/>
      <c r="AV80" s="45"/>
      <c r="AW80" s="46"/>
      <c r="AX80" s="46"/>
      <c r="AY80" s="46"/>
      <c r="AZ80" s="46"/>
      <c r="BA80" s="46"/>
      <c r="BB80" s="46"/>
      <c r="BC80" s="46"/>
      <c r="BD80" s="46"/>
      <c r="BE80" s="55"/>
    </row>
    <row r="81" spans="1:57" s="17" customFormat="1">
      <c r="A81" s="18" t="s">
        <v>202</v>
      </c>
      <c r="B81" s="12">
        <f>'[1]moje analizy'!J41</f>
        <v>2051.3333333333335</v>
      </c>
      <c r="C81" s="12">
        <f>'[1]moje analizy'!K41</f>
        <v>4341.333333333333</v>
      </c>
      <c r="D81" s="12">
        <f>'[1]moje analizy'!L41</f>
        <v>52.79999999999999</v>
      </c>
      <c r="E81" s="13">
        <v>1.0049999999999999</v>
      </c>
      <c r="F81" s="12">
        <v>5.5</v>
      </c>
      <c r="G81" s="12">
        <v>800</v>
      </c>
      <c r="H81" s="44">
        <v>1417</v>
      </c>
      <c r="I81" s="40">
        <v>4.8428326036981399</v>
      </c>
      <c r="J81" s="40">
        <v>48.428326036981396</v>
      </c>
      <c r="K81" s="40">
        <v>78.345381448834829</v>
      </c>
      <c r="L81" s="12">
        <f>K81*J81/100</f>
        <v>37.94135676295847</v>
      </c>
      <c r="M81" s="12">
        <f>D81*$H$49</f>
        <v>116.15999999999998</v>
      </c>
      <c r="N81" s="12">
        <f>J81*E81*$H$49</f>
        <v>107.07502886776587</v>
      </c>
      <c r="O81" s="12">
        <f>L81*E81*$H$49</f>
        <v>83.888339802901172</v>
      </c>
      <c r="Q81" s="11">
        <f>O81/40</f>
        <v>2.0972084950725294</v>
      </c>
      <c r="V81" s="61" t="s">
        <v>220</v>
      </c>
      <c r="W81" s="12">
        <f>'[1]moje analizy'!J120</f>
        <v>550</v>
      </c>
      <c r="X81" s="12">
        <f>'[1]moje analizy'!K120</f>
        <v>3702.6666666666665</v>
      </c>
      <c r="Y81" s="12">
        <f>((C81-X81)/C81)*100</f>
        <v>14.711302211302209</v>
      </c>
      <c r="Z81" s="12">
        <f>'[1]moje analizy'!L120</f>
        <v>34.5</v>
      </c>
      <c r="AA81" s="12">
        <f>((D81-Z81)/D81)*100</f>
        <v>34.659090909090892</v>
      </c>
      <c r="AB81" s="18">
        <v>0.99399999999999999</v>
      </c>
      <c r="AC81" s="18">
        <v>7.13</v>
      </c>
      <c r="AD81" s="18">
        <v>3600</v>
      </c>
      <c r="AE81" s="12">
        <v>498.1</v>
      </c>
      <c r="AF81" s="18">
        <v>3.6221446608045902</v>
      </c>
      <c r="AG81" s="18">
        <v>36.221446608045881</v>
      </c>
      <c r="AH81" s="12">
        <v>66.486154974968798</v>
      </c>
      <c r="AI81" s="12">
        <f>AH81*AG81/100</f>
        <v>24.082247126000961</v>
      </c>
      <c r="AJ81" s="12">
        <f>Z81*$AC$49</f>
        <v>75.900000000000006</v>
      </c>
      <c r="AK81" s="12">
        <f>AG81*AB81*$AC$49</f>
        <v>79.209059442474739</v>
      </c>
      <c r="AL81" s="12">
        <f>AI81*AB81*$AC$49</f>
        <v>52.663058015138908</v>
      </c>
      <c r="AM81" s="12">
        <f>N81-AK81</f>
        <v>27.865969425291127</v>
      </c>
      <c r="AN81" s="12">
        <f>O81-AL81</f>
        <v>31.225281787762263</v>
      </c>
      <c r="AO81" s="12">
        <f>M81-AJ81</f>
        <v>40.259999999999977</v>
      </c>
      <c r="AP81" s="12">
        <f>AN81/O81</f>
        <v>0.37222433846142677</v>
      </c>
      <c r="AQ81" s="12">
        <f>AM81/N81</f>
        <v>0.26024713436878621</v>
      </c>
      <c r="AR81" s="67">
        <v>39.903715055165392</v>
      </c>
      <c r="AS81" s="67">
        <f>AR81</f>
        <v>39.903715055165392</v>
      </c>
      <c r="AT81" s="67">
        <v>21.760692931033347</v>
      </c>
      <c r="AU81" s="67">
        <f>AT81</f>
        <v>21.760692931033347</v>
      </c>
      <c r="AV81" s="45">
        <f>AS81/AN81</f>
        <v>1.277929702168592</v>
      </c>
      <c r="AW81" s="46">
        <f>AS81/AM81</f>
        <v>1.4319873264107159</v>
      </c>
      <c r="AX81" s="46">
        <f>AS81/AO81</f>
        <v>0.99115039878701972</v>
      </c>
      <c r="AY81" s="46">
        <f>AS81/O81</f>
        <v>0.47567653798991233</v>
      </c>
      <c r="AZ81" s="46">
        <f>AS81/N81</f>
        <v>0.3726705981508085</v>
      </c>
      <c r="BA81" s="46">
        <f>AU81/AN81</f>
        <v>0.69689340448359849</v>
      </c>
      <c r="BB81" s="46">
        <f>AU81/AM81</f>
        <v>0.78090564871155577</v>
      </c>
      <c r="BC81" s="46">
        <f>AU81/AO81</f>
        <v>0.54050404697052556</v>
      </c>
      <c r="BD81" s="46">
        <f>AU81/O81</f>
        <v>0.2594006864620389</v>
      </c>
      <c r="BE81" s="55">
        <f>AU81/N81</f>
        <v>0.20322845728958044</v>
      </c>
    </row>
    <row r="82" spans="1:57" s="17" customFormat="1">
      <c r="A82" s="18" t="s">
        <v>203</v>
      </c>
      <c r="B82" s="12"/>
      <c r="C82" s="12"/>
      <c r="D82" s="12"/>
      <c r="E82" s="13"/>
      <c r="F82" s="12"/>
      <c r="G82" s="12"/>
      <c r="H82" s="44"/>
      <c r="I82" s="44"/>
      <c r="J82" s="44"/>
      <c r="K82" s="44"/>
      <c r="L82" s="12"/>
      <c r="M82" s="18"/>
      <c r="N82" s="12"/>
      <c r="O82" s="18"/>
      <c r="V82" s="61" t="s">
        <v>221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2"/>
      <c r="AJ82" s="12"/>
      <c r="AK82" s="12"/>
      <c r="AL82" s="12"/>
      <c r="AM82" s="12"/>
      <c r="AN82" s="12"/>
      <c r="AO82" s="12"/>
      <c r="AP82" s="12"/>
      <c r="AQ82" s="12"/>
      <c r="AR82" s="67">
        <v>40.674792163260612</v>
      </c>
      <c r="AS82" s="67"/>
      <c r="AT82" s="67">
        <v>22.181184410390912</v>
      </c>
      <c r="AU82" s="67"/>
      <c r="AV82" s="45"/>
      <c r="AW82" s="46"/>
      <c r="AX82" s="46"/>
      <c r="AY82" s="46"/>
      <c r="AZ82" s="46"/>
      <c r="BA82" s="46"/>
      <c r="BB82" s="46"/>
      <c r="BC82" s="46"/>
      <c r="BD82" s="46"/>
      <c r="BE82" s="55"/>
    </row>
    <row r="83" spans="1:57" s="17" customFormat="1">
      <c r="A83" s="18" t="s">
        <v>204</v>
      </c>
      <c r="B83" s="12"/>
      <c r="C83" s="12"/>
      <c r="D83" s="12"/>
      <c r="E83" s="13"/>
      <c r="F83" s="12"/>
      <c r="G83" s="12"/>
      <c r="H83" s="44"/>
      <c r="I83" s="44"/>
      <c r="J83" s="44"/>
      <c r="K83" s="44"/>
      <c r="L83" s="12"/>
      <c r="M83" s="18"/>
      <c r="N83" s="12"/>
      <c r="O83" s="18"/>
      <c r="V83" s="61" t="s">
        <v>222</v>
      </c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2"/>
      <c r="AJ83" s="12"/>
      <c r="AK83" s="12"/>
      <c r="AL83" s="12"/>
      <c r="AM83" s="12"/>
      <c r="AN83" s="12"/>
      <c r="AO83" s="12"/>
      <c r="AP83" s="12"/>
      <c r="AQ83" s="12"/>
      <c r="AR83" s="67">
        <v>36.443362293405286</v>
      </c>
      <c r="AS83" s="67"/>
      <c r="AT83" s="67">
        <v>19.873658759462707</v>
      </c>
      <c r="AU83" s="67"/>
      <c r="AV83" s="45"/>
      <c r="AW83" s="46"/>
      <c r="AX83" s="46"/>
      <c r="AY83" s="46"/>
      <c r="AZ83" s="46"/>
      <c r="BA83" s="46"/>
      <c r="BB83" s="46"/>
      <c r="BC83" s="46"/>
      <c r="BD83" s="46"/>
      <c r="BE83" s="55"/>
    </row>
    <row r="84" spans="1:57" s="17" customFormat="1">
      <c r="A84" s="18" t="s">
        <v>205</v>
      </c>
      <c r="B84" s="12">
        <v>2051.3333333333335</v>
      </c>
      <c r="C84" s="12">
        <v>4341.333333333333</v>
      </c>
      <c r="D84" s="12">
        <v>52.79999999999999</v>
      </c>
      <c r="E84" s="13">
        <v>1.0049999999999999</v>
      </c>
      <c r="F84" s="12">
        <v>5.5</v>
      </c>
      <c r="G84" s="12">
        <v>800</v>
      </c>
      <c r="H84" s="44">
        <v>1417</v>
      </c>
      <c r="I84" s="40">
        <v>4.8428326036981399</v>
      </c>
      <c r="J84" s="40">
        <v>48.428326036981396</v>
      </c>
      <c r="K84" s="40">
        <v>78.345381448834829</v>
      </c>
      <c r="L84" s="12">
        <f>K84*J84/100</f>
        <v>37.94135676295847</v>
      </c>
      <c r="M84" s="12">
        <f>D84*$H$49</f>
        <v>116.15999999999998</v>
      </c>
      <c r="N84" s="12">
        <f>J84*E84*$H$49</f>
        <v>107.07502886776587</v>
      </c>
      <c r="O84" s="12">
        <f>L84*E84*$H$49</f>
        <v>83.888339802901172</v>
      </c>
      <c r="Q84" s="11">
        <f>O84/40</f>
        <v>2.0972084950725294</v>
      </c>
      <c r="V84" s="61" t="s">
        <v>223</v>
      </c>
      <c r="W84" s="12">
        <f>'[1]moje analizy'!J125</f>
        <v>548.66666666666663</v>
      </c>
      <c r="X84" s="12">
        <f>'[1]moje analizy'!K125</f>
        <v>3576.6666666666665</v>
      </c>
      <c r="Y84" s="12">
        <f>((C84-X84)/C84)*100</f>
        <v>17.613636363636363</v>
      </c>
      <c r="Z84" s="12">
        <f>'[1]moje analizy'!L125</f>
        <v>35.299999999999997</v>
      </c>
      <c r="AA84" s="12">
        <f>((D84-Z84)/D84)*100</f>
        <v>33.143939393939384</v>
      </c>
      <c r="AB84" s="18">
        <v>0.93300000000000005</v>
      </c>
      <c r="AC84" s="18">
        <v>7.11</v>
      </c>
      <c r="AD84" s="18">
        <v>3575</v>
      </c>
      <c r="AE84" s="12">
        <v>420.2</v>
      </c>
      <c r="AF84" s="18">
        <v>3.4431128085451506</v>
      </c>
      <c r="AG84" s="18">
        <v>34.431128085451512</v>
      </c>
      <c r="AH84" s="12">
        <v>68.973294675882997</v>
      </c>
      <c r="AI84" s="12">
        <f>AH84*AG84/100</f>
        <v>23.748283434609185</v>
      </c>
      <c r="AJ84" s="12">
        <f>Z84*$AC$49</f>
        <v>77.66</v>
      </c>
      <c r="AK84" s="12">
        <f>AG84*AB84*$AC$49</f>
        <v>70.673333508197786</v>
      </c>
      <c r="AL84" s="12">
        <f>AI84*AB84*$AC$49</f>
        <v>48.74572657787882</v>
      </c>
      <c r="AM84" s="12">
        <f>N84-AK84</f>
        <v>36.40169535956808</v>
      </c>
      <c r="AN84" s="12">
        <f>O84-AL84</f>
        <v>35.142613225022352</v>
      </c>
      <c r="AO84" s="12">
        <f>M84-AJ84</f>
        <v>38.499999999999986</v>
      </c>
      <c r="AP84" s="12">
        <f>AN84/O84</f>
        <v>0.41892131025111773</v>
      </c>
      <c r="AQ84" s="12">
        <f>AM84/N84</f>
        <v>0.33996437586323675</v>
      </c>
      <c r="AR84" s="67">
        <v>35.478749067062822</v>
      </c>
      <c r="AS84" s="67">
        <f>AR84</f>
        <v>35.478749067062822</v>
      </c>
      <c r="AT84" s="67">
        <v>19.347626228741373</v>
      </c>
      <c r="AU84" s="67">
        <f>AT84</f>
        <v>19.347626228741373</v>
      </c>
      <c r="AV84" s="45">
        <f>AS84/AN84</f>
        <v>1.0095649074213164</v>
      </c>
      <c r="AW84" s="46">
        <f>AS84/AM84</f>
        <v>0.97464551352928497</v>
      </c>
      <c r="AX84" s="46">
        <f>AS84/AO84</f>
        <v>0.92152594979383984</v>
      </c>
      <c r="AY84" s="46">
        <f>AS84/O84</f>
        <v>0.42292825380048626</v>
      </c>
      <c r="AZ84" s="46">
        <f>AS84/N84</f>
        <v>0.33134475369488725</v>
      </c>
      <c r="BA84" s="46">
        <f>AU84/AN84</f>
        <v>0.55054603096406662</v>
      </c>
      <c r="BB84" s="46">
        <f>AU84/AM84</f>
        <v>0.53150343789292509</v>
      </c>
      <c r="BC84" s="46">
        <f>AU84/AO84</f>
        <v>0.50253574620107477</v>
      </c>
      <c r="BD84" s="46">
        <f>AU84/O84</f>
        <v>0.23063546464501922</v>
      </c>
      <c r="BE84" s="55">
        <f>AU84/N84</f>
        <v>0.18069223453243288</v>
      </c>
    </row>
    <row r="85" spans="1:57" s="17" customFormat="1">
      <c r="A85" s="18" t="s">
        <v>206</v>
      </c>
      <c r="B85" s="18"/>
      <c r="C85" s="18"/>
      <c r="D85" s="18"/>
      <c r="E85" s="13"/>
      <c r="F85" s="12"/>
      <c r="G85" s="12"/>
      <c r="H85" s="44"/>
      <c r="I85" s="44"/>
      <c r="J85" s="44"/>
      <c r="K85" s="44"/>
      <c r="L85" s="12"/>
      <c r="M85" s="18"/>
      <c r="N85" s="12"/>
      <c r="O85" s="18"/>
      <c r="V85" s="61" t="s">
        <v>224</v>
      </c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2"/>
      <c r="AJ85" s="12"/>
      <c r="AK85" s="12"/>
      <c r="AL85" s="12"/>
      <c r="AM85" s="12"/>
      <c r="AN85" s="12"/>
      <c r="AO85" s="12"/>
      <c r="AP85" s="12"/>
      <c r="AQ85" s="12"/>
      <c r="AR85" s="67">
        <v>35.492552209081204</v>
      </c>
      <c r="AS85" s="67"/>
      <c r="AT85" s="67">
        <v>19.355153496178257</v>
      </c>
      <c r="AU85" s="67"/>
      <c r="AV85" s="45"/>
      <c r="AW85" s="46"/>
      <c r="AX85" s="46"/>
      <c r="AY85" s="46"/>
      <c r="AZ85" s="46"/>
      <c r="BA85" s="46"/>
      <c r="BB85" s="46"/>
      <c r="BC85" s="46"/>
      <c r="BD85" s="46"/>
      <c r="BE85" s="55"/>
    </row>
    <row r="86" spans="1:57" s="17" customFormat="1">
      <c r="A86" s="18" t="s">
        <v>207</v>
      </c>
      <c r="B86" s="12"/>
      <c r="C86" s="12"/>
      <c r="D86" s="12"/>
      <c r="E86" s="13"/>
      <c r="F86" s="12"/>
      <c r="G86" s="12"/>
      <c r="H86" s="44"/>
      <c r="I86" s="44"/>
      <c r="J86" s="44"/>
      <c r="K86" s="44"/>
      <c r="L86" s="12"/>
      <c r="M86" s="18"/>
      <c r="N86" s="12"/>
      <c r="O86" s="18"/>
      <c r="V86" s="61" t="s">
        <v>225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2"/>
      <c r="AJ86" s="12"/>
      <c r="AK86" s="12"/>
      <c r="AL86" s="12"/>
      <c r="AM86" s="12"/>
      <c r="AN86" s="12"/>
      <c r="AO86" s="12"/>
      <c r="AP86" s="12"/>
      <c r="AQ86" s="12"/>
      <c r="AR86" s="67">
        <v>35.960252322762081</v>
      </c>
      <c r="AS86" s="67"/>
      <c r="AT86" s="67">
        <v>19.610204399171849</v>
      </c>
      <c r="AU86" s="67"/>
      <c r="AV86" s="45"/>
      <c r="AW86" s="46"/>
      <c r="AX86" s="46"/>
      <c r="AY86" s="46"/>
      <c r="AZ86" s="46"/>
      <c r="BA86" s="46"/>
      <c r="BB86" s="46"/>
      <c r="BC86" s="46"/>
      <c r="BD86" s="46"/>
      <c r="BE86" s="55"/>
    </row>
    <row r="87" spans="1:57" s="17" customFormat="1">
      <c r="A87" s="18" t="s">
        <v>208</v>
      </c>
      <c r="B87" s="12"/>
      <c r="C87" s="12"/>
      <c r="D87" s="12"/>
      <c r="E87" s="13"/>
      <c r="F87" s="12"/>
      <c r="G87" s="12"/>
      <c r="H87" s="44"/>
      <c r="I87" s="44"/>
      <c r="J87" s="44"/>
      <c r="K87" s="44"/>
      <c r="L87" s="12"/>
      <c r="M87" s="18"/>
      <c r="N87" s="12"/>
      <c r="O87" s="18"/>
      <c r="P87" s="18"/>
      <c r="Q87" s="18"/>
      <c r="R87" s="18"/>
      <c r="S87" s="18"/>
      <c r="T87" s="18"/>
      <c r="U87" s="18"/>
      <c r="V87" s="61" t="s">
        <v>226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2"/>
      <c r="AJ87" s="12"/>
      <c r="AK87" s="12"/>
      <c r="AL87" s="12"/>
      <c r="AM87" s="12"/>
      <c r="AN87" s="12"/>
      <c r="AO87" s="12"/>
      <c r="AP87" s="12"/>
      <c r="AQ87" s="12"/>
      <c r="AR87" s="67">
        <v>34.215944153625117</v>
      </c>
      <c r="AS87" s="67"/>
      <c r="AT87" s="67">
        <v>18.658980825296389</v>
      </c>
      <c r="AU87" s="67"/>
      <c r="AV87" s="45"/>
      <c r="AW87" s="46"/>
      <c r="AX87" s="46"/>
      <c r="AY87" s="46"/>
      <c r="AZ87" s="46"/>
      <c r="BA87" s="46"/>
      <c r="BB87" s="46"/>
      <c r="BC87" s="46"/>
      <c r="BD87" s="46"/>
      <c r="BE87" s="55"/>
    </row>
    <row r="88" spans="1:57" s="17" customFormat="1">
      <c r="A88" s="18" t="s">
        <v>209</v>
      </c>
      <c r="B88" s="12">
        <f>'[1]moje analizy'!J47</f>
        <v>2157.6666666666665</v>
      </c>
      <c r="C88" s="12">
        <f>'[1]moje analizy'!K47</f>
        <v>4381</v>
      </c>
      <c r="D88" s="12">
        <f>'[1]moje analizy'!L47</f>
        <v>61.633333333333333</v>
      </c>
      <c r="E88" s="13">
        <v>0.99250000000000005</v>
      </c>
      <c r="F88" s="12">
        <v>5.99</v>
      </c>
      <c r="G88" s="12">
        <v>850</v>
      </c>
      <c r="H88" s="44">
        <v>961.4</v>
      </c>
      <c r="I88" s="40">
        <v>5.3327755439043898</v>
      </c>
      <c r="J88" s="40">
        <v>53.32775543904387</v>
      </c>
      <c r="K88" s="40">
        <v>74.498579808688802</v>
      </c>
      <c r="L88" s="12">
        <f>K88*J88/100</f>
        <v>39.728420445938482</v>
      </c>
      <c r="M88" s="12">
        <f>D88*$H$49</f>
        <v>135.59333333333333</v>
      </c>
      <c r="N88" s="12">
        <f>J88*E88*$H$49</f>
        <v>116.44115400115231</v>
      </c>
      <c r="O88" s="12">
        <f>L88*E88*$H$49</f>
        <v>86.747006043706676</v>
      </c>
      <c r="P88" s="18"/>
      <c r="Q88" s="12">
        <f>O88/40</f>
        <v>2.1686751510926667</v>
      </c>
      <c r="R88" s="18"/>
      <c r="S88" s="18"/>
      <c r="T88" s="18"/>
      <c r="U88" s="18"/>
      <c r="V88" s="61" t="s">
        <v>227</v>
      </c>
      <c r="W88" s="12">
        <f>'[1]moje analizy'!J130</f>
        <v>508</v>
      </c>
      <c r="X88" s="12">
        <f>'[1]moje analizy'!K130</f>
        <v>3394.6666666666665</v>
      </c>
      <c r="Y88" s="12">
        <f>((C88-X88)/C88)*100</f>
        <v>22.513885718633496</v>
      </c>
      <c r="Z88" s="12">
        <f>'[1]moje analizy'!L130</f>
        <v>38.6</v>
      </c>
      <c r="AA88" s="12">
        <f>((D88-Z88)/D88)*100</f>
        <v>37.371552190373173</v>
      </c>
      <c r="AB88" s="18">
        <v>1</v>
      </c>
      <c r="AC88" s="18">
        <v>7.11</v>
      </c>
      <c r="AD88" s="18">
        <v>3575</v>
      </c>
      <c r="AE88" s="18">
        <v>420.2</v>
      </c>
      <c r="AF88" s="18">
        <v>3.1681509058411597</v>
      </c>
      <c r="AG88" s="18">
        <v>31.681509058411596</v>
      </c>
      <c r="AH88" s="12">
        <v>68.393502341061577</v>
      </c>
      <c r="AI88" s="12">
        <f>AH88*AG88/100</f>
        <v>21.668093639548371</v>
      </c>
      <c r="AJ88" s="12">
        <f>Z88*$AC$49</f>
        <v>84.920000000000016</v>
      </c>
      <c r="AK88" s="12">
        <f>AG88*AB88*$AC$49</f>
        <v>69.699319928505517</v>
      </c>
      <c r="AL88" s="12">
        <f>AI88*AB88*$AC$49</f>
        <v>47.669806007006422</v>
      </c>
      <c r="AM88" s="12">
        <f>N88-AK88</f>
        <v>46.741834072646796</v>
      </c>
      <c r="AN88" s="12">
        <f>O88-AL88</f>
        <v>39.077200036700255</v>
      </c>
      <c r="AO88" s="12">
        <f>M88-AJ88</f>
        <v>50.673333333333318</v>
      </c>
      <c r="AP88" s="12">
        <f>AN88/O88</f>
        <v>0.45047318425043475</v>
      </c>
      <c r="AQ88" s="12">
        <f>AM88/N88</f>
        <v>0.40142022357648771</v>
      </c>
      <c r="AR88" s="67">
        <v>34.867394030894488</v>
      </c>
      <c r="AS88" s="67">
        <f>AR88</f>
        <v>34.867394030894488</v>
      </c>
      <c r="AT88" s="67">
        <v>19.014235986867693</v>
      </c>
      <c r="AU88" s="67">
        <f>AT88</f>
        <v>19.014235986867693</v>
      </c>
      <c r="AV88" s="45">
        <f>AS88/AN88</f>
        <v>0.89226950749152878</v>
      </c>
      <c r="AW88" s="46">
        <f>AS88/AM88</f>
        <v>0.74595690825274652</v>
      </c>
      <c r="AX88" s="46">
        <f>AS88/AO88</f>
        <v>0.6880817135421885</v>
      </c>
      <c r="AY88" s="46">
        <f>AS88/O88</f>
        <v>0.40194348624927612</v>
      </c>
      <c r="AZ88" s="46">
        <f>AS88/N88</f>
        <v>0.29944218888924301</v>
      </c>
      <c r="BA88" s="46">
        <f>AU88/AN88</f>
        <v>0.48658133052035546</v>
      </c>
      <c r="BB88" s="46">
        <f>AU88/AM88</f>
        <v>0.40679268077747033</v>
      </c>
      <c r="BC88" s="46">
        <f>AU88/AO88</f>
        <v>0.37523160084596169</v>
      </c>
      <c r="BD88" s="46">
        <f>AU88/O88</f>
        <v>0.21919184135631778</v>
      </c>
      <c r="BE88" s="55">
        <f>AU88/N88</f>
        <v>0.16329480886697093</v>
      </c>
    </row>
    <row r="89" spans="1:57" s="89" customFormat="1">
      <c r="A89" s="89" t="s">
        <v>191</v>
      </c>
      <c r="B89" s="90">
        <f t="shared" ref="B89:O89" si="10">AVERAGE(B52:B88)</f>
        <v>1780.2727272727273</v>
      </c>
      <c r="C89" s="90">
        <f t="shared" si="10"/>
        <v>3842.1515151515155</v>
      </c>
      <c r="D89" s="90">
        <f t="shared" si="10"/>
        <v>55.706060606060603</v>
      </c>
      <c r="E89" s="90">
        <f t="shared" si="10"/>
        <v>1.0021363636363636</v>
      </c>
      <c r="F89" s="90">
        <f t="shared" si="10"/>
        <v>5.664545454545455</v>
      </c>
      <c r="G89" s="90">
        <f t="shared" si="10"/>
        <v>859.09090909090912</v>
      </c>
      <c r="H89" s="90">
        <f t="shared" si="10"/>
        <v>1278.4909090909091</v>
      </c>
      <c r="I89" s="90">
        <f t="shared" si="10"/>
        <v>4.6888529384963213</v>
      </c>
      <c r="J89" s="90">
        <f t="shared" si="10"/>
        <v>46.888529384963206</v>
      </c>
      <c r="K89" s="90">
        <f t="shared" si="10"/>
        <v>76.607652600478687</v>
      </c>
      <c r="L89" s="90">
        <f t="shared" si="10"/>
        <v>35.934629367272009</v>
      </c>
      <c r="M89" s="90">
        <f t="shared" si="10"/>
        <v>122.55333333333337</v>
      </c>
      <c r="N89" s="90">
        <f t="shared" si="10"/>
        <v>103.4905250043554</v>
      </c>
      <c r="O89" s="90">
        <f t="shared" si="10"/>
        <v>79.322912511802627</v>
      </c>
      <c r="P89" s="90"/>
      <c r="Q89" s="90">
        <f>AVERAGE(Q52:Q88)</f>
        <v>1.9830728127950659</v>
      </c>
      <c r="R89" s="90"/>
      <c r="S89" s="90"/>
      <c r="T89" s="90"/>
      <c r="U89" s="90"/>
      <c r="V89" s="89" t="s">
        <v>191</v>
      </c>
      <c r="W89" s="90">
        <f t="shared" ref="W89:BE89" si="11">AVERAGE(W52:W88)</f>
        <v>570.90909090909099</v>
      </c>
      <c r="X89" s="90">
        <f t="shared" si="11"/>
        <v>3698.6363636363631</v>
      </c>
      <c r="Y89" s="90">
        <f t="shared" si="11"/>
        <v>2.6452370018084608</v>
      </c>
      <c r="Z89" s="90">
        <f t="shared" si="11"/>
        <v>34.56363636363637</v>
      </c>
      <c r="AA89" s="90">
        <f t="shared" si="11"/>
        <v>37.391668539590455</v>
      </c>
      <c r="AB89" s="90">
        <f t="shared" si="11"/>
        <v>0.98330909090909091</v>
      </c>
      <c r="AC89" s="90">
        <f t="shared" si="11"/>
        <v>7.3190909090909084</v>
      </c>
      <c r="AD89" s="90">
        <f t="shared" si="11"/>
        <v>3525</v>
      </c>
      <c r="AE89" s="90">
        <f t="shared" si="11"/>
        <v>451.84545454545446</v>
      </c>
      <c r="AF89" s="90">
        <f t="shared" si="11"/>
        <v>3.3830978351766721</v>
      </c>
      <c r="AG89" s="90">
        <f t="shared" si="11"/>
        <v>33.83097835176671</v>
      </c>
      <c r="AH89" s="90">
        <f t="shared" si="11"/>
        <v>68.46614355689762</v>
      </c>
      <c r="AI89" s="90">
        <f t="shared" si="11"/>
        <v>23.179690172820582</v>
      </c>
      <c r="AJ89" s="90">
        <f t="shared" si="11"/>
        <v>76.040000000000006</v>
      </c>
      <c r="AK89" s="90">
        <f t="shared" si="11"/>
        <v>73.167503570862223</v>
      </c>
      <c r="AL89" s="90">
        <f t="shared" si="11"/>
        <v>50.123002329956215</v>
      </c>
      <c r="AM89" s="90">
        <f t="shared" si="11"/>
        <v>30.323021433493185</v>
      </c>
      <c r="AN89" s="90">
        <f t="shared" si="11"/>
        <v>29.19991018184642</v>
      </c>
      <c r="AO89" s="90">
        <f t="shared" si="11"/>
        <v>46.513333333333328</v>
      </c>
      <c r="AP89" s="90">
        <f t="shared" si="11"/>
        <v>0.36065107453750256</v>
      </c>
      <c r="AQ89" s="90">
        <f t="shared" si="11"/>
        <v>0.28397842370113646</v>
      </c>
      <c r="AR89" s="90">
        <f t="shared" si="11"/>
        <v>38.409741387014918</v>
      </c>
      <c r="AS89" s="90">
        <f t="shared" si="11"/>
        <v>38.610981625157486</v>
      </c>
      <c r="AT89" s="90">
        <f t="shared" si="11"/>
        <v>21.008309553336339</v>
      </c>
      <c r="AU89" s="90">
        <f t="shared" si="11"/>
        <v>21.139177263563891</v>
      </c>
      <c r="AV89" s="91">
        <f t="shared" si="11"/>
        <v>1.5281567182191402</v>
      </c>
      <c r="AW89" s="92">
        <f t="shared" si="11"/>
        <v>1.6436310335923998</v>
      </c>
      <c r="AX89" s="92">
        <f t="shared" si="11"/>
        <v>0.90312509227033755</v>
      </c>
      <c r="AY89" s="92">
        <f t="shared" si="11"/>
        <v>0.49503569733663322</v>
      </c>
      <c r="AZ89" s="92">
        <f t="shared" si="11"/>
        <v>0.37876385820633307</v>
      </c>
      <c r="BA89" s="92">
        <f t="shared" si="11"/>
        <v>0.83570844369075947</v>
      </c>
      <c r="BB89" s="92">
        <f t="shared" si="11"/>
        <v>0.89863751922784374</v>
      </c>
      <c r="BC89" s="92">
        <f t="shared" si="11"/>
        <v>0.49477210214874245</v>
      </c>
      <c r="BD89" s="92">
        <f t="shared" si="11"/>
        <v>0.27094458858515497</v>
      </c>
      <c r="BE89" s="93">
        <f t="shared" si="11"/>
        <v>0.20729825840673391</v>
      </c>
    </row>
    <row r="90" spans="1:57" s="18" customFormat="1">
      <c r="A90" s="14" t="s">
        <v>255</v>
      </c>
      <c r="B90" s="12">
        <f>STDEV(B52:B88)</f>
        <v>222.94168735253527</v>
      </c>
      <c r="C90" s="12">
        <f t="shared" ref="C90:AU90" si="12">STDEV(C52:C88)</f>
        <v>389.28924874945466</v>
      </c>
      <c r="D90" s="12">
        <f t="shared" si="12"/>
        <v>4.8190321338492597</v>
      </c>
      <c r="E90" s="12">
        <f t="shared" si="12"/>
        <v>1.4242701480215909E-2</v>
      </c>
      <c r="F90" s="12">
        <f t="shared" si="12"/>
        <v>0.16108157165634859</v>
      </c>
      <c r="G90" s="12">
        <f t="shared" si="12"/>
        <v>58.387420812114293</v>
      </c>
      <c r="H90" s="12">
        <f t="shared" si="12"/>
        <v>201.84125175268559</v>
      </c>
      <c r="I90" s="12">
        <f t="shared" si="12"/>
        <v>0.51983979396394553</v>
      </c>
      <c r="J90" s="12">
        <f t="shared" si="12"/>
        <v>5.1983979396394009</v>
      </c>
      <c r="K90" s="12">
        <f t="shared" si="12"/>
        <v>1.643358177587747</v>
      </c>
      <c r="L90" s="12">
        <f t="shared" si="12"/>
        <v>4.1268141854746601</v>
      </c>
      <c r="M90" s="12">
        <f t="shared" si="12"/>
        <v>10.601870694467818</v>
      </c>
      <c r="N90" s="12">
        <f t="shared" si="12"/>
        <v>12.414263126517461</v>
      </c>
      <c r="O90" s="12">
        <f t="shared" si="12"/>
        <v>9.8706348779860686</v>
      </c>
      <c r="P90" s="12"/>
      <c r="Q90" s="12">
        <f>STDEV(Q52:Q88)</f>
        <v>0.2467658719496508</v>
      </c>
      <c r="R90" s="12"/>
      <c r="S90" s="12"/>
      <c r="T90" s="12"/>
      <c r="U90" s="12"/>
      <c r="V90" s="12" t="s">
        <v>255</v>
      </c>
      <c r="W90" s="12">
        <f t="shared" si="12"/>
        <v>35.161244734977451</v>
      </c>
      <c r="X90" s="12">
        <f t="shared" si="12"/>
        <v>232.25204003627479</v>
      </c>
      <c r="Y90" s="12">
        <f t="shared" si="12"/>
        <v>13.146941074587405</v>
      </c>
      <c r="Z90" s="12">
        <f t="shared" si="12"/>
        <v>3.5756104232689592</v>
      </c>
      <c r="AA90" s="12">
        <f t="shared" si="12"/>
        <v>9.0565905091084069</v>
      </c>
      <c r="AB90" s="12">
        <f t="shared" si="12"/>
        <v>1.7990856263416389E-2</v>
      </c>
      <c r="AC90" s="12">
        <f t="shared" si="12"/>
        <v>0.21101917189940669</v>
      </c>
      <c r="AD90" s="12">
        <f t="shared" si="12"/>
        <v>69.821200218844709</v>
      </c>
      <c r="AE90" s="12">
        <f t="shared" si="12"/>
        <v>305.01691875578445</v>
      </c>
      <c r="AF90" s="12">
        <f t="shared" si="12"/>
        <v>0.18282269952531138</v>
      </c>
      <c r="AG90" s="12">
        <f t="shared" si="12"/>
        <v>1.8282269952531558</v>
      </c>
      <c r="AH90" s="12">
        <f t="shared" si="12"/>
        <v>3.0152593449805476</v>
      </c>
      <c r="AI90" s="12">
        <f t="shared" si="12"/>
        <v>1.8316487959509942</v>
      </c>
      <c r="AJ90" s="12">
        <f t="shared" si="12"/>
        <v>7.8663429311918165</v>
      </c>
      <c r="AK90" s="12">
        <f t="shared" si="12"/>
        <v>3.8362597211793239</v>
      </c>
      <c r="AL90" s="12">
        <f t="shared" si="12"/>
        <v>3.8046361702162366</v>
      </c>
      <c r="AM90" s="12">
        <f t="shared" si="12"/>
        <v>11.307362253182731</v>
      </c>
      <c r="AN90" s="12">
        <f t="shared" si="12"/>
        <v>8.4927309445393941</v>
      </c>
      <c r="AO90" s="12">
        <f t="shared" si="12"/>
        <v>15.440005181346285</v>
      </c>
      <c r="AP90" s="12">
        <f t="shared" si="12"/>
        <v>7.8479092854615004E-2</v>
      </c>
      <c r="AQ90" s="12">
        <f t="shared" si="12"/>
        <v>8.8273928269062968E-2</v>
      </c>
      <c r="AR90" s="12">
        <f t="shared" si="12"/>
        <v>2.3850415329011461</v>
      </c>
      <c r="AS90" s="12">
        <f t="shared" si="12"/>
        <v>2.5226001916889822</v>
      </c>
      <c r="AT90" s="12">
        <f t="shared" si="12"/>
        <v>1.3696213673866069</v>
      </c>
      <c r="AU90" s="12">
        <f t="shared" si="12"/>
        <v>1.448301754765785</v>
      </c>
      <c r="AV90" s="61">
        <f t="shared" ref="AV90:BE90" si="13">STDEV(AV52:AV88)</f>
        <v>0.82798664701161129</v>
      </c>
      <c r="AW90" s="40">
        <f t="shared" si="13"/>
        <v>1.1490920070142869</v>
      </c>
      <c r="AX90" s="40">
        <f t="shared" si="13"/>
        <v>0.26617231239501588</v>
      </c>
      <c r="AY90" s="40">
        <f t="shared" si="13"/>
        <v>7.8771661974419163E-2</v>
      </c>
      <c r="AZ90" s="40">
        <f t="shared" si="13"/>
        <v>5.6670714687199829E-2</v>
      </c>
      <c r="BA90" s="40">
        <f t="shared" si="13"/>
        <v>0.44819264854706997</v>
      </c>
      <c r="BB90" s="40">
        <f t="shared" si="13"/>
        <v>0.62466298292535916</v>
      </c>
      <c r="BC90" s="40">
        <f t="shared" si="13"/>
        <v>0.14741326274706609</v>
      </c>
      <c r="BD90" s="40">
        <f t="shared" si="13"/>
        <v>4.2746646530452119E-2</v>
      </c>
      <c r="BE90" s="85">
        <f t="shared" si="13"/>
        <v>3.0667634280198575E-2</v>
      </c>
    </row>
    <row r="91" spans="1:57" s="18" customFormat="1">
      <c r="A91" s="14" t="s">
        <v>254</v>
      </c>
      <c r="B91" s="12">
        <f>CONFIDENCE(0.05,B90,11)</f>
        <v>131.74769697621866</v>
      </c>
      <c r="C91" s="12">
        <f t="shared" ref="C91:AU91" si="14">CONFIDENCE(0.05,C90,11)</f>
        <v>230.05101732831989</v>
      </c>
      <c r="D91" s="12">
        <f t="shared" si="14"/>
        <v>2.8478136719449783</v>
      </c>
      <c r="E91" s="12">
        <f t="shared" si="14"/>
        <v>8.416744042001564E-3</v>
      </c>
      <c r="F91" s="12">
        <f t="shared" si="14"/>
        <v>9.5191376467315195E-2</v>
      </c>
      <c r="G91" s="12">
        <f t="shared" si="14"/>
        <v>34.504126687681683</v>
      </c>
      <c r="H91" s="12">
        <f t="shared" si="14"/>
        <v>119.2783655179018</v>
      </c>
      <c r="I91" s="12">
        <f t="shared" si="14"/>
        <v>0.30720004169988629</v>
      </c>
      <c r="J91" s="12">
        <f t="shared" si="14"/>
        <v>3.0720004169988306</v>
      </c>
      <c r="K91" s="12">
        <f t="shared" si="14"/>
        <v>0.97114477680371492</v>
      </c>
      <c r="L91" s="12">
        <f t="shared" si="14"/>
        <v>2.438746522651603</v>
      </c>
      <c r="M91" s="12">
        <f t="shared" si="14"/>
        <v>6.265190078278625</v>
      </c>
      <c r="N91" s="12">
        <f t="shared" si="14"/>
        <v>7.3362258803988913</v>
      </c>
      <c r="O91" s="12">
        <f t="shared" si="14"/>
        <v>5.8330652661269342</v>
      </c>
      <c r="P91" s="12"/>
      <c r="Q91" s="12">
        <f>CONFIDENCE(0.05,Q90,11)</f>
        <v>0.14582663165317281</v>
      </c>
      <c r="R91" s="12"/>
      <c r="S91" s="12"/>
      <c r="T91" s="12"/>
      <c r="U91" s="12"/>
      <c r="V91" s="12" t="s">
        <v>254</v>
      </c>
      <c r="W91" s="12">
        <f t="shared" si="14"/>
        <v>20.778585968649679</v>
      </c>
      <c r="X91" s="12">
        <f t="shared" si="14"/>
        <v>137.24966270853773</v>
      </c>
      <c r="Y91" s="12">
        <f t="shared" si="14"/>
        <v>7.7692029221974357</v>
      </c>
      <c r="Z91" s="12">
        <f t="shared" si="14"/>
        <v>2.1130119007529382</v>
      </c>
      <c r="AA91" s="12">
        <f t="shared" si="14"/>
        <v>5.352004625967246</v>
      </c>
      <c r="AB91" s="12">
        <f t="shared" si="14"/>
        <v>1.0631721269729298E-2</v>
      </c>
      <c r="AC91" s="12">
        <f t="shared" si="14"/>
        <v>0.12470207006020258</v>
      </c>
      <c r="AD91" s="12">
        <f t="shared" si="14"/>
        <v>41.260934364430064</v>
      </c>
      <c r="AE91" s="12">
        <f t="shared" si="14"/>
        <v>180.25016793432832</v>
      </c>
      <c r="AF91" s="12">
        <f t="shared" si="14"/>
        <v>0.10803932590385094</v>
      </c>
      <c r="AG91" s="12">
        <f t="shared" si="14"/>
        <v>1.0803932590385343</v>
      </c>
      <c r="AH91" s="12">
        <f t="shared" si="14"/>
        <v>1.7818716598257203</v>
      </c>
      <c r="AI91" s="12">
        <f t="shared" si="14"/>
        <v>1.0824153768703551</v>
      </c>
      <c r="AJ91" s="12">
        <f t="shared" si="14"/>
        <v>4.6486261816565273</v>
      </c>
      <c r="AK91" s="12">
        <f t="shared" si="14"/>
        <v>2.2670429620853909</v>
      </c>
      <c r="AL91" s="12">
        <f t="shared" si="14"/>
        <v>2.2483549811201771</v>
      </c>
      <c r="AM91" s="12">
        <f t="shared" si="14"/>
        <v>6.6821012858711137</v>
      </c>
      <c r="AN91" s="12">
        <f t="shared" si="14"/>
        <v>5.0187910402437685</v>
      </c>
      <c r="AO91" s="12">
        <f t="shared" si="14"/>
        <v>9.1242923120368324</v>
      </c>
      <c r="AP91" s="12">
        <f t="shared" si="14"/>
        <v>4.6377327933419206E-2</v>
      </c>
      <c r="AQ91" s="12">
        <f t="shared" si="14"/>
        <v>5.2165599402245293E-2</v>
      </c>
      <c r="AR91" s="12">
        <f t="shared" si="14"/>
        <v>1.4094435764069448</v>
      </c>
      <c r="AS91" s="12">
        <f t="shared" si="14"/>
        <v>1.490734055139965</v>
      </c>
      <c r="AT91" s="12">
        <f t="shared" si="14"/>
        <v>0.80937963207065033</v>
      </c>
      <c r="AU91" s="12">
        <f t="shared" si="14"/>
        <v>0.8558759152804023</v>
      </c>
      <c r="AV91" s="61">
        <f t="shared" ref="AV91:BE91" si="15">CONFIDENCE(0.05,AV90,11)</f>
        <v>0.48929984861173875</v>
      </c>
      <c r="AW91" s="40">
        <f t="shared" si="15"/>
        <v>0.679057503043482</v>
      </c>
      <c r="AX91" s="40">
        <f t="shared" si="15"/>
        <v>0.15729489434349694</v>
      </c>
      <c r="AY91" s="40">
        <f t="shared" si="15"/>
        <v>4.6550222057431138E-2</v>
      </c>
      <c r="AZ91" s="40">
        <f t="shared" si="15"/>
        <v>3.348963684045627E-2</v>
      </c>
      <c r="BA91" s="40">
        <f t="shared" si="15"/>
        <v>0.26486006250762667</v>
      </c>
      <c r="BB91" s="40">
        <f t="shared" si="15"/>
        <v>0.36914544948506772</v>
      </c>
      <c r="BC91" s="40">
        <f t="shared" si="15"/>
        <v>8.711407050564475E-2</v>
      </c>
      <c r="BD91" s="40">
        <f t="shared" si="15"/>
        <v>2.5261189599494124E-2</v>
      </c>
      <c r="BE91" s="85">
        <f t="shared" si="15"/>
        <v>1.8123080685830073E-2</v>
      </c>
    </row>
    <row r="92" spans="1:57" s="18" customFormat="1">
      <c r="A92" s="14" t="s">
        <v>41</v>
      </c>
      <c r="B92" s="12">
        <f t="shared" ref="B92:AT92" si="16">B89+B91</f>
        <v>1912.0204242489458</v>
      </c>
      <c r="C92" s="12">
        <f t="shared" si="16"/>
        <v>4072.2025324798356</v>
      </c>
      <c r="D92" s="12">
        <f t="shared" si="16"/>
        <v>58.55387427800558</v>
      </c>
      <c r="E92" s="12">
        <f t="shared" si="16"/>
        <v>1.0105531076783651</v>
      </c>
      <c r="F92" s="12">
        <f t="shared" si="16"/>
        <v>5.7597368310127699</v>
      </c>
      <c r="G92" s="12">
        <f t="shared" si="16"/>
        <v>893.59503577859084</v>
      </c>
      <c r="H92" s="12">
        <f t="shared" si="16"/>
        <v>1397.769274608811</v>
      </c>
      <c r="I92" s="12">
        <f t="shared" si="16"/>
        <v>4.9960529801962075</v>
      </c>
      <c r="J92" s="12">
        <f t="shared" si="16"/>
        <v>49.960529801962039</v>
      </c>
      <c r="K92" s="12">
        <f t="shared" si="16"/>
        <v>77.578797377282399</v>
      </c>
      <c r="L92" s="12">
        <f t="shared" si="16"/>
        <v>38.373375889923615</v>
      </c>
      <c r="M92" s="12">
        <f t="shared" si="16"/>
        <v>128.81852341161201</v>
      </c>
      <c r="N92" s="12">
        <f t="shared" si="16"/>
        <v>110.82675088475429</v>
      </c>
      <c r="O92" s="12">
        <f t="shared" si="16"/>
        <v>85.155977777929564</v>
      </c>
      <c r="P92" s="12"/>
      <c r="Q92" s="12">
        <f>Q89+Q91</f>
        <v>2.1288994444482388</v>
      </c>
      <c r="R92" s="12"/>
      <c r="S92" s="12"/>
      <c r="T92" s="12"/>
      <c r="U92" s="12"/>
      <c r="V92" s="12" t="s">
        <v>41</v>
      </c>
      <c r="W92" s="12">
        <f t="shared" si="16"/>
        <v>591.68767687774061</v>
      </c>
      <c r="X92" s="12">
        <f t="shared" si="16"/>
        <v>3835.886026344901</v>
      </c>
      <c r="Y92" s="12"/>
      <c r="Z92" s="12">
        <f t="shared" si="16"/>
        <v>36.676648264389307</v>
      </c>
      <c r="AA92" s="12"/>
      <c r="AB92" s="12">
        <f t="shared" si="16"/>
        <v>0.99394081217882024</v>
      </c>
      <c r="AC92" s="12">
        <f t="shared" si="16"/>
        <v>7.4437929791511106</v>
      </c>
      <c r="AD92" s="12">
        <f t="shared" si="16"/>
        <v>3566.2609343644299</v>
      </c>
      <c r="AE92" s="12">
        <f t="shared" si="16"/>
        <v>632.09562247978283</v>
      </c>
      <c r="AF92" s="12">
        <f t="shared" si="16"/>
        <v>3.4911371610805229</v>
      </c>
      <c r="AG92" s="12">
        <f t="shared" si="16"/>
        <v>34.911371610805247</v>
      </c>
      <c r="AH92" s="12">
        <f t="shared" si="16"/>
        <v>70.248015216723346</v>
      </c>
      <c r="AI92" s="12">
        <f t="shared" si="16"/>
        <v>24.262105549690936</v>
      </c>
      <c r="AJ92" s="12">
        <f t="shared" si="16"/>
        <v>80.688626181656531</v>
      </c>
      <c r="AK92" s="12">
        <f t="shared" si="16"/>
        <v>75.434546532947621</v>
      </c>
      <c r="AL92" s="12">
        <f t="shared" si="16"/>
        <v>52.371357311076395</v>
      </c>
      <c r="AM92" s="12">
        <f t="shared" si="16"/>
        <v>37.005122719364302</v>
      </c>
      <c r="AN92" s="12">
        <f t="shared" si="16"/>
        <v>34.218701222090189</v>
      </c>
      <c r="AO92" s="12">
        <f t="shared" si="16"/>
        <v>55.637625645370164</v>
      </c>
      <c r="AP92" s="12">
        <f t="shared" si="16"/>
        <v>0.40702840247092176</v>
      </c>
      <c r="AQ92" s="12">
        <f t="shared" si="16"/>
        <v>0.33614402310338176</v>
      </c>
      <c r="AR92" s="12">
        <f t="shared" si="16"/>
        <v>39.819184963421861</v>
      </c>
      <c r="AS92" s="12">
        <f t="shared" si="16"/>
        <v>40.101715680297453</v>
      </c>
      <c r="AT92" s="12">
        <f t="shared" si="16"/>
        <v>21.817689185406991</v>
      </c>
      <c r="AU92" s="12">
        <f t="shared" ref="AU92:BE92" si="17">AU89+AU91</f>
        <v>21.995053178844294</v>
      </c>
      <c r="AV92" s="61">
        <f t="shared" si="17"/>
        <v>2.0174565668308788</v>
      </c>
      <c r="AW92" s="40">
        <f t="shared" si="17"/>
        <v>2.3226885366358818</v>
      </c>
      <c r="AX92" s="40">
        <f t="shared" si="17"/>
        <v>1.0604199866138344</v>
      </c>
      <c r="AY92" s="40">
        <f t="shared" si="17"/>
        <v>0.54158591939406431</v>
      </c>
      <c r="AZ92" s="40">
        <f t="shared" si="17"/>
        <v>0.41225349504678932</v>
      </c>
      <c r="BA92" s="40">
        <f t="shared" si="17"/>
        <v>1.1005685061983861</v>
      </c>
      <c r="BB92" s="40">
        <f t="shared" si="17"/>
        <v>1.2677829687129114</v>
      </c>
      <c r="BC92" s="40">
        <f t="shared" si="17"/>
        <v>0.58188617265438725</v>
      </c>
      <c r="BD92" s="40">
        <f t="shared" si="17"/>
        <v>0.2962057781846491</v>
      </c>
      <c r="BE92" s="85">
        <f t="shared" si="17"/>
        <v>0.22542133909256398</v>
      </c>
    </row>
    <row r="93" spans="1:57" s="18" customFormat="1">
      <c r="A93" s="18" t="s">
        <v>42</v>
      </c>
      <c r="B93" s="12">
        <f>B89-B91</f>
        <v>1648.5250302965087</v>
      </c>
      <c r="C93" s="12">
        <f t="shared" ref="C93:AU93" si="18">C89-C91</f>
        <v>3612.1004978231954</v>
      </c>
      <c r="D93" s="12">
        <f t="shared" si="18"/>
        <v>52.858246934115627</v>
      </c>
      <c r="E93" s="12">
        <f t="shared" si="18"/>
        <v>0.99371961959436206</v>
      </c>
      <c r="F93" s="12">
        <f t="shared" si="18"/>
        <v>5.5693540780781401</v>
      </c>
      <c r="G93" s="12">
        <f t="shared" si="18"/>
        <v>824.5867824032274</v>
      </c>
      <c r="H93" s="12">
        <f t="shared" si="18"/>
        <v>1159.2125435730072</v>
      </c>
      <c r="I93" s="12">
        <f t="shared" si="18"/>
        <v>4.3816528967964352</v>
      </c>
      <c r="J93" s="12">
        <f t="shared" si="18"/>
        <v>43.816528967964373</v>
      </c>
      <c r="K93" s="12">
        <f t="shared" si="18"/>
        <v>75.636507823674975</v>
      </c>
      <c r="L93" s="12">
        <f t="shared" si="18"/>
        <v>33.495882844620404</v>
      </c>
      <c r="M93" s="12">
        <f t="shared" si="18"/>
        <v>116.28814325505475</v>
      </c>
      <c r="N93" s="12">
        <f t="shared" si="18"/>
        <v>96.15429912395652</v>
      </c>
      <c r="O93" s="12">
        <f t="shared" si="18"/>
        <v>73.489847245675691</v>
      </c>
      <c r="P93" s="12"/>
      <c r="Q93" s="12">
        <f>Q89-Q91</f>
        <v>1.837246181141893</v>
      </c>
      <c r="R93" s="12"/>
      <c r="S93" s="12"/>
      <c r="T93" s="12"/>
      <c r="U93" s="12"/>
      <c r="V93" s="12" t="s">
        <v>42</v>
      </c>
      <c r="W93" s="12">
        <f t="shared" si="18"/>
        <v>550.13050494044137</v>
      </c>
      <c r="X93" s="12">
        <f t="shared" si="18"/>
        <v>3561.3867009278251</v>
      </c>
      <c r="Y93" s="12"/>
      <c r="Z93" s="12">
        <f t="shared" si="18"/>
        <v>32.450624462883432</v>
      </c>
      <c r="AA93" s="12"/>
      <c r="AB93" s="12">
        <f t="shared" si="18"/>
        <v>0.97267736963936158</v>
      </c>
      <c r="AC93" s="12">
        <f t="shared" si="18"/>
        <v>7.1943888390307063</v>
      </c>
      <c r="AD93" s="12">
        <f t="shared" si="18"/>
        <v>3483.7390656355701</v>
      </c>
      <c r="AE93" s="12">
        <f t="shared" si="18"/>
        <v>271.59528661112614</v>
      </c>
      <c r="AF93" s="12">
        <f t="shared" si="18"/>
        <v>3.2750585092728213</v>
      </c>
      <c r="AG93" s="12">
        <f t="shared" si="18"/>
        <v>32.750585092728173</v>
      </c>
      <c r="AH93" s="12">
        <f t="shared" si="18"/>
        <v>66.684271897071895</v>
      </c>
      <c r="AI93" s="12">
        <f t="shared" si="18"/>
        <v>22.097274795950227</v>
      </c>
      <c r="AJ93" s="12">
        <f t="shared" si="18"/>
        <v>71.391373818343482</v>
      </c>
      <c r="AK93" s="12">
        <f t="shared" si="18"/>
        <v>70.900460608776825</v>
      </c>
      <c r="AL93" s="12">
        <f t="shared" si="18"/>
        <v>47.874647348836035</v>
      </c>
      <c r="AM93" s="12">
        <f t="shared" si="18"/>
        <v>23.640920147622072</v>
      </c>
      <c r="AN93" s="12">
        <f t="shared" si="18"/>
        <v>24.18111914160265</v>
      </c>
      <c r="AO93" s="12">
        <f t="shared" si="18"/>
        <v>37.389041021296492</v>
      </c>
      <c r="AP93" s="12">
        <f t="shared" si="18"/>
        <v>0.31427374660408336</v>
      </c>
      <c r="AQ93" s="12">
        <f t="shared" si="18"/>
        <v>0.23181282429889116</v>
      </c>
      <c r="AR93" s="12">
        <f t="shared" si="18"/>
        <v>37.000297810607975</v>
      </c>
      <c r="AS93" s="12">
        <f t="shared" si="18"/>
        <v>37.120247570017519</v>
      </c>
      <c r="AT93" s="12">
        <f t="shared" si="18"/>
        <v>20.198929921265687</v>
      </c>
      <c r="AU93" s="12">
        <f t="shared" si="18"/>
        <v>20.283301348283487</v>
      </c>
      <c r="AV93" s="61">
        <f t="shared" ref="AV93:BE93" si="19">AV89-AV91</f>
        <v>1.0388568696074014</v>
      </c>
      <c r="AW93" s="40">
        <f t="shared" si="19"/>
        <v>0.96457353054891781</v>
      </c>
      <c r="AX93" s="40">
        <f t="shared" si="19"/>
        <v>0.74583019792684058</v>
      </c>
      <c r="AY93" s="40">
        <f t="shared" si="19"/>
        <v>0.44848547527920207</v>
      </c>
      <c r="AZ93" s="40">
        <f t="shared" si="19"/>
        <v>0.34527422136587682</v>
      </c>
      <c r="BA93" s="40">
        <f t="shared" si="19"/>
        <v>0.57084838118313286</v>
      </c>
      <c r="BB93" s="40">
        <f t="shared" si="19"/>
        <v>0.52949206974277607</v>
      </c>
      <c r="BC93" s="40">
        <f t="shared" si="19"/>
        <v>0.40765803164309772</v>
      </c>
      <c r="BD93" s="40">
        <f t="shared" si="19"/>
        <v>0.24568339898566083</v>
      </c>
      <c r="BE93" s="85">
        <f t="shared" si="19"/>
        <v>0.18917517772090384</v>
      </c>
    </row>
    <row r="94" spans="1:57">
      <c r="P94" s="62"/>
      <c r="Q94" s="62"/>
      <c r="R94" s="62"/>
      <c r="S94" s="62"/>
      <c r="T94" s="62"/>
      <c r="U94" s="62"/>
    </row>
    <row r="95" spans="1:57">
      <c r="P95" s="62"/>
      <c r="Q95" s="62"/>
      <c r="R95" s="62"/>
      <c r="S95" s="62"/>
      <c r="T95" s="62"/>
      <c r="U95" s="62"/>
    </row>
    <row r="96" spans="1:57">
      <c r="P96" s="62"/>
      <c r="Q96" s="62"/>
      <c r="R96" s="62"/>
      <c r="S96" s="62"/>
      <c r="T96" s="62"/>
      <c r="U96" s="62"/>
    </row>
  </sheetData>
  <mergeCells count="13">
    <mergeCell ref="BA2:BE2"/>
    <mergeCell ref="B48:D48"/>
    <mergeCell ref="W48:Z48"/>
    <mergeCell ref="B49:D49"/>
    <mergeCell ref="W49:Z49"/>
    <mergeCell ref="AV49:AZ49"/>
    <mergeCell ref="BA49:BE49"/>
    <mergeCell ref="B1:S1"/>
    <mergeCell ref="W1:Z1"/>
    <mergeCell ref="AE1:AZ1"/>
    <mergeCell ref="B2:D2"/>
    <mergeCell ref="W2:Z2"/>
    <mergeCell ref="AV2:AZ2"/>
  </mergeCells>
  <pageMargins left="0.7" right="0.7" top="0.75" bottom="0.75" header="0.3" footer="0.3"/>
  <pageSetup paperSize="9" scale="1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Q37"/>
  <sheetViews>
    <sheetView view="pageBreakPreview" zoomScale="60" zoomScaleNormal="85" workbookViewId="0">
      <selection activeCell="M7" sqref="M7"/>
    </sheetView>
  </sheetViews>
  <sheetFormatPr defaultRowHeight="15"/>
  <cols>
    <col min="3" max="3" width="11.85546875" customWidth="1"/>
    <col min="5" max="5" width="12.7109375" customWidth="1"/>
    <col min="7" max="7" width="19.5703125" customWidth="1"/>
    <col min="9" max="9" width="15.7109375" customWidth="1"/>
  </cols>
  <sheetData>
    <row r="5" spans="2:17">
      <c r="G5" s="6" t="s">
        <v>19</v>
      </c>
      <c r="H5" s="5" t="s">
        <v>16</v>
      </c>
      <c r="I5" s="5" t="s">
        <v>4</v>
      </c>
      <c r="J5" s="5" t="s">
        <v>5</v>
      </c>
      <c r="K5" s="5" t="s">
        <v>6</v>
      </c>
      <c r="L5" s="5" t="s">
        <v>7</v>
      </c>
    </row>
    <row r="6" spans="2:17" ht="30">
      <c r="G6" s="6" t="s">
        <v>20</v>
      </c>
      <c r="H6" s="5" t="s">
        <v>21</v>
      </c>
      <c r="I6" s="9">
        <v>7.5999999999999998E-2</v>
      </c>
      <c r="J6" s="9">
        <v>5.9741948094495553E-2</v>
      </c>
      <c r="K6" s="9">
        <v>7.8E-2</v>
      </c>
      <c r="L6" s="9">
        <v>5.1041188791808523E-2</v>
      </c>
    </row>
    <row r="7" spans="2:17" ht="30">
      <c r="G7" s="6" t="s">
        <v>22</v>
      </c>
      <c r="H7" s="5" t="s">
        <v>23</v>
      </c>
      <c r="I7" s="7">
        <v>24.32</v>
      </c>
      <c r="J7" s="7">
        <v>36.28967262376861</v>
      </c>
      <c r="K7" s="7">
        <v>33.119999999999997</v>
      </c>
      <c r="L7" s="7">
        <v>54.825309477389929</v>
      </c>
    </row>
    <row r="8" spans="2:17" ht="30">
      <c r="G8" s="6" t="s">
        <v>24</v>
      </c>
      <c r="H8" s="5" t="s">
        <v>25</v>
      </c>
      <c r="I8" s="8">
        <v>0.99924999999999997</v>
      </c>
      <c r="J8" s="8">
        <v>0.99968000000000001</v>
      </c>
      <c r="K8" s="8">
        <v>0.99968000000000001</v>
      </c>
      <c r="L8" s="8">
        <v>0.99990000000000001</v>
      </c>
    </row>
    <row r="10" spans="2:17">
      <c r="B10" s="150" t="s">
        <v>4</v>
      </c>
      <c r="C10" s="150"/>
      <c r="D10" t="s">
        <v>26</v>
      </c>
      <c r="F10" s="150" t="s">
        <v>5</v>
      </c>
      <c r="G10" s="150"/>
      <c r="J10" s="150" t="s">
        <v>6</v>
      </c>
      <c r="K10" s="150"/>
      <c r="N10" s="150" t="s">
        <v>7</v>
      </c>
      <c r="O10" s="150"/>
    </row>
    <row r="11" spans="2:17">
      <c r="B11" s="3">
        <v>0</v>
      </c>
      <c r="C11" s="3">
        <v>0</v>
      </c>
      <c r="D11">
        <f>$I$7*(1-EXP(-$I$6*B11))</f>
        <v>0</v>
      </c>
      <c r="E11" s="7">
        <v>24.32</v>
      </c>
      <c r="F11" s="3">
        <v>0</v>
      </c>
      <c r="G11" s="3">
        <v>0</v>
      </c>
      <c r="H11">
        <f>$J$7*(1-EXP(-$J$6*F11))</f>
        <v>0</v>
      </c>
      <c r="I11" s="7">
        <v>36.28967262376861</v>
      </c>
      <c r="J11" s="3">
        <v>0</v>
      </c>
      <c r="K11">
        <v>0</v>
      </c>
      <c r="L11">
        <f>$K$7*(1-EXP(-$K$6*J11))</f>
        <v>0</v>
      </c>
      <c r="M11" s="7">
        <v>33.119999999999997</v>
      </c>
      <c r="N11" s="3">
        <v>0</v>
      </c>
      <c r="O11">
        <v>0</v>
      </c>
      <c r="P11">
        <f>$L$7*(1-EXP(-$L$6*N11))</f>
        <v>0</v>
      </c>
      <c r="Q11" s="7">
        <v>54.825309477389929</v>
      </c>
    </row>
    <row r="12" spans="2:17">
      <c r="B12" s="3">
        <v>1</v>
      </c>
      <c r="C12" s="1">
        <v>1.5887571993552987</v>
      </c>
      <c r="D12">
        <f t="shared" ref="D12:D35" si="0">$I$7*(1-EXP(-$I$6*B12))</f>
        <v>1.7798298564758239</v>
      </c>
      <c r="E12" s="7">
        <v>24.32</v>
      </c>
      <c r="F12" s="3">
        <v>1</v>
      </c>
      <c r="G12" s="4">
        <v>2.0784100785934649</v>
      </c>
      <c r="H12">
        <f t="shared" ref="H12:H35" si="1">$J$7*(1-EXP(-$J$6*F12))</f>
        <v>2.1045256071024916</v>
      </c>
      <c r="I12" s="7">
        <v>36.28967262376861</v>
      </c>
      <c r="J12" s="3">
        <v>1</v>
      </c>
      <c r="K12">
        <v>2.6365331409541648</v>
      </c>
      <c r="L12">
        <f>$K$7*(1-EXP(-$K$6*J12))</f>
        <v>2.4851781928779788</v>
      </c>
      <c r="M12" s="7">
        <v>33.119999999999997</v>
      </c>
      <c r="N12" s="3">
        <v>1</v>
      </c>
      <c r="O12">
        <v>2.7708878263328276</v>
      </c>
      <c r="P12">
        <f t="shared" ref="P12:P35" si="2">$L$7*(1-EXP(-$L$6*N12))</f>
        <v>2.7281331396294162</v>
      </c>
      <c r="Q12" s="7">
        <v>54.825309477389929</v>
      </c>
    </row>
    <row r="13" spans="2:17" ht="15" customHeight="1">
      <c r="B13" s="3">
        <v>2</v>
      </c>
      <c r="C13" s="2">
        <v>3.3762798123298907</v>
      </c>
      <c r="D13">
        <f t="shared" si="0"/>
        <v>3.4294050123758781</v>
      </c>
      <c r="E13" s="7">
        <v>24.32</v>
      </c>
      <c r="F13" s="3">
        <v>2</v>
      </c>
      <c r="G13" s="4">
        <v>4.0286767365446012</v>
      </c>
      <c r="H13">
        <f t="shared" si="1"/>
        <v>4.0870047003973768</v>
      </c>
      <c r="I13" s="7">
        <v>36.28967262376861</v>
      </c>
      <c r="J13" s="3">
        <v>2</v>
      </c>
      <c r="K13">
        <v>4.881440864470397</v>
      </c>
      <c r="L13">
        <f t="shared" ref="L13:L35" si="3">$K$7*(1-EXP(-$K$6*J13))</f>
        <v>4.7838796149118679</v>
      </c>
      <c r="M13" s="7">
        <v>33.119999999999997</v>
      </c>
      <c r="N13" s="3">
        <v>2</v>
      </c>
      <c r="O13">
        <v>5.2231665502442626</v>
      </c>
      <c r="P13">
        <f t="shared" si="2"/>
        <v>5.3205130933946707</v>
      </c>
      <c r="Q13" s="7">
        <v>54.825309477389929</v>
      </c>
    </row>
    <row r="14" spans="2:17">
      <c r="B14" s="3">
        <v>3</v>
      </c>
      <c r="C14" s="2">
        <v>5.0442407487320144</v>
      </c>
      <c r="D14">
        <f t="shared" si="0"/>
        <v>4.9582580008017647</v>
      </c>
      <c r="E14" s="7">
        <v>24.32</v>
      </c>
      <c r="F14" s="3">
        <v>3</v>
      </c>
      <c r="G14" s="4">
        <v>5.9590264883544775</v>
      </c>
      <c r="H14">
        <f t="shared" si="1"/>
        <v>5.9545150514652612</v>
      </c>
      <c r="I14" s="7">
        <v>36.28967262376861</v>
      </c>
      <c r="J14" s="3">
        <v>3</v>
      </c>
      <c r="K14">
        <v>6.9617245269387116</v>
      </c>
      <c r="L14">
        <f t="shared" si="3"/>
        <v>6.9100966575382623</v>
      </c>
      <c r="M14" s="7">
        <v>33.119999999999997</v>
      </c>
      <c r="N14" s="3">
        <v>3</v>
      </c>
      <c r="O14">
        <v>7.5411392183745347</v>
      </c>
      <c r="P14">
        <f t="shared" si="2"/>
        <v>7.7838950035593806</v>
      </c>
      <c r="Q14" s="7">
        <v>54.825309477389929</v>
      </c>
    </row>
    <row r="15" spans="2:17" ht="15" customHeight="1">
      <c r="B15" s="3">
        <v>4</v>
      </c>
      <c r="C15" s="2">
        <v>6.5971422818350822</v>
      </c>
      <c r="D15">
        <f t="shared" si="0"/>
        <v>6.3752237279216235</v>
      </c>
      <c r="E15" s="7">
        <v>24.32</v>
      </c>
      <c r="F15" s="3">
        <v>4</v>
      </c>
      <c r="G15" s="4">
        <v>7.829502840015941</v>
      </c>
      <c r="H15">
        <f t="shared" si="1"/>
        <v>7.7137239748488122</v>
      </c>
      <c r="I15" s="7">
        <v>36.28967262376861</v>
      </c>
      <c r="J15" s="3">
        <v>4</v>
      </c>
      <c r="K15">
        <v>8.9481383456988404</v>
      </c>
      <c r="L15">
        <f t="shared" si="3"/>
        <v>8.8767717850782848</v>
      </c>
      <c r="M15" s="7">
        <v>33.119999999999997</v>
      </c>
      <c r="N15" s="3">
        <v>4</v>
      </c>
      <c r="O15">
        <v>9.8134479249106548</v>
      </c>
      <c r="P15">
        <f t="shared" si="2"/>
        <v>10.124697873336626</v>
      </c>
      <c r="Q15" s="7">
        <v>54.825309477389929</v>
      </c>
    </row>
    <row r="16" spans="2:17">
      <c r="B16" s="3">
        <v>5</v>
      </c>
      <c r="C16" s="2">
        <v>8.0011896865923191</v>
      </c>
      <c r="D16">
        <f t="shared" si="0"/>
        <v>7.6884905279555067</v>
      </c>
      <c r="E16" s="7">
        <v>24.32</v>
      </c>
      <c r="F16" s="3">
        <v>5</v>
      </c>
      <c r="G16" s="4">
        <v>9.6127123779769725</v>
      </c>
      <c r="H16">
        <f t="shared" si="1"/>
        <v>9.3709121314459729</v>
      </c>
      <c r="I16" s="7">
        <v>36.28967262376861</v>
      </c>
      <c r="J16" s="3">
        <v>5</v>
      </c>
      <c r="K16">
        <v>10.829323912439039</v>
      </c>
      <c r="L16">
        <f t="shared" si="3"/>
        <v>10.695876316620787</v>
      </c>
      <c r="M16" s="7">
        <v>33.119999999999997</v>
      </c>
      <c r="N16" s="3">
        <v>5</v>
      </c>
      <c r="O16">
        <v>12.03159376563525</v>
      </c>
      <c r="P16">
        <f t="shared" si="2"/>
        <v>12.349021293325951</v>
      </c>
      <c r="Q16" s="7">
        <v>54.825309477389929</v>
      </c>
    </row>
    <row r="17" spans="2:17">
      <c r="B17" s="3">
        <v>6</v>
      </c>
      <c r="C17" s="2">
        <v>9.2427289330973874</v>
      </c>
      <c r="D17">
        <f t="shared" si="0"/>
        <v>8.9056474817632854</v>
      </c>
      <c r="E17" s="7">
        <v>24.32</v>
      </c>
      <c r="F17" s="3">
        <v>6</v>
      </c>
      <c r="G17" s="4">
        <v>11.245068220655094</v>
      </c>
      <c r="H17">
        <f t="shared" si="1"/>
        <v>10.93199595148702</v>
      </c>
      <c r="I17" s="7">
        <v>36.28967262376861</v>
      </c>
      <c r="J17" s="3">
        <v>6</v>
      </c>
      <c r="K17">
        <v>12.589752572716854</v>
      </c>
      <c r="L17">
        <f t="shared" si="3"/>
        <v>12.378483296461747</v>
      </c>
      <c r="M17" s="7">
        <v>33.119999999999997</v>
      </c>
      <c r="N17" s="3">
        <v>6</v>
      </c>
      <c r="O17">
        <v>14.205907850773217</v>
      </c>
      <c r="P17">
        <f t="shared" si="2"/>
        <v>14.462661335634948</v>
      </c>
      <c r="Q17" s="7">
        <v>54.825309477389929</v>
      </c>
    </row>
    <row r="18" spans="2:17">
      <c r="B18" s="3">
        <v>7</v>
      </c>
      <c r="C18" s="2">
        <v>10.318307061570625</v>
      </c>
      <c r="D18">
        <f t="shared" si="0"/>
        <v>10.033728272478792</v>
      </c>
      <c r="E18" s="7">
        <v>24.32</v>
      </c>
      <c r="F18" s="3">
        <v>7</v>
      </c>
      <c r="G18" s="4">
        <v>12.712329850937218</v>
      </c>
      <c r="H18">
        <f t="shared" si="1"/>
        <v>12.40254875714912</v>
      </c>
      <c r="I18" s="7">
        <v>36.28967262376861</v>
      </c>
      <c r="J18" s="3">
        <v>7</v>
      </c>
      <c r="K18">
        <v>14.188858856469528</v>
      </c>
      <c r="L18">
        <f t="shared" si="3"/>
        <v>13.934834896668498</v>
      </c>
      <c r="M18" s="7">
        <v>33.119999999999997</v>
      </c>
      <c r="N18" s="3">
        <v>7</v>
      </c>
      <c r="O18">
        <v>16.32055920636228</v>
      </c>
      <c r="P18">
        <f t="shared" si="2"/>
        <v>16.471125657101936</v>
      </c>
      <c r="Q18" s="7">
        <v>54.825309477389929</v>
      </c>
    </row>
    <row r="19" spans="2:17">
      <c r="B19" s="3">
        <v>8</v>
      </c>
      <c r="C19" s="2">
        <v>11.294437121955985</v>
      </c>
      <c r="D19">
        <f t="shared" si="0"/>
        <v>11.079251831622241</v>
      </c>
      <c r="E19" s="7">
        <v>24.32</v>
      </c>
      <c r="F19" s="3">
        <v>8</v>
      </c>
      <c r="G19" s="4">
        <v>14.043726189716995</v>
      </c>
      <c r="H19">
        <f t="shared" si="1"/>
        <v>13.787820660219523</v>
      </c>
      <c r="I19" s="7">
        <v>36.28967262376861</v>
      </c>
      <c r="J19" s="3">
        <v>8</v>
      </c>
      <c r="K19">
        <v>15.619211097489007</v>
      </c>
      <c r="L19">
        <f t="shared" si="3"/>
        <v>15.374404762053855</v>
      </c>
      <c r="M19" s="7">
        <v>33.119999999999997</v>
      </c>
      <c r="N19" s="3">
        <v>8</v>
      </c>
      <c r="O19">
        <v>18.359239738363776</v>
      </c>
      <c r="P19">
        <f t="shared" si="2"/>
        <v>18.37964785097515</v>
      </c>
      <c r="Q19" s="7">
        <v>54.825309477389929</v>
      </c>
    </row>
    <row r="20" spans="2:17">
      <c r="B20" s="3">
        <v>9</v>
      </c>
      <c r="C20" s="2">
        <v>12.180804360238442</v>
      </c>
      <c r="D20">
        <f t="shared" si="0"/>
        <v>12.048260010576035</v>
      </c>
      <c r="E20" s="7">
        <v>24.32</v>
      </c>
      <c r="F20" s="3">
        <v>9</v>
      </c>
      <c r="G20" s="4">
        <v>15.268226638855179</v>
      </c>
      <c r="H20">
        <f t="shared" si="1"/>
        <v>15.092757305845307</v>
      </c>
      <c r="I20" s="7">
        <v>36.28967262376861</v>
      </c>
      <c r="J20" s="3">
        <v>9</v>
      </c>
      <c r="K20">
        <v>16.901472625683432</v>
      </c>
      <c r="L20">
        <f t="shared" si="3"/>
        <v>16.705955677059382</v>
      </c>
      <c r="M20" s="7">
        <v>33.119999999999997</v>
      </c>
      <c r="N20" s="3">
        <v>9</v>
      </c>
      <c r="O20">
        <v>20.297656894318276</v>
      </c>
      <c r="P20">
        <f t="shared" si="2"/>
        <v>20.193201084445665</v>
      </c>
      <c r="Q20" s="7">
        <v>54.825309477389929</v>
      </c>
    </row>
    <row r="21" spans="2:17">
      <c r="B21" s="3">
        <v>10</v>
      </c>
      <c r="C21" s="2">
        <v>12.974290277953955</v>
      </c>
      <c r="D21">
        <f t="shared" si="0"/>
        <v>12.946352495119008</v>
      </c>
      <c r="E21" s="7">
        <v>24.32</v>
      </c>
      <c r="F21" s="3">
        <v>10</v>
      </c>
      <c r="G21" s="4">
        <v>16.393475213501922</v>
      </c>
      <c r="H21">
        <f t="shared" si="1"/>
        <v>16.322017529287905</v>
      </c>
      <c r="I21" s="7">
        <v>36.28967262376861</v>
      </c>
      <c r="J21" s="3">
        <v>10</v>
      </c>
      <c r="K21">
        <v>18.024079875804983</v>
      </c>
      <c r="L21">
        <f t="shared" si="3"/>
        <v>17.937592905570995</v>
      </c>
      <c r="M21" s="7">
        <v>33.119999999999997</v>
      </c>
      <c r="N21" s="3">
        <v>10</v>
      </c>
      <c r="O21">
        <v>22.107374966817606</v>
      </c>
      <c r="P21">
        <f t="shared" si="2"/>
        <v>21.916511057570276</v>
      </c>
      <c r="Q21" s="7">
        <v>54.825309477389929</v>
      </c>
    </row>
    <row r="22" spans="2:17">
      <c r="B22" s="3">
        <v>11</v>
      </c>
      <c r="C22" s="2">
        <v>13.699268154638627</v>
      </c>
      <c r="D22">
        <f t="shared" si="0"/>
        <v>13.778719164782617</v>
      </c>
      <c r="E22" s="7">
        <v>24.32</v>
      </c>
      <c r="F22" s="3">
        <v>11</v>
      </c>
      <c r="G22" s="4">
        <v>17.438520610670334</v>
      </c>
      <c r="H22">
        <f t="shared" si="1"/>
        <v>17.479989988719844</v>
      </c>
      <c r="I22" s="7">
        <v>36.28967262376861</v>
      </c>
      <c r="J22" s="3">
        <v>11</v>
      </c>
      <c r="K22">
        <v>19.037442016139337</v>
      </c>
      <c r="L22">
        <f t="shared" si="3"/>
        <v>19.076813528350911</v>
      </c>
      <c r="M22" s="7">
        <v>33.119999999999997</v>
      </c>
      <c r="N22" s="3">
        <v>11</v>
      </c>
      <c r="O22">
        <v>23.796944791515969</v>
      </c>
      <c r="P22">
        <f t="shared" si="2"/>
        <v>23.554068317352264</v>
      </c>
      <c r="Q22" s="7">
        <v>54.825309477389929</v>
      </c>
    </row>
    <row r="23" spans="2:17">
      <c r="B23" s="3">
        <v>12</v>
      </c>
      <c r="C23" s="2">
        <v>14.370068008914201</v>
      </c>
      <c r="D23">
        <f t="shared" si="0"/>
        <v>14.550170084026705</v>
      </c>
      <c r="E23" s="7">
        <v>24.32</v>
      </c>
      <c r="F23" s="3">
        <v>12</v>
      </c>
      <c r="G23" s="4">
        <v>18.435434664296</v>
      </c>
      <c r="H23">
        <f t="shared" si="1"/>
        <v>18.570808833445486</v>
      </c>
      <c r="I23" s="7">
        <v>36.28967262376861</v>
      </c>
      <c r="J23" s="3">
        <v>12</v>
      </c>
      <c r="K23">
        <v>19.978098072209349</v>
      </c>
      <c r="L23">
        <f t="shared" si="3"/>
        <v>20.13055207840711</v>
      </c>
      <c r="M23" s="7">
        <v>33.119999999999997</v>
      </c>
      <c r="N23" s="3">
        <v>12</v>
      </c>
      <c r="O23">
        <v>25.367766894351835</v>
      </c>
      <c r="P23">
        <f t="shared" si="2"/>
        <v>25.110139959067759</v>
      </c>
      <c r="Q23" s="7">
        <v>54.825309477389929</v>
      </c>
    </row>
    <row r="24" spans="2:17">
      <c r="B24" s="3">
        <v>13</v>
      </c>
      <c r="C24" s="2">
        <v>15.013237118868348</v>
      </c>
      <c r="D24">
        <f t="shared" si="0"/>
        <v>15.265163298547265</v>
      </c>
      <c r="E24" s="7">
        <v>24.32</v>
      </c>
      <c r="F24" s="3">
        <v>13</v>
      </c>
      <c r="G24" s="4">
        <v>19.387718522058808</v>
      </c>
      <c r="H24">
        <f t="shared" si="1"/>
        <v>19.59836846348394</v>
      </c>
      <c r="I24" s="7">
        <v>36.28967262376861</v>
      </c>
      <c r="J24" s="3">
        <v>13</v>
      </c>
      <c r="K24">
        <v>20.871173057944333</v>
      </c>
      <c r="L24">
        <f t="shared" si="3"/>
        <v>21.105222752086664</v>
      </c>
      <c r="M24" s="7">
        <v>33.119999999999997</v>
      </c>
      <c r="N24" s="3">
        <v>13</v>
      </c>
      <c r="O24">
        <v>26.821540407025701</v>
      </c>
      <c r="P24">
        <f t="shared" si="2"/>
        <v>26.588780745328581</v>
      </c>
      <c r="Q24" s="7">
        <v>54.825309477389929</v>
      </c>
    </row>
    <row r="25" spans="2:17">
      <c r="B25" s="3">
        <v>14</v>
      </c>
      <c r="C25" s="2">
        <v>15.630212254941458</v>
      </c>
      <c r="D25">
        <f t="shared" si="0"/>
        <v>15.927830597344908</v>
      </c>
      <c r="E25" s="7">
        <v>24.32</v>
      </c>
      <c r="F25" s="3">
        <v>14</v>
      </c>
      <c r="G25" s="4">
        <v>20.309386211734058</v>
      </c>
      <c r="H25">
        <f t="shared" si="1"/>
        <v>20.566337433208069</v>
      </c>
      <c r="I25" s="7">
        <v>36.28967262376861</v>
      </c>
      <c r="J25" s="3">
        <v>14</v>
      </c>
      <c r="K25">
        <v>21.725360258841519</v>
      </c>
      <c r="L25">
        <f t="shared" si="3"/>
        <v>22.006758452835481</v>
      </c>
      <c r="M25" s="7">
        <v>33.119999999999997</v>
      </c>
      <c r="N25" s="3">
        <v>14</v>
      </c>
      <c r="O25">
        <v>28.16399563902614</v>
      </c>
      <c r="P25">
        <f t="shared" si="2"/>
        <v>27.993843671855302</v>
      </c>
      <c r="Q25" s="7">
        <v>54.825309477389929</v>
      </c>
    </row>
    <row r="26" spans="2:17">
      <c r="B26" s="3">
        <v>15</v>
      </c>
      <c r="C26" s="2">
        <v>16.231707956040545</v>
      </c>
      <c r="D26">
        <f t="shared" si="0"/>
        <v>16.542001389427487</v>
      </c>
      <c r="E26" s="7">
        <v>24.32</v>
      </c>
      <c r="F26" s="3">
        <v>15</v>
      </c>
      <c r="G26" s="4">
        <v>21.200359877611902</v>
      </c>
      <c r="H26">
        <f t="shared" si="1"/>
        <v>21.478171548678084</v>
      </c>
      <c r="I26" s="7">
        <v>36.28967262376861</v>
      </c>
      <c r="J26" s="3">
        <v>15</v>
      </c>
      <c r="K26">
        <v>22.538163279286117</v>
      </c>
      <c r="L26">
        <f t="shared" si="3"/>
        <v>22.840646905287134</v>
      </c>
      <c r="M26" s="7">
        <v>33.119999999999997</v>
      </c>
      <c r="N26" s="3">
        <v>15</v>
      </c>
      <c r="O26">
        <v>29.426429395362138</v>
      </c>
      <c r="P26">
        <f t="shared" si="2"/>
        <v>29.328990007492504</v>
      </c>
      <c r="Q26" s="7">
        <v>54.825309477389929</v>
      </c>
    </row>
    <row r="27" spans="2:17">
      <c r="B27" s="3">
        <v>16</v>
      </c>
      <c r="C27" s="2">
        <v>16.809906777753113</v>
      </c>
      <c r="D27">
        <f t="shared" si="0"/>
        <v>17.111224833125043</v>
      </c>
      <c r="E27" s="7">
        <v>24.32</v>
      </c>
      <c r="F27" s="3">
        <v>16</v>
      </c>
      <c r="G27" s="4">
        <v>22.062375937948662</v>
      </c>
      <c r="H27">
        <f t="shared" si="1"/>
        <v>22.337126205429048</v>
      </c>
      <c r="I27" s="7">
        <v>36.28967262376861</v>
      </c>
      <c r="J27" s="3">
        <v>16</v>
      </c>
      <c r="K27">
        <v>23.317159504431419</v>
      </c>
      <c r="L27">
        <f t="shared" si="3"/>
        <v>23.611964059510356</v>
      </c>
      <c r="M27" s="7">
        <v>33.119999999999997</v>
      </c>
      <c r="N27" s="3">
        <v>16</v>
      </c>
      <c r="O27">
        <v>30.627986524812084</v>
      </c>
      <c r="P27">
        <f t="shared" si="2"/>
        <v>30.597698834628105</v>
      </c>
      <c r="Q27" s="7">
        <v>54.825309477389929</v>
      </c>
    </row>
    <row r="28" spans="2:17">
      <c r="B28" s="3">
        <v>17</v>
      </c>
      <c r="C28" s="2">
        <v>17.370772495087433</v>
      </c>
      <c r="D28">
        <f t="shared" si="0"/>
        <v>17.638790345897473</v>
      </c>
      <c r="E28" s="7">
        <v>24.32</v>
      </c>
      <c r="F28" s="3">
        <v>17</v>
      </c>
      <c r="G28" s="4">
        <v>22.896420565069256</v>
      </c>
      <c r="H28">
        <f t="shared" si="1"/>
        <v>23.146268010760451</v>
      </c>
      <c r="I28" s="7">
        <v>36.28967262376861</v>
      </c>
      <c r="J28" s="3">
        <v>17</v>
      </c>
      <c r="K28">
        <v>24.057864242001763</v>
      </c>
      <c r="L28">
        <f t="shared" si="3"/>
        <v>24.325404988749639</v>
      </c>
      <c r="M28" s="7">
        <v>33.119999999999997</v>
      </c>
      <c r="N28" s="3">
        <v>17</v>
      </c>
      <c r="O28">
        <v>31.774243165411292</v>
      </c>
      <c r="P28">
        <f t="shared" si="2"/>
        <v>31.803276114877022</v>
      </c>
      <c r="Q28" s="7">
        <v>54.825309477389929</v>
      </c>
    </row>
    <row r="29" spans="2:17">
      <c r="B29" s="3">
        <v>18</v>
      </c>
      <c r="C29" s="2">
        <v>17.911685946191533</v>
      </c>
      <c r="D29">
        <f t="shared" si="0"/>
        <v>18.127746613156773</v>
      </c>
      <c r="E29" s="7">
        <v>24.32</v>
      </c>
      <c r="F29" s="3">
        <v>18</v>
      </c>
      <c r="G29" s="4">
        <v>23.699240334007019</v>
      </c>
      <c r="H29">
        <f t="shared" si="1"/>
        <v>23.908485732021123</v>
      </c>
      <c r="I29" s="7">
        <v>36.28967262376861</v>
      </c>
      <c r="J29" s="3">
        <v>18</v>
      </c>
      <c r="K29">
        <v>24.76403934161015</v>
      </c>
      <c r="L29">
        <f t="shared" si="3"/>
        <v>24.985312468736137</v>
      </c>
      <c r="M29" s="7">
        <v>33.119999999999997</v>
      </c>
      <c r="N29" s="3">
        <v>18</v>
      </c>
      <c r="O29">
        <v>32.874144507162839</v>
      </c>
      <c r="P29">
        <f t="shared" si="2"/>
        <v>32.948863303652075</v>
      </c>
      <c r="Q29" s="7">
        <v>54.825309477389929</v>
      </c>
    </row>
    <row r="30" spans="2:17">
      <c r="B30" s="3">
        <v>19</v>
      </c>
      <c r="C30" s="2">
        <v>18.434286462584257</v>
      </c>
      <c r="D30">
        <f t="shared" si="0"/>
        <v>18.580919205951474</v>
      </c>
      <c r="E30" s="7">
        <v>24.32</v>
      </c>
      <c r="F30" s="3">
        <v>19</v>
      </c>
      <c r="G30" s="4">
        <v>24.476886756755803</v>
      </c>
      <c r="H30">
        <f t="shared" si="1"/>
        <v>24.626500609976734</v>
      </c>
      <c r="I30" s="7">
        <v>36.28967262376861</v>
      </c>
      <c r="J30" s="3">
        <v>19</v>
      </c>
      <c r="K30">
        <v>25.445480567615952</v>
      </c>
      <c r="L30">
        <f t="shared" si="3"/>
        <v>25.595703412533641</v>
      </c>
      <c r="M30" s="7">
        <v>33.119999999999997</v>
      </c>
      <c r="N30" s="3">
        <v>19</v>
      </c>
      <c r="O30">
        <v>33.933341339542544</v>
      </c>
      <c r="P30">
        <f t="shared" si="2"/>
        <v>34.037445536069868</v>
      </c>
      <c r="Q30" s="7">
        <v>54.825309477389929</v>
      </c>
    </row>
    <row r="31" spans="2:17">
      <c r="B31" s="3">
        <v>20</v>
      </c>
      <c r="C31" s="2">
        <v>18.94836528151259</v>
      </c>
      <c r="D31">
        <f t="shared" si="0"/>
        <v>19.000926909322136</v>
      </c>
      <c r="E31" s="7">
        <v>24.32</v>
      </c>
      <c r="F31" s="3">
        <v>20</v>
      </c>
      <c r="G31" s="4">
        <v>25.23335406715799</v>
      </c>
      <c r="H31">
        <f t="shared" si="1"/>
        <v>25.302876074080249</v>
      </c>
      <c r="I31" s="7">
        <v>36.28967262376861</v>
      </c>
      <c r="J31" s="3">
        <v>20</v>
      </c>
      <c r="K31">
        <v>26.097287161807682</v>
      </c>
      <c r="L31">
        <f t="shared" si="3"/>
        <v>26.160293321830672</v>
      </c>
      <c r="M31" s="7">
        <v>33.119999999999997</v>
      </c>
      <c r="N31" s="3">
        <v>20</v>
      </c>
      <c r="O31">
        <v>34.959751583817706</v>
      </c>
      <c r="P31">
        <f t="shared" si="2"/>
        <v>35.071859405522098</v>
      </c>
      <c r="Q31" s="7">
        <v>54.825309477389929</v>
      </c>
    </row>
    <row r="32" spans="2:17">
      <c r="B32" s="3">
        <v>21</v>
      </c>
      <c r="C32" s="2">
        <v>19.446627848789888</v>
      </c>
      <c r="D32">
        <f t="shared" si="0"/>
        <v>19.390196855685854</v>
      </c>
      <c r="E32" s="7">
        <v>24.32</v>
      </c>
      <c r="F32" s="3">
        <v>21</v>
      </c>
      <c r="G32" s="4">
        <v>25.960212615172964</v>
      </c>
      <c r="H32">
        <f t="shared" si="1"/>
        <v>25.940026894330419</v>
      </c>
      <c r="I32" s="7">
        <v>36.28967262376861</v>
      </c>
      <c r="J32" s="3">
        <v>21</v>
      </c>
      <c r="K32">
        <v>26.726848608593425</v>
      </c>
      <c r="L32">
        <f t="shared" si="3"/>
        <v>26.682518903515867</v>
      </c>
      <c r="M32" s="7">
        <v>33.119999999999997</v>
      </c>
      <c r="N32" s="3">
        <v>21</v>
      </c>
      <c r="O32">
        <v>35.951270393937094</v>
      </c>
      <c r="P32">
        <f t="shared" si="2"/>
        <v>36.05480035518152</v>
      </c>
      <c r="Q32" s="7">
        <v>54.825309477389929</v>
      </c>
    </row>
    <row r="33" spans="2:17">
      <c r="B33" s="3">
        <v>22</v>
      </c>
      <c r="C33" s="2">
        <v>19.927841368271068</v>
      </c>
      <c r="D33">
        <f t="shared" si="0"/>
        <v>19.75097855070225</v>
      </c>
      <c r="E33" s="7">
        <v>24.32</v>
      </c>
      <c r="F33" s="3">
        <v>22</v>
      </c>
      <c r="G33" s="4">
        <v>26.666274251598836</v>
      </c>
      <c r="H33">
        <f t="shared" si="1"/>
        <v>26.54022780239195</v>
      </c>
      <c r="I33" s="7">
        <v>36.28967262376861</v>
      </c>
      <c r="J33" s="3">
        <v>22</v>
      </c>
      <c r="K33">
        <v>27.331572644631258</v>
      </c>
      <c r="L33">
        <f t="shared" si="3"/>
        <v>27.165558989205678</v>
      </c>
      <c r="M33" s="7">
        <v>33.119999999999997</v>
      </c>
      <c r="N33" s="3">
        <v>22</v>
      </c>
      <c r="O33">
        <v>36.910539781752163</v>
      </c>
      <c r="P33">
        <f t="shared" si="2"/>
        <v>36.988829701703153</v>
      </c>
      <c r="Q33" s="7">
        <v>54.825309477389929</v>
      </c>
    </row>
    <row r="34" spans="2:17">
      <c r="B34" s="3">
        <v>23</v>
      </c>
      <c r="C34" s="2">
        <v>20.406307123169064</v>
      </c>
      <c r="D34">
        <f t="shared" si="0"/>
        <v>20.085356872673408</v>
      </c>
      <c r="E34" s="7">
        <v>24.32</v>
      </c>
      <c r="F34" s="3">
        <v>23</v>
      </c>
      <c r="G34" s="4">
        <v>27.376044650930893</v>
      </c>
      <c r="H34">
        <f t="shared" si="1"/>
        <v>27.105621612756096</v>
      </c>
      <c r="I34" s="7">
        <v>36.28967262376861</v>
      </c>
      <c r="J34" s="3">
        <v>23</v>
      </c>
      <c r="K34">
        <v>27.920551365163327</v>
      </c>
      <c r="L34">
        <f t="shared" si="3"/>
        <v>27.612353885063296</v>
      </c>
      <c r="M34" s="7">
        <v>33.119999999999997</v>
      </c>
      <c r="N34" s="3">
        <v>23</v>
      </c>
      <c r="O34">
        <v>37.843927839710695</v>
      </c>
      <c r="P34">
        <f t="shared" si="2"/>
        <v>37.87638130942274</v>
      </c>
      <c r="Q34" s="7">
        <v>54.825309477389929</v>
      </c>
    </row>
    <row r="35" spans="2:17">
      <c r="B35" s="3">
        <v>24</v>
      </c>
      <c r="C35" s="2">
        <v>20.886197165092135</v>
      </c>
      <c r="D35">
        <f t="shared" si="0"/>
        <v>20.395264120598409</v>
      </c>
      <c r="E35" s="7">
        <v>24.32</v>
      </c>
      <c r="F35" s="3">
        <v>24</v>
      </c>
      <c r="G35" s="4">
        <v>28.072914595065068</v>
      </c>
      <c r="H35">
        <f t="shared" si="1"/>
        <v>27.638226872935601</v>
      </c>
      <c r="I35" s="7">
        <v>36.28967262376861</v>
      </c>
      <c r="J35" s="3">
        <v>24</v>
      </c>
      <c r="K35">
        <v>28.474916084133568</v>
      </c>
      <c r="L35">
        <f t="shared" si="3"/>
        <v>28.025623269692819</v>
      </c>
      <c r="M35" s="7">
        <v>33.119999999999997</v>
      </c>
      <c r="N35" s="3">
        <v>24</v>
      </c>
      <c r="O35">
        <v>38.759928603457872</v>
      </c>
      <c r="P35">
        <f t="shared" si="2"/>
        <v>38.719767932443972</v>
      </c>
      <c r="Q35" s="7">
        <v>54.825309477389929</v>
      </c>
    </row>
    <row r="36" spans="2:17">
      <c r="C36" t="s">
        <v>93</v>
      </c>
      <c r="D36" s="10">
        <f>I7-C35</f>
        <v>3.4338028349078655</v>
      </c>
      <c r="H36" s="10">
        <f>J7-G35</f>
        <v>8.2167580287035413</v>
      </c>
      <c r="L36" s="10">
        <f>K7-K35</f>
        <v>4.6450839158664294</v>
      </c>
      <c r="P36" s="10">
        <f>L7-O35</f>
        <v>16.065380873932057</v>
      </c>
    </row>
    <row r="37" spans="2:17">
      <c r="C37" t="s">
        <v>17</v>
      </c>
      <c r="D37" s="10">
        <f>(D36/I7)*100</f>
        <v>14.119255077746157</v>
      </c>
      <c r="H37" s="10">
        <f>(H36/J7)*100</f>
        <v>22.642138753607327</v>
      </c>
      <c r="L37" s="10">
        <f>(L36/K7)*100</f>
        <v>14.025011823268205</v>
      </c>
      <c r="P37" s="10">
        <f>(P36/L7)*100</f>
        <v>29.302854880477152</v>
      </c>
    </row>
  </sheetData>
  <mergeCells count="4">
    <mergeCell ref="J10:K10"/>
    <mergeCell ref="N10:O10"/>
    <mergeCell ref="B10:C10"/>
    <mergeCell ref="F10:G10"/>
  </mergeCells>
  <pageMargins left="0.7" right="0.7" top="0.75" bottom="0.75" header="0.3" footer="0.3"/>
  <pageSetup paperSize="9" scale="46" orientation="portrait" r:id="rId1"/>
  <colBreaks count="1" manualBreakCount="1">
    <brk id="1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D1:X85"/>
  <sheetViews>
    <sheetView view="pageBreakPreview" topLeftCell="A46" zoomScale="60" workbookViewId="0">
      <selection activeCell="M66" sqref="M66"/>
    </sheetView>
  </sheetViews>
  <sheetFormatPr defaultRowHeight="15"/>
  <cols>
    <col min="1" max="2" width="9.140625" style="16"/>
    <col min="3" max="3" width="9.140625" style="16" customWidth="1"/>
    <col min="4" max="4" width="17.5703125" style="16" customWidth="1"/>
    <col min="5" max="5" width="11.140625" style="16" customWidth="1"/>
    <col min="6" max="6" width="12.85546875" style="16" customWidth="1"/>
    <col min="7" max="7" width="9.85546875" style="16" bestFit="1" customWidth="1"/>
    <col min="8" max="16384" width="9.140625" style="16"/>
  </cols>
  <sheetData>
    <row r="1" spans="4:24">
      <c r="D1" s="15"/>
      <c r="E1" s="166" t="s">
        <v>258</v>
      </c>
      <c r="F1" s="165"/>
      <c r="G1" s="165"/>
      <c r="H1" s="16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4:24" ht="18.75">
      <c r="D2" s="15"/>
      <c r="E2" s="94" t="s">
        <v>0</v>
      </c>
      <c r="F2" s="94" t="s">
        <v>2</v>
      </c>
      <c r="G2" s="94" t="s">
        <v>10</v>
      </c>
      <c r="H2" s="94" t="s">
        <v>97</v>
      </c>
      <c r="I2" s="152" t="s">
        <v>13</v>
      </c>
      <c r="J2" s="95" t="s">
        <v>14</v>
      </c>
      <c r="K2" s="94" t="s">
        <v>31</v>
      </c>
      <c r="L2" s="94" t="s">
        <v>12</v>
      </c>
      <c r="M2" s="94" t="s">
        <v>12</v>
      </c>
      <c r="N2" s="94" t="s">
        <v>11</v>
      </c>
      <c r="O2" s="94" t="s">
        <v>11</v>
      </c>
      <c r="P2" s="94" t="s">
        <v>36</v>
      </c>
      <c r="Q2" s="94" t="s">
        <v>37</v>
      </c>
      <c r="R2" s="94" t="s">
        <v>36</v>
      </c>
      <c r="S2" s="94" t="s">
        <v>37</v>
      </c>
      <c r="T2" s="94" t="s">
        <v>38</v>
      </c>
      <c r="U2" s="94" t="s">
        <v>39</v>
      </c>
      <c r="V2" s="94" t="s">
        <v>40</v>
      </c>
      <c r="W2" s="15"/>
      <c r="X2" s="15"/>
    </row>
    <row r="3" spans="4:24" ht="17.25">
      <c r="D3" s="15"/>
      <c r="E3" s="94" t="s">
        <v>32</v>
      </c>
      <c r="F3" s="94" t="s">
        <v>32</v>
      </c>
      <c r="G3" s="94" t="s">
        <v>33</v>
      </c>
      <c r="H3" s="94" t="s">
        <v>34</v>
      </c>
      <c r="I3" s="152"/>
      <c r="J3" s="94" t="s">
        <v>35</v>
      </c>
      <c r="K3" s="94" t="s">
        <v>32</v>
      </c>
      <c r="L3" s="94" t="s">
        <v>17</v>
      </c>
      <c r="M3" s="94" t="s">
        <v>30</v>
      </c>
      <c r="N3" s="94" t="s">
        <v>17</v>
      </c>
      <c r="O3" s="94" t="s">
        <v>30</v>
      </c>
      <c r="P3" s="94" t="s">
        <v>32</v>
      </c>
      <c r="Q3" s="94" t="s">
        <v>32</v>
      </c>
      <c r="R3" s="94" t="s">
        <v>32</v>
      </c>
      <c r="S3" s="94" t="s">
        <v>32</v>
      </c>
      <c r="T3" s="94" t="s">
        <v>32</v>
      </c>
      <c r="U3" s="94" t="s">
        <v>32</v>
      </c>
      <c r="V3" s="94" t="s">
        <v>32</v>
      </c>
      <c r="W3" s="15"/>
      <c r="X3" s="15"/>
    </row>
    <row r="4" spans="4:24">
      <c r="D4" s="15"/>
      <c r="E4" s="96">
        <v>460.5</v>
      </c>
      <c r="F4" s="96">
        <v>1433.5</v>
      </c>
      <c r="G4" s="96">
        <v>43.325000000000003</v>
      </c>
      <c r="H4" s="97">
        <v>1.0169999999999999</v>
      </c>
      <c r="I4" s="96">
        <v>6.54</v>
      </c>
      <c r="J4" s="96">
        <v>750</v>
      </c>
      <c r="K4" s="96">
        <v>407.8</v>
      </c>
      <c r="L4" s="96">
        <v>4.1726261852493183</v>
      </c>
      <c r="M4" s="96">
        <v>41.726261852493181</v>
      </c>
      <c r="N4" s="96">
        <v>77.651328027578572</v>
      </c>
      <c r="O4" s="96">
        <f>N4*M4/100</f>
        <v>32.400996464725864</v>
      </c>
      <c r="P4" s="96">
        <v>1125</v>
      </c>
      <c r="Q4" s="96">
        <v>5450</v>
      </c>
      <c r="R4" s="96">
        <v>0.44</v>
      </c>
      <c r="S4" s="96">
        <v>130</v>
      </c>
      <c r="T4" s="96">
        <v>61.092812000000002</v>
      </c>
      <c r="U4" s="96">
        <v>95.879600999999994</v>
      </c>
      <c r="V4" s="96" t="s">
        <v>25</v>
      </c>
      <c r="W4" s="15"/>
      <c r="X4" s="15"/>
    </row>
    <row r="5" spans="4:24">
      <c r="D5" s="15"/>
      <c r="E5" s="96"/>
      <c r="F5" s="96"/>
      <c r="G5" s="96"/>
      <c r="H5" s="97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15"/>
      <c r="X5" s="15"/>
    </row>
    <row r="6" spans="4:24">
      <c r="D6" s="15"/>
      <c r="E6" s="96"/>
      <c r="F6" s="96"/>
      <c r="G6" s="96"/>
      <c r="H6" s="97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15"/>
      <c r="X6" s="15"/>
    </row>
    <row r="7" spans="4:24">
      <c r="D7" s="15"/>
      <c r="E7" s="96"/>
      <c r="F7" s="96"/>
      <c r="G7" s="96"/>
      <c r="H7" s="97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15"/>
      <c r="X7" s="15"/>
    </row>
    <row r="8" spans="4:24">
      <c r="D8" s="15"/>
      <c r="E8" s="96"/>
      <c r="F8" s="96"/>
      <c r="G8" s="96"/>
      <c r="H8" s="97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15"/>
      <c r="X8" s="15"/>
    </row>
    <row r="9" spans="4:24">
      <c r="D9" s="15"/>
      <c r="E9" s="96">
        <v>511.75</v>
      </c>
      <c r="F9" s="96">
        <v>1335.25</v>
      </c>
      <c r="G9" s="96">
        <v>41.774999999999999</v>
      </c>
      <c r="H9" s="97">
        <v>1.0145</v>
      </c>
      <c r="I9" s="96">
        <v>6.57</v>
      </c>
      <c r="J9" s="96">
        <v>800</v>
      </c>
      <c r="K9" s="96">
        <v>527.5</v>
      </c>
      <c r="L9" s="96">
        <v>3.3326121518656464</v>
      </c>
      <c r="M9" s="96">
        <v>33.326121518656471</v>
      </c>
      <c r="N9" s="96">
        <v>76.499572929984097</v>
      </c>
      <c r="O9" s="96">
        <f>N9*M9/100</f>
        <v>25.494340635899729</v>
      </c>
      <c r="P9" s="96">
        <v>976</v>
      </c>
      <c r="Q9" s="96">
        <v>3300</v>
      </c>
      <c r="R9" s="96">
        <v>0.15</v>
      </c>
      <c r="S9" s="96">
        <v>190</v>
      </c>
      <c r="T9" s="96">
        <v>48.712550999999998</v>
      </c>
      <c r="U9" s="96">
        <v>83.259613000000002</v>
      </c>
      <c r="V9" s="96" t="s">
        <v>25</v>
      </c>
      <c r="W9" s="15"/>
      <c r="X9" s="15"/>
    </row>
    <row r="10" spans="4:24">
      <c r="D10" s="15"/>
      <c r="E10" s="96"/>
      <c r="F10" s="96"/>
      <c r="G10" s="96"/>
      <c r="H10" s="97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15"/>
      <c r="X10" s="15"/>
    </row>
    <row r="11" spans="4:24">
      <c r="D11" s="15"/>
      <c r="E11" s="96"/>
      <c r="F11" s="96"/>
      <c r="G11" s="96"/>
      <c r="H11" s="97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5"/>
      <c r="X11" s="15"/>
    </row>
    <row r="12" spans="4:24">
      <c r="D12" s="15"/>
      <c r="E12" s="98"/>
      <c r="F12" s="96"/>
      <c r="G12" s="96"/>
      <c r="H12" s="97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15"/>
      <c r="X12" s="15"/>
    </row>
    <row r="13" spans="4:24">
      <c r="D13" s="15"/>
      <c r="E13" s="98">
        <v>292.33333333333331</v>
      </c>
      <c r="F13" s="96">
        <v>654.66666666666663</v>
      </c>
      <c r="G13" s="96">
        <v>33.166666666666671</v>
      </c>
      <c r="H13" s="97">
        <v>0.97699999999999998</v>
      </c>
      <c r="I13" s="96">
        <v>6.64</v>
      </c>
      <c r="J13" s="96">
        <v>500</v>
      </c>
      <c r="K13" s="96">
        <v>228.8</v>
      </c>
      <c r="L13" s="96">
        <v>2.8651128950098435</v>
      </c>
      <c r="M13" s="96">
        <v>28.651128950098435</v>
      </c>
      <c r="N13" s="96">
        <v>78.608444883774396</v>
      </c>
      <c r="O13" s="96">
        <f>N13*M13/100</f>
        <v>22.522206909317262</v>
      </c>
      <c r="P13" s="96">
        <v>670</v>
      </c>
      <c r="Q13" s="96">
        <v>3650</v>
      </c>
      <c r="R13" s="96">
        <v>0.2</v>
      </c>
      <c r="S13" s="96">
        <v>150</v>
      </c>
      <c r="T13" s="96">
        <v>13.411932</v>
      </c>
      <c r="U13" s="96">
        <v>52.696941000000002</v>
      </c>
      <c r="V13" s="96" t="s">
        <v>25</v>
      </c>
      <c r="W13" s="15"/>
      <c r="X13" s="15"/>
    </row>
    <row r="14" spans="4:24">
      <c r="D14" s="15"/>
      <c r="E14" s="96"/>
      <c r="F14" s="96"/>
      <c r="G14" s="96"/>
      <c r="H14" s="97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15"/>
      <c r="X14" s="15"/>
    </row>
    <row r="15" spans="4:24">
      <c r="D15" s="15"/>
      <c r="E15" s="98">
        <v>400.66666666666669</v>
      </c>
      <c r="F15" s="98">
        <v>847.66666666666663</v>
      </c>
      <c r="G15" s="98">
        <v>39.43333333333333</v>
      </c>
      <c r="H15" s="99">
        <v>0.98550000000000004</v>
      </c>
      <c r="I15" s="98">
        <v>6.72</v>
      </c>
      <c r="J15" s="98">
        <v>675</v>
      </c>
      <c r="K15" s="98">
        <v>300.2</v>
      </c>
      <c r="L15" s="98">
        <v>3.4171101438587121</v>
      </c>
      <c r="M15" s="98">
        <v>34.171101438587122</v>
      </c>
      <c r="N15" s="98">
        <v>79.452719107040807</v>
      </c>
      <c r="O15" s="98">
        <f>N15*M15/100</f>
        <v>27.149869241782607</v>
      </c>
      <c r="P15" s="98">
        <v>530</v>
      </c>
      <c r="Q15" s="98">
        <v>3150</v>
      </c>
      <c r="R15" s="98">
        <v>0.02</v>
      </c>
      <c r="S15" s="98">
        <v>150</v>
      </c>
      <c r="T15" s="98">
        <v>15.350052</v>
      </c>
      <c r="U15" s="98">
        <v>69.168097000000003</v>
      </c>
      <c r="V15" s="98">
        <v>1.7999999999999999E-2</v>
      </c>
      <c r="W15" s="15"/>
      <c r="X15" s="15"/>
    </row>
    <row r="16" spans="4:24">
      <c r="D16" s="15"/>
      <c r="E16" s="96"/>
      <c r="F16" s="96"/>
      <c r="G16" s="96"/>
      <c r="H16" s="97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15"/>
      <c r="X16" s="15"/>
    </row>
    <row r="17" spans="4:24">
      <c r="D17" s="15"/>
      <c r="E17" s="96"/>
      <c r="F17" s="96"/>
      <c r="G17" s="96"/>
      <c r="H17" s="97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15"/>
      <c r="X17" s="15"/>
    </row>
    <row r="18" spans="4:24">
      <c r="D18" s="15"/>
      <c r="E18" s="96"/>
      <c r="F18" s="96"/>
      <c r="G18" s="96"/>
      <c r="H18" s="97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15"/>
      <c r="X18" s="15"/>
    </row>
    <row r="19" spans="4:24">
      <c r="D19" s="15"/>
      <c r="E19" s="96"/>
      <c r="F19" s="96"/>
      <c r="G19" s="96"/>
      <c r="H19" s="97"/>
      <c r="I19" s="96"/>
      <c r="J19" s="96"/>
      <c r="K19" s="96"/>
      <c r="L19" s="96"/>
      <c r="M19" s="96"/>
      <c r="N19" s="96"/>
      <c r="O19" s="96"/>
      <c r="P19" s="96">
        <v>1157</v>
      </c>
      <c r="Q19" s="96">
        <v>3600</v>
      </c>
      <c r="R19" s="96">
        <v>0.14000000000000001</v>
      </c>
      <c r="S19" s="96">
        <v>130</v>
      </c>
      <c r="T19" s="96">
        <f>44456.734/1000</f>
        <v>44.456733999999997</v>
      </c>
      <c r="U19" s="100">
        <f>78741.119/1000</f>
        <v>78.741119000000012</v>
      </c>
      <c r="V19" s="96" t="s">
        <v>25</v>
      </c>
      <c r="W19" s="15"/>
      <c r="X19" s="15"/>
    </row>
    <row r="20" spans="4:24">
      <c r="D20" s="15"/>
      <c r="E20" s="96"/>
      <c r="F20" s="96"/>
      <c r="G20" s="96"/>
      <c r="H20" s="97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15"/>
      <c r="X20" s="15"/>
    </row>
    <row r="21" spans="4:24">
      <c r="D21" s="15"/>
      <c r="E21" s="96"/>
      <c r="F21" s="96"/>
      <c r="G21" s="96"/>
      <c r="H21" s="97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15"/>
      <c r="X21" s="15"/>
    </row>
    <row r="22" spans="4:24">
      <c r="D22" s="15"/>
      <c r="E22" s="96"/>
      <c r="F22" s="96"/>
      <c r="G22" s="96"/>
      <c r="H22" s="97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15"/>
      <c r="X22" s="15"/>
    </row>
    <row r="23" spans="4:24">
      <c r="D23" s="15"/>
      <c r="E23" s="96"/>
      <c r="F23" s="96"/>
      <c r="G23" s="96"/>
      <c r="H23" s="97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15"/>
      <c r="X23" s="15"/>
    </row>
    <row r="24" spans="4:24">
      <c r="D24" s="15"/>
      <c r="E24" s="96"/>
      <c r="F24" s="96"/>
      <c r="G24" s="96"/>
      <c r="H24" s="97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15"/>
      <c r="X24" s="15"/>
    </row>
    <row r="25" spans="4:24">
      <c r="D25" s="15"/>
      <c r="E25" s="96"/>
      <c r="F25" s="96"/>
      <c r="G25" s="96"/>
      <c r="H25" s="97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15"/>
      <c r="X25" s="15"/>
    </row>
    <row r="26" spans="4:24" s="41" customFormat="1">
      <c r="D26" s="101"/>
      <c r="E26" s="102">
        <v>796.66666666666663</v>
      </c>
      <c r="F26" s="102">
        <v>1097.3333333333333</v>
      </c>
      <c r="G26" s="102">
        <v>38.200000000000003</v>
      </c>
      <c r="H26" s="103">
        <v>1.0085</v>
      </c>
      <c r="I26" s="102">
        <v>6.7</v>
      </c>
      <c r="J26" s="102">
        <v>950</v>
      </c>
      <c r="K26" s="102">
        <v>466.9</v>
      </c>
      <c r="L26" s="102">
        <v>3.7833413549145249</v>
      </c>
      <c r="M26" s="102">
        <v>37.833413549145241</v>
      </c>
      <c r="N26" s="102">
        <v>70.850215992234553</v>
      </c>
      <c r="O26" s="102">
        <f>N26*M26/100</f>
        <v>26.805055216804735</v>
      </c>
      <c r="P26" s="102">
        <v>1372</v>
      </c>
      <c r="Q26" s="102">
        <v>4700</v>
      </c>
      <c r="R26" s="102">
        <v>0.05</v>
      </c>
      <c r="S26" s="102">
        <v>220</v>
      </c>
      <c r="T26" s="102">
        <f>123428.055/1000</f>
        <v>123.42805499999999</v>
      </c>
      <c r="U26" s="102">
        <f>276660.645/1000</f>
        <v>276.66064500000005</v>
      </c>
      <c r="V26" s="102" t="s">
        <v>25</v>
      </c>
      <c r="W26" s="101"/>
      <c r="X26" s="101"/>
    </row>
    <row r="27" spans="4:24">
      <c r="D27" s="15"/>
      <c r="E27" s="96">
        <v>1547</v>
      </c>
      <c r="F27" s="96">
        <v>3314.3333333333335</v>
      </c>
      <c r="G27" s="96">
        <v>44.70000000000001</v>
      </c>
      <c r="H27" s="96">
        <v>0.97850000000000004</v>
      </c>
      <c r="I27" s="96">
        <v>5.87</v>
      </c>
      <c r="J27" s="96">
        <v>925</v>
      </c>
      <c r="K27" s="96">
        <v>963.9</v>
      </c>
      <c r="L27" s="96">
        <v>4.07365105892843</v>
      </c>
      <c r="M27" s="96">
        <v>40.7365105892843</v>
      </c>
      <c r="N27" s="96">
        <v>76.314619059983968</v>
      </c>
      <c r="O27" s="96">
        <v>31.087912874542344</v>
      </c>
      <c r="P27" s="100">
        <v>1289.085</v>
      </c>
      <c r="Q27" s="100">
        <v>5100</v>
      </c>
      <c r="R27" s="100">
        <v>0.24</v>
      </c>
      <c r="S27" s="100">
        <v>180</v>
      </c>
      <c r="T27" s="96">
        <v>63.340491</v>
      </c>
      <c r="U27" s="96">
        <v>118.76910400000001</v>
      </c>
      <c r="V27" s="96" t="s">
        <v>25</v>
      </c>
      <c r="W27" s="15"/>
      <c r="X27" s="15"/>
    </row>
    <row r="28" spans="4:24">
      <c r="D28" s="15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15"/>
      <c r="X28" s="15"/>
    </row>
    <row r="29" spans="4:24">
      <c r="D29" s="15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15"/>
      <c r="X29" s="15"/>
    </row>
    <row r="30" spans="4:24">
      <c r="D30" s="15"/>
      <c r="E30" s="96">
        <v>1783</v>
      </c>
      <c r="F30" s="96">
        <v>3340</v>
      </c>
      <c r="G30" s="96">
        <v>44.5</v>
      </c>
      <c r="H30" s="96">
        <v>0.97850000000000004</v>
      </c>
      <c r="I30" s="96">
        <v>5.87</v>
      </c>
      <c r="J30" s="96">
        <v>925</v>
      </c>
      <c r="K30" s="96">
        <v>963.9</v>
      </c>
      <c r="L30" s="96">
        <v>4.07365105892843</v>
      </c>
      <c r="M30" s="96">
        <v>40.7365105892843</v>
      </c>
      <c r="N30" s="96">
        <v>76.314619059983968</v>
      </c>
      <c r="O30" s="96">
        <v>31.087912874542344</v>
      </c>
      <c r="P30" s="100">
        <v>1289.085</v>
      </c>
      <c r="Q30" s="100">
        <v>5100</v>
      </c>
      <c r="R30" s="100">
        <v>0.24</v>
      </c>
      <c r="S30" s="100">
        <v>180</v>
      </c>
      <c r="T30" s="96">
        <v>63.340491</v>
      </c>
      <c r="U30" s="96">
        <v>118.76910400000001</v>
      </c>
      <c r="V30" s="96" t="s">
        <v>25</v>
      </c>
      <c r="W30" s="15"/>
      <c r="X30" s="15"/>
    </row>
    <row r="31" spans="4:24">
      <c r="D31" s="1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15"/>
      <c r="X31" s="15"/>
    </row>
    <row r="32" spans="4:24">
      <c r="D32" s="1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5"/>
      <c r="X32" s="15"/>
    </row>
    <row r="33" spans="4:24">
      <c r="D33" s="1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15"/>
      <c r="X33" s="15"/>
    </row>
    <row r="34" spans="4:24">
      <c r="D34" s="1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15"/>
      <c r="X34" s="15"/>
    </row>
    <row r="35" spans="4:24">
      <c r="D35" s="1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15"/>
      <c r="X35" s="15"/>
    </row>
    <row r="36" spans="4:24">
      <c r="D36" s="15"/>
      <c r="E36" s="96">
        <v>570</v>
      </c>
      <c r="F36" s="96">
        <v>3759</v>
      </c>
      <c r="G36" s="96">
        <v>45.6</v>
      </c>
      <c r="H36" s="96">
        <v>1.0215000000000001</v>
      </c>
      <c r="I36" s="96">
        <v>5.88</v>
      </c>
      <c r="J36" s="96">
        <v>875</v>
      </c>
      <c r="K36" s="96">
        <v>1008</v>
      </c>
      <c r="L36" s="96">
        <v>3.480166974847593</v>
      </c>
      <c r="M36" s="96">
        <v>34.801669748475923</v>
      </c>
      <c r="N36" s="96">
        <v>70.496331549963699</v>
      </c>
      <c r="O36" s="96">
        <v>24.533900490809007</v>
      </c>
      <c r="P36" s="100">
        <v>1315.27</v>
      </c>
      <c r="Q36" s="100">
        <v>3500</v>
      </c>
      <c r="R36" s="100">
        <v>0.08</v>
      </c>
      <c r="S36" s="100">
        <v>200</v>
      </c>
      <c r="T36" s="96">
        <v>53.946552000000004</v>
      </c>
      <c r="U36" s="96">
        <v>125.06204200000001</v>
      </c>
      <c r="V36" s="96"/>
      <c r="W36" s="15"/>
      <c r="X36" s="15"/>
    </row>
    <row r="37" spans="4:24">
      <c r="D37" s="15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15"/>
      <c r="X37" s="15"/>
    </row>
    <row r="38" spans="4:24">
      <c r="D38" s="1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15"/>
      <c r="X38" s="15"/>
    </row>
    <row r="39" spans="4:24">
      <c r="D39" s="1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15"/>
      <c r="X39" s="15"/>
    </row>
    <row r="40" spans="4:24">
      <c r="D40" s="15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15"/>
      <c r="X40" s="15"/>
    </row>
    <row r="41" spans="4:24">
      <c r="D41" s="15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15"/>
      <c r="X41" s="15"/>
    </row>
    <row r="42" spans="4:24">
      <c r="D42" s="15"/>
      <c r="E42" s="96">
        <v>2053</v>
      </c>
      <c r="F42" s="96">
        <v>3957</v>
      </c>
      <c r="G42" s="96">
        <v>51.5</v>
      </c>
      <c r="H42" s="96">
        <v>1.008</v>
      </c>
      <c r="I42" s="96">
        <v>5.97</v>
      </c>
      <c r="J42" s="96">
        <v>1000</v>
      </c>
      <c r="K42" s="96">
        <v>1185</v>
      </c>
      <c r="L42" s="96">
        <v>4.2086734936242296</v>
      </c>
      <c r="M42" s="96">
        <v>42.086734936242301</v>
      </c>
      <c r="N42" s="96">
        <v>75.72126161727607</v>
      </c>
      <c r="O42" s="96">
        <v>31.868606667241561</v>
      </c>
      <c r="P42" s="100">
        <v>1545</v>
      </c>
      <c r="Q42" s="100">
        <v>3500</v>
      </c>
      <c r="R42" s="100">
        <v>0.53</v>
      </c>
      <c r="S42" s="100">
        <v>260</v>
      </c>
      <c r="T42" s="96">
        <v>11.236934</v>
      </c>
      <c r="U42" s="96">
        <v>1529.482422</v>
      </c>
      <c r="V42" s="96" t="s">
        <v>25</v>
      </c>
      <c r="W42" s="15"/>
      <c r="X42" s="15"/>
    </row>
    <row r="43" spans="4:24">
      <c r="D43" s="15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15"/>
      <c r="X43" s="15"/>
    </row>
    <row r="44" spans="4:24">
      <c r="D44" s="1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15"/>
      <c r="X44" s="15"/>
    </row>
    <row r="45" spans="4:24">
      <c r="D45" s="1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15"/>
      <c r="X45" s="15"/>
    </row>
    <row r="46" spans="4:24">
      <c r="D46" s="15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15"/>
      <c r="X46" s="15"/>
    </row>
    <row r="47" spans="4:24">
      <c r="D47" s="1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15"/>
      <c r="X47" s="15"/>
    </row>
    <row r="48" spans="4:24">
      <c r="D48" s="15"/>
      <c r="E48" s="96">
        <v>2180</v>
      </c>
      <c r="F48" s="96">
        <v>4355</v>
      </c>
      <c r="G48" s="96">
        <v>46</v>
      </c>
      <c r="H48" s="96">
        <v>1.0165</v>
      </c>
      <c r="I48" s="96">
        <v>5.76</v>
      </c>
      <c r="J48" s="96">
        <v>1000</v>
      </c>
      <c r="K48" s="96">
        <v>1280</v>
      </c>
      <c r="L48" s="96">
        <v>4.0910823986583447</v>
      </c>
      <c r="M48" s="96">
        <v>40.910823986583452</v>
      </c>
      <c r="N48" s="96">
        <v>68.699397114654531</v>
      </c>
      <c r="O48" s="96">
        <v>28.105489433420306</v>
      </c>
      <c r="P48" s="100">
        <v>860</v>
      </c>
      <c r="Q48" s="100">
        <v>3600</v>
      </c>
      <c r="R48" s="100">
        <v>0.11</v>
      </c>
      <c r="S48" s="100">
        <v>240</v>
      </c>
      <c r="T48" s="96">
        <v>78.646027000000004</v>
      </c>
      <c r="U48" s="96">
        <v>538.035034</v>
      </c>
      <c r="V48" s="96" t="s">
        <v>25</v>
      </c>
      <c r="W48" s="15"/>
      <c r="X48" s="15"/>
    </row>
    <row r="49" spans="4:24">
      <c r="D49" s="15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100"/>
      <c r="U49" s="96"/>
      <c r="V49" s="96"/>
      <c r="W49" s="15"/>
      <c r="X49" s="15"/>
    </row>
    <row r="50" spans="4:24">
      <c r="D50" s="1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100"/>
      <c r="U50" s="96"/>
      <c r="V50" s="96"/>
      <c r="W50" s="15"/>
      <c r="X50" s="15"/>
    </row>
    <row r="51" spans="4:24">
      <c r="D51" s="15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100"/>
      <c r="U51" s="96"/>
      <c r="V51" s="96"/>
      <c r="W51" s="15"/>
      <c r="X51" s="15"/>
    </row>
    <row r="52" spans="4:24">
      <c r="D52" s="15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100"/>
      <c r="U52" s="96"/>
      <c r="V52" s="96"/>
      <c r="W52" s="15"/>
      <c r="X52" s="15"/>
    </row>
    <row r="53" spans="4:24">
      <c r="D53" s="1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100"/>
      <c r="U53" s="96"/>
      <c r="V53" s="96"/>
      <c r="W53" s="15"/>
      <c r="X53" s="15"/>
    </row>
    <row r="54" spans="4:24">
      <c r="D54" s="15"/>
      <c r="E54" s="96">
        <v>1977</v>
      </c>
      <c r="F54" s="96">
        <v>3834</v>
      </c>
      <c r="G54" s="96">
        <v>58.3</v>
      </c>
      <c r="H54" s="96">
        <v>1.0125</v>
      </c>
      <c r="I54" s="96">
        <v>5.58</v>
      </c>
      <c r="J54" s="96">
        <v>875</v>
      </c>
      <c r="K54" s="96">
        <v>1536</v>
      </c>
      <c r="L54" s="96">
        <v>4.0889314575119746</v>
      </c>
      <c r="M54" s="96">
        <v>40.889314575119734</v>
      </c>
      <c r="N54" s="96">
        <v>73.985090750268895</v>
      </c>
      <c r="O54" s="96">
        <v>30.251996495565262</v>
      </c>
      <c r="P54" s="100">
        <v>1250</v>
      </c>
      <c r="Q54" s="100">
        <v>2650</v>
      </c>
      <c r="R54" s="100">
        <v>1.05</v>
      </c>
      <c r="S54" s="100">
        <v>180</v>
      </c>
      <c r="T54" s="96">
        <v>82.418044999999992</v>
      </c>
      <c r="U54" s="96">
        <v>419.272156</v>
      </c>
      <c r="V54" s="96"/>
      <c r="W54" s="15"/>
      <c r="X54" s="15"/>
    </row>
    <row r="55" spans="4:24">
      <c r="D55" s="1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100"/>
      <c r="U55" s="96"/>
      <c r="V55" s="96"/>
      <c r="W55" s="15"/>
      <c r="X55" s="15"/>
    </row>
    <row r="56" spans="4:24">
      <c r="D56" s="1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100"/>
      <c r="U56" s="96"/>
      <c r="V56" s="96"/>
      <c r="W56" s="15"/>
      <c r="X56" s="15"/>
    </row>
    <row r="57" spans="4:24">
      <c r="D57" s="15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100"/>
      <c r="U57" s="96"/>
      <c r="V57" s="96"/>
      <c r="W57" s="15"/>
      <c r="X57" s="15"/>
    </row>
    <row r="58" spans="4:24" s="129" customFormat="1" ht="15.75">
      <c r="D58" s="123" t="s">
        <v>9</v>
      </c>
      <c r="E58" s="124">
        <f t="shared" ref="E58:U58" si="0">AVERAGE(E4:E57)</f>
        <v>1142.901515151515</v>
      </c>
      <c r="F58" s="124">
        <f t="shared" si="0"/>
        <v>2538.8863636363635</v>
      </c>
      <c r="G58" s="125">
        <f t="shared" si="0"/>
        <v>44.227272727272734</v>
      </c>
      <c r="H58" s="125">
        <f t="shared" si="0"/>
        <v>1.0016363636363637</v>
      </c>
      <c r="I58" s="125">
        <f t="shared" si="0"/>
        <v>6.1909090909090905</v>
      </c>
      <c r="J58" s="124">
        <f t="shared" si="0"/>
        <v>843.18181818181813</v>
      </c>
      <c r="K58" s="125">
        <f t="shared" si="0"/>
        <v>806.18181818181813</v>
      </c>
      <c r="L58" s="125">
        <f t="shared" si="0"/>
        <v>3.7806326521270042</v>
      </c>
      <c r="M58" s="125">
        <f t="shared" si="0"/>
        <v>37.806326521270044</v>
      </c>
      <c r="N58" s="125">
        <f t="shared" si="0"/>
        <v>74.963054553885769</v>
      </c>
      <c r="O58" s="125">
        <f t="shared" si="0"/>
        <v>28.300753391331913</v>
      </c>
      <c r="P58" s="124">
        <f t="shared" si="0"/>
        <v>1114.8700000000001</v>
      </c>
      <c r="Q58" s="124">
        <f t="shared" si="0"/>
        <v>3941.6666666666665</v>
      </c>
      <c r="R58" s="125">
        <f t="shared" si="0"/>
        <v>0.27083333333333331</v>
      </c>
      <c r="S58" s="126">
        <f t="shared" si="0"/>
        <v>184.16666666666666</v>
      </c>
      <c r="T58" s="126">
        <f t="shared" si="0"/>
        <v>54.948389666666664</v>
      </c>
      <c r="U58" s="126">
        <f t="shared" si="0"/>
        <v>292.14965650000005</v>
      </c>
      <c r="V58" s="127"/>
      <c r="W58" s="128"/>
      <c r="X58" s="128"/>
    </row>
    <row r="59" spans="4:24" ht="30.75" customHeight="1">
      <c r="D59" s="104" t="s">
        <v>18</v>
      </c>
      <c r="E59" s="105">
        <f>STDEV(E4:E57)</f>
        <v>758.88681890921077</v>
      </c>
      <c r="F59" s="105">
        <f t="shared" ref="F59:U59" si="1">STDEV(F4:F57)</f>
        <v>1444.9088303960791</v>
      </c>
      <c r="G59" s="105">
        <f t="shared" si="1"/>
        <v>6.6688351586867931</v>
      </c>
      <c r="H59" s="105">
        <f t="shared" si="1"/>
        <v>1.7777922979204986E-2</v>
      </c>
      <c r="I59" s="105">
        <f t="shared" si="1"/>
        <v>0.4378002865566627</v>
      </c>
      <c r="J59" s="105">
        <f t="shared" si="1"/>
        <v>152.51676509932824</v>
      </c>
      <c r="K59" s="105">
        <f t="shared" si="1"/>
        <v>439.54445012576787</v>
      </c>
      <c r="L59" s="105">
        <f t="shared" si="1"/>
        <v>0.4428723329142556</v>
      </c>
      <c r="M59" s="105">
        <f t="shared" si="1"/>
        <v>4.4287233291425459</v>
      </c>
      <c r="N59" s="105">
        <f t="shared" si="1"/>
        <v>3.5258880551008289</v>
      </c>
      <c r="O59" s="105">
        <f t="shared" si="1"/>
        <v>3.285451932716589</v>
      </c>
      <c r="P59" s="105">
        <f t="shared" si="1"/>
        <v>300.96104316762563</v>
      </c>
      <c r="Q59" s="105">
        <f t="shared" si="1"/>
        <v>901.9759453891246</v>
      </c>
      <c r="R59" s="105">
        <f t="shared" si="1"/>
        <v>0.2884900607499592</v>
      </c>
      <c r="S59" s="105">
        <f t="shared" si="1"/>
        <v>41.221868276952542</v>
      </c>
      <c r="T59" s="105">
        <f t="shared" si="1"/>
        <v>32.387138886853812</v>
      </c>
      <c r="U59" s="105">
        <f t="shared" si="1"/>
        <v>418.94353073252233</v>
      </c>
      <c r="V59" s="106"/>
      <c r="W59" s="15"/>
      <c r="X59" s="15"/>
    </row>
    <row r="60" spans="4:24" ht="31.5">
      <c r="D60" s="104" t="s">
        <v>96</v>
      </c>
      <c r="E60" s="105">
        <f>CONFIDENCE(0.05,E59,11)</f>
        <v>448.46521009234777</v>
      </c>
      <c r="F60" s="105">
        <f t="shared" ref="F60:U60" si="2">CONFIDENCE(0.05,F59,11)</f>
        <v>853.87086195443374</v>
      </c>
      <c r="G60" s="105">
        <f t="shared" si="2"/>
        <v>3.9409573153615476</v>
      </c>
      <c r="H60" s="105">
        <f t="shared" si="2"/>
        <v>1.0505888052363922E-2</v>
      </c>
      <c r="I60" s="105">
        <f t="shared" si="2"/>
        <v>0.25871868188635999</v>
      </c>
      <c r="J60" s="105">
        <f t="shared" si="2"/>
        <v>90.12999224467795</v>
      </c>
      <c r="K60" s="105">
        <f t="shared" si="2"/>
        <v>259.7493977480197</v>
      </c>
      <c r="L60" s="105">
        <f t="shared" si="2"/>
        <v>0.26171601466205047</v>
      </c>
      <c r="M60" s="105">
        <f t="shared" si="2"/>
        <v>2.6171601466204981</v>
      </c>
      <c r="N60" s="105">
        <f t="shared" si="2"/>
        <v>2.0836283988509541</v>
      </c>
      <c r="O60" s="105">
        <f t="shared" si="2"/>
        <v>1.9415423414151118</v>
      </c>
      <c r="P60" s="105">
        <f t="shared" si="2"/>
        <v>177.85334267339348</v>
      </c>
      <c r="Q60" s="105">
        <f t="shared" si="2"/>
        <v>533.02392631959867</v>
      </c>
      <c r="R60" s="105">
        <f t="shared" si="2"/>
        <v>0.17048359844982719</v>
      </c>
      <c r="S60" s="105">
        <f t="shared" si="2"/>
        <v>24.360119792032179</v>
      </c>
      <c r="T60" s="105">
        <f t="shared" si="2"/>
        <v>19.139224299691751</v>
      </c>
      <c r="U60" s="105">
        <f t="shared" si="2"/>
        <v>247.57525607948099</v>
      </c>
      <c r="V60" s="106"/>
      <c r="W60" s="15"/>
      <c r="X60" s="15"/>
    </row>
    <row r="61" spans="4:24" ht="15.75">
      <c r="D61" s="104" t="s">
        <v>41</v>
      </c>
      <c r="E61" s="105">
        <f>E58+E60</f>
        <v>1591.3667252438627</v>
      </c>
      <c r="F61" s="105">
        <f t="shared" ref="F61:U61" si="3">F58+F60</f>
        <v>3392.7572255907971</v>
      </c>
      <c r="G61" s="105">
        <f t="shared" si="3"/>
        <v>48.168230042634278</v>
      </c>
      <c r="H61" s="105">
        <f t="shared" si="3"/>
        <v>1.0121422516887275</v>
      </c>
      <c r="I61" s="105">
        <f t="shared" si="3"/>
        <v>6.4496277727954503</v>
      </c>
      <c r="J61" s="105">
        <f t="shared" si="3"/>
        <v>933.31181042649609</v>
      </c>
      <c r="K61" s="105">
        <f t="shared" si="3"/>
        <v>1065.9312159298379</v>
      </c>
      <c r="L61" s="105">
        <f t="shared" si="3"/>
        <v>4.0423486667890547</v>
      </c>
      <c r="M61" s="105">
        <f t="shared" si="3"/>
        <v>40.423486667890543</v>
      </c>
      <c r="N61" s="105">
        <f t="shared" si="3"/>
        <v>77.046682952736717</v>
      </c>
      <c r="O61" s="105">
        <f t="shared" si="3"/>
        <v>30.242295732747024</v>
      </c>
      <c r="P61" s="105">
        <f t="shared" si="3"/>
        <v>1292.7233426733935</v>
      </c>
      <c r="Q61" s="105">
        <f t="shared" si="3"/>
        <v>4474.6905929862651</v>
      </c>
      <c r="R61" s="105">
        <f t="shared" si="3"/>
        <v>0.4413169317831605</v>
      </c>
      <c r="S61" s="105">
        <f t="shared" si="3"/>
        <v>208.52678645869884</v>
      </c>
      <c r="T61" s="105">
        <f t="shared" si="3"/>
        <v>74.087613966358418</v>
      </c>
      <c r="U61" s="105">
        <f t="shared" si="3"/>
        <v>539.72491257948104</v>
      </c>
      <c r="V61" s="106"/>
      <c r="W61" s="15"/>
      <c r="X61" s="15"/>
    </row>
    <row r="62" spans="4:24" ht="15.75">
      <c r="D62" s="107" t="s">
        <v>42</v>
      </c>
      <c r="E62" s="105">
        <f>E58-E60</f>
        <v>694.43630505916724</v>
      </c>
      <c r="F62" s="105">
        <f t="shared" ref="F62:U62" si="4">F58-F60</f>
        <v>1685.0155016819299</v>
      </c>
      <c r="G62" s="105">
        <f t="shared" si="4"/>
        <v>40.28631541191119</v>
      </c>
      <c r="H62" s="105">
        <f t="shared" si="4"/>
        <v>0.99113047558399969</v>
      </c>
      <c r="I62" s="105">
        <f t="shared" si="4"/>
        <v>5.9321904090227306</v>
      </c>
      <c r="J62" s="105">
        <f t="shared" si="4"/>
        <v>753.05182593714017</v>
      </c>
      <c r="K62" s="105">
        <f t="shared" si="4"/>
        <v>546.43242043379837</v>
      </c>
      <c r="L62" s="105">
        <f t="shared" si="4"/>
        <v>3.5189166374649536</v>
      </c>
      <c r="M62" s="105">
        <f t="shared" si="4"/>
        <v>35.189166374649545</v>
      </c>
      <c r="N62" s="105">
        <f t="shared" si="4"/>
        <v>72.879426155034821</v>
      </c>
      <c r="O62" s="105">
        <f t="shared" si="4"/>
        <v>26.359211049916802</v>
      </c>
      <c r="P62" s="105">
        <f t="shared" si="4"/>
        <v>937.01665732660661</v>
      </c>
      <c r="Q62" s="105">
        <f t="shared" si="4"/>
        <v>3408.642740347068</v>
      </c>
      <c r="R62" s="105">
        <f t="shared" si="4"/>
        <v>0.10034973488350613</v>
      </c>
      <c r="S62" s="105">
        <f t="shared" si="4"/>
        <v>159.80654687463448</v>
      </c>
      <c r="T62" s="105">
        <f t="shared" si="4"/>
        <v>35.809165366974909</v>
      </c>
      <c r="U62" s="105">
        <f t="shared" si="4"/>
        <v>44.574400420519055</v>
      </c>
      <c r="V62" s="106"/>
      <c r="W62" s="15"/>
      <c r="X62" s="15"/>
    </row>
    <row r="63" spans="4:24" ht="15.75">
      <c r="D63" s="106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5"/>
      <c r="X63" s="15"/>
    </row>
    <row r="64" spans="4:24" ht="15.75">
      <c r="D64" s="106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5"/>
      <c r="X64" s="15"/>
    </row>
    <row r="65" spans="4:24" ht="15.75">
      <c r="D65" s="106"/>
      <c r="E65" s="106"/>
      <c r="F65" s="106"/>
      <c r="G65" s="105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5"/>
      <c r="X65" s="15"/>
    </row>
    <row r="66" spans="4:24" ht="15.75">
      <c r="D66" s="106"/>
      <c r="E66" s="106"/>
      <c r="F66" s="106"/>
      <c r="G66" s="105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5"/>
      <c r="X66" s="15"/>
    </row>
    <row r="67" spans="4:24" ht="15.75">
      <c r="D67" s="106"/>
      <c r="E67" s="106"/>
      <c r="F67" s="106"/>
      <c r="G67" s="105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5"/>
      <c r="X67" s="15"/>
    </row>
    <row r="68" spans="4:24" ht="15.75">
      <c r="D68" s="106"/>
      <c r="E68" s="167" t="s">
        <v>259</v>
      </c>
      <c r="F68" s="167"/>
      <c r="G68" s="167"/>
      <c r="H68" s="167"/>
      <c r="I68" s="167"/>
      <c r="J68" s="167"/>
      <c r="K68" s="106"/>
      <c r="L68" s="106"/>
      <c r="M68" s="106"/>
      <c r="N68" s="106"/>
      <c r="O68" s="106"/>
      <c r="P68" s="106"/>
      <c r="Q68" s="153"/>
      <c r="R68" s="151"/>
      <c r="S68" s="151"/>
      <c r="T68" s="151"/>
      <c r="U68" s="109"/>
      <c r="V68" s="106"/>
      <c r="W68" s="15"/>
      <c r="X68" s="15"/>
    </row>
    <row r="69" spans="4:24" ht="15.75">
      <c r="D69" s="106"/>
      <c r="E69" s="110" t="s">
        <v>98</v>
      </c>
      <c r="F69" s="111" t="s">
        <v>99</v>
      </c>
      <c r="G69" s="112"/>
      <c r="H69" s="111"/>
      <c r="I69" s="106"/>
      <c r="J69" s="106"/>
      <c r="K69" s="113"/>
      <c r="L69" s="106"/>
      <c r="M69" s="106"/>
      <c r="N69" s="106"/>
      <c r="O69" s="106"/>
      <c r="P69" s="106"/>
      <c r="Q69" s="153"/>
      <c r="R69" s="151"/>
      <c r="S69" s="114"/>
      <c r="T69" s="114"/>
      <c r="U69" s="114"/>
      <c r="V69" s="106"/>
      <c r="W69" s="15"/>
      <c r="X69" s="15"/>
    </row>
    <row r="70" spans="4:24" ht="15.75">
      <c r="D70" s="122" t="s">
        <v>10</v>
      </c>
      <c r="E70" s="111">
        <v>74846</v>
      </c>
      <c r="F70" s="111">
        <v>70400</v>
      </c>
      <c r="G70" s="116"/>
      <c r="H70" s="108"/>
      <c r="I70" s="108"/>
      <c r="J70" s="106"/>
      <c r="K70" s="106"/>
      <c r="L70" s="106"/>
      <c r="M70" s="106"/>
      <c r="N70" s="106"/>
      <c r="O70" s="106"/>
      <c r="P70" s="106"/>
      <c r="Q70" s="115"/>
      <c r="R70" s="117"/>
      <c r="S70" s="114"/>
      <c r="T70" s="114"/>
      <c r="U70" s="114"/>
      <c r="V70" s="106"/>
      <c r="W70" s="15"/>
      <c r="X70" s="15"/>
    </row>
    <row r="71" spans="4:24" ht="15.75">
      <c r="D71" s="122" t="s">
        <v>2</v>
      </c>
      <c r="E71" s="111" t="s">
        <v>25</v>
      </c>
      <c r="F71" s="111" t="s">
        <v>25</v>
      </c>
      <c r="G71" s="116"/>
      <c r="H71" s="116"/>
      <c r="I71" s="116"/>
      <c r="J71" s="106"/>
      <c r="K71" s="113"/>
      <c r="L71" s="106"/>
      <c r="M71" s="106"/>
      <c r="N71" s="106"/>
      <c r="O71" s="106"/>
      <c r="P71" s="106"/>
      <c r="Q71" s="115"/>
      <c r="R71" s="117"/>
      <c r="S71" s="114"/>
      <c r="T71" s="114"/>
      <c r="U71" s="117"/>
      <c r="V71" s="106"/>
      <c r="W71" s="15"/>
      <c r="X71" s="15"/>
    </row>
    <row r="72" spans="4:24" ht="15.75">
      <c r="D72" s="122" t="s">
        <v>0</v>
      </c>
      <c r="E72" s="116">
        <v>1440</v>
      </c>
      <c r="F72" s="116">
        <v>2750</v>
      </c>
      <c r="G72" s="116"/>
      <c r="H72" s="108"/>
      <c r="I72" s="116"/>
      <c r="J72" s="106"/>
      <c r="K72" s="113"/>
      <c r="L72" s="106"/>
      <c r="M72" s="106"/>
      <c r="N72" s="106"/>
      <c r="O72" s="106"/>
      <c r="P72" s="106"/>
      <c r="Q72" s="115"/>
      <c r="R72" s="117"/>
      <c r="S72" s="114"/>
      <c r="T72" s="114"/>
      <c r="U72" s="114"/>
      <c r="V72" s="106"/>
      <c r="W72" s="15"/>
      <c r="X72" s="15"/>
    </row>
    <row r="73" spans="4:24" ht="15.75">
      <c r="D73" s="122" t="s">
        <v>13</v>
      </c>
      <c r="E73" s="116">
        <v>5.74</v>
      </c>
      <c r="F73" s="116">
        <v>6.64</v>
      </c>
      <c r="G73" s="116"/>
      <c r="H73" s="108"/>
      <c r="I73" s="116"/>
      <c r="J73" s="106"/>
      <c r="K73" s="113"/>
      <c r="L73" s="106"/>
      <c r="M73" s="106"/>
      <c r="N73" s="106"/>
      <c r="O73" s="106"/>
      <c r="P73" s="106"/>
      <c r="Q73" s="115"/>
      <c r="R73" s="95"/>
      <c r="S73" s="114"/>
      <c r="T73" s="114"/>
      <c r="U73" s="114"/>
      <c r="V73" s="106"/>
      <c r="W73" s="15"/>
      <c r="X73" s="15"/>
    </row>
    <row r="74" spans="4:24" ht="15.75">
      <c r="D74" s="95" t="s">
        <v>27</v>
      </c>
      <c r="E74" s="116">
        <v>1500</v>
      </c>
      <c r="F74" s="116">
        <v>3000</v>
      </c>
      <c r="G74" s="116"/>
      <c r="H74" s="108"/>
      <c r="I74" s="116"/>
      <c r="J74" s="106"/>
      <c r="K74" s="113"/>
      <c r="L74" s="106"/>
      <c r="M74" s="106"/>
      <c r="N74" s="106"/>
      <c r="O74" s="106"/>
      <c r="P74" s="106"/>
      <c r="Q74" s="118"/>
      <c r="R74" s="117"/>
      <c r="S74" s="114"/>
      <c r="T74" s="114"/>
      <c r="U74" s="114"/>
      <c r="V74" s="106"/>
      <c r="W74" s="15"/>
      <c r="X74" s="15"/>
    </row>
    <row r="75" spans="4:24" ht="15.75">
      <c r="D75" s="122" t="s">
        <v>12</v>
      </c>
      <c r="E75" s="116">
        <v>226.9</v>
      </c>
      <c r="F75" s="116">
        <v>220.8</v>
      </c>
      <c r="G75" s="116"/>
      <c r="H75" s="108"/>
      <c r="I75" s="116"/>
      <c r="J75" s="106"/>
      <c r="K75" s="113"/>
      <c r="L75" s="106"/>
      <c r="M75" s="106"/>
      <c r="N75" s="106"/>
      <c r="O75" s="106"/>
      <c r="P75" s="106"/>
      <c r="Q75" s="115"/>
      <c r="R75" s="117"/>
      <c r="S75" s="114"/>
      <c r="T75" s="114"/>
      <c r="U75" s="114"/>
      <c r="V75" s="106"/>
      <c r="W75" s="15"/>
      <c r="X75" s="15"/>
    </row>
    <row r="76" spans="4:24" ht="15.75">
      <c r="D76" s="122" t="s">
        <v>11</v>
      </c>
      <c r="E76" s="116">
        <v>217.2</v>
      </c>
      <c r="F76" s="116">
        <v>213</v>
      </c>
      <c r="G76" s="116"/>
      <c r="H76" s="108"/>
      <c r="I76" s="116"/>
      <c r="J76" s="106"/>
      <c r="K76" s="113"/>
      <c r="L76" s="106"/>
      <c r="M76" s="106"/>
      <c r="N76" s="106"/>
      <c r="O76" s="106"/>
      <c r="P76" s="106"/>
      <c r="Q76" s="115"/>
      <c r="R76" s="117"/>
      <c r="S76" s="114"/>
      <c r="T76" s="114"/>
      <c r="U76" s="114"/>
      <c r="V76" s="106"/>
      <c r="W76" s="15"/>
      <c r="X76" s="15"/>
    </row>
    <row r="77" spans="4:24" ht="15.75">
      <c r="D77" s="122" t="s">
        <v>94</v>
      </c>
      <c r="E77" s="116">
        <v>1130</v>
      </c>
      <c r="F77" s="116">
        <v>623</v>
      </c>
      <c r="G77" s="116"/>
      <c r="H77" s="108"/>
      <c r="I77" s="116"/>
      <c r="J77" s="106"/>
      <c r="K77" s="113"/>
      <c r="L77" s="106"/>
      <c r="M77" s="106"/>
      <c r="N77" s="106"/>
      <c r="O77" s="106"/>
      <c r="P77" s="106"/>
      <c r="Q77" s="115"/>
      <c r="R77" s="117"/>
      <c r="S77" s="114"/>
      <c r="T77" s="114"/>
      <c r="U77" s="114"/>
      <c r="V77" s="106"/>
      <c r="W77" s="15"/>
      <c r="X77" s="15"/>
    </row>
    <row r="78" spans="4:24" ht="15.75">
      <c r="D78" s="122" t="s">
        <v>95</v>
      </c>
      <c r="E78" s="116">
        <v>240</v>
      </c>
      <c r="F78" s="116">
        <v>103</v>
      </c>
      <c r="G78" s="116"/>
      <c r="H78" s="108"/>
      <c r="I78" s="116"/>
      <c r="J78" s="106"/>
      <c r="K78" s="113"/>
      <c r="L78" s="106"/>
      <c r="M78" s="106"/>
      <c r="N78" s="106"/>
      <c r="O78" s="106"/>
      <c r="P78" s="106"/>
      <c r="Q78" s="115"/>
      <c r="R78" s="117"/>
      <c r="S78" s="114"/>
      <c r="T78" s="114"/>
      <c r="U78" s="114"/>
      <c r="V78" s="106"/>
      <c r="W78" s="15"/>
      <c r="X78" s="15"/>
    </row>
    <row r="79" spans="4:24" ht="18.75">
      <c r="D79" s="122" t="s">
        <v>256</v>
      </c>
      <c r="E79" s="116">
        <v>18.600000000000001</v>
      </c>
      <c r="F79" s="116">
        <v>27.2</v>
      </c>
      <c r="G79" s="116"/>
      <c r="H79" s="108"/>
      <c r="I79" s="116"/>
      <c r="J79" s="106"/>
      <c r="K79" s="113"/>
      <c r="L79" s="106"/>
      <c r="M79" s="106"/>
      <c r="N79" s="106"/>
      <c r="O79" s="106"/>
      <c r="P79" s="106"/>
      <c r="Q79" s="115"/>
      <c r="R79" s="117"/>
      <c r="S79" s="114"/>
      <c r="T79" s="114"/>
      <c r="U79" s="114"/>
      <c r="V79" s="106"/>
      <c r="W79" s="15"/>
      <c r="X79" s="15"/>
    </row>
    <row r="80" spans="4:24" ht="18.75">
      <c r="D80" s="122" t="s">
        <v>257</v>
      </c>
      <c r="E80" s="116">
        <v>6.8</v>
      </c>
      <c r="F80" s="116">
        <v>43.4</v>
      </c>
      <c r="G80" s="116"/>
      <c r="H80" s="108"/>
      <c r="I80" s="106"/>
      <c r="J80" s="106"/>
      <c r="K80" s="106"/>
      <c r="L80" s="106"/>
      <c r="M80" s="106"/>
      <c r="N80" s="106"/>
      <c r="O80" s="106"/>
      <c r="P80" s="106"/>
      <c r="Q80" s="115"/>
      <c r="R80" s="117"/>
      <c r="S80" s="114"/>
      <c r="T80" s="114"/>
      <c r="U80" s="114"/>
      <c r="V80" s="106"/>
      <c r="W80" s="15"/>
      <c r="X80" s="15"/>
    </row>
    <row r="81" spans="4:24">
      <c r="D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4:24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4:24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4:24">
      <c r="D84" s="15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"/>
      <c r="S84" s="15"/>
      <c r="T84" s="15"/>
      <c r="U84" s="15"/>
      <c r="V84" s="15"/>
      <c r="W84" s="15"/>
      <c r="X84" s="15"/>
    </row>
    <row r="85" spans="4:24">
      <c r="D85" s="15"/>
      <c r="E85" s="15"/>
      <c r="F85" s="119"/>
      <c r="G85" s="120"/>
      <c r="H85" s="121"/>
      <c r="I85" s="120"/>
      <c r="J85" s="120"/>
      <c r="K85" s="120"/>
      <c r="L85" s="120"/>
      <c r="M85" s="120"/>
      <c r="N85" s="120"/>
      <c r="O85" s="120"/>
      <c r="P85" s="120"/>
      <c r="Q85" s="120"/>
      <c r="R85" s="15"/>
      <c r="S85" s="15"/>
      <c r="T85" s="15"/>
      <c r="U85" s="15"/>
      <c r="V85" s="15"/>
      <c r="W85" s="15"/>
      <c r="X85" s="15"/>
    </row>
  </sheetData>
  <mergeCells count="7">
    <mergeCell ref="E1:H1"/>
    <mergeCell ref="E68:J68"/>
    <mergeCell ref="S68:T68"/>
    <mergeCell ref="I2:I3"/>
    <mergeCell ref="E84:Q84"/>
    <mergeCell ref="Q68:Q69"/>
    <mergeCell ref="R68:R69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U47"/>
  <sheetViews>
    <sheetView view="pageBreakPreview" zoomScale="60" workbookViewId="0">
      <selection activeCell="O51" sqref="O51"/>
    </sheetView>
  </sheetViews>
  <sheetFormatPr defaultRowHeight="15"/>
  <cols>
    <col min="2" max="2" width="9.140625" style="155" customWidth="1"/>
    <col min="6" max="6" width="9.140625" style="82"/>
    <col min="18" max="18" width="9.140625" style="82"/>
  </cols>
  <sheetData>
    <row r="2" spans="2:21">
      <c r="C2" s="154" t="s">
        <v>4</v>
      </c>
      <c r="D2" s="154"/>
      <c r="E2" s="154"/>
      <c r="F2" s="154"/>
      <c r="G2" s="154" t="s">
        <v>5</v>
      </c>
      <c r="H2" s="154"/>
      <c r="I2" s="154"/>
      <c r="J2" s="154"/>
      <c r="K2" s="62"/>
      <c r="L2" s="62"/>
      <c r="M2" s="62"/>
      <c r="N2" s="154" t="s">
        <v>6</v>
      </c>
      <c r="O2" s="154"/>
      <c r="P2" s="154"/>
      <c r="Q2" s="154"/>
      <c r="R2" s="154" t="s">
        <v>7</v>
      </c>
      <c r="S2" s="154"/>
      <c r="T2" s="154"/>
      <c r="U2" s="154"/>
    </row>
    <row r="3" spans="2:21">
      <c r="C3" s="58" t="s">
        <v>187</v>
      </c>
      <c r="D3" s="58" t="s">
        <v>188</v>
      </c>
      <c r="E3" s="58" t="s">
        <v>189</v>
      </c>
      <c r="F3" s="58" t="s">
        <v>190</v>
      </c>
      <c r="G3" s="159" t="s">
        <v>187</v>
      </c>
      <c r="H3" s="58" t="s">
        <v>188</v>
      </c>
      <c r="I3" s="58" t="s">
        <v>189</v>
      </c>
      <c r="J3" s="58" t="s">
        <v>190</v>
      </c>
      <c r="N3" s="58" t="s">
        <v>187</v>
      </c>
      <c r="O3" s="58" t="s">
        <v>188</v>
      </c>
      <c r="P3" s="58" t="s">
        <v>189</v>
      </c>
      <c r="Q3" s="58" t="s">
        <v>190</v>
      </c>
      <c r="R3" s="58" t="s">
        <v>187</v>
      </c>
      <c r="S3" s="159" t="s">
        <v>188</v>
      </c>
      <c r="T3" s="58" t="s">
        <v>189</v>
      </c>
      <c r="U3" s="58" t="s">
        <v>190</v>
      </c>
    </row>
    <row r="4" spans="2:21">
      <c r="B4" s="156" t="s">
        <v>112</v>
      </c>
      <c r="C4">
        <v>1.381</v>
      </c>
      <c r="D4">
        <v>53.524999999999999</v>
      </c>
      <c r="E4">
        <v>44.87</v>
      </c>
      <c r="F4" s="82">
        <v>0.224</v>
      </c>
      <c r="G4">
        <v>1.3120000000000001</v>
      </c>
      <c r="H4">
        <v>52.99</v>
      </c>
      <c r="I4">
        <v>45.654000000000003</v>
      </c>
      <c r="J4">
        <v>4.4999999999999998E-2</v>
      </c>
      <c r="M4" s="47" t="s">
        <v>193</v>
      </c>
      <c r="N4" s="62"/>
      <c r="O4" s="62"/>
      <c r="P4" s="62"/>
      <c r="Q4" s="62"/>
      <c r="R4" s="161"/>
      <c r="S4" s="62"/>
      <c r="T4" s="62"/>
      <c r="U4" s="62"/>
    </row>
    <row r="5" spans="2:21">
      <c r="B5" s="156" t="s">
        <v>114</v>
      </c>
      <c r="C5">
        <v>1.9350000000000001</v>
      </c>
      <c r="D5">
        <v>52.993000000000002</v>
      </c>
      <c r="E5">
        <v>44.853999999999999</v>
      </c>
      <c r="F5" s="82">
        <v>0.219</v>
      </c>
      <c r="G5">
        <v>1.746</v>
      </c>
      <c r="H5">
        <v>50.948999999999998</v>
      </c>
      <c r="I5">
        <v>47.223999999999997</v>
      </c>
      <c r="J5">
        <v>8.1000000000000003E-2</v>
      </c>
      <c r="M5" s="47" t="s">
        <v>194</v>
      </c>
      <c r="N5" s="62">
        <v>0.93100000000000005</v>
      </c>
      <c r="O5" s="62">
        <v>57.378999999999998</v>
      </c>
      <c r="P5" s="62">
        <v>41.518000000000001</v>
      </c>
      <c r="Q5" s="62">
        <v>0.17199999999999999</v>
      </c>
      <c r="R5" s="161">
        <v>1.357</v>
      </c>
      <c r="S5" s="62">
        <v>54.767000000000003</v>
      </c>
      <c r="T5" s="62">
        <v>43.847000000000001</v>
      </c>
      <c r="U5" s="62">
        <v>2.9000000000000001E-2</v>
      </c>
    </row>
    <row r="6" spans="2:21">
      <c r="B6" s="156" t="s">
        <v>116</v>
      </c>
      <c r="C6">
        <v>1.3879999999999999</v>
      </c>
      <c r="D6">
        <v>53.584000000000003</v>
      </c>
      <c r="E6">
        <v>44.805999999999997</v>
      </c>
      <c r="F6" s="82">
        <v>0.222</v>
      </c>
      <c r="G6">
        <v>1.51</v>
      </c>
      <c r="H6">
        <v>51.619</v>
      </c>
      <c r="I6">
        <v>46.786000000000001</v>
      </c>
      <c r="J6">
        <v>8.4000000000000005E-2</v>
      </c>
      <c r="M6" s="47" t="s">
        <v>195</v>
      </c>
      <c r="N6" s="62">
        <v>0.83899999999999997</v>
      </c>
      <c r="O6" s="62">
        <v>57.329000000000001</v>
      </c>
      <c r="P6" s="62">
        <v>41.667000000000002</v>
      </c>
      <c r="Q6" s="62">
        <v>0.16500000000000001</v>
      </c>
      <c r="R6" s="161">
        <v>1.3819999999999999</v>
      </c>
      <c r="S6" s="62">
        <v>54.628</v>
      </c>
      <c r="T6" s="62">
        <v>43.906999999999996</v>
      </c>
      <c r="U6" s="62">
        <v>8.3000000000000004E-2</v>
      </c>
    </row>
    <row r="7" spans="2:21">
      <c r="B7" s="156" t="s">
        <v>118</v>
      </c>
      <c r="C7">
        <v>0.75800000000000001</v>
      </c>
      <c r="D7">
        <v>53.973999999999997</v>
      </c>
      <c r="E7">
        <v>45.026000000000003</v>
      </c>
      <c r="F7" s="82">
        <v>0.24199999999999999</v>
      </c>
      <c r="G7">
        <v>1.2</v>
      </c>
      <c r="H7">
        <v>51.728999999999999</v>
      </c>
      <c r="I7">
        <v>46.985999999999997</v>
      </c>
      <c r="J7">
        <v>8.5000000000000006E-2</v>
      </c>
      <c r="M7" s="47" t="s">
        <v>196</v>
      </c>
      <c r="N7" s="62">
        <v>1.0609999999999999</v>
      </c>
      <c r="O7" s="62">
        <v>56.396000000000001</v>
      </c>
      <c r="P7" s="62">
        <v>42.365000000000002</v>
      </c>
      <c r="Q7" s="62">
        <v>0.17799999999999999</v>
      </c>
      <c r="R7" s="161">
        <v>1.347</v>
      </c>
      <c r="S7" s="62">
        <v>54.197000000000003</v>
      </c>
      <c r="T7" s="62">
        <v>44.359000000000002</v>
      </c>
      <c r="U7" s="62">
        <v>9.7000000000000003E-2</v>
      </c>
    </row>
    <row r="8" spans="2:21">
      <c r="B8" s="156" t="s">
        <v>120</v>
      </c>
      <c r="M8" s="47" t="s">
        <v>197</v>
      </c>
      <c r="N8" s="62">
        <v>0.81</v>
      </c>
      <c r="O8" s="62">
        <v>56.646000000000001</v>
      </c>
      <c r="P8" s="62">
        <v>42.484000000000002</v>
      </c>
      <c r="Q8" s="62">
        <v>6.0999999999999999E-2</v>
      </c>
      <c r="R8" s="161">
        <v>1.278</v>
      </c>
      <c r="S8" s="62">
        <v>54.234000000000002</v>
      </c>
      <c r="T8" s="62">
        <v>44.408000000000001</v>
      </c>
      <c r="U8" s="62">
        <v>7.9000000000000001E-2</v>
      </c>
    </row>
    <row r="9" spans="2:21">
      <c r="B9" s="156" t="s">
        <v>122</v>
      </c>
      <c r="M9" s="47" t="s">
        <v>198</v>
      </c>
      <c r="N9" s="62"/>
      <c r="O9" s="62"/>
      <c r="P9" s="62"/>
      <c r="Q9" s="62"/>
      <c r="R9" s="161"/>
      <c r="S9" s="62"/>
      <c r="T9" s="62"/>
      <c r="U9" s="62"/>
    </row>
    <row r="10" spans="2:21">
      <c r="B10" s="156" t="s">
        <v>124</v>
      </c>
      <c r="M10" s="47" t="s">
        <v>199</v>
      </c>
      <c r="N10" s="62"/>
      <c r="O10" s="62"/>
      <c r="P10" s="62"/>
      <c r="Q10" s="62"/>
      <c r="R10" s="161"/>
      <c r="S10" s="62"/>
      <c r="T10" s="62"/>
      <c r="U10" s="62"/>
    </row>
    <row r="11" spans="2:21">
      <c r="B11" s="156" t="s">
        <v>126</v>
      </c>
      <c r="C11">
        <v>1.145</v>
      </c>
      <c r="D11">
        <v>54.633000000000003</v>
      </c>
      <c r="E11">
        <v>44.021000000000001</v>
      </c>
      <c r="F11" s="82">
        <v>0.20100000000000001</v>
      </c>
      <c r="G11">
        <v>0.98899999999999999</v>
      </c>
      <c r="H11">
        <v>52.747</v>
      </c>
      <c r="I11">
        <v>46.185000000000002</v>
      </c>
      <c r="J11">
        <v>7.9000000000000001E-2</v>
      </c>
      <c r="M11" s="47" t="s">
        <v>200</v>
      </c>
      <c r="N11" s="62"/>
      <c r="O11" s="62"/>
      <c r="P11" s="62"/>
      <c r="Q11" s="62"/>
      <c r="R11" s="161"/>
      <c r="S11" s="62"/>
      <c r="T11" s="62"/>
      <c r="U11" s="62"/>
    </row>
    <row r="12" spans="2:21">
      <c r="B12" s="156" t="s">
        <v>128</v>
      </c>
      <c r="C12">
        <v>0.62</v>
      </c>
      <c r="D12">
        <v>55.05</v>
      </c>
      <c r="E12">
        <v>44.085000000000001</v>
      </c>
      <c r="F12" s="82">
        <v>0.245</v>
      </c>
      <c r="G12">
        <v>1.1379999999999999</v>
      </c>
      <c r="H12">
        <v>52.85</v>
      </c>
      <c r="I12">
        <v>45.938000000000002</v>
      </c>
      <c r="J12">
        <v>7.2999999999999995E-2</v>
      </c>
      <c r="M12" s="47" t="s">
        <v>201</v>
      </c>
      <c r="N12" s="62">
        <v>0.53100000000000003</v>
      </c>
      <c r="O12" s="62">
        <v>56.482999999999997</v>
      </c>
      <c r="P12" s="62">
        <v>42.819000000000003</v>
      </c>
      <c r="Q12" s="62">
        <v>0.16700000000000001</v>
      </c>
      <c r="R12" s="161">
        <v>1.198</v>
      </c>
      <c r="S12" s="62">
        <v>54.456000000000003</v>
      </c>
      <c r="T12" s="62">
        <v>44.252000000000002</v>
      </c>
      <c r="U12" s="62">
        <v>9.4E-2</v>
      </c>
    </row>
    <row r="13" spans="2:21">
      <c r="B13" s="156" t="s">
        <v>130</v>
      </c>
      <c r="C13">
        <v>1.669</v>
      </c>
      <c r="D13">
        <v>54.662999999999997</v>
      </c>
      <c r="E13">
        <v>43.423999999999999</v>
      </c>
      <c r="F13" s="82">
        <v>0.24399999999999999</v>
      </c>
      <c r="G13">
        <v>1.6879999999999999</v>
      </c>
      <c r="H13">
        <v>52.817</v>
      </c>
      <c r="I13">
        <v>45.429000000000002</v>
      </c>
      <c r="J13">
        <v>6.5000000000000002E-2</v>
      </c>
      <c r="M13" s="49" t="s">
        <v>202</v>
      </c>
      <c r="N13" s="62">
        <v>0.66400000000000003</v>
      </c>
      <c r="O13" s="62">
        <v>56.503</v>
      </c>
      <c r="P13" s="62">
        <v>42.661000000000001</v>
      </c>
      <c r="Q13" s="62">
        <v>0.17299999999999999</v>
      </c>
      <c r="R13" s="161">
        <v>1.2989999999999999</v>
      </c>
      <c r="S13" s="62">
        <v>54.369</v>
      </c>
      <c r="T13" s="62">
        <v>44.23</v>
      </c>
      <c r="U13" s="62">
        <v>0.10299999999999999</v>
      </c>
    </row>
    <row r="14" spans="2:21">
      <c r="B14" s="156" t="s">
        <v>132</v>
      </c>
      <c r="C14">
        <v>1.202</v>
      </c>
      <c r="D14">
        <v>54.798000000000002</v>
      </c>
      <c r="E14">
        <v>43.74</v>
      </c>
      <c r="F14" s="82">
        <v>0.26</v>
      </c>
      <c r="G14">
        <v>1.6439999999999999</v>
      </c>
      <c r="H14">
        <v>52.578000000000003</v>
      </c>
      <c r="I14">
        <v>45.701999999999998</v>
      </c>
      <c r="J14">
        <v>7.5999999999999998E-2</v>
      </c>
      <c r="M14" s="49" t="s">
        <v>203</v>
      </c>
      <c r="N14" s="62">
        <v>1.018</v>
      </c>
      <c r="O14" s="62">
        <v>56.493000000000002</v>
      </c>
      <c r="P14" s="62">
        <v>42.328000000000003</v>
      </c>
      <c r="Q14" s="62">
        <v>0.161</v>
      </c>
      <c r="R14" s="161">
        <v>1.448</v>
      </c>
      <c r="S14" s="62">
        <v>54.207000000000001</v>
      </c>
      <c r="T14" s="62">
        <v>44.232999999999997</v>
      </c>
      <c r="U14" s="62">
        <v>0.112</v>
      </c>
    </row>
    <row r="15" spans="2:21">
      <c r="B15" s="156" t="s">
        <v>134</v>
      </c>
      <c r="M15" s="49" t="s">
        <v>204</v>
      </c>
      <c r="N15" s="62">
        <v>0.75600000000000001</v>
      </c>
      <c r="O15" s="62">
        <v>56.737000000000002</v>
      </c>
      <c r="P15" s="62">
        <v>42.326000000000001</v>
      </c>
      <c r="Q15" s="62">
        <v>0.18</v>
      </c>
      <c r="R15" s="161">
        <v>1.298</v>
      </c>
      <c r="S15" s="62">
        <v>54.704999999999998</v>
      </c>
      <c r="T15" s="62">
        <v>43.89</v>
      </c>
      <c r="U15" s="62">
        <v>0.107</v>
      </c>
    </row>
    <row r="16" spans="2:21">
      <c r="B16" s="156" t="s">
        <v>136</v>
      </c>
      <c r="M16" s="49" t="s">
        <v>205</v>
      </c>
      <c r="N16" s="62">
        <v>0.63600000000000001</v>
      </c>
      <c r="O16" s="62">
        <v>57.13</v>
      </c>
      <c r="P16" s="62">
        <v>42.031999999999996</v>
      </c>
      <c r="Q16" s="62">
        <v>0.20200000000000001</v>
      </c>
      <c r="R16" s="161">
        <v>1.6040000000000001</v>
      </c>
      <c r="S16" s="62">
        <v>54.78</v>
      </c>
      <c r="T16" s="62">
        <v>43.52</v>
      </c>
      <c r="U16" s="62">
        <v>9.6000000000000002E-2</v>
      </c>
    </row>
    <row r="17" spans="2:21">
      <c r="B17" s="156" t="s">
        <v>138</v>
      </c>
      <c r="M17" s="49" t="s">
        <v>206</v>
      </c>
      <c r="N17" s="62"/>
      <c r="O17" s="62"/>
      <c r="P17" s="62"/>
      <c r="Q17" s="62"/>
      <c r="R17" s="161"/>
      <c r="S17" s="62"/>
      <c r="T17" s="62"/>
      <c r="U17" s="62"/>
    </row>
    <row r="18" spans="2:21">
      <c r="B18" s="156" t="s">
        <v>140</v>
      </c>
      <c r="C18">
        <v>1.165</v>
      </c>
      <c r="D18">
        <v>54.066000000000003</v>
      </c>
      <c r="E18">
        <v>44.500999999999998</v>
      </c>
      <c r="F18" s="82">
        <v>0.26700000000000002</v>
      </c>
      <c r="G18">
        <v>1.9430000000000001</v>
      </c>
      <c r="H18">
        <v>51.709000000000003</v>
      </c>
      <c r="I18">
        <v>46.274999999999999</v>
      </c>
      <c r="J18">
        <v>7.2999999999999995E-2</v>
      </c>
      <c r="M18" s="49" t="s">
        <v>207</v>
      </c>
      <c r="N18" s="62"/>
      <c r="O18" s="62"/>
      <c r="P18" s="62"/>
      <c r="Q18" s="62"/>
      <c r="R18" s="161"/>
      <c r="S18" s="62"/>
      <c r="T18" s="62"/>
      <c r="U18" s="62"/>
    </row>
    <row r="19" spans="2:21">
      <c r="B19" s="156" t="s">
        <v>142</v>
      </c>
      <c r="C19">
        <v>0.95499999999999996</v>
      </c>
      <c r="D19">
        <v>54.113999999999997</v>
      </c>
      <c r="E19">
        <v>44.649000000000001</v>
      </c>
      <c r="F19" s="82">
        <v>0.28199999999999997</v>
      </c>
      <c r="G19">
        <v>1.7190000000000001</v>
      </c>
      <c r="H19">
        <v>51.755000000000003</v>
      </c>
      <c r="I19">
        <v>46.448999999999998</v>
      </c>
      <c r="J19">
        <v>7.5999999999999998E-2</v>
      </c>
      <c r="M19" s="49" t="s">
        <v>208</v>
      </c>
      <c r="N19" s="62"/>
      <c r="O19" s="62"/>
      <c r="P19" s="62"/>
      <c r="Q19" s="62"/>
      <c r="R19" s="161"/>
      <c r="S19" s="62"/>
      <c r="T19" s="62"/>
      <c r="U19" s="62"/>
    </row>
    <row r="20" spans="2:21">
      <c r="B20" s="156" t="s">
        <v>144</v>
      </c>
      <c r="C20">
        <v>1.2070000000000001</v>
      </c>
      <c r="D20">
        <v>54.033999999999999</v>
      </c>
      <c r="E20">
        <v>44.512</v>
      </c>
      <c r="F20" s="82">
        <v>0.248</v>
      </c>
      <c r="G20">
        <v>1.6719999999999999</v>
      </c>
      <c r="H20">
        <v>51.792000000000002</v>
      </c>
      <c r="I20">
        <v>46.46</v>
      </c>
      <c r="J20">
        <v>7.4999999999999997E-2</v>
      </c>
      <c r="M20" s="49" t="s">
        <v>209</v>
      </c>
      <c r="N20" s="62">
        <v>0.89100000000000001</v>
      </c>
      <c r="O20" s="62">
        <v>57.573999999999998</v>
      </c>
      <c r="P20" s="62">
        <v>41.363</v>
      </c>
      <c r="Q20" s="62">
        <v>0.17199999999999999</v>
      </c>
      <c r="R20" s="161">
        <v>1.286</v>
      </c>
      <c r="S20" s="62">
        <v>55.325000000000003</v>
      </c>
      <c r="T20" s="62">
        <v>43.289000000000001</v>
      </c>
      <c r="U20" s="62">
        <v>0.1</v>
      </c>
    </row>
    <row r="21" spans="2:21">
      <c r="B21" s="156" t="s">
        <v>146</v>
      </c>
      <c r="C21">
        <v>1.0209999999999999</v>
      </c>
      <c r="D21">
        <v>53.798000000000002</v>
      </c>
      <c r="E21">
        <v>44.939</v>
      </c>
      <c r="F21" s="82">
        <v>0.24199999999999999</v>
      </c>
      <c r="G21">
        <v>1.857</v>
      </c>
      <c r="H21">
        <v>51.399000000000001</v>
      </c>
      <c r="I21">
        <v>46.677</v>
      </c>
      <c r="J21">
        <v>6.7000000000000004E-2</v>
      </c>
      <c r="M21" s="49" t="s">
        <v>210</v>
      </c>
      <c r="N21" s="62">
        <v>0.93600000000000005</v>
      </c>
      <c r="O21" s="62">
        <v>56.780999999999999</v>
      </c>
      <c r="P21" s="62">
        <v>42.125</v>
      </c>
      <c r="Q21" s="62">
        <v>0.157</v>
      </c>
      <c r="R21" s="161">
        <v>1.4450000000000001</v>
      </c>
      <c r="S21" s="62">
        <v>54.453000000000003</v>
      </c>
      <c r="T21" s="62">
        <v>44.011000000000003</v>
      </c>
      <c r="U21" s="62">
        <v>9.0999999999999998E-2</v>
      </c>
    </row>
    <row r="22" spans="2:21">
      <c r="B22" s="156" t="s">
        <v>148</v>
      </c>
      <c r="C22">
        <v>1.4350000000000001</v>
      </c>
      <c r="D22">
        <v>53.41</v>
      </c>
      <c r="E22">
        <v>44.911999999999999</v>
      </c>
      <c r="F22" s="82">
        <v>0.24299999999999999</v>
      </c>
      <c r="G22">
        <v>1.7549999999999999</v>
      </c>
      <c r="H22">
        <v>51.331000000000003</v>
      </c>
      <c r="I22">
        <v>46.841000000000001</v>
      </c>
      <c r="J22">
        <v>7.2999999999999995E-2</v>
      </c>
      <c r="M22" s="49" t="s">
        <v>211</v>
      </c>
      <c r="N22" s="62">
        <v>0.85699999999999998</v>
      </c>
      <c r="O22" s="62">
        <v>56.430999999999997</v>
      </c>
      <c r="P22" s="62">
        <v>42.554000000000002</v>
      </c>
      <c r="Q22" s="62">
        <v>0.158</v>
      </c>
      <c r="R22" s="161">
        <v>1.4530000000000001</v>
      </c>
      <c r="S22" s="62">
        <v>54.259</v>
      </c>
      <c r="T22" s="62">
        <v>44.185000000000002</v>
      </c>
      <c r="U22" s="62">
        <v>0.104</v>
      </c>
    </row>
    <row r="23" spans="2:21">
      <c r="B23" s="156" t="s">
        <v>150</v>
      </c>
      <c r="M23" s="49" t="s">
        <v>212</v>
      </c>
      <c r="N23" s="62">
        <v>0.76</v>
      </c>
      <c r="O23" s="62">
        <v>56.524000000000001</v>
      </c>
      <c r="P23" s="62">
        <v>42.566000000000003</v>
      </c>
      <c r="Q23" s="62">
        <v>0.14899999999999999</v>
      </c>
      <c r="R23" s="161">
        <v>1.2210000000000001</v>
      </c>
      <c r="S23" s="62">
        <v>54.588000000000001</v>
      </c>
      <c r="T23" s="62">
        <v>44.085999999999999</v>
      </c>
      <c r="U23" s="62">
        <v>0.105</v>
      </c>
    </row>
    <row r="24" spans="2:21">
      <c r="B24" s="156" t="s">
        <v>151</v>
      </c>
      <c r="M24" s="49" t="s">
        <v>213</v>
      </c>
      <c r="N24" s="62"/>
      <c r="O24" s="62"/>
      <c r="P24" s="62"/>
      <c r="Q24" s="62"/>
      <c r="R24" s="161"/>
      <c r="S24" s="62"/>
      <c r="T24" s="62"/>
      <c r="U24" s="62"/>
    </row>
    <row r="25" spans="2:21">
      <c r="B25" s="156" t="s">
        <v>152</v>
      </c>
      <c r="C25">
        <v>1.7689999999999999</v>
      </c>
      <c r="D25">
        <v>53.521999999999998</v>
      </c>
      <c r="E25">
        <v>44.497</v>
      </c>
      <c r="F25" s="82">
        <v>0.21199999999999999</v>
      </c>
      <c r="G25">
        <v>1.766</v>
      </c>
      <c r="H25">
        <v>51.375</v>
      </c>
      <c r="I25">
        <v>46.786999999999999</v>
      </c>
      <c r="J25">
        <v>7.1999999999999995E-2</v>
      </c>
      <c r="M25" s="49" t="s">
        <v>214</v>
      </c>
      <c r="N25" s="62"/>
      <c r="O25" s="62"/>
      <c r="P25" s="62"/>
      <c r="Q25" s="62"/>
      <c r="R25" s="161"/>
      <c r="S25" s="62"/>
      <c r="T25" s="62"/>
      <c r="U25" s="62"/>
    </row>
    <row r="26" spans="2:21">
      <c r="B26" s="156" t="s">
        <v>153</v>
      </c>
      <c r="M26" s="49" t="s">
        <v>215</v>
      </c>
      <c r="N26" s="62">
        <v>0.61399999999999999</v>
      </c>
      <c r="O26" s="62">
        <v>57.470999999999997</v>
      </c>
      <c r="P26" s="62">
        <v>41.764000000000003</v>
      </c>
      <c r="Q26" s="62">
        <v>0.151</v>
      </c>
      <c r="R26" s="161">
        <v>0.94599999999999995</v>
      </c>
      <c r="S26" s="62">
        <v>55.412999999999997</v>
      </c>
      <c r="T26" s="62">
        <v>43.509</v>
      </c>
      <c r="U26" s="62">
        <v>0.13200000000000001</v>
      </c>
    </row>
    <row r="27" spans="2:21">
      <c r="B27" s="156" t="s">
        <v>154</v>
      </c>
      <c r="C27">
        <v>0.91</v>
      </c>
      <c r="D27">
        <v>54.087000000000003</v>
      </c>
      <c r="E27">
        <v>44.746000000000002</v>
      </c>
      <c r="F27" s="82">
        <v>0.25700000000000001</v>
      </c>
      <c r="G27">
        <v>1.484</v>
      </c>
      <c r="H27">
        <v>52.05</v>
      </c>
      <c r="I27">
        <v>46.42</v>
      </c>
      <c r="J27">
        <v>7.5999999999999998E-2</v>
      </c>
      <c r="M27" s="49" t="s">
        <v>216</v>
      </c>
      <c r="N27" s="62">
        <v>0.64100000000000001</v>
      </c>
      <c r="O27" s="62">
        <v>56.991999999999997</v>
      </c>
      <c r="P27" s="62">
        <v>42.210999999999999</v>
      </c>
      <c r="Q27" s="62">
        <v>0.156</v>
      </c>
      <c r="R27" s="161">
        <v>1.1100000000000001</v>
      </c>
      <c r="S27" s="62">
        <v>55.215000000000003</v>
      </c>
      <c r="T27" s="62">
        <v>43.58</v>
      </c>
      <c r="U27" s="62">
        <v>9.5000000000000001E-2</v>
      </c>
    </row>
    <row r="28" spans="2:21">
      <c r="B28" s="156" t="s">
        <v>155</v>
      </c>
      <c r="C28">
        <v>1.101</v>
      </c>
      <c r="D28">
        <v>53.738999999999997</v>
      </c>
      <c r="E28">
        <v>44.908999999999999</v>
      </c>
      <c r="F28" s="82">
        <v>0.251</v>
      </c>
      <c r="G28">
        <v>1.38</v>
      </c>
      <c r="H28">
        <v>52.115000000000002</v>
      </c>
      <c r="I28">
        <v>46.427</v>
      </c>
      <c r="J28">
        <v>7.8E-2</v>
      </c>
      <c r="M28" s="49" t="s">
        <v>217</v>
      </c>
      <c r="N28" s="62">
        <v>0.99199999999999999</v>
      </c>
      <c r="O28" s="62">
        <v>57.588999999999999</v>
      </c>
      <c r="P28" s="62">
        <v>41.268999999999998</v>
      </c>
      <c r="Q28" s="62">
        <v>0.15</v>
      </c>
      <c r="R28" s="161">
        <v>1.054</v>
      </c>
      <c r="S28" s="62">
        <v>55.24</v>
      </c>
      <c r="T28" s="62">
        <v>43.585000000000001</v>
      </c>
      <c r="U28" s="62">
        <v>0.12</v>
      </c>
    </row>
    <row r="29" spans="2:21">
      <c r="B29" s="156" t="s">
        <v>156</v>
      </c>
      <c r="C29">
        <v>1.518</v>
      </c>
      <c r="D29">
        <v>53.731000000000002</v>
      </c>
      <c r="E29">
        <v>44.52</v>
      </c>
      <c r="F29" s="82">
        <v>0.23100000000000001</v>
      </c>
      <c r="G29">
        <v>1.3360000000000001</v>
      </c>
      <c r="H29">
        <v>51.762</v>
      </c>
      <c r="I29">
        <v>46.82</v>
      </c>
      <c r="J29">
        <v>8.2000000000000003E-2</v>
      </c>
      <c r="M29" s="49" t="s">
        <v>218</v>
      </c>
      <c r="N29" s="62">
        <v>0.78100000000000003</v>
      </c>
      <c r="O29" s="62">
        <v>57.838999999999999</v>
      </c>
      <c r="P29" s="62">
        <v>41.21</v>
      </c>
      <c r="Q29" s="62">
        <v>0.16900000000000001</v>
      </c>
      <c r="R29" s="161">
        <v>1.206</v>
      </c>
      <c r="S29" s="62">
        <v>55.392000000000003</v>
      </c>
      <c r="T29" s="62">
        <v>43.348999999999997</v>
      </c>
      <c r="U29" s="62">
        <v>5.2999999999999999E-2</v>
      </c>
    </row>
    <row r="30" spans="2:21">
      <c r="B30" s="156" t="s">
        <v>157</v>
      </c>
      <c r="M30" s="49" t="s">
        <v>219</v>
      </c>
      <c r="N30" s="62">
        <v>0.67600000000000005</v>
      </c>
      <c r="O30" s="62">
        <v>57.514000000000003</v>
      </c>
      <c r="P30" s="62">
        <v>41.652000000000001</v>
      </c>
      <c r="Q30" s="62">
        <v>0.158</v>
      </c>
      <c r="R30" s="161">
        <v>1.1739999999999999</v>
      </c>
      <c r="S30" s="62">
        <v>55.360999999999997</v>
      </c>
      <c r="T30" s="62">
        <v>43.332999999999998</v>
      </c>
      <c r="U30" s="62">
        <v>0.13200000000000001</v>
      </c>
    </row>
    <row r="31" spans="2:21">
      <c r="B31" s="156" t="s">
        <v>158</v>
      </c>
      <c r="M31" s="49" t="s">
        <v>220</v>
      </c>
      <c r="N31" s="62"/>
      <c r="O31" s="62"/>
      <c r="P31" s="62"/>
      <c r="Q31" s="62"/>
      <c r="R31" s="161"/>
      <c r="S31" s="62"/>
      <c r="T31" s="62"/>
      <c r="U31" s="62"/>
    </row>
    <row r="32" spans="2:21">
      <c r="B32" s="156" t="s">
        <v>159</v>
      </c>
      <c r="C32">
        <v>0.72299999999999998</v>
      </c>
      <c r="D32">
        <v>54.624000000000002</v>
      </c>
      <c r="E32">
        <v>44.393999999999998</v>
      </c>
      <c r="F32" s="82">
        <v>0.25900000000000001</v>
      </c>
      <c r="G32">
        <v>1.708</v>
      </c>
      <c r="H32">
        <v>52.165999999999997</v>
      </c>
      <c r="I32">
        <v>46.070999999999998</v>
      </c>
      <c r="J32">
        <v>5.5E-2</v>
      </c>
      <c r="M32" s="49" t="s">
        <v>221</v>
      </c>
      <c r="N32" s="62"/>
      <c r="O32" s="62"/>
      <c r="P32" s="62"/>
      <c r="Q32" s="62"/>
      <c r="R32" s="161"/>
      <c r="S32" s="62"/>
      <c r="T32" s="62"/>
      <c r="U32" s="62"/>
    </row>
    <row r="33" spans="2:21">
      <c r="B33" s="156" t="s">
        <v>160</v>
      </c>
      <c r="C33">
        <v>1.125</v>
      </c>
      <c r="D33">
        <v>53.865000000000002</v>
      </c>
      <c r="E33">
        <v>44.753999999999998</v>
      </c>
      <c r="F33" s="82">
        <v>0.25600000000000001</v>
      </c>
      <c r="G33">
        <v>1.768</v>
      </c>
      <c r="H33">
        <v>52.002000000000002</v>
      </c>
      <c r="I33">
        <v>46.161000000000001</v>
      </c>
      <c r="J33">
        <v>6.9000000000000006E-2</v>
      </c>
      <c r="M33" s="49" t="s">
        <v>222</v>
      </c>
      <c r="N33" s="63">
        <v>0.79055999999999982</v>
      </c>
      <c r="O33" s="63">
        <v>56.998399999999982</v>
      </c>
      <c r="P33" s="63">
        <v>42.058680000000003</v>
      </c>
      <c r="Q33" s="63">
        <v>0.1522</v>
      </c>
      <c r="R33" s="162">
        <v>1.2815172413793103</v>
      </c>
      <c r="S33" s="63">
        <v>54.533000000000008</v>
      </c>
      <c r="T33" s="63">
        <v>44.095620689655171</v>
      </c>
      <c r="U33" s="63">
        <v>9.0206896551724175E-2</v>
      </c>
    </row>
    <row r="34" spans="2:21">
      <c r="B34" s="156" t="s">
        <v>161</v>
      </c>
      <c r="C34">
        <v>1.2769999999999999</v>
      </c>
      <c r="D34">
        <v>54.295999999999999</v>
      </c>
      <c r="E34">
        <v>44.161999999999999</v>
      </c>
      <c r="F34" s="82">
        <v>0.26500000000000001</v>
      </c>
      <c r="G34">
        <v>1.7070000000000001</v>
      </c>
      <c r="H34">
        <v>52.207999999999998</v>
      </c>
      <c r="I34">
        <v>46.011000000000003</v>
      </c>
      <c r="J34">
        <v>7.3999999999999996E-2</v>
      </c>
      <c r="M34" s="49" t="s">
        <v>223</v>
      </c>
      <c r="N34" s="63">
        <v>0.79055999999999982</v>
      </c>
      <c r="O34" s="63">
        <v>56.998399999999982</v>
      </c>
      <c r="P34" s="63">
        <v>42.058680000000003</v>
      </c>
      <c r="Q34" s="63">
        <v>0.1522</v>
      </c>
      <c r="R34" s="162">
        <v>1.2815172413793103</v>
      </c>
      <c r="S34" s="63">
        <v>54.533000000000008</v>
      </c>
      <c r="T34" s="63">
        <v>44.095620689655171</v>
      </c>
      <c r="U34" s="63">
        <v>9.0206896551724175E-2</v>
      </c>
    </row>
    <row r="35" spans="2:21">
      <c r="B35" s="156" t="s">
        <v>162</v>
      </c>
      <c r="C35">
        <v>1.212</v>
      </c>
      <c r="D35">
        <v>53.936999999999998</v>
      </c>
      <c r="E35">
        <v>44.585999999999999</v>
      </c>
      <c r="F35" s="82">
        <v>0.26400000000000001</v>
      </c>
      <c r="G35">
        <v>1.5349999999999999</v>
      </c>
      <c r="H35">
        <v>52.17</v>
      </c>
      <c r="I35">
        <v>46.219000000000001</v>
      </c>
      <c r="J35">
        <v>7.5999999999999998E-2</v>
      </c>
      <c r="M35" s="49" t="s">
        <v>224</v>
      </c>
      <c r="N35" s="63">
        <v>0.79055999999999982</v>
      </c>
      <c r="O35" s="63">
        <v>56.998399999999982</v>
      </c>
      <c r="P35" s="63">
        <v>42.058680000000003</v>
      </c>
      <c r="Q35" s="63">
        <v>0.1522</v>
      </c>
      <c r="R35" s="162">
        <v>1.2815172413793103</v>
      </c>
      <c r="S35" s="63">
        <v>54.533000000000008</v>
      </c>
      <c r="T35" s="63">
        <v>44.095620689655171</v>
      </c>
      <c r="U35" s="63">
        <v>9.0206896551724175E-2</v>
      </c>
    </row>
    <row r="36" spans="2:21">
      <c r="B36" s="156" t="s">
        <v>163</v>
      </c>
      <c r="C36">
        <v>0.66500000000000004</v>
      </c>
      <c r="D36">
        <v>54.493000000000002</v>
      </c>
      <c r="E36">
        <v>44.558</v>
      </c>
      <c r="F36" s="82">
        <v>0.28499999999999998</v>
      </c>
      <c r="G36">
        <v>1.244</v>
      </c>
      <c r="H36">
        <v>52.436</v>
      </c>
      <c r="I36">
        <v>46.244</v>
      </c>
      <c r="J36">
        <v>7.5999999999999998E-2</v>
      </c>
      <c r="M36" s="49" t="s">
        <v>225</v>
      </c>
      <c r="N36" s="63">
        <v>0.79055999999999982</v>
      </c>
      <c r="O36" s="63">
        <v>56.998399999999982</v>
      </c>
      <c r="P36" s="63">
        <v>42.058680000000003</v>
      </c>
      <c r="Q36" s="63">
        <v>0.1522</v>
      </c>
      <c r="R36" s="162">
        <v>1.2815172413793103</v>
      </c>
      <c r="S36" s="63">
        <v>54.533000000000008</v>
      </c>
      <c r="T36" s="63">
        <v>44.095620689655171</v>
      </c>
      <c r="U36" s="63">
        <v>9.0206896551724175E-2</v>
      </c>
    </row>
    <row r="37" spans="2:21">
      <c r="B37" s="156" t="s">
        <v>164</v>
      </c>
      <c r="M37" s="49" t="s">
        <v>226</v>
      </c>
      <c r="N37" s="63">
        <v>0.79055999999999982</v>
      </c>
      <c r="O37" s="63">
        <v>56.998399999999982</v>
      </c>
      <c r="P37" s="63">
        <v>42.058680000000003</v>
      </c>
      <c r="Q37" s="63">
        <v>0.1522</v>
      </c>
      <c r="R37" s="162">
        <v>1.2815172413793103</v>
      </c>
      <c r="S37" s="63">
        <v>54.533000000000008</v>
      </c>
      <c r="T37" s="63">
        <v>44.095620689655171</v>
      </c>
      <c r="U37" s="63">
        <v>9.0206896551724175E-2</v>
      </c>
    </row>
    <row r="38" spans="2:21">
      <c r="B38" s="156" t="s">
        <v>165</v>
      </c>
      <c r="M38" s="49" t="s">
        <v>227</v>
      </c>
      <c r="N38" s="63">
        <v>0.79055999999999982</v>
      </c>
      <c r="O38" s="63">
        <v>56.998399999999982</v>
      </c>
      <c r="P38" s="63">
        <v>42.058680000000003</v>
      </c>
      <c r="Q38" s="63">
        <v>0.1522</v>
      </c>
      <c r="R38" s="162">
        <v>1.2815172413793103</v>
      </c>
      <c r="S38" s="63">
        <v>54.533000000000008</v>
      </c>
      <c r="T38" s="63">
        <v>44.095620689655171</v>
      </c>
      <c r="U38" s="63">
        <v>9.0206896551724175E-2</v>
      </c>
    </row>
    <row r="39" spans="2:21">
      <c r="B39" s="156" t="s">
        <v>166</v>
      </c>
      <c r="C39">
        <v>1.2410000000000001</v>
      </c>
      <c r="D39">
        <v>53.984000000000002</v>
      </c>
      <c r="E39">
        <v>44.497999999999998</v>
      </c>
      <c r="F39" s="82">
        <v>0.27700000000000002</v>
      </c>
      <c r="G39">
        <v>1.1279999999999999</v>
      </c>
      <c r="H39">
        <v>52.789000000000001</v>
      </c>
      <c r="I39">
        <v>46.009</v>
      </c>
      <c r="J39">
        <v>7.3999999999999996E-2</v>
      </c>
      <c r="M39" s="49" t="s">
        <v>228</v>
      </c>
      <c r="N39" s="63">
        <v>0.79055999999999982</v>
      </c>
      <c r="O39" s="63">
        <v>56.998399999999982</v>
      </c>
      <c r="P39" s="63">
        <v>42.058680000000003</v>
      </c>
      <c r="Q39" s="63">
        <v>0.1522</v>
      </c>
      <c r="R39" s="162">
        <v>1.2815172413793103</v>
      </c>
      <c r="S39" s="63">
        <v>54.533000000000008</v>
      </c>
      <c r="T39" s="63">
        <v>44.095620689655171</v>
      </c>
      <c r="U39" s="63">
        <v>9.0206896551724175E-2</v>
      </c>
    </row>
    <row r="40" spans="2:21">
      <c r="B40" s="156" t="s">
        <v>167</v>
      </c>
      <c r="C40">
        <v>1.111</v>
      </c>
      <c r="D40">
        <v>53.320999999999998</v>
      </c>
      <c r="E40">
        <v>45.28</v>
      </c>
      <c r="F40" s="82">
        <v>0.28799999999999998</v>
      </c>
      <c r="G40">
        <v>1.0249999999999999</v>
      </c>
      <c r="H40">
        <v>52.698</v>
      </c>
      <c r="I40">
        <v>46.195999999999998</v>
      </c>
      <c r="J40">
        <v>8.1000000000000003E-2</v>
      </c>
      <c r="M40" s="49" t="s">
        <v>229</v>
      </c>
      <c r="N40" s="63">
        <v>0.79055999999999982</v>
      </c>
      <c r="O40" s="63">
        <v>56.998399999999982</v>
      </c>
      <c r="P40" s="63">
        <v>42.058680000000003</v>
      </c>
      <c r="Q40" s="63">
        <v>0.1522</v>
      </c>
      <c r="R40" s="162">
        <v>1.2815172413793103</v>
      </c>
      <c r="S40" s="63">
        <v>54.533000000000008</v>
      </c>
      <c r="T40" s="63">
        <v>44.095620689655171</v>
      </c>
      <c r="U40" s="63">
        <v>9.0206896551724175E-2</v>
      </c>
    </row>
    <row r="41" spans="2:21">
      <c r="B41" s="156" t="s">
        <v>168</v>
      </c>
      <c r="C41">
        <v>0.64700000000000002</v>
      </c>
      <c r="D41">
        <v>55.097999999999999</v>
      </c>
      <c r="E41">
        <v>44.018000000000001</v>
      </c>
      <c r="F41" s="82">
        <v>0.23699999999999999</v>
      </c>
      <c r="G41">
        <v>1.2949999999999999</v>
      </c>
      <c r="H41">
        <v>53.005000000000003</v>
      </c>
      <c r="I41">
        <v>45.634</v>
      </c>
      <c r="J41">
        <v>6.6000000000000003E-2</v>
      </c>
      <c r="M41" s="59" t="s">
        <v>191</v>
      </c>
      <c r="N41" s="64">
        <f>AVERAGE(N4:N30)</f>
        <v>0.79966666666666675</v>
      </c>
      <c r="O41" s="64">
        <f>AVERAGE(O4:O30)</f>
        <v>56.989499999999985</v>
      </c>
      <c r="P41" s="64">
        <f>AVERAGE(P4:P30)</f>
        <v>42.050777777777782</v>
      </c>
      <c r="Q41" s="64">
        <f>AVERAGE(Q4:Q30)</f>
        <v>0.15994444444444442</v>
      </c>
      <c r="R41" s="163">
        <f t="shared" ref="R41:U41" si="0">AVERAGE(R4:R30)</f>
        <v>1.2836666666666667</v>
      </c>
      <c r="S41" s="64">
        <f t="shared" si="0"/>
        <v>54.754944444444455</v>
      </c>
      <c r="T41" s="64">
        <f t="shared" si="0"/>
        <v>43.865166666666681</v>
      </c>
      <c r="U41" s="64">
        <f t="shared" si="0"/>
        <v>9.6222222222222209E-2</v>
      </c>
    </row>
    <row r="42" spans="2:21">
      <c r="B42" s="156" t="s">
        <v>169</v>
      </c>
      <c r="C42">
        <v>0.73199999999999998</v>
      </c>
      <c r="D42">
        <v>55.854999999999997</v>
      </c>
      <c r="E42">
        <v>43.186</v>
      </c>
      <c r="F42" s="82">
        <v>0.22700000000000001</v>
      </c>
      <c r="G42">
        <v>1.3520000000000001</v>
      </c>
      <c r="H42">
        <v>53.151000000000003</v>
      </c>
      <c r="I42">
        <v>45.444000000000003</v>
      </c>
      <c r="J42">
        <v>5.2999999999999999E-2</v>
      </c>
      <c r="M42" s="61" t="s">
        <v>18</v>
      </c>
      <c r="N42" s="65">
        <f t="shared" ref="N42:U42" si="1">STDEV(N4:N30)</f>
        <v>0.15305093346756862</v>
      </c>
      <c r="O42" s="65">
        <f t="shared" si="1"/>
        <v>0.48882587420897705</v>
      </c>
      <c r="P42" s="65">
        <f t="shared" si="1"/>
        <v>0.50963061081226879</v>
      </c>
      <c r="Q42" s="65">
        <f t="shared" si="1"/>
        <v>2.7904189485625338E-2</v>
      </c>
      <c r="R42" s="164">
        <f t="shared" si="1"/>
        <v>0.15906121648043153</v>
      </c>
      <c r="S42" s="65">
        <f t="shared" si="1"/>
        <v>0.45268525258438791</v>
      </c>
      <c r="T42" s="65">
        <f t="shared" si="1"/>
        <v>0.37722005591959362</v>
      </c>
      <c r="U42" s="65">
        <f t="shared" si="1"/>
        <v>2.494831258128688E-2</v>
      </c>
    </row>
    <row r="43" spans="2:21">
      <c r="B43" s="157" t="s">
        <v>191</v>
      </c>
      <c r="C43" s="60">
        <f>AVERAGE(C4:C42)</f>
        <v>1.1504615384615382</v>
      </c>
      <c r="D43" s="60">
        <f t="shared" ref="D43:J43" si="2">AVERAGE(D4:D42)</f>
        <v>54.12284615384614</v>
      </c>
      <c r="E43" s="60">
        <f t="shared" si="2"/>
        <v>44.478730769230765</v>
      </c>
      <c r="F43" s="160">
        <f t="shared" si="2"/>
        <v>0.24800000000000005</v>
      </c>
      <c r="G43" s="60">
        <f t="shared" si="2"/>
        <v>1.4961923076923076</v>
      </c>
      <c r="H43" s="60">
        <f t="shared" si="2"/>
        <v>52.161230769230777</v>
      </c>
      <c r="I43" s="60">
        <f t="shared" si="2"/>
        <v>46.271115384615385</v>
      </c>
      <c r="J43" s="60">
        <f t="shared" si="2"/>
        <v>7.2461538461538466E-2</v>
      </c>
      <c r="M43" s="61" t="s">
        <v>192</v>
      </c>
      <c r="N43" s="65">
        <f>CONFIDENCE(0.05,N42,25)</f>
        <v>5.9994863479334096E-2</v>
      </c>
      <c r="O43" s="65">
        <f t="shared" ref="O43:Q43" si="3">CONFIDENCE(0.05,O42,25)</f>
        <v>0.19161622163218037</v>
      </c>
      <c r="P43" s="65">
        <f t="shared" si="3"/>
        <v>0.19977152852223917</v>
      </c>
      <c r="Q43" s="65">
        <f t="shared" si="3"/>
        <v>1.0938241281921383E-2</v>
      </c>
      <c r="R43" s="164">
        <f t="shared" ref="R43:U43" si="4">CONFIDENCE(0.05,R42,27)</f>
        <v>5.9997134471352659E-2</v>
      </c>
      <c r="S43" s="65">
        <f t="shared" si="4"/>
        <v>0.17075072461705393</v>
      </c>
      <c r="T43" s="65">
        <f t="shared" si="4"/>
        <v>0.14228561129534262</v>
      </c>
      <c r="U43" s="65">
        <f t="shared" si="4"/>
        <v>9.4103848687524336E-3</v>
      </c>
    </row>
    <row r="44" spans="2:21">
      <c r="B44" s="158" t="s">
        <v>18</v>
      </c>
      <c r="C44">
        <f>STDEV(C4:C42)</f>
        <v>0.34793772210201512</v>
      </c>
      <c r="D44">
        <f t="shared" ref="D44:J44" si="5">STDEV(D4:D42)</f>
        <v>0.63983452187766887</v>
      </c>
      <c r="E44">
        <f t="shared" si="5"/>
        <v>0.49553627981828974</v>
      </c>
      <c r="F44" s="82">
        <f t="shared" si="5"/>
        <v>2.2682151573428181E-2</v>
      </c>
      <c r="G44">
        <f t="shared" si="5"/>
        <v>0.27313293748367723</v>
      </c>
      <c r="H44">
        <f t="shared" si="5"/>
        <v>0.60344353887864954</v>
      </c>
      <c r="I44">
        <f t="shared" si="5"/>
        <v>0.47643713767295892</v>
      </c>
      <c r="J44">
        <f t="shared" si="5"/>
        <v>9.4920209406881041E-3</v>
      </c>
      <c r="M44" s="61" t="s">
        <v>42</v>
      </c>
      <c r="N44" s="65">
        <f>N41-N43</f>
        <v>0.73967180318733261</v>
      </c>
      <c r="O44" s="65">
        <f t="shared" ref="O44:U44" si="6">O41-O43</f>
        <v>56.797883778367805</v>
      </c>
      <c r="P44" s="65">
        <f t="shared" si="6"/>
        <v>41.851006249255541</v>
      </c>
      <c r="Q44" s="65">
        <f t="shared" si="6"/>
        <v>0.14900620316252303</v>
      </c>
      <c r="R44" s="164">
        <f t="shared" si="6"/>
        <v>1.2236695321953142</v>
      </c>
      <c r="S44" s="65">
        <f t="shared" si="6"/>
        <v>54.584193719827404</v>
      </c>
      <c r="T44" s="65">
        <f t="shared" si="6"/>
        <v>43.722881055371339</v>
      </c>
      <c r="U44" s="65">
        <f t="shared" si="6"/>
        <v>8.681183735346977E-2</v>
      </c>
    </row>
    <row r="45" spans="2:21">
      <c r="B45" s="158" t="s">
        <v>192</v>
      </c>
      <c r="C45">
        <f>CONFIDENCE(0.05,C44,26)</f>
        <v>0.13374049704358842</v>
      </c>
      <c r="D45">
        <f t="shared" ref="D45:J45" si="7">CONFIDENCE(0.05,D44,26)</f>
        <v>0.24593995288753606</v>
      </c>
      <c r="E45">
        <f t="shared" si="7"/>
        <v>0.19047451355848538</v>
      </c>
      <c r="F45" s="82">
        <f t="shared" si="7"/>
        <v>8.718578161406915E-3</v>
      </c>
      <c r="G45">
        <f t="shared" si="7"/>
        <v>0.1049869919172837</v>
      </c>
      <c r="H45">
        <f t="shared" si="7"/>
        <v>0.2319519664030851</v>
      </c>
      <c r="I45">
        <f t="shared" si="7"/>
        <v>0.18313317457347653</v>
      </c>
      <c r="J45">
        <f t="shared" si="7"/>
        <v>3.6485483404514844E-3</v>
      </c>
      <c r="M45" s="61" t="s">
        <v>41</v>
      </c>
      <c r="N45" s="65">
        <f>N41+N43</f>
        <v>0.85966153014600089</v>
      </c>
      <c r="O45" s="65">
        <f t="shared" ref="O45:U45" si="8">O41+O43</f>
        <v>57.181116221632166</v>
      </c>
      <c r="P45" s="65">
        <f t="shared" si="8"/>
        <v>42.250549306300023</v>
      </c>
      <c r="Q45" s="65">
        <f t="shared" si="8"/>
        <v>0.17088268572636581</v>
      </c>
      <c r="R45" s="164">
        <f t="shared" si="8"/>
        <v>1.3436638011380193</v>
      </c>
      <c r="S45" s="65">
        <f t="shared" si="8"/>
        <v>54.925695169061505</v>
      </c>
      <c r="T45" s="65">
        <f t="shared" si="8"/>
        <v>44.007452277962024</v>
      </c>
      <c r="U45" s="65">
        <f t="shared" si="8"/>
        <v>0.10563260709097465</v>
      </c>
    </row>
    <row r="46" spans="2:21">
      <c r="B46" s="158" t="s">
        <v>42</v>
      </c>
      <c r="C46">
        <f>C43-C45</f>
        <v>1.0167210414179497</v>
      </c>
      <c r="D46">
        <f t="shared" ref="D46:J46" si="9">D43-D45</f>
        <v>53.876906200958601</v>
      </c>
      <c r="E46">
        <f t="shared" si="9"/>
        <v>44.28825625567228</v>
      </c>
      <c r="F46" s="82">
        <f t="shared" si="9"/>
        <v>0.23928142183859313</v>
      </c>
      <c r="G46">
        <f t="shared" si="9"/>
        <v>1.3912053157750239</v>
      </c>
      <c r="H46">
        <f t="shared" si="9"/>
        <v>51.929278802827689</v>
      </c>
      <c r="I46">
        <f t="shared" si="9"/>
        <v>46.087982210041908</v>
      </c>
      <c r="J46">
        <f t="shared" si="9"/>
        <v>6.8812990121086978E-2</v>
      </c>
    </row>
    <row r="47" spans="2:21">
      <c r="B47" s="158" t="s">
        <v>41</v>
      </c>
      <c r="C47">
        <f>C43+C45</f>
        <v>1.2842020355051267</v>
      </c>
      <c r="D47">
        <f t="shared" ref="D47:J47" si="10">D43+D45</f>
        <v>54.36878610673368</v>
      </c>
      <c r="E47">
        <f t="shared" si="10"/>
        <v>44.66920528278925</v>
      </c>
      <c r="F47" s="82">
        <f t="shared" si="10"/>
        <v>0.25671857816140697</v>
      </c>
      <c r="G47">
        <f t="shared" si="10"/>
        <v>1.6011792996095913</v>
      </c>
      <c r="H47">
        <f t="shared" si="10"/>
        <v>52.393182735633864</v>
      </c>
      <c r="I47">
        <f t="shared" si="10"/>
        <v>46.454248559188862</v>
      </c>
      <c r="J47">
        <f t="shared" si="10"/>
        <v>7.6110086801989954E-2</v>
      </c>
    </row>
  </sheetData>
  <mergeCells count="4">
    <mergeCell ref="N2:Q2"/>
    <mergeCell ref="R2:U2"/>
    <mergeCell ref="C2:F2"/>
    <mergeCell ref="G2:J2"/>
  </mergeCells>
  <pageMargins left="0.7" right="0.7" top="0.75" bottom="0.75" header="0.3" footer="0.3"/>
  <pageSetup paperSize="9" scale="86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energy balance</vt:lpstr>
      <vt:lpstr>R1,2</vt:lpstr>
      <vt:lpstr>R 3,4</vt:lpstr>
      <vt:lpstr>kinetics</vt:lpstr>
      <vt:lpstr>substrates</vt:lpstr>
      <vt:lpstr>biogas composition </vt:lpstr>
      <vt:lpstr>'energy balance'!Obszar_wydruku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Ola</cp:lastModifiedBy>
  <cp:lastPrinted>2020-08-27T07:48:23Z</cp:lastPrinted>
  <dcterms:created xsi:type="dcterms:W3CDTF">2019-07-09T07:14:12Z</dcterms:created>
  <dcterms:modified xsi:type="dcterms:W3CDTF">2020-08-27T07:51:52Z</dcterms:modified>
</cp:coreProperties>
</file>