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C3E84C3E-3A3B-4469-A42B-C0B1286C4178}" xr6:coauthVersionLast="43" xr6:coauthVersionMax="43" xr10:uidLastSave="{00000000-0000-0000-0000-000000000000}"/>
  <bookViews>
    <workbookView xWindow="-110" yWindow="-110" windowWidth="19420" windowHeight="10420" activeTab="3" xr2:uid="{B963A1D8-3748-4A89-85AA-F32DF82C5BF5}"/>
  </bookViews>
  <sheets>
    <sheet name="pH" sheetId="1" r:id="rId1"/>
    <sheet name="TA" sheetId="4" r:id="rId2"/>
    <sheet name="lactic acid" sheetId="2" r:id="rId3"/>
    <sheet name="acetic aci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4" l="1"/>
  <c r="H12" i="4"/>
  <c r="J12" i="4" s="1"/>
  <c r="F12" i="4"/>
  <c r="E4" i="4"/>
  <c r="E6" i="4"/>
  <c r="E7" i="4" s="1"/>
  <c r="E5" i="4"/>
  <c r="I12" i="4" l="1"/>
  <c r="C14" i="3"/>
  <c r="C13" i="3"/>
  <c r="G20" i="3" s="1"/>
  <c r="P23" i="2"/>
  <c r="O23" i="2"/>
  <c r="N23" i="2"/>
  <c r="M23" i="2"/>
  <c r="C13" i="2"/>
  <c r="C14" i="2"/>
  <c r="I7" i="3"/>
  <c r="E8" i="3"/>
  <c r="D7" i="3"/>
  <c r="E7" i="3" s="1"/>
  <c r="I9" i="3"/>
  <c r="D9" i="3"/>
  <c r="E9" i="3" s="1"/>
  <c r="D10" i="3"/>
  <c r="E10" i="3" s="1"/>
  <c r="D11" i="3"/>
  <c r="E11" i="3" s="1"/>
  <c r="D8" i="3"/>
  <c r="I11" i="3"/>
  <c r="I10" i="3"/>
  <c r="I8" i="3"/>
  <c r="I7" i="2"/>
  <c r="D7" i="2"/>
  <c r="E7" i="2" s="1"/>
  <c r="D9" i="2"/>
  <c r="D10" i="2"/>
  <c r="E10" i="2" s="1"/>
  <c r="D11" i="2"/>
  <c r="E11" i="2" s="1"/>
  <c r="D8" i="2"/>
  <c r="E8" i="2" s="1"/>
  <c r="I11" i="2"/>
  <c r="I10" i="2"/>
  <c r="I9" i="2"/>
  <c r="E9" i="2"/>
  <c r="I8" i="2"/>
  <c r="G19" i="2" l="1"/>
  <c r="I19" i="2" s="1"/>
  <c r="C15" i="3"/>
  <c r="C15" i="2"/>
  <c r="J11" i="2"/>
  <c r="J7" i="3" l="1"/>
  <c r="J10" i="3"/>
  <c r="I20" i="3"/>
  <c r="K20" i="3" s="1"/>
  <c r="M20" i="3" s="1"/>
  <c r="M24" i="3" s="1"/>
  <c r="H20" i="3"/>
  <c r="J20" i="3" s="1"/>
  <c r="L20" i="3" s="1"/>
  <c r="N20" i="3" s="1"/>
  <c r="N24" i="3" s="1"/>
  <c r="J9" i="3"/>
  <c r="J11" i="3"/>
  <c r="J8" i="3"/>
  <c r="K19" i="2"/>
  <c r="M19" i="2" s="1"/>
  <c r="H19" i="2"/>
  <c r="J19" i="2" s="1"/>
  <c r="L19" i="2" s="1"/>
  <c r="N19" i="2" s="1"/>
  <c r="J9" i="2"/>
  <c r="J7" i="2"/>
  <c r="J8" i="2"/>
  <c r="J10" i="2"/>
  <c r="P24" i="3" l="1"/>
  <c r="O24" i="3"/>
  <c r="P20" i="3"/>
  <c r="O20" i="3"/>
  <c r="P19" i="2"/>
  <c r="O19" i="2"/>
  <c r="G5" i="1" l="1"/>
  <c r="F5" i="1"/>
</calcChain>
</file>

<file path=xl/sharedStrings.xml><?xml version="1.0" encoding="utf-8"?>
<sst xmlns="http://schemas.openxmlformats.org/spreadsheetml/2006/main" count="80" uniqueCount="45">
  <si>
    <t>pH</t>
  </si>
  <si>
    <t>pH average</t>
  </si>
  <si>
    <t>SD</t>
  </si>
  <si>
    <t>Trial 1</t>
  </si>
  <si>
    <t>Trial 2</t>
  </si>
  <si>
    <t>Trial 3</t>
  </si>
  <si>
    <t>WM36</t>
  </si>
  <si>
    <t xml:space="preserve">Standard Lactic acid  </t>
  </si>
  <si>
    <t>Mw of Lactic acid</t>
  </si>
  <si>
    <t>g/mol</t>
  </si>
  <si>
    <t>Concentration (mM)</t>
  </si>
  <si>
    <t>Injection (ul)</t>
  </si>
  <si>
    <t>mg</t>
  </si>
  <si>
    <t>ug</t>
  </si>
  <si>
    <t>Peak area (Lactic acid)</t>
  </si>
  <si>
    <t>Average (Lactic acid)</t>
  </si>
  <si>
    <t>Y intercept</t>
  </si>
  <si>
    <t>Slope</t>
  </si>
  <si>
    <t>RSQ</t>
  </si>
  <si>
    <t>Equation check (ug)</t>
  </si>
  <si>
    <t>Treatment</t>
  </si>
  <si>
    <t>inject (ul)</t>
  </si>
  <si>
    <t>DF</t>
  </si>
  <si>
    <t>PA</t>
  </si>
  <si>
    <t>Equation (ug/20 ul)</t>
  </si>
  <si>
    <t>(ug/1000 ul)</t>
  </si>
  <si>
    <t>(ug/ml) x DF</t>
  </si>
  <si>
    <t>in 1 mL (mg/ml)</t>
  </si>
  <si>
    <t>Aver</t>
  </si>
  <si>
    <t>Peak Area</t>
  </si>
  <si>
    <t>mM</t>
  </si>
  <si>
    <t>Standard Acetic acid</t>
  </si>
  <si>
    <t>Mw of Acetic acid</t>
  </si>
  <si>
    <t>Peak area (Acetic acid)</t>
  </si>
  <si>
    <t>Average (Acetic acid)</t>
  </si>
  <si>
    <t>CFCS</t>
  </si>
  <si>
    <t>Standardized NaOH</t>
  </si>
  <si>
    <t>KHP (g)</t>
  </si>
  <si>
    <t xml:space="preserve"> Used 1N NaOH (ml)</t>
  </si>
  <si>
    <t>Normality</t>
  </si>
  <si>
    <t>Average</t>
  </si>
  <si>
    <t>NaOH (ml)</t>
  </si>
  <si>
    <t>% Average</t>
  </si>
  <si>
    <t>Total titratable acidity</t>
  </si>
  <si>
    <t>Calculation  (% LAE)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</si>
</sst>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00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87" fontId="3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187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/>
    </xf>
    <xf numFmtId="2" fontId="3" fillId="6" borderId="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7" fontId="2" fillId="0" borderId="1" xfId="0" applyNumberFormat="1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43" fontId="3" fillId="6" borderId="7" xfId="1" applyFont="1" applyFill="1" applyBorder="1" applyAlignment="1">
      <alignment horizontal="center" vertical="center"/>
    </xf>
    <xf numFmtId="43" fontId="3" fillId="6" borderId="8" xfId="1" applyFont="1" applyFill="1" applyBorder="1" applyAlignment="1">
      <alignment horizontal="center" vertical="center"/>
    </xf>
    <xf numFmtId="2" fontId="3" fillId="6" borderId="7" xfId="0" applyNumberFormat="1" applyFont="1" applyFill="1" applyBorder="1" applyAlignment="1">
      <alignment horizontal="center" vertical="center"/>
    </xf>
    <xf numFmtId="2" fontId="3" fillId="6" borderId="8" xfId="0" applyNumberFormat="1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2" fontId="3" fillId="6" borderId="3" xfId="0" applyNumberFormat="1" applyFont="1" applyFill="1" applyBorder="1" applyAlignment="1">
      <alignment horizontal="center" vertical="center"/>
    </xf>
    <xf numFmtId="2" fontId="3" fillId="6" borderId="5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87" fontId="3" fillId="0" borderId="1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87" fontId="3" fillId="0" borderId="3" xfId="0" applyNumberFormat="1" applyFont="1" applyBorder="1" applyAlignment="1">
      <alignment horizontal="center" vertical="center"/>
    </xf>
    <xf numFmtId="187" fontId="3" fillId="0" borderId="5" xfId="0" applyNumberFormat="1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87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2" fontId="3" fillId="8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</c:trendlineLbl>
          </c:trendline>
          <c:xVal>
            <c:numRef>
              <c:f>'lactic acid'!$E$7:$E$11</c:f>
              <c:numCache>
                <c:formatCode>0.0000</c:formatCode>
                <c:ptCount val="5"/>
                <c:pt idx="0">
                  <c:v>1.8016000000000001</c:v>
                </c:pt>
                <c:pt idx="1">
                  <c:v>9.0080000000000009</c:v>
                </c:pt>
                <c:pt idx="2">
                  <c:v>18.016000000000002</c:v>
                </c:pt>
                <c:pt idx="3">
                  <c:v>36.032000000000004</c:v>
                </c:pt>
                <c:pt idx="4">
                  <c:v>54.048000000000002</c:v>
                </c:pt>
              </c:numCache>
            </c:numRef>
          </c:xVal>
          <c:yVal>
            <c:numRef>
              <c:f>'lactic acid'!$I$7:$I$11</c:f>
              <c:numCache>
                <c:formatCode>0.00</c:formatCode>
                <c:ptCount val="5"/>
                <c:pt idx="0">
                  <c:v>238069.33333333334</c:v>
                </c:pt>
                <c:pt idx="1">
                  <c:v>602738</c:v>
                </c:pt>
                <c:pt idx="2">
                  <c:v>1206483.6666666667</c:v>
                </c:pt>
                <c:pt idx="3">
                  <c:v>2421138.6666666665</c:v>
                </c:pt>
                <c:pt idx="4">
                  <c:v>3604347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EA-41E5-AC35-BC2485F78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879184"/>
        <c:axId val="635876888"/>
      </c:scatterChart>
      <c:valAx>
        <c:axId val="635879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lactic</a:t>
                </a:r>
                <a:r>
                  <a:rPr lang="en-US" baseline="0"/>
                  <a:t> acid (ug/ml)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h-TH"/>
            </a:p>
          </c:txPr>
        </c:title>
        <c:numFmt formatCode="0.0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635876888"/>
        <c:crosses val="autoZero"/>
        <c:crossBetween val="midCat"/>
      </c:valAx>
      <c:valAx>
        <c:axId val="635876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 area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h-TH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635879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</c:trendlineLbl>
          </c:trendline>
          <c:xVal>
            <c:numRef>
              <c:f>'acetic acid'!$E$7:$E$11</c:f>
              <c:numCache>
                <c:formatCode>General</c:formatCode>
                <c:ptCount val="5"/>
                <c:pt idx="0">
                  <c:v>1.2010000000000001</c:v>
                </c:pt>
                <c:pt idx="1">
                  <c:v>6.0049999999999999</c:v>
                </c:pt>
                <c:pt idx="2">
                  <c:v>12.01</c:v>
                </c:pt>
                <c:pt idx="3">
                  <c:v>24.02</c:v>
                </c:pt>
                <c:pt idx="4">
                  <c:v>36.03</c:v>
                </c:pt>
              </c:numCache>
            </c:numRef>
          </c:xVal>
          <c:yVal>
            <c:numRef>
              <c:f>'acetic acid'!$I$7:$I$11</c:f>
              <c:numCache>
                <c:formatCode>0.00</c:formatCode>
                <c:ptCount val="5"/>
                <c:pt idx="0">
                  <c:v>98238</c:v>
                </c:pt>
                <c:pt idx="1">
                  <c:v>454608.33333333331</c:v>
                </c:pt>
                <c:pt idx="2">
                  <c:v>895723.66666666663</c:v>
                </c:pt>
                <c:pt idx="3">
                  <c:v>1778613.3333333333</c:v>
                </c:pt>
                <c:pt idx="4">
                  <c:v>2644296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C7-4B68-9ECC-C885D7B0D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876560"/>
        <c:axId val="635877872"/>
      </c:scatterChart>
      <c:valAx>
        <c:axId val="635876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acetic</a:t>
                </a:r>
                <a:r>
                  <a:rPr lang="en-US" baseline="0"/>
                  <a:t> acid (ug/ml)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h-TH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635877872"/>
        <c:crosses val="autoZero"/>
        <c:crossBetween val="midCat"/>
      </c:valAx>
      <c:valAx>
        <c:axId val="63587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</a:t>
                </a:r>
                <a:r>
                  <a:rPr lang="en-US" baseline="0"/>
                  <a:t> area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h-TH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635876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373063</xdr:colOff>
      <xdr:row>1</xdr:row>
      <xdr:rowOff>96838</xdr:rowOff>
    </xdr:from>
    <xdr:to>
      <xdr:col>17</xdr:col>
      <xdr:colOff>333375</xdr:colOff>
      <xdr:row>15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D698F2-7B06-4723-B652-6045096AE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325438</xdr:colOff>
      <xdr:row>1</xdr:row>
      <xdr:rowOff>9525</xdr:rowOff>
    </xdr:from>
    <xdr:to>
      <xdr:col>17</xdr:col>
      <xdr:colOff>285750</xdr:colOff>
      <xdr:row>16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12C5C9-BF67-4C53-AA21-E17D5D73D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585C1-A728-4B13-9BB2-240918AB6D1C}">
  <dimension ref="B3:G5"/>
  <sheetViews>
    <sheetView zoomScale="80" zoomScaleNormal="80" workbookViewId="0">
      <selection activeCell="D8" sqref="D8"/>
    </sheetView>
  </sheetViews>
  <sheetFormatPr defaultRowHeight="14" x14ac:dyDescent="0.3"/>
  <cols>
    <col min="5" max="5" width="9.9140625" customWidth="1"/>
    <col min="6" max="6" width="12.08203125" customWidth="1"/>
  </cols>
  <sheetData>
    <row r="3" spans="2:7" ht="15.5" x14ac:dyDescent="0.3">
      <c r="B3" s="28" t="s">
        <v>35</v>
      </c>
      <c r="C3" s="28" t="s">
        <v>0</v>
      </c>
      <c r="D3" s="28"/>
      <c r="E3" s="28"/>
      <c r="F3" s="28" t="s">
        <v>1</v>
      </c>
      <c r="G3" s="28" t="s">
        <v>2</v>
      </c>
    </row>
    <row r="4" spans="2:7" ht="15.5" x14ac:dyDescent="0.3">
      <c r="B4" s="28"/>
      <c r="C4" s="1" t="s">
        <v>3</v>
      </c>
      <c r="D4" s="1" t="s">
        <v>4</v>
      </c>
      <c r="E4" s="1" t="s">
        <v>5</v>
      </c>
      <c r="F4" s="28"/>
      <c r="G4" s="28"/>
    </row>
    <row r="5" spans="2:7" ht="15.5" x14ac:dyDescent="0.35">
      <c r="B5" s="2" t="s">
        <v>6</v>
      </c>
      <c r="C5" s="3">
        <v>4.54</v>
      </c>
      <c r="D5" s="3">
        <v>4.53</v>
      </c>
      <c r="E5" s="3">
        <v>4.53</v>
      </c>
      <c r="F5" s="3">
        <f t="shared" ref="F5" si="0">AVERAGE(C5:E5)</f>
        <v>4.5333333333333341</v>
      </c>
      <c r="G5" s="3">
        <f t="shared" ref="G5" si="1">STDEV(C5:E5)</f>
        <v>5.7735026918961348E-3</v>
      </c>
    </row>
  </sheetData>
  <mergeCells count="4">
    <mergeCell ref="B3:B4"/>
    <mergeCell ref="C3:E3"/>
    <mergeCell ref="F3:F4"/>
    <mergeCell ref="G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BDB35-920E-4ABB-92D3-44F9A6DB5AC2}">
  <dimension ref="B2:J12"/>
  <sheetViews>
    <sheetView workbookViewId="0">
      <selection activeCell="H17" sqref="H17"/>
    </sheetView>
  </sheetViews>
  <sheetFormatPr defaultRowHeight="14" x14ac:dyDescent="0.3"/>
  <cols>
    <col min="9" max="9" width="12.25" customWidth="1"/>
  </cols>
  <sheetData>
    <row r="2" spans="2:10" ht="18" x14ac:dyDescent="0.4">
      <c r="B2" s="44" t="s">
        <v>36</v>
      </c>
      <c r="C2" s="44"/>
      <c r="D2" s="44"/>
      <c r="E2" s="45"/>
    </row>
    <row r="3" spans="2:10" x14ac:dyDescent="0.3">
      <c r="B3" s="46" t="s">
        <v>37</v>
      </c>
      <c r="C3" s="47" t="s">
        <v>38</v>
      </c>
      <c r="D3" s="47"/>
      <c r="E3" s="47" t="s">
        <v>39</v>
      </c>
      <c r="F3" s="47"/>
    </row>
    <row r="4" spans="2:10" x14ac:dyDescent="0.3">
      <c r="B4" s="14">
        <v>0.8155</v>
      </c>
      <c r="C4" s="48">
        <v>52.35</v>
      </c>
      <c r="D4" s="49"/>
      <c r="E4" s="48">
        <f>((B4*1000)/(C4*204.229))</f>
        <v>7.6276343965680449E-2</v>
      </c>
      <c r="F4" s="49"/>
    </row>
    <row r="5" spans="2:10" x14ac:dyDescent="0.3">
      <c r="B5" s="14">
        <v>0.60360000000000003</v>
      </c>
      <c r="C5" s="48">
        <v>39.5</v>
      </c>
      <c r="D5" s="49"/>
      <c r="E5" s="48">
        <f t="shared" ref="E5:E6" si="0">((B5*1000)/(C5*204.229))</f>
        <v>7.4822932385840646E-2</v>
      </c>
      <c r="F5" s="49"/>
    </row>
    <row r="6" spans="2:10" x14ac:dyDescent="0.3">
      <c r="B6" s="14">
        <v>0.77139999999999997</v>
      </c>
      <c r="C6" s="48">
        <v>49.65</v>
      </c>
      <c r="D6" s="49"/>
      <c r="E6" s="48">
        <f t="shared" si="0"/>
        <v>7.6075176890195592E-2</v>
      </c>
      <c r="F6" s="49"/>
    </row>
    <row r="7" spans="2:10" x14ac:dyDescent="0.3">
      <c r="D7" s="50" t="s">
        <v>40</v>
      </c>
      <c r="E7" s="51">
        <f>AVERAGE(E4:F6)</f>
        <v>7.5724817747238896E-2</v>
      </c>
      <c r="F7" s="52"/>
    </row>
    <row r="9" spans="2:10" ht="17.5" x14ac:dyDescent="0.35">
      <c r="B9" s="58" t="s">
        <v>43</v>
      </c>
      <c r="C9" s="58"/>
      <c r="D9" s="58"/>
    </row>
    <row r="10" spans="2:10" x14ac:dyDescent="0.3">
      <c r="B10" s="53" t="s">
        <v>35</v>
      </c>
      <c r="C10" s="54" t="s">
        <v>41</v>
      </c>
      <c r="D10" s="54"/>
      <c r="E10" s="54"/>
      <c r="F10" s="55" t="s">
        <v>44</v>
      </c>
      <c r="G10" s="55"/>
      <c r="H10" s="55"/>
      <c r="I10" s="56" t="s">
        <v>42</v>
      </c>
      <c r="J10" s="56" t="s">
        <v>2</v>
      </c>
    </row>
    <row r="11" spans="2:10" x14ac:dyDescent="0.3">
      <c r="B11" s="53"/>
      <c r="C11" s="57" t="s">
        <v>3</v>
      </c>
      <c r="D11" s="57" t="s">
        <v>4</v>
      </c>
      <c r="E11" s="57" t="s">
        <v>5</v>
      </c>
      <c r="F11" s="57" t="s">
        <v>3</v>
      </c>
      <c r="G11" s="57" t="s">
        <v>4</v>
      </c>
      <c r="H11" s="57" t="s">
        <v>5</v>
      </c>
      <c r="I11" s="56"/>
      <c r="J11" s="56"/>
    </row>
    <row r="12" spans="2:10" x14ac:dyDescent="0.3">
      <c r="B12" s="59" t="s">
        <v>6</v>
      </c>
      <c r="C12" s="26">
        <v>1.6</v>
      </c>
      <c r="D12" s="26">
        <v>1.55</v>
      </c>
      <c r="E12" s="26">
        <v>1.7</v>
      </c>
      <c r="F12" s="14">
        <f>(($E$7*C12*90)/(1*10))</f>
        <v>1.0904373755602401</v>
      </c>
      <c r="G12" s="14">
        <f t="shared" ref="G12:H12" si="1">(($E$7*D12*90)/(1*10))</f>
        <v>1.0563612075739826</v>
      </c>
      <c r="H12" s="14">
        <f t="shared" si="1"/>
        <v>1.158589711532755</v>
      </c>
      <c r="I12" s="60">
        <f t="shared" ref="I12" si="2">AVERAGE(F12:H12)</f>
        <v>1.1017960982223258</v>
      </c>
      <c r="J12" s="60">
        <f t="shared" ref="J12" si="3">STDEV(F12:H12)</f>
        <v>5.2052206397018616E-2</v>
      </c>
    </row>
  </sheetData>
  <mergeCells count="16">
    <mergeCell ref="I10:I11"/>
    <mergeCell ref="J10:J11"/>
    <mergeCell ref="B9:D9"/>
    <mergeCell ref="C6:D6"/>
    <mergeCell ref="E6:F6"/>
    <mergeCell ref="E7:F7"/>
    <mergeCell ref="B10:B11"/>
    <mergeCell ref="C10:E10"/>
    <mergeCell ref="F10:H10"/>
    <mergeCell ref="B2:D2"/>
    <mergeCell ref="C3:D3"/>
    <mergeCell ref="E3:F3"/>
    <mergeCell ref="C4:D4"/>
    <mergeCell ref="E4:F4"/>
    <mergeCell ref="C5:D5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5C4E4-3BE6-4F14-9A6A-503D241C1528}">
  <dimension ref="B3:P23"/>
  <sheetViews>
    <sheetView zoomScale="80" zoomScaleNormal="80" workbookViewId="0">
      <selection activeCell="P24" sqref="P24"/>
    </sheetView>
  </sheetViews>
  <sheetFormatPr defaultRowHeight="14" x14ac:dyDescent="0.3"/>
  <cols>
    <col min="2" max="2" width="19.4140625" customWidth="1"/>
    <col min="3" max="3" width="11.25" customWidth="1"/>
    <col min="9" max="9" width="17.6640625" customWidth="1"/>
    <col min="10" max="10" width="18.08203125" customWidth="1"/>
  </cols>
  <sheetData>
    <row r="3" spans="2:10" x14ac:dyDescent="0.3">
      <c r="B3" s="4"/>
      <c r="C3" s="4"/>
      <c r="D3" s="4"/>
      <c r="E3" s="4"/>
      <c r="F3" s="4"/>
      <c r="G3" s="4"/>
      <c r="H3" s="4"/>
      <c r="I3" s="4"/>
      <c r="J3" s="4"/>
    </row>
    <row r="4" spans="2:10" x14ac:dyDescent="0.3">
      <c r="B4" s="37" t="s">
        <v>7</v>
      </c>
      <c r="C4" s="37"/>
      <c r="D4" s="37"/>
      <c r="E4" s="37"/>
      <c r="F4" s="38"/>
      <c r="G4" s="5"/>
      <c r="H4" s="5"/>
      <c r="I4" s="5"/>
      <c r="J4" s="4"/>
    </row>
    <row r="5" spans="2:10" x14ac:dyDescent="0.3">
      <c r="B5" s="39" t="s">
        <v>8</v>
      </c>
      <c r="C5" s="39"/>
      <c r="D5" s="6">
        <v>90.08</v>
      </c>
      <c r="E5" s="6" t="s">
        <v>9</v>
      </c>
      <c r="F5" s="7"/>
      <c r="G5" s="5"/>
      <c r="H5" s="5"/>
      <c r="I5" s="5"/>
      <c r="J5" s="4"/>
    </row>
    <row r="6" spans="2:10" ht="14" customHeight="1" x14ac:dyDescent="0.3">
      <c r="B6" s="8" t="s">
        <v>10</v>
      </c>
      <c r="C6" s="9" t="s">
        <v>11</v>
      </c>
      <c r="D6" s="10" t="s">
        <v>12</v>
      </c>
      <c r="E6" s="10" t="s">
        <v>13</v>
      </c>
      <c r="F6" s="40" t="s">
        <v>14</v>
      </c>
      <c r="G6" s="41"/>
      <c r="H6" s="42"/>
      <c r="I6" s="8" t="s">
        <v>15</v>
      </c>
      <c r="J6" s="10" t="s">
        <v>19</v>
      </c>
    </row>
    <row r="7" spans="2:10" x14ac:dyDescent="0.3">
      <c r="B7" s="15">
        <v>1</v>
      </c>
      <c r="C7" s="11">
        <v>20</v>
      </c>
      <c r="D7" s="12">
        <f>(B7*C7*$D$5)/1000000</f>
        <v>1.8016E-3</v>
      </c>
      <c r="E7" s="12">
        <f>D7*1000</f>
        <v>1.8016000000000001</v>
      </c>
      <c r="F7" s="15">
        <v>238560</v>
      </c>
      <c r="G7" s="15">
        <v>237622</v>
      </c>
      <c r="H7" s="15">
        <v>238026</v>
      </c>
      <c r="I7" s="13">
        <f t="shared" ref="I7:I9" si="0">AVERAGE(F7:H7)</f>
        <v>238069.33333333334</v>
      </c>
      <c r="J7" s="14">
        <f>(I7-$C$13)/$C$14</f>
        <v>2.7146027410829174</v>
      </c>
    </row>
    <row r="8" spans="2:10" x14ac:dyDescent="0.3">
      <c r="B8" s="11">
        <v>5</v>
      </c>
      <c r="C8" s="11">
        <v>20</v>
      </c>
      <c r="D8" s="12">
        <f>(B8*C8*$D$5)/1000000</f>
        <v>9.0080000000000004E-3</v>
      </c>
      <c r="E8" s="12">
        <f>D8*1000</f>
        <v>9.0080000000000009</v>
      </c>
      <c r="F8" s="11">
        <v>607534</v>
      </c>
      <c r="G8" s="11">
        <v>601383</v>
      </c>
      <c r="H8" s="11">
        <v>599297</v>
      </c>
      <c r="I8" s="13">
        <f t="shared" si="0"/>
        <v>602738</v>
      </c>
      <c r="J8" s="14">
        <f>(I8-$C$13)/$C$14</f>
        <v>8.2956974707929287</v>
      </c>
    </row>
    <row r="9" spans="2:10" x14ac:dyDescent="0.3">
      <c r="B9" s="11">
        <v>10</v>
      </c>
      <c r="C9" s="11">
        <v>20</v>
      </c>
      <c r="D9" s="12">
        <f t="shared" ref="D9:D11" si="1">(B9*C9*$D$5)/1000000</f>
        <v>1.8016000000000001E-2</v>
      </c>
      <c r="E9" s="12">
        <f t="shared" ref="E9:E11" si="2">D9*1000</f>
        <v>18.016000000000002</v>
      </c>
      <c r="F9" s="11">
        <v>1262630</v>
      </c>
      <c r="G9" s="11">
        <v>1179739</v>
      </c>
      <c r="H9" s="11">
        <v>1177082</v>
      </c>
      <c r="I9" s="13">
        <f t="shared" si="0"/>
        <v>1206483.6666666667</v>
      </c>
      <c r="J9" s="14">
        <f>(I9-$C$13)/$C$14</f>
        <v>17.535761304954509</v>
      </c>
    </row>
    <row r="10" spans="2:10" x14ac:dyDescent="0.3">
      <c r="B10" s="11">
        <v>20</v>
      </c>
      <c r="C10" s="11">
        <v>20</v>
      </c>
      <c r="D10" s="12">
        <f t="shared" si="1"/>
        <v>3.6032000000000002E-2</v>
      </c>
      <c r="E10" s="12">
        <f t="shared" si="2"/>
        <v>36.032000000000004</v>
      </c>
      <c r="F10" s="11">
        <v>2360824</v>
      </c>
      <c r="G10" s="11">
        <v>2453325</v>
      </c>
      <c r="H10" s="11">
        <v>2449267</v>
      </c>
      <c r="I10" s="13">
        <f>AVERAGE(F10:H10)</f>
        <v>2421138.6666666665</v>
      </c>
      <c r="J10" s="14">
        <f>(I10-$C$13)/$C$14</f>
        <v>36.125525763968206</v>
      </c>
    </row>
    <row r="11" spans="2:10" x14ac:dyDescent="0.3">
      <c r="B11" s="11">
        <v>30</v>
      </c>
      <c r="C11" s="11">
        <v>20</v>
      </c>
      <c r="D11" s="12">
        <f t="shared" si="1"/>
        <v>5.4047999999999999E-2</v>
      </c>
      <c r="E11" s="12">
        <f t="shared" si="2"/>
        <v>54.048000000000002</v>
      </c>
      <c r="F11" s="11">
        <v>3603919</v>
      </c>
      <c r="G11" s="11">
        <v>3588523</v>
      </c>
      <c r="H11" s="11">
        <v>3620599</v>
      </c>
      <c r="I11" s="13">
        <f>AVERAGE(F11:H11)</f>
        <v>3604347</v>
      </c>
      <c r="J11" s="14">
        <f>(I11-$C$13)/$C$14</f>
        <v>54.234012719201445</v>
      </c>
    </row>
    <row r="12" spans="2:10" x14ac:dyDescent="0.3">
      <c r="B12" s="4"/>
      <c r="C12" s="4"/>
      <c r="D12" s="4"/>
      <c r="E12" s="4"/>
      <c r="F12" s="4"/>
      <c r="G12" s="4"/>
      <c r="H12" s="4"/>
      <c r="I12" s="4"/>
      <c r="J12" s="4"/>
    </row>
    <row r="13" spans="2:10" x14ac:dyDescent="0.3">
      <c r="B13" s="10" t="s">
        <v>16</v>
      </c>
      <c r="C13" s="43">
        <f>INTERCEPT(I7:I11,E7:E11)</f>
        <v>60697.220860370202</v>
      </c>
      <c r="D13" s="43"/>
      <c r="E13" s="4"/>
      <c r="F13" s="4"/>
      <c r="G13" s="4"/>
      <c r="H13" s="4"/>
      <c r="I13" s="4"/>
      <c r="J13" s="4"/>
    </row>
    <row r="14" spans="2:10" x14ac:dyDescent="0.3">
      <c r="B14" s="10" t="s">
        <v>17</v>
      </c>
      <c r="C14" s="43">
        <f>SLOPE(I7:I11,E7:E11)</f>
        <v>65339.988716804044</v>
      </c>
      <c r="D14" s="43"/>
      <c r="E14" s="4"/>
      <c r="F14" s="4"/>
      <c r="G14" s="4"/>
      <c r="H14" s="4"/>
      <c r="I14" s="4"/>
      <c r="J14" s="4"/>
    </row>
    <row r="15" spans="2:10" x14ac:dyDescent="0.3">
      <c r="B15" s="10" t="s">
        <v>18</v>
      </c>
      <c r="C15" s="43">
        <f>RSQ(I7:I11,E7:E11)</f>
        <v>0.999103995692327</v>
      </c>
      <c r="D15" s="43"/>
      <c r="E15" s="4"/>
      <c r="F15" s="4"/>
      <c r="G15" s="4"/>
      <c r="H15" s="4"/>
      <c r="I15" s="4"/>
      <c r="J15" s="4"/>
    </row>
    <row r="16" spans="2:10" x14ac:dyDescent="0.3">
      <c r="B16" s="4"/>
      <c r="C16" s="4"/>
      <c r="D16" s="4"/>
      <c r="E16" s="4"/>
      <c r="F16" s="4"/>
      <c r="G16" s="4"/>
      <c r="H16" s="4"/>
      <c r="I16" s="4"/>
      <c r="J16" s="4"/>
    </row>
    <row r="18" spans="2:16" x14ac:dyDescent="0.3">
      <c r="B18" s="17" t="s">
        <v>20</v>
      </c>
      <c r="C18" s="18" t="s">
        <v>21</v>
      </c>
      <c r="D18" s="18" t="s">
        <v>22</v>
      </c>
      <c r="E18" s="30" t="s">
        <v>29</v>
      </c>
      <c r="F18" s="31"/>
      <c r="G18" s="32" t="s">
        <v>24</v>
      </c>
      <c r="H18" s="33"/>
      <c r="I18" s="34" t="s">
        <v>25</v>
      </c>
      <c r="J18" s="34"/>
      <c r="K18" s="35" t="s">
        <v>26</v>
      </c>
      <c r="L18" s="36"/>
      <c r="M18" s="35" t="s">
        <v>27</v>
      </c>
      <c r="N18" s="36"/>
      <c r="O18" s="17" t="s">
        <v>28</v>
      </c>
      <c r="P18" s="17" t="s">
        <v>2</v>
      </c>
    </row>
    <row r="19" spans="2:16" ht="15.5" x14ac:dyDescent="0.3">
      <c r="B19" s="22" t="s">
        <v>6</v>
      </c>
      <c r="C19" s="20">
        <v>20</v>
      </c>
      <c r="D19" s="20">
        <v>100</v>
      </c>
      <c r="E19" s="20">
        <v>375600</v>
      </c>
      <c r="F19" s="20">
        <v>373701</v>
      </c>
      <c r="G19" s="23">
        <f>(E19-$C$13)/$C$14</f>
        <v>4.8194495487974205</v>
      </c>
      <c r="H19" s="23">
        <f>(F19-$C$13)/$C$14</f>
        <v>4.7903861828970893</v>
      </c>
      <c r="I19" s="20">
        <f>(1000*G19)/C19</f>
        <v>240.97247743987106</v>
      </c>
      <c r="J19" s="20">
        <f t="shared" ref="J19" si="3">(1000*H19)/C19</f>
        <v>239.51930914485447</v>
      </c>
      <c r="K19" s="20">
        <f>I19*D19</f>
        <v>24097.247743987107</v>
      </c>
      <c r="L19" s="20">
        <f t="shared" ref="L19" si="4">J19*D19</f>
        <v>23951.930914485449</v>
      </c>
      <c r="M19" s="20">
        <f t="shared" ref="M19:N19" si="5">K19/1000</f>
        <v>24.097247743987108</v>
      </c>
      <c r="N19" s="20">
        <f t="shared" si="5"/>
        <v>23.951930914485448</v>
      </c>
      <c r="O19" s="20">
        <f>AVERAGE(M19:N19)</f>
        <v>24.024589329236278</v>
      </c>
      <c r="P19" s="21">
        <f t="shared" ref="P19" si="6">STDEV(M19:N19)</f>
        <v>0.10275451556115284</v>
      </c>
    </row>
    <row r="22" spans="2:16" x14ac:dyDescent="0.3">
      <c r="M22" s="29" t="s">
        <v>30</v>
      </c>
      <c r="N22" s="29"/>
      <c r="O22" s="24" t="s">
        <v>28</v>
      </c>
      <c r="P22" s="24" t="s">
        <v>2</v>
      </c>
    </row>
    <row r="23" spans="2:16" ht="15.5" x14ac:dyDescent="0.3">
      <c r="M23" s="3">
        <f>((M19*1)/90.08)*1000</f>
        <v>267.50941101229023</v>
      </c>
      <c r="N23" s="3">
        <f>((N19*1)/90.08)*1000</f>
        <v>265.89621352670343</v>
      </c>
      <c r="O23" s="3">
        <f>AVERAGE(M23:N23)</f>
        <v>266.7028122694968</v>
      </c>
      <c r="P23" s="3">
        <f>_xlfn.STDEV.P(M23:N23)</f>
        <v>0.80659874279339761</v>
      </c>
    </row>
  </sheetData>
  <mergeCells count="12">
    <mergeCell ref="C15:D15"/>
    <mergeCell ref="B4:F4"/>
    <mergeCell ref="B5:C5"/>
    <mergeCell ref="F6:H6"/>
    <mergeCell ref="C13:D13"/>
    <mergeCell ref="C14:D14"/>
    <mergeCell ref="M22:N22"/>
    <mergeCell ref="E18:F18"/>
    <mergeCell ref="G18:H18"/>
    <mergeCell ref="I18:J18"/>
    <mergeCell ref="K18:L18"/>
    <mergeCell ref="M18:N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DDC3-BD49-4227-B83E-472872AE40E8}">
  <dimension ref="B4:P24"/>
  <sheetViews>
    <sheetView tabSelected="1" zoomScale="80" zoomScaleNormal="80" workbookViewId="0">
      <selection activeCell="J13" sqref="J13"/>
    </sheetView>
  </sheetViews>
  <sheetFormatPr defaultRowHeight="14" x14ac:dyDescent="0.3"/>
  <cols>
    <col min="2" max="2" width="19.4140625" customWidth="1"/>
    <col min="3" max="3" width="13.08203125" customWidth="1"/>
    <col min="9" max="9" width="18.9140625" customWidth="1"/>
    <col min="10" max="10" width="18.5" customWidth="1"/>
  </cols>
  <sheetData>
    <row r="4" spans="2:10" x14ac:dyDescent="0.3">
      <c r="B4" s="37" t="s">
        <v>31</v>
      </c>
      <c r="C4" s="37"/>
      <c r="D4" s="37"/>
      <c r="E4" s="37"/>
      <c r="F4" s="37"/>
      <c r="G4" s="4"/>
      <c r="H4" s="4"/>
      <c r="I4" s="4"/>
      <c r="J4" s="4"/>
    </row>
    <row r="5" spans="2:10" x14ac:dyDescent="0.3">
      <c r="B5" s="39" t="s">
        <v>32</v>
      </c>
      <c r="C5" s="39"/>
      <c r="D5" s="6">
        <v>60.05</v>
      </c>
      <c r="E5" s="6" t="s">
        <v>9</v>
      </c>
      <c r="F5" s="7"/>
      <c r="G5" s="4"/>
      <c r="H5" s="4"/>
      <c r="I5" s="4"/>
      <c r="J5" s="4"/>
    </row>
    <row r="6" spans="2:10" x14ac:dyDescent="0.3">
      <c r="B6" s="8" t="s">
        <v>10</v>
      </c>
      <c r="C6" s="9" t="s">
        <v>11</v>
      </c>
      <c r="D6" s="10" t="s">
        <v>12</v>
      </c>
      <c r="E6" s="10" t="s">
        <v>13</v>
      </c>
      <c r="F6" s="40" t="s">
        <v>33</v>
      </c>
      <c r="G6" s="41"/>
      <c r="H6" s="42"/>
      <c r="I6" s="8" t="s">
        <v>34</v>
      </c>
      <c r="J6" s="10" t="s">
        <v>19</v>
      </c>
    </row>
    <row r="7" spans="2:10" x14ac:dyDescent="0.3">
      <c r="B7" s="15">
        <v>1</v>
      </c>
      <c r="C7" s="16">
        <v>20</v>
      </c>
      <c r="D7" s="12">
        <f>B7*C7*$D$5/1000000</f>
        <v>1.201E-3</v>
      </c>
      <c r="E7" s="11">
        <f>D7*1000</f>
        <v>1.2010000000000001</v>
      </c>
      <c r="F7" s="15">
        <v>98045</v>
      </c>
      <c r="G7" s="15">
        <v>98436</v>
      </c>
      <c r="H7" s="15">
        <v>98233</v>
      </c>
      <c r="I7" s="26">
        <f t="shared" ref="I7:I11" si="0">AVERAGE(F7:H7)</f>
        <v>98238</v>
      </c>
      <c r="J7" s="14">
        <f>(I7-$C$13)/$C$14</f>
        <v>1.1384422946203177</v>
      </c>
    </row>
    <row r="8" spans="2:10" x14ac:dyDescent="0.3">
      <c r="B8" s="11">
        <v>5</v>
      </c>
      <c r="C8" s="11">
        <v>20</v>
      </c>
      <c r="D8" s="12">
        <f>B8*C8*$D$5/1000000</f>
        <v>6.0049999999999999E-3</v>
      </c>
      <c r="E8" s="11">
        <f>D8*1000</f>
        <v>6.0049999999999999</v>
      </c>
      <c r="F8" s="11">
        <v>468417</v>
      </c>
      <c r="G8" s="25">
        <v>447930</v>
      </c>
      <c r="H8" s="25">
        <v>447478</v>
      </c>
      <c r="I8" s="26">
        <f t="shared" si="0"/>
        <v>454608.33333333331</v>
      </c>
      <c r="J8" s="14">
        <f>(I8-$C$13)/$C$14</f>
        <v>6.0116961137941622</v>
      </c>
    </row>
    <row r="9" spans="2:10" x14ac:dyDescent="0.3">
      <c r="B9" s="11">
        <v>10</v>
      </c>
      <c r="C9" s="11">
        <v>20</v>
      </c>
      <c r="D9" s="12">
        <f>B9*C9*$D$5/1000000</f>
        <v>1.201E-2</v>
      </c>
      <c r="E9" s="11">
        <f>D9*1000</f>
        <v>12.01</v>
      </c>
      <c r="F9" s="11">
        <v>894298</v>
      </c>
      <c r="G9" s="25">
        <v>894841</v>
      </c>
      <c r="H9" s="25">
        <v>898032</v>
      </c>
      <c r="I9" s="26">
        <f t="shared" si="0"/>
        <v>895723.66666666663</v>
      </c>
      <c r="J9" s="14">
        <f>(I9-$C$13)/$C$14</f>
        <v>12.043811533604108</v>
      </c>
    </row>
    <row r="10" spans="2:10" x14ac:dyDescent="0.3">
      <c r="B10" s="11">
        <v>20</v>
      </c>
      <c r="C10" s="11">
        <v>20</v>
      </c>
      <c r="D10" s="12">
        <f t="shared" ref="D10:D11" si="1">B10*C10*$D$5/1000000</f>
        <v>2.402E-2</v>
      </c>
      <c r="E10" s="11">
        <f t="shared" ref="E10:E11" si="2">D10*1000</f>
        <v>24.02</v>
      </c>
      <c r="F10" s="11">
        <v>1787162</v>
      </c>
      <c r="G10" s="25">
        <v>1768393</v>
      </c>
      <c r="H10" s="25">
        <v>1780285</v>
      </c>
      <c r="I10" s="26">
        <f t="shared" si="0"/>
        <v>1778613.3333333333</v>
      </c>
      <c r="J10" s="14">
        <f>(I10-$C$13)/$C$14</f>
        <v>24.117053993907451</v>
      </c>
    </row>
    <row r="11" spans="2:10" x14ac:dyDescent="0.3">
      <c r="B11" s="11">
        <v>30</v>
      </c>
      <c r="C11" s="11">
        <v>20</v>
      </c>
      <c r="D11" s="12">
        <f t="shared" si="1"/>
        <v>3.603E-2</v>
      </c>
      <c r="E11" s="11">
        <f t="shared" si="2"/>
        <v>36.03</v>
      </c>
      <c r="F11" s="11">
        <v>2506378</v>
      </c>
      <c r="G11" s="25">
        <v>2705470</v>
      </c>
      <c r="H11" s="25">
        <v>2721040</v>
      </c>
      <c r="I11" s="26">
        <f t="shared" si="0"/>
        <v>2644296</v>
      </c>
      <c r="J11" s="14">
        <f>(I11-$C$13)/$C$14</f>
        <v>35.954996064073967</v>
      </c>
    </row>
    <row r="12" spans="2:10" x14ac:dyDescent="0.3">
      <c r="B12" s="4"/>
      <c r="C12" s="4"/>
      <c r="D12" s="4"/>
      <c r="E12" s="4"/>
      <c r="F12" s="4"/>
      <c r="G12" s="4"/>
      <c r="H12" s="4"/>
      <c r="I12" s="4"/>
      <c r="J12" s="4"/>
    </row>
    <row r="13" spans="2:10" x14ac:dyDescent="0.3">
      <c r="B13" s="10" t="s">
        <v>16</v>
      </c>
      <c r="C13" s="43">
        <f>INTERCEPT(I7:I11,E7:E11)</f>
        <v>14986.218937755562</v>
      </c>
      <c r="D13" s="43"/>
      <c r="E13" s="4"/>
      <c r="F13" s="4"/>
      <c r="G13" s="4"/>
      <c r="H13" s="4"/>
      <c r="I13" s="4"/>
      <c r="J13" s="4"/>
    </row>
    <row r="14" spans="2:10" x14ac:dyDescent="0.3">
      <c r="B14" s="10" t="s">
        <v>17</v>
      </c>
      <c r="C14" s="43">
        <f>SLOPE(I7:I11,E7:E11)</f>
        <v>73127.800553131921</v>
      </c>
      <c r="D14" s="43"/>
      <c r="E14" s="4"/>
      <c r="F14" s="4"/>
      <c r="G14" s="4"/>
      <c r="H14" s="4"/>
      <c r="I14" s="4"/>
      <c r="J14" s="4"/>
    </row>
    <row r="15" spans="2:10" x14ac:dyDescent="0.3">
      <c r="B15" s="10" t="s">
        <v>18</v>
      </c>
      <c r="C15" s="43">
        <f>RSQ(I7:I11,E7:E11)</f>
        <v>0.9999748250742112</v>
      </c>
      <c r="D15" s="43"/>
      <c r="E15" s="4"/>
      <c r="F15" s="4"/>
      <c r="G15" s="4"/>
      <c r="H15" s="4"/>
      <c r="I15" s="4"/>
      <c r="J15" s="4"/>
    </row>
    <row r="16" spans="2:10" x14ac:dyDescent="0.3">
      <c r="B16" s="4"/>
      <c r="C16" s="4"/>
      <c r="D16" s="4"/>
      <c r="E16" s="4"/>
      <c r="F16" s="4"/>
      <c r="G16" s="4"/>
      <c r="H16" s="4"/>
      <c r="I16" s="4"/>
      <c r="J16" s="4"/>
    </row>
    <row r="19" spans="2:16" x14ac:dyDescent="0.3">
      <c r="B19" s="17" t="s">
        <v>20</v>
      </c>
      <c r="C19" s="18" t="s">
        <v>21</v>
      </c>
      <c r="D19" s="18" t="s">
        <v>22</v>
      </c>
      <c r="E19" s="30" t="s">
        <v>23</v>
      </c>
      <c r="F19" s="31"/>
      <c r="G19" s="32" t="s">
        <v>24</v>
      </c>
      <c r="H19" s="33"/>
      <c r="I19" s="34" t="s">
        <v>25</v>
      </c>
      <c r="J19" s="34"/>
      <c r="K19" s="35" t="s">
        <v>26</v>
      </c>
      <c r="L19" s="36"/>
      <c r="M19" s="35" t="s">
        <v>27</v>
      </c>
      <c r="N19" s="36"/>
      <c r="O19" s="17" t="s">
        <v>28</v>
      </c>
      <c r="P19" s="17" t="s">
        <v>2</v>
      </c>
    </row>
    <row r="20" spans="2:16" ht="15.5" x14ac:dyDescent="0.3">
      <c r="B20" s="19" t="s">
        <v>6</v>
      </c>
      <c r="C20" s="20">
        <v>20</v>
      </c>
      <c r="D20" s="20">
        <v>100</v>
      </c>
      <c r="E20" s="20">
        <v>237546</v>
      </c>
      <c r="F20" s="20">
        <v>251455</v>
      </c>
      <c r="G20" s="23">
        <f>(E20-$C$13)/$C$14</f>
        <v>3.0434360035283823</v>
      </c>
      <c r="H20" s="23">
        <f>(F20-$C$13)/$C$14</f>
        <v>3.233637266178067</v>
      </c>
      <c r="I20" s="3">
        <f t="shared" ref="I20" si="3">(1000*G20)/C20</f>
        <v>152.17180017641911</v>
      </c>
      <c r="J20" s="3">
        <f t="shared" ref="J20" si="4">(1000*H20)/C20</f>
        <v>161.68186330890336</v>
      </c>
      <c r="K20" s="3">
        <f t="shared" ref="K20:L20" si="5">I20*100</f>
        <v>15217.180017641911</v>
      </c>
      <c r="L20" s="3">
        <f t="shared" si="5"/>
        <v>16168.186330890336</v>
      </c>
      <c r="M20" s="3">
        <f t="shared" ref="M20:N20" si="6">K20/1000</f>
        <v>15.217180017641912</v>
      </c>
      <c r="N20" s="3">
        <f t="shared" si="6"/>
        <v>16.168186330890336</v>
      </c>
      <c r="O20" s="3">
        <f t="shared" ref="O20" si="7">AVERAGE(M20:N20)</f>
        <v>15.692683174266124</v>
      </c>
      <c r="P20" s="27">
        <f t="shared" ref="P20" si="8">STDEV(M20:N20)</f>
        <v>0.67246301304917866</v>
      </c>
    </row>
    <row r="23" spans="2:16" x14ac:dyDescent="0.3">
      <c r="M23" s="29" t="s">
        <v>30</v>
      </c>
      <c r="N23" s="29"/>
      <c r="O23" s="24" t="s">
        <v>28</v>
      </c>
      <c r="P23" s="24" t="s">
        <v>2</v>
      </c>
    </row>
    <row r="24" spans="2:16" ht="15.5" x14ac:dyDescent="0.3">
      <c r="M24" s="3">
        <f>((M20*1)/60.05)*1000</f>
        <v>253.40849321635156</v>
      </c>
      <c r="N24" s="3">
        <f>((N20*1)/60.05)*1000</f>
        <v>269.24540101399396</v>
      </c>
      <c r="O24" s="3">
        <f>AVERAGE(M24:N24)</f>
        <v>261.32694711517274</v>
      </c>
      <c r="P24" s="3">
        <f>_xlfn.STDEV.P(M24:N24)</f>
        <v>7.9184538988211983</v>
      </c>
    </row>
  </sheetData>
  <mergeCells count="12">
    <mergeCell ref="M23:N23"/>
    <mergeCell ref="B4:F4"/>
    <mergeCell ref="B5:C5"/>
    <mergeCell ref="F6:H6"/>
    <mergeCell ref="C13:D13"/>
    <mergeCell ref="C14:D14"/>
    <mergeCell ref="C15:D15"/>
    <mergeCell ref="E19:F19"/>
    <mergeCell ref="G19:H19"/>
    <mergeCell ref="I19:J19"/>
    <mergeCell ref="K19:L19"/>
    <mergeCell ref="M19:N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</vt:lpstr>
      <vt:lpstr>TA</vt:lpstr>
      <vt:lpstr>lactic acid</vt:lpstr>
      <vt:lpstr>acetic acid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2019-03-30T17:52:49Z</dcterms:created>
  <dcterms:modified xsi:type="dcterms:W3CDTF">2019-04-06T15:46:50Z</dcterms:modified>
</cp:coreProperties>
</file>